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3 Rate Review\Website Publication\"/>
    </mc:Choice>
  </mc:AlternateContent>
  <xr:revisionPtr revIDLastSave="0" documentId="13_ncr:1_{1DE7A260-4293-411E-864A-D0FD0E513A28}" xr6:coauthVersionLast="47" xr6:coauthVersionMax="47" xr10:uidLastSave="{00000000-0000-0000-0000-000000000000}"/>
  <bookViews>
    <workbookView xWindow="28680" yWindow="-120" windowWidth="29040" windowHeight="15840" tabRatio="973" xr2:uid="{00000000-000D-0000-FFFF-FFFF00000000}"/>
  </bookViews>
  <sheets>
    <sheet name="Cover Page" sheetId="44" r:id="rId1"/>
    <sheet name="Table of Contents" sheetId="45" r:id="rId2"/>
    <sheet name="1" sheetId="1" r:id="rId3"/>
    <sheet name="2.1" sheetId="2" r:id="rId4"/>
    <sheet name="2.2" sheetId="3" r:id="rId5"/>
    <sheet name="2.3" sheetId="4" r:id="rId6"/>
    <sheet name="2.4" sheetId="5" r:id="rId7"/>
    <sheet name="3.1" sheetId="6" r:id="rId8"/>
    <sheet name="3.2 premium trend" sheetId="7" r:id="rId9"/>
    <sheet name="3.3a" sheetId="8" r:id="rId10"/>
    <sheet name="3.3b" sheetId="9" r:id="rId11"/>
    <sheet name="3.3c" sheetId="10" r:id="rId12"/>
    <sheet name="3.3d" sheetId="11" r:id="rId13"/>
    <sheet name="4.1" sheetId="13" r:id="rId14"/>
    <sheet name="4.2" sheetId="14" r:id="rId15"/>
    <sheet name="4.3" sheetId="15" r:id="rId16"/>
    <sheet name="4.4" sheetId="16" r:id="rId17"/>
    <sheet name="4.5" sheetId="17" r:id="rId18"/>
    <sheet name="5" sheetId="18" r:id="rId19"/>
    <sheet name="6.1" sheetId="19" r:id="rId20"/>
    <sheet name="6.2 - industry" sheetId="20" r:id="rId21"/>
    <sheet name="6.3" sheetId="21" r:id="rId22"/>
    <sheet name="6.4" sheetId="22" r:id="rId23"/>
    <sheet name="6.5" sheetId="23" r:id="rId24"/>
    <sheet name="6.6" sheetId="24" r:id="rId25"/>
    <sheet name="6.7" sheetId="25" r:id="rId26"/>
    <sheet name="7.1" sheetId="26" r:id="rId27"/>
    <sheet name="7.2" sheetId="28" r:id="rId28"/>
    <sheet name="7.3" sheetId="48" r:id="rId29"/>
    <sheet name="7.4" sheetId="49" r:id="rId30"/>
    <sheet name="8.1" sheetId="27" r:id="rId31"/>
    <sheet name="8.2" sheetId="29" r:id="rId32"/>
    <sheet name="8.3" sheetId="46" r:id="rId33"/>
    <sheet name="8.4" sheetId="47" r:id="rId34"/>
    <sheet name="9" sheetId="30" r:id="rId35"/>
    <sheet name="10.1" sheetId="31" r:id="rId36"/>
    <sheet name="10.2" sheetId="32" r:id="rId37"/>
    <sheet name="10.3" sheetId="33" r:id="rId38"/>
    <sheet name="11.1" sheetId="34" r:id="rId39"/>
    <sheet name="11.2" sheetId="43" r:id="rId40"/>
    <sheet name="12.1" sheetId="36" r:id="rId41"/>
    <sheet name="12.2" sheetId="37" r:id="rId42"/>
  </sheets>
  <externalReferences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xlnm.Print_Area" localSheetId="2">'1'!$A$1:$K$68</definedName>
    <definedName name="_xlnm.Print_Area" localSheetId="35">'10.1'!$A$1:$J$72</definedName>
    <definedName name="_xlnm.Print_Area" localSheetId="36">'10.2'!$A$1:$O$71</definedName>
    <definedName name="_xlnm.Print_Area" localSheetId="37">'10.3'!$A$1:$K$64</definedName>
    <definedName name="_xlnm.Print_Area" localSheetId="38">'11.1'!$A$1:$J$65</definedName>
    <definedName name="_xlnm.Print_Area" localSheetId="39">'11.2'!$A$1:$H$68</definedName>
    <definedName name="_xlnm.Print_Area" localSheetId="40">'12.1'!$A$1:$I$42</definedName>
    <definedName name="_xlnm.Print_Area" localSheetId="41">'12.2'!$A$1:$J$71</definedName>
    <definedName name="_xlnm.Print_Area" localSheetId="3">'2.1'!$A$1:$J$68</definedName>
    <definedName name="_xlnm.Print_Area" localSheetId="4">'2.2'!$A$1:$K$56</definedName>
    <definedName name="_xlnm.Print_Area" localSheetId="5">'2.3'!$A$1:$K$68</definedName>
    <definedName name="_xlnm.Print_Area" localSheetId="6">'2.4'!$A$1:$L$62</definedName>
    <definedName name="_xlnm.Print_Area" localSheetId="7">'3.1'!$A$1:$K$68</definedName>
    <definedName name="_xlnm.Print_Area" localSheetId="8">'3.2 premium trend'!$A$1:$L$72</definedName>
    <definedName name="_xlnm.Print_Area" localSheetId="9">'3.3a'!$A$1:$L$68</definedName>
    <definedName name="_xlnm.Print_Area" localSheetId="10">'3.3b'!$A$1:$L$68</definedName>
    <definedName name="_xlnm.Print_Area" localSheetId="11">'3.3c'!$A$1:$L$70</definedName>
    <definedName name="_xlnm.Print_Area" localSheetId="12">'3.3d'!$A$1:$L$68</definedName>
    <definedName name="_xlnm.Print_Area" localSheetId="13">'4.1'!$A$1:$J$70</definedName>
    <definedName name="_xlnm.Print_Area" localSheetId="14">'4.2'!$A$1:$K$70</definedName>
    <definedName name="_xlnm.Print_Area" localSheetId="15">'4.3'!$A$1:$K$67</definedName>
    <definedName name="_xlnm.Print_Area" localSheetId="16">'4.4'!$A$1:$J$71</definedName>
    <definedName name="_xlnm.Print_Area" localSheetId="17">'4.5'!$A$1:$J$70</definedName>
    <definedName name="_xlnm.Print_Area" localSheetId="18">'5'!$A$1:$H$34</definedName>
    <definedName name="_xlnm.Print_Area" localSheetId="19">'6.1'!$A$1:$J$59</definedName>
    <definedName name="_xlnm.Print_Area" localSheetId="20">'6.2 - industry'!$A$1:$J$78</definedName>
    <definedName name="_xlnm.Print_Area" localSheetId="21">'6.3'!$A$1:$I$69</definedName>
    <definedName name="_xlnm.Print_Area" localSheetId="22">'6.4'!$A$1:$J$71</definedName>
    <definedName name="_xlnm.Print_Area" localSheetId="23">'6.5'!$A$1:$J$70</definedName>
    <definedName name="_xlnm.Print_Area" localSheetId="24">'6.6'!$A$1:$J$70</definedName>
    <definedName name="_xlnm.Print_Area" localSheetId="25">'6.7'!$A$1:$J$70</definedName>
    <definedName name="_xlnm.Print_Area" localSheetId="26">'7.1'!$A$1:$J$68</definedName>
    <definedName name="_xlnm.Print_Area" localSheetId="27">'7.2'!$A$1:$J$68</definedName>
    <definedName name="_xlnm.Print_Area" localSheetId="28">'7.3'!$A$1:$J$68</definedName>
    <definedName name="_xlnm.Print_Area" localSheetId="29">'7.4'!$A$1:$J$68</definedName>
    <definedName name="_xlnm.Print_Area" localSheetId="30">'8.1'!$A$1:$J$67</definedName>
    <definedName name="_xlnm.Print_Area" localSheetId="31">'8.2'!$A$1:$J$67</definedName>
    <definedName name="_xlnm.Print_Area" localSheetId="32">'8.3'!$A$1:$J$67</definedName>
    <definedName name="_xlnm.Print_Area" localSheetId="33">'8.4'!$A$1:$J$67</definedName>
    <definedName name="_xlnm.Print_Area" localSheetId="34">'9'!$A$1:$J$70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21" l="1"/>
  <c r="L32" i="23" l="1"/>
  <c r="L32" i="22"/>
  <c r="J24" i="43"/>
  <c r="B58" i="19" l="1"/>
  <c r="B56" i="19"/>
  <c r="B54" i="19" l="1"/>
  <c r="L32" i="25" l="1"/>
  <c r="C37" i="17"/>
  <c r="E33" i="26" l="1"/>
  <c r="J18" i="43" l="1"/>
  <c r="F18" i="43" l="1"/>
  <c r="E18" i="43"/>
  <c r="F13" i="43"/>
  <c r="E13" i="43"/>
  <c r="M26" i="1" l="1"/>
  <c r="M23" i="1" l="1"/>
  <c r="M24" i="1"/>
  <c r="M21" i="1"/>
  <c r="M22" i="1"/>
  <c r="M19" i="1"/>
  <c r="M15" i="1" l="1"/>
  <c r="C15" i="4" l="1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D14" i="4"/>
  <c r="C14" i="4"/>
  <c r="E16" i="7" l="1"/>
  <c r="E20" i="7"/>
  <c r="E24" i="7"/>
  <c r="E48" i="7"/>
  <c r="E52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13" i="7"/>
  <c r="E40" i="7"/>
  <c r="E32" i="7"/>
  <c r="E31" i="7" s="1"/>
  <c r="E30" i="7" l="1"/>
  <c r="E29" i="7"/>
  <c r="E28" i="7"/>
  <c r="E27" i="7"/>
  <c r="E26" i="7"/>
  <c r="E25" i="7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14" i="9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21" i="10"/>
  <c r="C55" i="11"/>
  <c r="G22" i="8" s="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Q47" i="14"/>
  <c r="R47" i="14"/>
  <c r="R46" i="14"/>
  <c r="Q46" i="14"/>
  <c r="R28" i="15" l="1"/>
  <c r="S26" i="15"/>
  <c r="C56" i="14" s="1"/>
  <c r="Q28" i="15"/>
  <c r="P28" i="15"/>
  <c r="F55" i="16"/>
  <c r="O27" i="16"/>
  <c r="P27" i="16"/>
  <c r="C23" i="15" l="1"/>
  <c r="Q29" i="17"/>
  <c r="R27" i="17"/>
  <c r="P29" i="17"/>
  <c r="O29" i="17"/>
  <c r="C55" i="16" l="1"/>
  <c r="C24" i="17"/>
  <c r="F59" i="21"/>
  <c r="E59" i="21"/>
  <c r="D59" i="21"/>
  <c r="C59" i="21"/>
  <c r="M50" i="22" l="1"/>
  <c r="B65" i="22" s="1"/>
  <c r="L50" i="22"/>
  <c r="R45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3" i="25" s="1"/>
  <c r="E34" i="22"/>
  <c r="G45" i="22"/>
  <c r="G46" i="22"/>
  <c r="G47" i="22"/>
  <c r="G48" i="22"/>
  <c r="G49" i="22"/>
  <c r="G50" i="22"/>
  <c r="G51" i="22"/>
  <c r="G52" i="22"/>
  <c r="G53" i="22"/>
  <c r="C45" i="22"/>
  <c r="C46" i="22"/>
  <c r="C47" i="22"/>
  <c r="C48" i="22"/>
  <c r="C49" i="22"/>
  <c r="C50" i="22"/>
  <c r="C51" i="22"/>
  <c r="C52" i="22"/>
  <c r="C53" i="22"/>
  <c r="G44" i="22"/>
  <c r="C44" i="22"/>
  <c r="G45" i="23"/>
  <c r="G46" i="23"/>
  <c r="G47" i="23"/>
  <c r="G48" i="23"/>
  <c r="G49" i="23"/>
  <c r="G50" i="23"/>
  <c r="G51" i="23"/>
  <c r="G52" i="23"/>
  <c r="G53" i="23"/>
  <c r="G44" i="23"/>
  <c r="C45" i="23"/>
  <c r="C46" i="23"/>
  <c r="C47" i="23"/>
  <c r="C48" i="23"/>
  <c r="C49" i="23"/>
  <c r="C50" i="23"/>
  <c r="C51" i="23"/>
  <c r="C52" i="23"/>
  <c r="C53" i="23"/>
  <c r="C44" i="23"/>
  <c r="G45" i="24"/>
  <c r="G46" i="24"/>
  <c r="G47" i="24"/>
  <c r="G48" i="24"/>
  <c r="G49" i="24"/>
  <c r="G50" i="24"/>
  <c r="G51" i="24"/>
  <c r="G52" i="24"/>
  <c r="G53" i="24"/>
  <c r="G44" i="24"/>
  <c r="C45" i="24"/>
  <c r="C46" i="24"/>
  <c r="C47" i="24"/>
  <c r="C48" i="24"/>
  <c r="C49" i="24"/>
  <c r="C50" i="24"/>
  <c r="C51" i="24"/>
  <c r="C52" i="24"/>
  <c r="C53" i="24"/>
  <c r="C44" i="24"/>
  <c r="L32" i="24"/>
  <c r="G45" i="25"/>
  <c r="G46" i="25"/>
  <c r="G47" i="25"/>
  <c r="G48" i="25"/>
  <c r="G49" i="25"/>
  <c r="G50" i="25"/>
  <c r="G51" i="25"/>
  <c r="G52" i="25"/>
  <c r="G53" i="25"/>
  <c r="C45" i="25"/>
  <c r="C46" i="25"/>
  <c r="C47" i="25"/>
  <c r="C48" i="25"/>
  <c r="C49" i="25"/>
  <c r="C50" i="25"/>
  <c r="C51" i="25"/>
  <c r="C52" i="25"/>
  <c r="C53" i="25"/>
  <c r="G44" i="25"/>
  <c r="C44" i="25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L11" i="27"/>
  <c r="C28" i="47"/>
  <c r="C27" i="47"/>
  <c r="C26" i="47"/>
  <c r="C25" i="47"/>
  <c r="C24" i="47"/>
  <c r="C23" i="47"/>
  <c r="C22" i="47"/>
  <c r="C21" i="47"/>
  <c r="C20" i="47"/>
  <c r="C19" i="47"/>
  <c r="C18" i="47"/>
  <c r="C17" i="47"/>
  <c r="C16" i="47"/>
  <c r="C15" i="47"/>
  <c r="C14" i="47"/>
  <c r="C55" i="25" l="1"/>
  <c r="C55" i="24"/>
  <c r="G55" i="24"/>
  <c r="G55" i="25"/>
  <c r="C64" i="20"/>
  <c r="F53" i="25"/>
  <c r="H53" i="25" s="1"/>
  <c r="F52" i="21" s="1"/>
  <c r="F53" i="22"/>
  <c r="C55" i="22"/>
  <c r="G55" i="22"/>
  <c r="E53" i="24"/>
  <c r="F53" i="24" s="1"/>
  <c r="H53" i="24" s="1"/>
  <c r="E52" i="21" s="1"/>
  <c r="E53" i="23"/>
  <c r="F53" i="23" s="1"/>
  <c r="H53" i="23" s="1"/>
  <c r="D52" i="21" s="1"/>
  <c r="C55" i="23"/>
  <c r="G55" i="23"/>
  <c r="F30" i="36"/>
  <c r="C28" i="36"/>
  <c r="D28" i="36"/>
  <c r="D27" i="36"/>
  <c r="C27" i="36"/>
  <c r="D26" i="36"/>
  <c r="C26" i="36"/>
  <c r="D25" i="36"/>
  <c r="C25" i="36"/>
  <c r="D24" i="36"/>
  <c r="C24" i="36"/>
  <c r="D23" i="36"/>
  <c r="C23" i="36"/>
  <c r="D22" i="36"/>
  <c r="C22" i="36"/>
  <c r="D21" i="36"/>
  <c r="C21" i="36"/>
  <c r="D20" i="36"/>
  <c r="C20" i="36"/>
  <c r="D19" i="36"/>
  <c r="C19" i="36"/>
  <c r="D18" i="36"/>
  <c r="C18" i="36"/>
  <c r="D17" i="36"/>
  <c r="C17" i="36"/>
  <c r="D16" i="36"/>
  <c r="C16" i="36"/>
  <c r="D15" i="36"/>
  <c r="C15" i="36"/>
  <c r="D14" i="36"/>
  <c r="C14" i="36"/>
  <c r="E28" i="36" l="1"/>
  <c r="G28" i="36" s="1"/>
  <c r="C30" i="36"/>
  <c r="D30" i="36"/>
  <c r="H53" i="22"/>
  <c r="C52" i="21" s="1"/>
  <c r="E64" i="20"/>
  <c r="F44" i="37"/>
  <c r="C24" i="37"/>
  <c r="D24" i="37"/>
  <c r="C25" i="37"/>
  <c r="D25" i="37"/>
  <c r="C26" i="37"/>
  <c r="D26" i="37"/>
  <c r="C27" i="37"/>
  <c r="D27" i="37"/>
  <c r="C28" i="37"/>
  <c r="D28" i="37"/>
  <c r="C29" i="37"/>
  <c r="D29" i="37"/>
  <c r="C30" i="37"/>
  <c r="D30" i="37"/>
  <c r="C31" i="37"/>
  <c r="D31" i="37"/>
  <c r="C32" i="37"/>
  <c r="D32" i="37"/>
  <c r="C33" i="37"/>
  <c r="D33" i="37"/>
  <c r="C34" i="37"/>
  <c r="D34" i="37"/>
  <c r="C35" i="37"/>
  <c r="D35" i="37"/>
  <c r="C36" i="37"/>
  <c r="D36" i="37"/>
  <c r="C37" i="37"/>
  <c r="D37" i="37"/>
  <c r="C38" i="37"/>
  <c r="D38" i="37"/>
  <c r="C39" i="37"/>
  <c r="D39" i="37"/>
  <c r="C40" i="37"/>
  <c r="D40" i="37"/>
  <c r="C41" i="37"/>
  <c r="D41" i="37"/>
  <c r="C42" i="37"/>
  <c r="C42" i="31" s="1"/>
  <c r="D42" i="37"/>
  <c r="D23" i="37"/>
  <c r="C23" i="37"/>
  <c r="E41" i="37" l="1"/>
  <c r="C44" i="37"/>
  <c r="D44" i="37"/>
  <c r="E42" i="37"/>
  <c r="G42" i="37" s="1"/>
  <c r="L42" i="37" s="1"/>
  <c r="M10" i="1"/>
  <c r="M11" i="1"/>
  <c r="M9" i="1"/>
  <c r="D18" i="43" l="1"/>
  <c r="D13" i="43"/>
  <c r="D20" i="43" l="1"/>
  <c r="S25" i="15" l="1"/>
  <c r="D22" i="15" s="1"/>
  <c r="G26" i="16"/>
  <c r="N5" i="19"/>
  <c r="R44" i="22" l="1"/>
  <c r="D15" i="33" l="1"/>
  <c r="F14" i="32"/>
  <c r="F15" i="32"/>
  <c r="D24" i="43" l="1"/>
  <c r="L10" i="43" l="1"/>
  <c r="D15" i="43"/>
  <c r="D22" i="43" s="1"/>
  <c r="E15" i="43"/>
  <c r="F15" i="43"/>
  <c r="E20" i="43"/>
  <c r="F20" i="43"/>
  <c r="R43" i="22" l="1"/>
  <c r="E52" i="25"/>
  <c r="K44" i="21" l="1"/>
  <c r="F51" i="22"/>
  <c r="F52" i="22"/>
  <c r="H52" i="22" s="1"/>
  <c r="C51" i="21" s="1"/>
  <c r="E52" i="23"/>
  <c r="F52" i="23" s="1"/>
  <c r="H52" i="23" s="1"/>
  <c r="D51" i="21" s="1"/>
  <c r="E52" i="24"/>
  <c r="D46" i="45"/>
  <c r="B41" i="45"/>
  <c r="B40" i="45"/>
  <c r="B39" i="45"/>
  <c r="B38" i="45"/>
  <c r="B37" i="45"/>
  <c r="B36" i="45"/>
  <c r="B35" i="45"/>
  <c r="B34" i="45"/>
  <c r="B41" i="49"/>
  <c r="E33" i="49"/>
  <c r="E12" i="49"/>
  <c r="B42" i="49" s="1"/>
  <c r="D12" i="49"/>
  <c r="B39" i="49" s="1"/>
  <c r="C12" i="49"/>
  <c r="B38" i="49" s="1"/>
  <c r="A12" i="49"/>
  <c r="A3" i="49"/>
  <c r="A2" i="49"/>
  <c r="A1" i="49"/>
  <c r="B41" i="48"/>
  <c r="E33" i="48"/>
  <c r="E12" i="48"/>
  <c r="B42" i="48" s="1"/>
  <c r="D12" i="48"/>
  <c r="B39" i="48" s="1"/>
  <c r="C12" i="48"/>
  <c r="B38" i="48" s="1"/>
  <c r="A12" i="48"/>
  <c r="A3" i="48"/>
  <c r="A2" i="48"/>
  <c r="A1" i="48"/>
  <c r="C15" i="49"/>
  <c r="C16" i="49"/>
  <c r="C18" i="49"/>
  <c r="C19" i="49"/>
  <c r="C20" i="49"/>
  <c r="C23" i="49"/>
  <c r="C24" i="49"/>
  <c r="C25" i="49"/>
  <c r="C26" i="49"/>
  <c r="C27" i="49"/>
  <c r="C28" i="49"/>
  <c r="C14" i="49"/>
  <c r="E12" i="47"/>
  <c r="D12" i="47"/>
  <c r="B36" i="47" s="1"/>
  <c r="C12" i="47"/>
  <c r="B35" i="47" s="1"/>
  <c r="A12" i="47"/>
  <c r="A3" i="47"/>
  <c r="A2" i="47"/>
  <c r="A1" i="47"/>
  <c r="L11" i="46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14" i="48"/>
  <c r="B37" i="47" l="1"/>
  <c r="L11" i="47"/>
  <c r="C11" i="47" s="1"/>
  <c r="C31" i="47"/>
  <c r="L11" i="29"/>
  <c r="C17" i="49"/>
  <c r="C21" i="49"/>
  <c r="C31" i="48"/>
  <c r="C22" i="49"/>
  <c r="B40" i="49"/>
  <c r="B40" i="48"/>
  <c r="C31" i="46"/>
  <c r="E12" i="46"/>
  <c r="D12" i="46"/>
  <c r="B36" i="46" s="1"/>
  <c r="C12" i="46"/>
  <c r="B35" i="46" s="1"/>
  <c r="A12" i="46"/>
  <c r="C11" i="46"/>
  <c r="A3" i="46"/>
  <c r="A2" i="46"/>
  <c r="A1" i="46"/>
  <c r="F54" i="16"/>
  <c r="F11" i="34"/>
  <c r="E11" i="34" s="1"/>
  <c r="D11" i="34" s="1"/>
  <c r="M29" i="3"/>
  <c r="B37" i="46" l="1"/>
  <c r="C31" i="49"/>
  <c r="L11" i="49"/>
  <c r="C11" i="49" s="1"/>
  <c r="L11" i="48"/>
  <c r="C11" i="48" s="1"/>
  <c r="C55" i="14" l="1"/>
  <c r="L39" i="16" l="1"/>
  <c r="M23" i="15" s="1"/>
  <c r="R26" i="17" l="1"/>
  <c r="C54" i="16" l="1"/>
  <c r="D23" i="17"/>
  <c r="D54" i="30"/>
  <c r="D53" i="30"/>
  <c r="F26" i="34" l="1"/>
  <c r="C41" i="31" l="1"/>
  <c r="G41" i="37"/>
  <c r="L41" i="37" s="1"/>
  <c r="E27" i="36"/>
  <c r="G27" i="36" s="1"/>
  <c r="E51" i="7" l="1"/>
  <c r="E50" i="7" s="1"/>
  <c r="E49" i="7" s="1"/>
  <c r="E47" i="7" s="1"/>
  <c r="E46" i="7" s="1"/>
  <c r="E45" i="7" s="1"/>
  <c r="E44" i="7" s="1"/>
  <c r="E43" i="7" s="1"/>
  <c r="E42" i="7" s="1"/>
  <c r="E41" i="7" s="1"/>
  <c r="D31" i="34" l="1"/>
  <c r="D32" i="34" s="1"/>
  <c r="C53" i="30" l="1"/>
  <c r="F22" i="43" l="1"/>
  <c r="E22" i="43"/>
  <c r="E24" i="43"/>
  <c r="F24" i="43" l="1"/>
  <c r="E10" i="43"/>
  <c r="F10" i="43"/>
  <c r="C37" i="6"/>
  <c r="I48" i="17" l="1"/>
  <c r="I47" i="15"/>
  <c r="R25" i="17" l="1"/>
  <c r="E22" i="17" s="1"/>
  <c r="F31" i="34" l="1"/>
  <c r="F32" i="34" s="1"/>
  <c r="B57" i="34" l="1"/>
  <c r="F36" i="34" l="1"/>
  <c r="A23" i="3" l="1"/>
  <c r="S24" i="15" l="1"/>
  <c r="E21" i="15" s="1"/>
  <c r="C54" i="14" l="1"/>
  <c r="C53" i="16"/>
  <c r="R14" i="17"/>
  <c r="C42" i="16" s="1"/>
  <c r="R13" i="17"/>
  <c r="F53" i="16"/>
  <c r="C41" i="16" l="1"/>
  <c r="E51" i="25"/>
  <c r="Q42" i="22"/>
  <c r="R42" i="22" s="1"/>
  <c r="F42" i="22" l="1"/>
  <c r="H51" i="22"/>
  <c r="E51" i="23"/>
  <c r="F51" i="23" s="1"/>
  <c r="H51" i="23" s="1"/>
  <c r="E51" i="24"/>
  <c r="E21" i="7" l="1"/>
  <c r="E39" i="7"/>
  <c r="E17" i="7"/>
  <c r="E13" i="7"/>
  <c r="E38" i="7"/>
  <c r="E37" i="7"/>
  <c r="E36" i="7" s="1"/>
  <c r="E19" i="7"/>
  <c r="E18" i="7"/>
  <c r="E23" i="7"/>
  <c r="E15" i="7"/>
  <c r="E22" i="7"/>
  <c r="E14" i="7"/>
  <c r="C50" i="21" l="1"/>
  <c r="D50" i="21"/>
  <c r="E35" i="7" l="1"/>
  <c r="E34" i="7"/>
  <c r="E33" i="7"/>
  <c r="E40" i="37"/>
  <c r="G40" i="37" s="1"/>
  <c r="L40" i="37" s="1"/>
  <c r="C40" i="31"/>
  <c r="D43" i="45"/>
  <c r="D33" i="45"/>
  <c r="D32" i="45"/>
  <c r="D31" i="45"/>
  <c r="D30" i="45"/>
  <c r="D20" i="45"/>
  <c r="D19" i="45"/>
  <c r="D18" i="45"/>
  <c r="D17" i="45"/>
  <c r="D16" i="45"/>
  <c r="D10" i="45"/>
  <c r="E54" i="30" l="1"/>
  <c r="G54" i="30" s="1"/>
  <c r="E53" i="30" l="1"/>
  <c r="G53" i="30" s="1"/>
  <c r="A5" i="20" l="1"/>
  <c r="D28" i="45" s="1"/>
  <c r="E34" i="25" l="1"/>
  <c r="E35" i="24"/>
  <c r="E36" i="25"/>
  <c r="E37" i="23"/>
  <c r="E38" i="25"/>
  <c r="E39" i="24"/>
  <c r="E40" i="25"/>
  <c r="E41" i="23"/>
  <c r="E42" i="25"/>
  <c r="E43" i="24"/>
  <c r="E44" i="25"/>
  <c r="E45" i="23"/>
  <c r="E46" i="25"/>
  <c r="E47" i="24"/>
  <c r="E48" i="25"/>
  <c r="E49" i="23"/>
  <c r="E50" i="25"/>
  <c r="F42" i="25" l="1"/>
  <c r="H42" i="25" s="1"/>
  <c r="E44" i="23"/>
  <c r="E50" i="24"/>
  <c r="E34" i="24"/>
  <c r="E38" i="23"/>
  <c r="E48" i="24"/>
  <c r="E36" i="23"/>
  <c r="E42" i="24"/>
  <c r="F42" i="24" s="1"/>
  <c r="E46" i="23"/>
  <c r="E40" i="24"/>
  <c r="E50" i="23"/>
  <c r="E42" i="23"/>
  <c r="E34" i="23"/>
  <c r="E46" i="24"/>
  <c r="E38" i="24"/>
  <c r="E48" i="23"/>
  <c r="E40" i="23"/>
  <c r="E44" i="24"/>
  <c r="E36" i="24"/>
  <c r="E47" i="25"/>
  <c r="E43" i="25"/>
  <c r="E39" i="25"/>
  <c r="E35" i="25"/>
  <c r="E47" i="23"/>
  <c r="E43" i="23"/>
  <c r="E39" i="23"/>
  <c r="E35" i="23"/>
  <c r="E49" i="24"/>
  <c r="E45" i="24"/>
  <c r="E41" i="24"/>
  <c r="E37" i="24"/>
  <c r="E49" i="25"/>
  <c r="E45" i="25"/>
  <c r="E41" i="25"/>
  <c r="E37" i="25"/>
  <c r="O17" i="23" l="1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AU28" i="22" l="1"/>
  <c r="AU29" i="22" s="1"/>
  <c r="X10" i="22"/>
  <c r="O33" i="23" l="1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32" i="23"/>
  <c r="BP52" i="22" l="1"/>
  <c r="BT52" i="22" s="1"/>
  <c r="BX52" i="22" s="1"/>
  <c r="CB52" i="22" s="1"/>
  <c r="CF52" i="22" s="1"/>
  <c r="CJ52" i="22" s="1"/>
  <c r="CN52" i="22" s="1"/>
  <c r="CR52" i="22" s="1"/>
  <c r="CV52" i="22" s="1"/>
  <c r="CZ52" i="22" s="1"/>
  <c r="DD52" i="22" s="1"/>
  <c r="DH52" i="22" s="1"/>
  <c r="DL52" i="22" s="1"/>
  <c r="DP52" i="22" s="1"/>
  <c r="DT52" i="22" s="1"/>
  <c r="DX52" i="22" s="1"/>
  <c r="EB52" i="22" s="1"/>
  <c r="EF52" i="22" s="1"/>
  <c r="EJ52" i="22" s="1"/>
  <c r="EN52" i="22" s="1"/>
  <c r="ER52" i="22" s="1"/>
  <c r="EV52" i="22" s="1"/>
  <c r="EZ52" i="22" s="1"/>
  <c r="FD52" i="22" s="1"/>
  <c r="FH52" i="22" s="1"/>
  <c r="FL52" i="22" s="1"/>
  <c r="FP52" i="22" s="1"/>
  <c r="FT52" i="22" s="1"/>
  <c r="FX52" i="22" s="1"/>
  <c r="GB52" i="22" s="1"/>
  <c r="GF52" i="22" s="1"/>
  <c r="GJ52" i="22" s="1"/>
  <c r="GN52" i="22" s="1"/>
  <c r="GR52" i="22" s="1"/>
  <c r="GV52" i="22" s="1"/>
  <c r="GZ52" i="22" s="1"/>
  <c r="HD52" i="22" s="1"/>
  <c r="HH52" i="22" s="1"/>
  <c r="HL52" i="22" s="1"/>
  <c r="AW32" i="22"/>
  <c r="AX31" i="22"/>
  <c r="AX32" i="22" s="1"/>
  <c r="AV31" i="22"/>
  <c r="AV30" i="22" s="1"/>
  <c r="AW30" i="22"/>
  <c r="AU30" i="22"/>
  <c r="AT29" i="22"/>
  <c r="AT28" i="22" s="1"/>
  <c r="AH20" i="22"/>
  <c r="AG19" i="22"/>
  <c r="AF18" i="22"/>
  <c r="AD17" i="22"/>
  <c r="AD16" i="22" s="1"/>
  <c r="AE16" i="22"/>
  <c r="AE17" i="22" s="1"/>
  <c r="AB16" i="22"/>
  <c r="AB15" i="22" s="1"/>
  <c r="AC15" i="22"/>
  <c r="AC16" i="22" s="1"/>
  <c r="AA14" i="22"/>
  <c r="Y14" i="22"/>
  <c r="Z11" i="22"/>
  <c r="W11" i="22"/>
  <c r="X11" i="22"/>
  <c r="V10" i="22"/>
  <c r="W9" i="22"/>
  <c r="W10" i="22" s="1"/>
  <c r="U9" i="22"/>
  <c r="V8" i="22"/>
  <c r="V9" i="22" s="1"/>
  <c r="T8" i="22"/>
  <c r="T7" i="22" s="1"/>
  <c r="U7" i="22"/>
  <c r="U6" i="22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AH6" i="22" s="1"/>
  <c r="AI6" i="22" s="1"/>
  <c r="AJ6" i="22" s="1"/>
  <c r="AK6" i="22" s="1"/>
  <c r="AL6" i="22" s="1"/>
  <c r="AM6" i="22" s="1"/>
  <c r="AN6" i="22" s="1"/>
  <c r="AO6" i="22" s="1"/>
  <c r="AP6" i="22" s="1"/>
  <c r="AQ6" i="22" s="1"/>
  <c r="AR6" i="22" s="1"/>
  <c r="AS6" i="22" s="1"/>
  <c r="AT6" i="22" s="1"/>
  <c r="AU6" i="22" s="1"/>
  <c r="AV6" i="22" s="1"/>
  <c r="AW6" i="22" s="1"/>
  <c r="AX6" i="22" s="1"/>
  <c r="AY6" i="22" s="1"/>
  <c r="AZ6" i="22" s="1"/>
  <c r="BA6" i="22" s="1"/>
  <c r="BB6" i="22" s="1"/>
  <c r="BC6" i="22" s="1"/>
  <c r="BD6" i="22" s="1"/>
  <c r="BE6" i="22" s="1"/>
  <c r="BF6" i="22" s="1"/>
  <c r="BG6" i="22" s="1"/>
  <c r="U8" i="22" l="1"/>
  <c r="Y13" i="22"/>
  <c r="Y12" i="22" s="1"/>
  <c r="Y11" i="22" s="1"/>
  <c r="Z12" i="22"/>
  <c r="Z13" i="22" s="1"/>
  <c r="AW31" i="22"/>
  <c r="S7" i="22"/>
  <c r="Q9" i="22"/>
  <c r="R9" i="22" s="1"/>
  <c r="Q10" i="22"/>
  <c r="R10" i="22" s="1"/>
  <c r="Q11" i="22"/>
  <c r="R11" i="22" s="1"/>
  <c r="Q12" i="22"/>
  <c r="R12" i="22" s="1"/>
  <c r="Q13" i="22"/>
  <c r="R13" i="22" s="1"/>
  <c r="Q14" i="22"/>
  <c r="R14" i="22" s="1"/>
  <c r="Q15" i="22"/>
  <c r="R15" i="22" s="1"/>
  <c r="Q16" i="22"/>
  <c r="R16" i="22" s="1"/>
  <c r="Q17" i="22"/>
  <c r="R17" i="22" s="1"/>
  <c r="Q18" i="22"/>
  <c r="R18" i="22" s="1"/>
  <c r="Q19" i="22"/>
  <c r="R19" i="22" s="1"/>
  <c r="Q20" i="22"/>
  <c r="R20" i="22" s="1"/>
  <c r="Q21" i="22"/>
  <c r="R21" i="22" s="1"/>
  <c r="Q22" i="22"/>
  <c r="R22" i="22" s="1"/>
  <c r="Q23" i="22"/>
  <c r="R23" i="22" s="1"/>
  <c r="Q24" i="22"/>
  <c r="R24" i="22" s="1"/>
  <c r="Q25" i="22"/>
  <c r="R25" i="22" s="1"/>
  <c r="Q26" i="22"/>
  <c r="R26" i="22" s="1"/>
  <c r="Q27" i="22"/>
  <c r="R27" i="22" s="1"/>
  <c r="Q28" i="22"/>
  <c r="R28" i="22" s="1"/>
  <c r="Q29" i="22"/>
  <c r="R29" i="22" s="1"/>
  <c r="Q30" i="22"/>
  <c r="R30" i="22" s="1"/>
  <c r="Q31" i="22"/>
  <c r="R31" i="22" s="1"/>
  <c r="Q32" i="22"/>
  <c r="R32" i="22" s="1"/>
  <c r="Q33" i="22"/>
  <c r="R33" i="22" s="1"/>
  <c r="Q34" i="22"/>
  <c r="R34" i="22" s="1"/>
  <c r="Q35" i="22"/>
  <c r="R35" i="22" s="1"/>
  <c r="Q37" i="22"/>
  <c r="R37" i="22" s="1"/>
  <c r="Q38" i="22"/>
  <c r="R38" i="22" s="1"/>
  <c r="Q39" i="22"/>
  <c r="R39" i="22" s="1"/>
  <c r="Q40" i="22"/>
  <c r="R40" i="22" s="1"/>
  <c r="Q41" i="22"/>
  <c r="R41" i="22" s="1"/>
  <c r="Q8" i="22"/>
  <c r="R8" i="22" s="1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7" i="22"/>
  <c r="Z14" i="22" l="1"/>
  <c r="A45" i="5"/>
  <c r="A23" i="5" s="1"/>
  <c r="O32" i="8" l="1"/>
  <c r="S14" i="15" l="1"/>
  <c r="G19" i="16"/>
  <c r="C40" i="17"/>
  <c r="D10" i="20"/>
  <c r="F12" i="19"/>
  <c r="B53" i="19" s="1"/>
  <c r="D12" i="19"/>
  <c r="C12" i="19"/>
  <c r="B48" i="19" s="1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E44" i="14" l="1"/>
  <c r="C38" i="6"/>
  <c r="M23" i="6" l="1"/>
  <c r="A23" i="6" s="1"/>
  <c r="F20" i="6"/>
  <c r="E21" i="6"/>
  <c r="D22" i="6"/>
  <c r="C39" i="6" s="1"/>
  <c r="F52" i="16" l="1"/>
  <c r="G59" i="21" l="1"/>
  <c r="F60" i="21" s="1"/>
  <c r="E39" i="37" l="1"/>
  <c r="G39" i="37" s="1"/>
  <c r="L39" i="37" s="1"/>
  <c r="C39" i="31"/>
  <c r="C31" i="27" l="1"/>
  <c r="B57" i="19" l="1"/>
  <c r="B55" i="19"/>
  <c r="A5" i="19" l="1"/>
  <c r="D27" i="45" s="1"/>
  <c r="G12" i="7" l="1"/>
  <c r="M47" i="23" l="1"/>
  <c r="M48" i="23" l="1"/>
  <c r="B65" i="23" s="1"/>
  <c r="B65" i="24" s="1"/>
  <c r="B65" i="25" l="1"/>
  <c r="F49" i="16"/>
  <c r="F50" i="16"/>
  <c r="C51" i="20" l="1"/>
  <c r="I16" i="5"/>
  <c r="C14" i="3"/>
  <c r="E19" i="4"/>
  <c r="C20" i="3"/>
  <c r="C22" i="3"/>
  <c r="C23" i="6"/>
  <c r="G17" i="8"/>
  <c r="D14" i="13"/>
  <c r="D15" i="13"/>
  <c r="D16" i="13"/>
  <c r="D17" i="13"/>
  <c r="D18" i="13"/>
  <c r="D13" i="13"/>
  <c r="G31" i="15"/>
  <c r="F32" i="15"/>
  <c r="F31" i="15"/>
  <c r="E33" i="15"/>
  <c r="E32" i="15"/>
  <c r="E31" i="15"/>
  <c r="D31" i="15"/>
  <c r="C31" i="15"/>
  <c r="F43" i="16"/>
  <c r="F44" i="16"/>
  <c r="F45" i="16"/>
  <c r="F46" i="16"/>
  <c r="F47" i="16"/>
  <c r="F48" i="16"/>
  <c r="F51" i="16"/>
  <c r="F42" i="16"/>
  <c r="D19" i="13"/>
  <c r="G20" i="16"/>
  <c r="D20" i="13" s="1"/>
  <c r="C32" i="17"/>
  <c r="O22" i="15"/>
  <c r="O21" i="15" s="1"/>
  <c r="O20" i="15" s="1"/>
  <c r="O19" i="15" s="1"/>
  <c r="O18" i="15" s="1"/>
  <c r="O17" i="15" s="1"/>
  <c r="O16" i="15" s="1"/>
  <c r="O15" i="15" s="1"/>
  <c r="O14" i="15" s="1"/>
  <c r="E38" i="37"/>
  <c r="G38" i="37" s="1"/>
  <c r="L38" i="37" s="1"/>
  <c r="E33" i="28"/>
  <c r="C28" i="28"/>
  <c r="C27" i="28"/>
  <c r="C26" i="28"/>
  <c r="C25" i="28"/>
  <c r="C22" i="28"/>
  <c r="C21" i="28"/>
  <c r="C19" i="28"/>
  <c r="C17" i="28"/>
  <c r="C16" i="28"/>
  <c r="M48" i="25"/>
  <c r="L48" i="23"/>
  <c r="C28" i="26"/>
  <c r="C27" i="26"/>
  <c r="C25" i="26"/>
  <c r="C24" i="26"/>
  <c r="C22" i="26"/>
  <c r="C21" i="26"/>
  <c r="C20" i="26"/>
  <c r="C17" i="26"/>
  <c r="C16" i="26"/>
  <c r="C11" i="27"/>
  <c r="E36" i="34"/>
  <c r="D36" i="34"/>
  <c r="E31" i="34"/>
  <c r="E32" i="34" s="1"/>
  <c r="G32" i="34" s="1"/>
  <c r="E23" i="34"/>
  <c r="D23" i="34"/>
  <c r="E19" i="34"/>
  <c r="D19" i="34"/>
  <c r="B41" i="28"/>
  <c r="B41" i="26"/>
  <c r="I17" i="5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13" i="13"/>
  <c r="A15" i="25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G46" i="34"/>
  <c r="B56" i="34"/>
  <c r="F19" i="34"/>
  <c r="S23" i="15"/>
  <c r="F20" i="15" s="1"/>
  <c r="C68" i="7"/>
  <c r="O52" i="7"/>
  <c r="F39" i="15"/>
  <c r="G40" i="16"/>
  <c r="D40" i="13" s="1"/>
  <c r="G21" i="16"/>
  <c r="D21" i="13" s="1"/>
  <c r="R24" i="17"/>
  <c r="F21" i="17" s="1"/>
  <c r="R23" i="17"/>
  <c r="G20" i="17" s="1"/>
  <c r="C18" i="43"/>
  <c r="G33" i="16"/>
  <c r="D33" i="13" s="1"/>
  <c r="G22" i="16"/>
  <c r="D22" i="13" s="1"/>
  <c r="C36" i="17"/>
  <c r="A1" i="37"/>
  <c r="A2" i="37"/>
  <c r="A3" i="37"/>
  <c r="A12" i="37"/>
  <c r="C12" i="37"/>
  <c r="D12" i="37"/>
  <c r="E12" i="37"/>
  <c r="F12" i="37"/>
  <c r="B50" i="37" s="1"/>
  <c r="G12" i="37"/>
  <c r="E14" i="37"/>
  <c r="G14" i="37" s="1"/>
  <c r="A15" i="37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E15" i="37"/>
  <c r="E16" i="37"/>
  <c r="G16" i="37" s="1"/>
  <c r="L16" i="37" s="1"/>
  <c r="E17" i="37"/>
  <c r="G17" i="37" s="1"/>
  <c r="L17" i="37" s="1"/>
  <c r="E18" i="37"/>
  <c r="G18" i="37" s="1"/>
  <c r="L18" i="37" s="1"/>
  <c r="E19" i="37"/>
  <c r="G19" i="37" s="1"/>
  <c r="L19" i="37" s="1"/>
  <c r="E20" i="37"/>
  <c r="G20" i="37" s="1"/>
  <c r="L20" i="37" s="1"/>
  <c r="E21" i="37"/>
  <c r="G21" i="37" s="1"/>
  <c r="L21" i="37" s="1"/>
  <c r="A1" i="36"/>
  <c r="A2" i="36"/>
  <c r="A3" i="36"/>
  <c r="A12" i="36"/>
  <c r="C12" i="36"/>
  <c r="D12" i="36"/>
  <c r="B34" i="36" s="1"/>
  <c r="E12" i="36"/>
  <c r="F12" i="36"/>
  <c r="B36" i="36" s="1"/>
  <c r="G12" i="36"/>
  <c r="A1" i="43"/>
  <c r="A2" i="43"/>
  <c r="A3" i="43"/>
  <c r="B10" i="43"/>
  <c r="B32" i="43"/>
  <c r="B38" i="43"/>
  <c r="B41" i="43"/>
  <c r="B42" i="43"/>
  <c r="B47" i="43"/>
  <c r="A1" i="34"/>
  <c r="A2" i="34"/>
  <c r="A3" i="34"/>
  <c r="F23" i="34"/>
  <c r="B52" i="34"/>
  <c r="B53" i="34"/>
  <c r="B58" i="34"/>
  <c r="A1" i="33"/>
  <c r="A2" i="33"/>
  <c r="A3" i="33"/>
  <c r="A12" i="33"/>
  <c r="C12" i="33"/>
  <c r="B55" i="33" s="1"/>
  <c r="D12" i="33"/>
  <c r="S8" i="22"/>
  <c r="C43" i="33"/>
  <c r="Q36" i="22" s="1"/>
  <c r="R36" i="22" s="1"/>
  <c r="A1" i="32"/>
  <c r="A2" i="32"/>
  <c r="A3" i="32"/>
  <c r="A12" i="32"/>
  <c r="B12" i="32"/>
  <c r="C12" i="32"/>
  <c r="D12" i="32"/>
  <c r="E12" i="32"/>
  <c r="F12" i="32"/>
  <c r="G12" i="32"/>
  <c r="H12" i="32"/>
  <c r="I12" i="32"/>
  <c r="J12" i="32"/>
  <c r="K12" i="32"/>
  <c r="L12" i="32"/>
  <c r="M12" i="32"/>
  <c r="N12" i="32"/>
  <c r="O12" i="32"/>
  <c r="J14" i="32"/>
  <c r="M14" i="32" s="1"/>
  <c r="J15" i="32"/>
  <c r="M15" i="32" s="1"/>
  <c r="J16" i="32"/>
  <c r="M16" i="32" s="1"/>
  <c r="J17" i="32"/>
  <c r="M17" i="32" s="1"/>
  <c r="J18" i="32"/>
  <c r="M18" i="32" s="1"/>
  <c r="J19" i="32"/>
  <c r="J20" i="32"/>
  <c r="M20" i="32" s="1"/>
  <c r="J21" i="32"/>
  <c r="M21" i="32" s="1"/>
  <c r="J22" i="32"/>
  <c r="M22" i="32" s="1"/>
  <c r="J23" i="32"/>
  <c r="M23" i="32" s="1"/>
  <c r="J24" i="32"/>
  <c r="M24" i="32" s="1"/>
  <c r="J25" i="32"/>
  <c r="M25" i="32" s="1"/>
  <c r="J26" i="32"/>
  <c r="M26" i="32" s="1"/>
  <c r="J27" i="32"/>
  <c r="M27" i="32" s="1"/>
  <c r="J28" i="32"/>
  <c r="M28" i="32" s="1"/>
  <c r="J29" i="32"/>
  <c r="M29" i="32" s="1"/>
  <c r="J30" i="32"/>
  <c r="M30" i="32" s="1"/>
  <c r="J31" i="32"/>
  <c r="M31" i="32" s="1"/>
  <c r="J32" i="32"/>
  <c r="M32" i="32" s="1"/>
  <c r="J33" i="32"/>
  <c r="M33" i="32" s="1"/>
  <c r="J34" i="32"/>
  <c r="M34" i="32" s="1"/>
  <c r="J35" i="32"/>
  <c r="M35" i="32" s="1"/>
  <c r="J36" i="32"/>
  <c r="M36" i="32" s="1"/>
  <c r="J37" i="32"/>
  <c r="M37" i="32" s="1"/>
  <c r="J38" i="32"/>
  <c r="M38" i="32" s="1"/>
  <c r="J39" i="32"/>
  <c r="M39" i="32" s="1"/>
  <c r="J40" i="32"/>
  <c r="M40" i="32" s="1"/>
  <c r="J41" i="32"/>
  <c r="M41" i="32" s="1"/>
  <c r="J42" i="32"/>
  <c r="M42" i="32" s="1"/>
  <c r="J43" i="32"/>
  <c r="M43" i="32" s="1"/>
  <c r="J44" i="32"/>
  <c r="M44" i="32" s="1"/>
  <c r="J45" i="32"/>
  <c r="M46" i="32"/>
  <c r="J47" i="32"/>
  <c r="J48" i="32"/>
  <c r="A1" i="31"/>
  <c r="A2" i="31"/>
  <c r="A3" i="31"/>
  <c r="A12" i="31"/>
  <c r="C12" i="31"/>
  <c r="B48" i="31" s="1"/>
  <c r="D12" i="31"/>
  <c r="B49" i="31" s="1"/>
  <c r="E12" i="31"/>
  <c r="F12" i="31"/>
  <c r="C14" i="3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C15" i="31"/>
  <c r="C16" i="31"/>
  <c r="C17" i="31"/>
  <c r="C18" i="31"/>
  <c r="C19" i="31"/>
  <c r="C20" i="31"/>
  <c r="C21" i="31"/>
  <c r="L25" i="31"/>
  <c r="J29" i="43" s="1"/>
  <c r="B45" i="43" s="1"/>
  <c r="A1" i="30"/>
  <c r="A2" i="30"/>
  <c r="A3" i="30"/>
  <c r="A4" i="30"/>
  <c r="B42" i="45" s="1"/>
  <c r="A12" i="30"/>
  <c r="C12" i="30"/>
  <c r="G12" i="30" s="1"/>
  <c r="A1" i="29"/>
  <c r="A2" i="29"/>
  <c r="A3" i="29"/>
  <c r="A12" i="29"/>
  <c r="C12" i="29"/>
  <c r="B35" i="29" s="1"/>
  <c r="D12" i="29"/>
  <c r="B36" i="29" s="1"/>
  <c r="E12" i="29"/>
  <c r="A1" i="28"/>
  <c r="A2" i="28"/>
  <c r="A3" i="28"/>
  <c r="A12" i="28"/>
  <c r="C12" i="28"/>
  <c r="B38" i="28" s="1"/>
  <c r="D12" i="28"/>
  <c r="B39" i="28" s="1"/>
  <c r="E12" i="28"/>
  <c r="B42" i="28" s="1"/>
  <c r="A1" i="27"/>
  <c r="A2" i="27"/>
  <c r="A3" i="27"/>
  <c r="A12" i="27"/>
  <c r="C12" i="27"/>
  <c r="B35" i="27" s="1"/>
  <c r="D12" i="27"/>
  <c r="B36" i="27" s="1"/>
  <c r="E12" i="27"/>
  <c r="A1" i="26"/>
  <c r="A2" i="26"/>
  <c r="A3" i="26"/>
  <c r="A12" i="26"/>
  <c r="C12" i="26"/>
  <c r="B38" i="26" s="1"/>
  <c r="D12" i="26"/>
  <c r="B39" i="26" s="1"/>
  <c r="E12" i="26"/>
  <c r="B42" i="26" s="1"/>
  <c r="A1" i="25"/>
  <c r="A2" i="25"/>
  <c r="A3" i="25"/>
  <c r="A12" i="25"/>
  <c r="C12" i="25"/>
  <c r="D12" i="25"/>
  <c r="B60" i="25" s="1"/>
  <c r="E12" i="25"/>
  <c r="F12" i="25"/>
  <c r="G12" i="25"/>
  <c r="H12" i="25"/>
  <c r="L47" i="25"/>
  <c r="M47" i="25"/>
  <c r="A1" i="24"/>
  <c r="A2" i="24"/>
  <c r="A3" i="24"/>
  <c r="A12" i="24"/>
  <c r="C12" i="24"/>
  <c r="D12" i="24"/>
  <c r="B60" i="24" s="1"/>
  <c r="E12" i="24"/>
  <c r="F12" i="24"/>
  <c r="G12" i="24"/>
  <c r="H12" i="24"/>
  <c r="L45" i="24"/>
  <c r="M45" i="24"/>
  <c r="A1" i="23"/>
  <c r="A2" i="23"/>
  <c r="A3" i="23"/>
  <c r="A12" i="23"/>
  <c r="C12" i="23"/>
  <c r="D12" i="23"/>
  <c r="B60" i="23" s="1"/>
  <c r="E12" i="23"/>
  <c r="F12" i="23"/>
  <c r="G12" i="23"/>
  <c r="H12" i="23"/>
  <c r="L46" i="23"/>
  <c r="M46" i="23"/>
  <c r="A1" i="22"/>
  <c r="A2" i="22"/>
  <c r="A3" i="22"/>
  <c r="A12" i="22"/>
  <c r="C12" i="22"/>
  <c r="B59" i="22" s="1"/>
  <c r="D12" i="22"/>
  <c r="B60" i="22" s="1"/>
  <c r="E12" i="22"/>
  <c r="B61" i="22" s="1"/>
  <c r="F12" i="22"/>
  <c r="G12" i="22"/>
  <c r="B64" i="22" s="1"/>
  <c r="H12" i="22"/>
  <c r="A1" i="21"/>
  <c r="A2" i="21"/>
  <c r="A3" i="21"/>
  <c r="A11" i="21"/>
  <c r="C11" i="21"/>
  <c r="B64" i="21" s="1"/>
  <c r="D11" i="21"/>
  <c r="B65" i="21" s="1"/>
  <c r="E11" i="21"/>
  <c r="B66" i="21" s="1"/>
  <c r="F11" i="21"/>
  <c r="B67" i="21" s="1"/>
  <c r="G11" i="21"/>
  <c r="C55" i="21"/>
  <c r="E66" i="21"/>
  <c r="A1" i="20"/>
  <c r="A2" i="20"/>
  <c r="A3" i="20"/>
  <c r="A10" i="20"/>
  <c r="C10" i="20"/>
  <c r="B73" i="20" s="1"/>
  <c r="E10" i="20"/>
  <c r="F10" i="20"/>
  <c r="B76" i="20" s="1"/>
  <c r="G10" i="20"/>
  <c r="B77" i="20" s="1"/>
  <c r="H10" i="20"/>
  <c r="B78" i="20" s="1"/>
  <c r="B74" i="20"/>
  <c r="A1" i="19"/>
  <c r="A2" i="19"/>
  <c r="A3" i="19"/>
  <c r="E12" i="19"/>
  <c r="B49" i="19" s="1"/>
  <c r="B52" i="19"/>
  <c r="A1" i="18"/>
  <c r="A2" i="18"/>
  <c r="A3" i="18"/>
  <c r="A12" i="18"/>
  <c r="C12" i="18"/>
  <c r="B26" i="18" s="1"/>
  <c r="D12" i="18"/>
  <c r="B27" i="18" s="1"/>
  <c r="E12" i="18"/>
  <c r="A1" i="17"/>
  <c r="A2" i="17"/>
  <c r="A3" i="17"/>
  <c r="C11" i="17"/>
  <c r="D11" i="17" s="1"/>
  <c r="A12" i="17"/>
  <c r="C12" i="17"/>
  <c r="D12" i="17"/>
  <c r="E12" i="17"/>
  <c r="F12" i="17"/>
  <c r="G12" i="17"/>
  <c r="H12" i="17"/>
  <c r="I12" i="17"/>
  <c r="R15" i="17"/>
  <c r="R16" i="17"/>
  <c r="C44" i="16" s="1"/>
  <c r="R17" i="17"/>
  <c r="I14" i="17" s="1"/>
  <c r="R18" i="17"/>
  <c r="R19" i="17"/>
  <c r="I16" i="17" s="1"/>
  <c r="R20" i="17"/>
  <c r="I17" i="17" s="1"/>
  <c r="R21" i="17"/>
  <c r="I18" i="17" s="1"/>
  <c r="R22" i="17"/>
  <c r="H19" i="17" s="1"/>
  <c r="N15" i="17"/>
  <c r="A24" i="17"/>
  <c r="A23" i="17" s="1"/>
  <c r="A30" i="17"/>
  <c r="C30" i="17"/>
  <c r="D30" i="17"/>
  <c r="E30" i="17"/>
  <c r="F30" i="17"/>
  <c r="G30" i="17"/>
  <c r="H30" i="17"/>
  <c r="I30" i="17"/>
  <c r="D32" i="17"/>
  <c r="E32" i="17"/>
  <c r="F32" i="17"/>
  <c r="G32" i="17"/>
  <c r="C33" i="17"/>
  <c r="D33" i="17"/>
  <c r="E33" i="17"/>
  <c r="F33" i="17"/>
  <c r="G33" i="17"/>
  <c r="C34" i="17"/>
  <c r="D34" i="17"/>
  <c r="E34" i="17"/>
  <c r="F34" i="17"/>
  <c r="G34" i="17"/>
  <c r="C35" i="17"/>
  <c r="D35" i="17"/>
  <c r="E35" i="17"/>
  <c r="F35" i="17"/>
  <c r="G35" i="17"/>
  <c r="D36" i="17"/>
  <c r="E36" i="17"/>
  <c r="F36" i="17"/>
  <c r="G36" i="17"/>
  <c r="D37" i="17"/>
  <c r="E37" i="17"/>
  <c r="F37" i="17"/>
  <c r="H37" i="17"/>
  <c r="C38" i="17"/>
  <c r="D38" i="17"/>
  <c r="E38" i="17"/>
  <c r="G38" i="17"/>
  <c r="H38" i="17"/>
  <c r="C39" i="17"/>
  <c r="D39" i="17"/>
  <c r="F39" i="17"/>
  <c r="G39" i="17"/>
  <c r="H39" i="17"/>
  <c r="E40" i="17"/>
  <c r="F40" i="17"/>
  <c r="G40" i="17"/>
  <c r="H40" i="17"/>
  <c r="I49" i="17"/>
  <c r="D49" i="16" s="1"/>
  <c r="A1" i="16"/>
  <c r="A2" i="16"/>
  <c r="A3" i="16"/>
  <c r="A12" i="16"/>
  <c r="C12" i="16"/>
  <c r="B58" i="16" s="1"/>
  <c r="D12" i="16"/>
  <c r="B59" i="16" s="1"/>
  <c r="E12" i="16"/>
  <c r="F12" i="16"/>
  <c r="B61" i="16" s="1"/>
  <c r="G12" i="16"/>
  <c r="A15" i="16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G23" i="16"/>
  <c r="D23" i="13" s="1"/>
  <c r="G24" i="16"/>
  <c r="D24" i="13" s="1"/>
  <c r="G25" i="16"/>
  <c r="D25" i="13" s="1"/>
  <c r="D26" i="13"/>
  <c r="G27" i="16"/>
  <c r="D27" i="13" s="1"/>
  <c r="E27" i="13" s="1"/>
  <c r="G28" i="16"/>
  <c r="D28" i="13" s="1"/>
  <c r="G29" i="16"/>
  <c r="D29" i="13" s="1"/>
  <c r="G30" i="16"/>
  <c r="D30" i="13" s="1"/>
  <c r="E30" i="13" s="1"/>
  <c r="G31" i="16"/>
  <c r="D31" i="13" s="1"/>
  <c r="G32" i="16"/>
  <c r="D32" i="13" s="1"/>
  <c r="G34" i="16"/>
  <c r="D34" i="13" s="1"/>
  <c r="G35" i="16"/>
  <c r="D35" i="13" s="1"/>
  <c r="E35" i="13" s="1"/>
  <c r="G36" i="16"/>
  <c r="D36" i="13" s="1"/>
  <c r="E36" i="13" s="1"/>
  <c r="G37" i="16"/>
  <c r="D37" i="13" s="1"/>
  <c r="E37" i="13" s="1"/>
  <c r="G38" i="16"/>
  <c r="D38" i="13" s="1"/>
  <c r="E38" i="13" s="1"/>
  <c r="G39" i="16"/>
  <c r="D39" i="13" s="1"/>
  <c r="A1" i="15"/>
  <c r="A2" i="15"/>
  <c r="A3" i="15"/>
  <c r="C11" i="15"/>
  <c r="D11" i="15" s="1"/>
  <c r="E11" i="15" s="1"/>
  <c r="D28" i="15" s="1"/>
  <c r="A12" i="15"/>
  <c r="C12" i="15"/>
  <c r="D12" i="15"/>
  <c r="E12" i="15"/>
  <c r="F12" i="15"/>
  <c r="G12" i="15"/>
  <c r="H12" i="15"/>
  <c r="I12" i="15"/>
  <c r="S15" i="15"/>
  <c r="S16" i="15"/>
  <c r="S17" i="15"/>
  <c r="I14" i="15" s="1"/>
  <c r="S18" i="15"/>
  <c r="I15" i="15" s="1"/>
  <c r="S19" i="15"/>
  <c r="I16" i="15" s="1"/>
  <c r="S20" i="15"/>
  <c r="I17" i="15" s="1"/>
  <c r="S21" i="15"/>
  <c r="H18" i="15" s="1"/>
  <c r="S22" i="15"/>
  <c r="G19" i="15" s="1"/>
  <c r="A23" i="15"/>
  <c r="A22" i="15" s="1"/>
  <c r="A39" i="15" s="1"/>
  <c r="A29" i="15"/>
  <c r="C29" i="15"/>
  <c r="D29" i="15"/>
  <c r="E29" i="15"/>
  <c r="F29" i="15"/>
  <c r="G29" i="15"/>
  <c r="H29" i="15"/>
  <c r="I29" i="15"/>
  <c r="C32" i="15"/>
  <c r="D32" i="15"/>
  <c r="G32" i="15"/>
  <c r="C33" i="15"/>
  <c r="D33" i="15"/>
  <c r="F33" i="15"/>
  <c r="G33" i="15"/>
  <c r="C34" i="15"/>
  <c r="D34" i="15"/>
  <c r="E34" i="15"/>
  <c r="F34" i="15"/>
  <c r="G34" i="15"/>
  <c r="C35" i="15"/>
  <c r="D35" i="15"/>
  <c r="E35" i="15"/>
  <c r="F35" i="15"/>
  <c r="H35" i="15"/>
  <c r="C36" i="15"/>
  <c r="D36" i="15"/>
  <c r="E36" i="15"/>
  <c r="G36" i="15"/>
  <c r="H36" i="15"/>
  <c r="C37" i="15"/>
  <c r="D37" i="15"/>
  <c r="F37" i="15"/>
  <c r="G37" i="15"/>
  <c r="H37" i="15"/>
  <c r="C38" i="15"/>
  <c r="E38" i="15"/>
  <c r="F38" i="15"/>
  <c r="G38" i="15"/>
  <c r="H38" i="15"/>
  <c r="D39" i="15"/>
  <c r="E39" i="15"/>
  <c r="G39" i="15"/>
  <c r="H39" i="15"/>
  <c r="I48" i="15"/>
  <c r="D50" i="14" s="1"/>
  <c r="A1" i="14"/>
  <c r="A2" i="14"/>
  <c r="A3" i="14"/>
  <c r="M11" i="14"/>
  <c r="C11" i="14" s="1"/>
  <c r="A12" i="14"/>
  <c r="C12" i="14"/>
  <c r="B59" i="14" s="1"/>
  <c r="D12" i="14"/>
  <c r="B60" i="14" s="1"/>
  <c r="E12" i="14"/>
  <c r="A15" i="14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1" i="13"/>
  <c r="A2" i="13"/>
  <c r="A3" i="13"/>
  <c r="A11" i="13"/>
  <c r="C11" i="13"/>
  <c r="B67" i="13" s="1"/>
  <c r="D11" i="13"/>
  <c r="B68" i="13" s="1"/>
  <c r="E11" i="13"/>
  <c r="F11" i="13"/>
  <c r="B70" i="13" s="1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1" i="11"/>
  <c r="A2" i="11"/>
  <c r="A3" i="11"/>
  <c r="A12" i="11"/>
  <c r="C12" i="11"/>
  <c r="B63" i="11" s="1"/>
  <c r="D12" i="11"/>
  <c r="E12" i="11"/>
  <c r="F12" i="11"/>
  <c r="G12" i="11"/>
  <c r="H12" i="11"/>
  <c r="I12" i="11"/>
  <c r="J12" i="11"/>
  <c r="K12" i="11"/>
  <c r="A55" i="11"/>
  <c r="N55" i="11" s="1"/>
  <c r="A1" i="10"/>
  <c r="A2" i="10"/>
  <c r="A3" i="10"/>
  <c r="N9" i="10"/>
  <c r="A61" i="10" s="1"/>
  <c r="N61" i="10" s="1"/>
  <c r="A12" i="10"/>
  <c r="C12" i="10"/>
  <c r="B69" i="10" s="1"/>
  <c r="D12" i="10"/>
  <c r="E12" i="10"/>
  <c r="A1" i="9"/>
  <c r="A2" i="9"/>
  <c r="A3" i="9"/>
  <c r="A12" i="9"/>
  <c r="C12" i="9"/>
  <c r="B61" i="9" s="1"/>
  <c r="D12" i="9"/>
  <c r="E12" i="9"/>
  <c r="A53" i="9"/>
  <c r="N53" i="9" s="1"/>
  <c r="A1" i="8"/>
  <c r="A2" i="8"/>
  <c r="A3" i="8"/>
  <c r="A11" i="8"/>
  <c r="A12" i="8"/>
  <c r="C12" i="8"/>
  <c r="B34" i="8" s="1"/>
  <c r="D12" i="8"/>
  <c r="B35" i="8" s="1"/>
  <c r="E12" i="8"/>
  <c r="B36" i="8" s="1"/>
  <c r="F12" i="8"/>
  <c r="B37" i="8" s="1"/>
  <c r="G12" i="8"/>
  <c r="B38" i="8" s="1"/>
  <c r="H12" i="8"/>
  <c r="B39" i="8" s="1"/>
  <c r="A23" i="8"/>
  <c r="P32" i="8"/>
  <c r="N32" i="8" s="1"/>
  <c r="A1" i="7"/>
  <c r="A2" i="7"/>
  <c r="A3" i="7"/>
  <c r="A12" i="7"/>
  <c r="C12" i="7"/>
  <c r="D12" i="7"/>
  <c r="E12" i="7"/>
  <c r="C63" i="7" s="1"/>
  <c r="F12" i="7"/>
  <c r="B49" i="5"/>
  <c r="I12" i="7"/>
  <c r="J12" i="7"/>
  <c r="K12" i="7"/>
  <c r="L12" i="7"/>
  <c r="N51" i="7"/>
  <c r="O51" i="7" s="1"/>
  <c r="A52" i="7"/>
  <c r="C69" i="7"/>
  <c r="C70" i="7"/>
  <c r="A1" i="6"/>
  <c r="A2" i="6"/>
  <c r="A3" i="6"/>
  <c r="A12" i="6"/>
  <c r="C12" i="6"/>
  <c r="D12" i="6"/>
  <c r="E12" i="6"/>
  <c r="F12" i="6"/>
  <c r="G12" i="6"/>
  <c r="H12" i="6"/>
  <c r="I12" i="6"/>
  <c r="N23" i="6"/>
  <c r="M11" i="6" s="1"/>
  <c r="C11" i="6" s="1"/>
  <c r="D11" i="6" s="1"/>
  <c r="E11" i="6" s="1"/>
  <c r="A29" i="6"/>
  <c r="C29" i="6"/>
  <c r="D29" i="6"/>
  <c r="E29" i="6"/>
  <c r="F29" i="6"/>
  <c r="G29" i="6"/>
  <c r="H29" i="6"/>
  <c r="I29" i="6"/>
  <c r="C31" i="6"/>
  <c r="D31" i="6"/>
  <c r="E31" i="6"/>
  <c r="F31" i="6"/>
  <c r="G31" i="6"/>
  <c r="I31" i="6"/>
  <c r="C32" i="6"/>
  <c r="D32" i="6"/>
  <c r="E32" i="6"/>
  <c r="F32" i="6"/>
  <c r="G32" i="6"/>
  <c r="I32" i="6"/>
  <c r="C33" i="6"/>
  <c r="D33" i="6"/>
  <c r="E33" i="6"/>
  <c r="F33" i="6"/>
  <c r="G33" i="6"/>
  <c r="I33" i="6"/>
  <c r="C34" i="6"/>
  <c r="D34" i="6"/>
  <c r="E34" i="6"/>
  <c r="F34" i="6"/>
  <c r="G34" i="6"/>
  <c r="I34" i="6"/>
  <c r="C35" i="6"/>
  <c r="D35" i="6"/>
  <c r="E35" i="6"/>
  <c r="F35" i="6"/>
  <c r="H35" i="6"/>
  <c r="I35" i="6"/>
  <c r="C36" i="6"/>
  <c r="D36" i="6"/>
  <c r="E36" i="6"/>
  <c r="G36" i="6"/>
  <c r="H36" i="6"/>
  <c r="I36" i="6"/>
  <c r="C44" i="6"/>
  <c r="D37" i="6"/>
  <c r="F37" i="6"/>
  <c r="G37" i="6"/>
  <c r="H37" i="6"/>
  <c r="I37" i="6"/>
  <c r="E38" i="6"/>
  <c r="F38" i="6"/>
  <c r="G38" i="6"/>
  <c r="H38" i="6"/>
  <c r="I38" i="6"/>
  <c r="D39" i="6"/>
  <c r="E39" i="6"/>
  <c r="F39" i="6"/>
  <c r="G39" i="6"/>
  <c r="H39" i="6"/>
  <c r="I39" i="6"/>
  <c r="I47" i="6"/>
  <c r="I48" i="6" s="1"/>
  <c r="A1" i="5"/>
  <c r="A2" i="5"/>
  <c r="A3" i="5"/>
  <c r="A44" i="5"/>
  <c r="B50" i="5"/>
  <c r="B51" i="5"/>
  <c r="B52" i="5"/>
  <c r="B53" i="5"/>
  <c r="B54" i="5"/>
  <c r="B55" i="5"/>
  <c r="B56" i="5"/>
  <c r="B57" i="5"/>
  <c r="B58" i="5"/>
  <c r="B59" i="5"/>
  <c r="B60" i="5"/>
  <c r="B61" i="5"/>
  <c r="A1" i="4"/>
  <c r="A2" i="4"/>
  <c r="A3" i="4"/>
  <c r="A4" i="4"/>
  <c r="B13" i="45" s="1"/>
  <c r="A12" i="4"/>
  <c r="C12" i="4"/>
  <c r="D12" i="4"/>
  <c r="E12" i="4"/>
  <c r="A23" i="4"/>
  <c r="A22" i="4" s="1"/>
  <c r="A21" i="4" s="1"/>
  <c r="A20" i="4" s="1"/>
  <c r="A19" i="4" s="1"/>
  <c r="A18" i="4" s="1"/>
  <c r="A17" i="4" s="1"/>
  <c r="A16" i="4" s="1"/>
  <c r="A15" i="4" s="1"/>
  <c r="A14" i="4" s="1"/>
  <c r="A1" i="3"/>
  <c r="A2" i="3"/>
  <c r="A3" i="3"/>
  <c r="A12" i="3"/>
  <c r="C12" i="3"/>
  <c r="B30" i="3" s="1"/>
  <c r="D12" i="3"/>
  <c r="B31" i="3" s="1"/>
  <c r="E12" i="3"/>
  <c r="B32" i="3" s="1"/>
  <c r="D15" i="3"/>
  <c r="D16" i="3"/>
  <c r="D17" i="3"/>
  <c r="A22" i="3"/>
  <c r="A21" i="3" s="1"/>
  <c r="A20" i="3" s="1"/>
  <c r="A19" i="3" s="1"/>
  <c r="A18" i="3" s="1"/>
  <c r="A17" i="3" s="1"/>
  <c r="A16" i="3" s="1"/>
  <c r="A15" i="3" s="1"/>
  <c r="A14" i="3" s="1"/>
  <c r="A1" i="2"/>
  <c r="A2" i="2"/>
  <c r="A3" i="2"/>
  <c r="A12" i="2"/>
  <c r="C12" i="2"/>
  <c r="B30" i="2" s="1"/>
  <c r="D12" i="2"/>
  <c r="B31" i="2" s="1"/>
  <c r="E12" i="2"/>
  <c r="B32" i="2" s="1"/>
  <c r="F12" i="2"/>
  <c r="G12" i="2"/>
  <c r="B34" i="2" s="1"/>
  <c r="H12" i="2"/>
  <c r="A23" i="2"/>
  <c r="A12" i="1"/>
  <c r="C12" i="1"/>
  <c r="B29" i="1" s="1"/>
  <c r="D12" i="1"/>
  <c r="B30" i="1" s="1"/>
  <c r="E12" i="1"/>
  <c r="B31" i="1" s="1"/>
  <c r="F12" i="1"/>
  <c r="G12" i="1"/>
  <c r="B33" i="1" s="1"/>
  <c r="H12" i="1"/>
  <c r="E11" i="17"/>
  <c r="D29" i="17" s="1"/>
  <c r="F11" i="17"/>
  <c r="E29" i="17" s="1"/>
  <c r="D16" i="33"/>
  <c r="E22" i="37"/>
  <c r="G22" i="37" s="1"/>
  <c r="L22" i="37" s="1"/>
  <c r="C22" i="31"/>
  <c r="B64" i="11"/>
  <c r="A54" i="30"/>
  <c r="C49" i="20"/>
  <c r="A22" i="6"/>
  <c r="A39" i="6" s="1"/>
  <c r="K19" i="32"/>
  <c r="L19" i="32" s="1"/>
  <c r="B40" i="28"/>
  <c r="B40" i="26"/>
  <c r="C62" i="7"/>
  <c r="C41" i="13"/>
  <c r="C29" i="17"/>
  <c r="E38" i="19"/>
  <c r="E40" i="19" s="1"/>
  <c r="C24" i="31"/>
  <c r="C11" i="16"/>
  <c r="C23" i="3"/>
  <c r="C15" i="28"/>
  <c r="C21" i="3"/>
  <c r="D20" i="8"/>
  <c r="C27" i="31"/>
  <c r="D22" i="8"/>
  <c r="D19" i="8"/>
  <c r="D21" i="8"/>
  <c r="D18" i="8"/>
  <c r="D16" i="8"/>
  <c r="C25" i="31"/>
  <c r="E25" i="37"/>
  <c r="G25" i="37" s="1"/>
  <c r="L25" i="37" s="1"/>
  <c r="L46" i="24"/>
  <c r="C50" i="20"/>
  <c r="I17" i="6"/>
  <c r="H34" i="6" s="1"/>
  <c r="C17" i="3"/>
  <c r="E23" i="4"/>
  <c r="C18" i="26"/>
  <c r="B62" i="22"/>
  <c r="C26" i="26"/>
  <c r="C24" i="28"/>
  <c r="I15" i="6"/>
  <c r="H32" i="6" s="1"/>
  <c r="D23" i="8"/>
  <c r="D17" i="8"/>
  <c r="D15" i="8"/>
  <c r="D14" i="8"/>
  <c r="G21" i="8"/>
  <c r="G23" i="8"/>
  <c r="C19" i="3"/>
  <c r="G19" i="6"/>
  <c r="F36" i="6" s="1"/>
  <c r="D38" i="6"/>
  <c r="G16" i="8"/>
  <c r="G18" i="8"/>
  <c r="G15" i="8"/>
  <c r="G14" i="8"/>
  <c r="G19" i="8"/>
  <c r="C34" i="31"/>
  <c r="C28" i="31"/>
  <c r="B62" i="24"/>
  <c r="C19" i="26"/>
  <c r="E37" i="6"/>
  <c r="E28" i="37"/>
  <c r="G28" i="37" s="1"/>
  <c r="L28" i="37" s="1"/>
  <c r="G20" i="8"/>
  <c r="L48" i="25"/>
  <c r="K34" i="21"/>
  <c r="I14" i="6"/>
  <c r="H31" i="6" s="1"/>
  <c r="C33" i="31"/>
  <c r="E27" i="37"/>
  <c r="G27" i="37" s="1"/>
  <c r="B37" i="29" l="1"/>
  <c r="B37" i="27"/>
  <c r="B35" i="2"/>
  <c r="B75" i="20"/>
  <c r="A22" i="2"/>
  <c r="A21" i="2" s="1"/>
  <c r="A20" i="2" s="1"/>
  <c r="A19" i="2" s="1"/>
  <c r="A18" i="2" s="1"/>
  <c r="A17" i="2" s="1"/>
  <c r="A16" i="2" s="1"/>
  <c r="A15" i="2" s="1"/>
  <c r="A14" i="2" s="1"/>
  <c r="H8" i="1"/>
  <c r="M8" i="1" s="1"/>
  <c r="C43" i="16"/>
  <c r="R29" i="17"/>
  <c r="B63" i="24"/>
  <c r="B70" i="10"/>
  <c r="B40" i="8"/>
  <c r="B58" i="30"/>
  <c r="A43" i="5"/>
  <c r="A22" i="5"/>
  <c r="B63" i="23"/>
  <c r="C46" i="16"/>
  <c r="I15" i="17"/>
  <c r="B67" i="32"/>
  <c r="G36" i="34"/>
  <c r="S28" i="15"/>
  <c r="B60" i="16"/>
  <c r="B59" i="25"/>
  <c r="E34" i="13"/>
  <c r="E28" i="13"/>
  <c r="C28" i="15"/>
  <c r="E45" i="14"/>
  <c r="B62" i="16"/>
  <c r="C49" i="16"/>
  <c r="E49" i="16" s="1"/>
  <c r="C47" i="16"/>
  <c r="C52" i="16"/>
  <c r="C51" i="16"/>
  <c r="E39" i="17"/>
  <c r="C50" i="16"/>
  <c r="C48" i="16"/>
  <c r="H36" i="17"/>
  <c r="B64" i="23"/>
  <c r="B64" i="24" s="1"/>
  <c r="B63" i="25"/>
  <c r="I15" i="32"/>
  <c r="N15" i="32" s="1"/>
  <c r="F16" i="32"/>
  <c r="E17" i="3"/>
  <c r="C17" i="2" s="1"/>
  <c r="B59" i="23"/>
  <c r="L14" i="37"/>
  <c r="B61" i="14"/>
  <c r="B70" i="32"/>
  <c r="B32" i="1"/>
  <c r="C50" i="14"/>
  <c r="E50" i="14" s="1"/>
  <c r="C49" i="14"/>
  <c r="C53" i="14"/>
  <c r="C39" i="15"/>
  <c r="C44" i="15" s="1"/>
  <c r="C48" i="14"/>
  <c r="H34" i="15"/>
  <c r="C47" i="14"/>
  <c r="C46" i="14"/>
  <c r="H32" i="15"/>
  <c r="C52" i="14"/>
  <c r="C51" i="14"/>
  <c r="C45" i="16"/>
  <c r="G19" i="34"/>
  <c r="A22" i="8"/>
  <c r="L29" i="43"/>
  <c r="J33" i="43" s="1"/>
  <c r="D48" i="14"/>
  <c r="D49" i="14"/>
  <c r="E31" i="13"/>
  <c r="E23" i="13"/>
  <c r="E29" i="13"/>
  <c r="E17" i="13"/>
  <c r="G15" i="37"/>
  <c r="B28" i="18"/>
  <c r="C64" i="7"/>
  <c r="F38" i="17"/>
  <c r="F45" i="17" s="1"/>
  <c r="H34" i="17"/>
  <c r="E21" i="13"/>
  <c r="A21" i="6"/>
  <c r="A38" i="6" s="1"/>
  <c r="G37" i="17"/>
  <c r="G43" i="17" s="1"/>
  <c r="B35" i="36"/>
  <c r="B33" i="2"/>
  <c r="B62" i="9"/>
  <c r="B34" i="1"/>
  <c r="C45" i="6"/>
  <c r="C43" i="6"/>
  <c r="C42" i="6"/>
  <c r="H32" i="17"/>
  <c r="I14" i="32"/>
  <c r="N14" i="32" s="1"/>
  <c r="E18" i="13"/>
  <c r="E14" i="13"/>
  <c r="E12" i="30"/>
  <c r="A53" i="30"/>
  <c r="B37" i="19" s="1"/>
  <c r="D17" i="33"/>
  <c r="S9" i="22"/>
  <c r="F42" i="6"/>
  <c r="F47" i="6" s="1"/>
  <c r="E42" i="6"/>
  <c r="E47" i="6" s="1"/>
  <c r="E14" i="3"/>
  <c r="D44" i="6"/>
  <c r="D42" i="6"/>
  <c r="D47" i="6" s="1"/>
  <c r="D45" i="6"/>
  <c r="B41" i="8"/>
  <c r="D47" i="16"/>
  <c r="D48" i="16"/>
  <c r="B61" i="25"/>
  <c r="B66" i="22"/>
  <c r="A52" i="9"/>
  <c r="A60" i="10"/>
  <c r="A54" i="11"/>
  <c r="E25" i="13"/>
  <c r="E19" i="13"/>
  <c r="E32" i="13"/>
  <c r="E24" i="13"/>
  <c r="E40" i="13"/>
  <c r="E33" i="13"/>
  <c r="E20" i="13"/>
  <c r="E16" i="13"/>
  <c r="E26" i="13"/>
  <c r="E22" i="13"/>
  <c r="E15" i="13"/>
  <c r="A21" i="15"/>
  <c r="E13" i="13"/>
  <c r="H35" i="17"/>
  <c r="D40" i="17"/>
  <c r="D46" i="17" s="1"/>
  <c r="H33" i="17"/>
  <c r="D44" i="16"/>
  <c r="E44" i="16" s="1"/>
  <c r="D46" i="16"/>
  <c r="D45" i="16"/>
  <c r="A22" i="17"/>
  <c r="A41" i="17"/>
  <c r="E64" i="21"/>
  <c r="B66" i="23"/>
  <c r="B66" i="25" s="1"/>
  <c r="F38" i="19"/>
  <c r="B62" i="32"/>
  <c r="B69" i="32"/>
  <c r="B68" i="32"/>
  <c r="B56" i="33"/>
  <c r="G23" i="34"/>
  <c r="B37" i="36"/>
  <c r="B48" i="37"/>
  <c r="B51" i="37"/>
  <c r="B49" i="37"/>
  <c r="B30" i="43"/>
  <c r="N50" i="7"/>
  <c r="N49" i="7" s="1"/>
  <c r="O49" i="7" s="1"/>
  <c r="A51" i="7"/>
  <c r="E37" i="19"/>
  <c r="F37" i="19" s="1"/>
  <c r="D28" i="6"/>
  <c r="F11" i="6"/>
  <c r="E28" i="6" s="1"/>
  <c r="C28" i="6"/>
  <c r="F11" i="15"/>
  <c r="B30" i="4"/>
  <c r="D47" i="14"/>
  <c r="D46" i="14" s="1"/>
  <c r="M19" i="32"/>
  <c r="G11" i="17"/>
  <c r="B51" i="31"/>
  <c r="B31" i="4"/>
  <c r="B69" i="13"/>
  <c r="H33" i="15"/>
  <c r="C44" i="13"/>
  <c r="C42" i="13"/>
  <c r="H31" i="15"/>
  <c r="F36" i="15"/>
  <c r="F43" i="15" s="1"/>
  <c r="D38" i="15"/>
  <c r="E39" i="13"/>
  <c r="B50" i="31"/>
  <c r="E37" i="15"/>
  <c r="E43" i="15" s="1"/>
  <c r="G35" i="15"/>
  <c r="G45" i="15" s="1"/>
  <c r="C43" i="13"/>
  <c r="C67" i="7"/>
  <c r="C54" i="30"/>
  <c r="B38" i="19" s="1"/>
  <c r="D43" i="6"/>
  <c r="F44" i="6"/>
  <c r="F40" i="19"/>
  <c r="C61" i="7"/>
  <c r="C29" i="31"/>
  <c r="E33" i="37"/>
  <c r="G33" i="37" s="1"/>
  <c r="L33" i="37" s="1"/>
  <c r="E31" i="37"/>
  <c r="G31" i="37" s="1"/>
  <c r="L31" i="37" s="1"/>
  <c r="C32" i="31"/>
  <c r="E24" i="37"/>
  <c r="G24" i="37" s="1"/>
  <c r="L24" i="37" s="1"/>
  <c r="E23" i="37"/>
  <c r="C31" i="31"/>
  <c r="C30" i="31"/>
  <c r="E30" i="37"/>
  <c r="G30" i="37" s="1"/>
  <c r="L30" i="37" s="1"/>
  <c r="C38" i="31"/>
  <c r="C35" i="31"/>
  <c r="E43" i="6"/>
  <c r="E44" i="6"/>
  <c r="E45" i="6"/>
  <c r="E34" i="37"/>
  <c r="G34" i="37" s="1"/>
  <c r="L34" i="37" s="1"/>
  <c r="C23" i="31"/>
  <c r="E29" i="37"/>
  <c r="G29" i="37" s="1"/>
  <c r="L29" i="37" s="1"/>
  <c r="E60" i="21"/>
  <c r="E20" i="4"/>
  <c r="C11" i="29"/>
  <c r="L11" i="28"/>
  <c r="J14" i="43"/>
  <c r="B39" i="43" s="1"/>
  <c r="C23" i="28"/>
  <c r="C31" i="29"/>
  <c r="H18" i="6"/>
  <c r="G35" i="6" s="1"/>
  <c r="G42" i="6" s="1"/>
  <c r="E18" i="4"/>
  <c r="C18" i="3"/>
  <c r="E37" i="37"/>
  <c r="G37" i="37" s="1"/>
  <c r="L37" i="37" s="1"/>
  <c r="C37" i="31"/>
  <c r="C15" i="26"/>
  <c r="B62" i="23"/>
  <c r="E32" i="37"/>
  <c r="G32" i="37" s="1"/>
  <c r="L32" i="37" s="1"/>
  <c r="E21" i="4"/>
  <c r="L27" i="37"/>
  <c r="C14" i="26"/>
  <c r="C15" i="3"/>
  <c r="E15" i="3" s="1"/>
  <c r="C15" i="2" s="1"/>
  <c r="E15" i="4"/>
  <c r="C15" i="8"/>
  <c r="C14" i="8"/>
  <c r="C16" i="8"/>
  <c r="C19" i="8"/>
  <c r="E22" i="4"/>
  <c r="F43" i="6"/>
  <c r="F45" i="6"/>
  <c r="C23" i="26"/>
  <c r="C14" i="28"/>
  <c r="C18" i="28"/>
  <c r="C20" i="28"/>
  <c r="C26" i="4"/>
  <c r="E14" i="4"/>
  <c r="D26" i="4"/>
  <c r="C36" i="31"/>
  <c r="E36" i="37"/>
  <c r="G36" i="37" s="1"/>
  <c r="L36" i="37" s="1"/>
  <c r="M46" i="24"/>
  <c r="B59" i="24" s="1"/>
  <c r="E35" i="37"/>
  <c r="G35" i="37" s="1"/>
  <c r="L35" i="37" s="1"/>
  <c r="E17" i="4"/>
  <c r="E26" i="37"/>
  <c r="G26" i="37" s="1"/>
  <c r="L26" i="37" s="1"/>
  <c r="E16" i="4"/>
  <c r="C20" i="8"/>
  <c r="C21" i="8"/>
  <c r="C18" i="8"/>
  <c r="I16" i="6"/>
  <c r="H33" i="6" s="1"/>
  <c r="H44" i="6" s="1"/>
  <c r="C16" i="3"/>
  <c r="C22" i="8"/>
  <c r="C17" i="8"/>
  <c r="C26" i="31"/>
  <c r="C23" i="8"/>
  <c r="E45" i="16" l="1"/>
  <c r="E47" i="14"/>
  <c r="E48" i="14"/>
  <c r="E48" i="16"/>
  <c r="E49" i="14"/>
  <c r="E46" i="16"/>
  <c r="E46" i="14"/>
  <c r="C45" i="13" s="1"/>
  <c r="E47" i="16"/>
  <c r="A42" i="5"/>
  <c r="A21" i="5"/>
  <c r="G44" i="34"/>
  <c r="B40" i="43"/>
  <c r="E44" i="37"/>
  <c r="C44" i="31"/>
  <c r="S10" i="22"/>
  <c r="F17" i="32"/>
  <c r="L14" i="43"/>
  <c r="J20" i="43" s="1"/>
  <c r="B43" i="43" s="1"/>
  <c r="D18" i="33"/>
  <c r="B66" i="24"/>
  <c r="D43" i="16"/>
  <c r="H44" i="15"/>
  <c r="C41" i="17"/>
  <c r="I18" i="32"/>
  <c r="G48" i="34"/>
  <c r="A21" i="8"/>
  <c r="D45" i="17"/>
  <c r="A20" i="6"/>
  <c r="A37" i="6" s="1"/>
  <c r="A49" i="7"/>
  <c r="A50" i="7"/>
  <c r="L15" i="37"/>
  <c r="O50" i="7"/>
  <c r="I16" i="32"/>
  <c r="N16" i="32" s="1"/>
  <c r="D43" i="17"/>
  <c r="D44" i="17"/>
  <c r="D19" i="33"/>
  <c r="S12" i="22" s="1"/>
  <c r="B61" i="24"/>
  <c r="C26" i="3"/>
  <c r="C14" i="2"/>
  <c r="H42" i="6"/>
  <c r="H47" i="6" s="1"/>
  <c r="H48" i="6" s="1"/>
  <c r="B61" i="23"/>
  <c r="A51" i="9"/>
  <c r="N52" i="9"/>
  <c r="N60" i="10"/>
  <c r="A59" i="10"/>
  <c r="N54" i="11"/>
  <c r="A53" i="11"/>
  <c r="A20" i="15"/>
  <c r="A38" i="15"/>
  <c r="C43" i="15"/>
  <c r="C45" i="15"/>
  <c r="G46" i="17"/>
  <c r="F46" i="17"/>
  <c r="F44" i="17"/>
  <c r="H46" i="17"/>
  <c r="F43" i="17"/>
  <c r="E46" i="17"/>
  <c r="E44" i="17"/>
  <c r="E45" i="17"/>
  <c r="E43" i="17"/>
  <c r="G45" i="17"/>
  <c r="G45" i="16"/>
  <c r="D45" i="13" s="1"/>
  <c r="G44" i="17"/>
  <c r="A40" i="17"/>
  <c r="A21" i="17"/>
  <c r="G44" i="16"/>
  <c r="D44" i="13" s="1"/>
  <c r="D42" i="16"/>
  <c r="E42" i="16" s="1"/>
  <c r="I17" i="32"/>
  <c r="B46" i="43"/>
  <c r="G23" i="37"/>
  <c r="G44" i="37" s="1"/>
  <c r="N48" i="7"/>
  <c r="A48" i="7" s="1"/>
  <c r="D60" i="21"/>
  <c r="H45" i="6"/>
  <c r="E42" i="15"/>
  <c r="D44" i="15"/>
  <c r="D43" i="15"/>
  <c r="D42" i="15"/>
  <c r="B64" i="25"/>
  <c r="D45" i="15"/>
  <c r="E44" i="15"/>
  <c r="F44" i="15"/>
  <c r="C42" i="15"/>
  <c r="H11" i="17"/>
  <c r="G29" i="17" s="1"/>
  <c r="G11" i="15"/>
  <c r="F28" i="15" s="1"/>
  <c r="E28" i="15"/>
  <c r="G11" i="6"/>
  <c r="F28" i="6" s="1"/>
  <c r="E45" i="15"/>
  <c r="G43" i="15"/>
  <c r="G44" i="15"/>
  <c r="G42" i="15"/>
  <c r="H45" i="15"/>
  <c r="H42" i="15"/>
  <c r="H43" i="15"/>
  <c r="F29" i="17"/>
  <c r="H45" i="17"/>
  <c r="H43" i="17"/>
  <c r="H44" i="17"/>
  <c r="F42" i="15"/>
  <c r="F45" i="15"/>
  <c r="C60" i="21"/>
  <c r="E26" i="4"/>
  <c r="L11" i="26"/>
  <c r="B33" i="26" s="1"/>
  <c r="C11" i="28"/>
  <c r="C31" i="26"/>
  <c r="G44" i="6"/>
  <c r="G43" i="6"/>
  <c r="G47" i="6"/>
  <c r="G45" i="6"/>
  <c r="C31" i="28"/>
  <c r="E16" i="3"/>
  <c r="H43" i="6"/>
  <c r="G42" i="16" l="1"/>
  <c r="D42" i="13" s="1"/>
  <c r="D41" i="16"/>
  <c r="E41" i="16" s="1"/>
  <c r="A41" i="5"/>
  <c r="A20" i="5"/>
  <c r="E43" i="16"/>
  <c r="G43" i="16" s="1"/>
  <c r="D43" i="13" s="1"/>
  <c r="E43" i="13" s="1"/>
  <c r="D47" i="15"/>
  <c r="E47" i="15"/>
  <c r="E45" i="13"/>
  <c r="D48" i="17"/>
  <c r="F19" i="32"/>
  <c r="F18" i="32"/>
  <c r="N18" i="32" s="1"/>
  <c r="S11" i="22"/>
  <c r="D26" i="43"/>
  <c r="G19" i="32"/>
  <c r="D20" i="33"/>
  <c r="S13" i="22" s="1"/>
  <c r="H47" i="15"/>
  <c r="H48" i="15" s="1"/>
  <c r="D51" i="14" s="1"/>
  <c r="E51" i="14" s="1"/>
  <c r="G47" i="15"/>
  <c r="F47" i="15"/>
  <c r="G48" i="17"/>
  <c r="F48" i="17"/>
  <c r="H48" i="17"/>
  <c r="H49" i="17" s="1"/>
  <c r="D50" i="16" s="1"/>
  <c r="E50" i="16" s="1"/>
  <c r="E48" i="17"/>
  <c r="C45" i="17"/>
  <c r="C46" i="17"/>
  <c r="C43" i="17"/>
  <c r="C44" i="17"/>
  <c r="A20" i="8"/>
  <c r="E26" i="43"/>
  <c r="F26" i="43"/>
  <c r="E44" i="13"/>
  <c r="A19" i="6"/>
  <c r="A36" i="6" s="1"/>
  <c r="N17" i="32"/>
  <c r="N47" i="7"/>
  <c r="A47" i="7" s="1"/>
  <c r="E42" i="13"/>
  <c r="G60" i="21"/>
  <c r="G52" i="21" s="1"/>
  <c r="A35" i="25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N59" i="10"/>
  <c r="A58" i="10"/>
  <c r="A50" i="9"/>
  <c r="N51" i="9"/>
  <c r="A52" i="11"/>
  <c r="N53" i="11"/>
  <c r="A37" i="15"/>
  <c r="A19" i="15"/>
  <c r="A20" i="17"/>
  <c r="A39" i="17"/>
  <c r="C11" i="26"/>
  <c r="L23" i="37"/>
  <c r="G19" i="1"/>
  <c r="O48" i="7"/>
  <c r="H11" i="6"/>
  <c r="G28" i="6" s="1"/>
  <c r="H19" i="32"/>
  <c r="I11" i="17"/>
  <c r="I29" i="17" s="1"/>
  <c r="H11" i="15"/>
  <c r="D18" i="3"/>
  <c r="G48" i="6"/>
  <c r="C16" i="2"/>
  <c r="A40" i="5" l="1"/>
  <c r="A19" i="5"/>
  <c r="G48" i="15"/>
  <c r="G41" i="16"/>
  <c r="D41" i="13" s="1"/>
  <c r="G26" i="1"/>
  <c r="G22" i="1"/>
  <c r="G24" i="1"/>
  <c r="G21" i="1"/>
  <c r="G23" i="1"/>
  <c r="D21" i="33"/>
  <c r="B33" i="49"/>
  <c r="B33" i="48"/>
  <c r="A19" i="8"/>
  <c r="A18" i="6"/>
  <c r="A35" i="6" s="1"/>
  <c r="O47" i="7"/>
  <c r="N46" i="7"/>
  <c r="G15" i="1"/>
  <c r="B33" i="28"/>
  <c r="C46" i="13"/>
  <c r="N50" i="9"/>
  <c r="A49" i="9"/>
  <c r="A57" i="10"/>
  <c r="N58" i="10"/>
  <c r="N52" i="11"/>
  <c r="A51" i="11"/>
  <c r="A18" i="15"/>
  <c r="A36" i="15"/>
  <c r="A19" i="17"/>
  <c r="A38" i="17"/>
  <c r="H29" i="17"/>
  <c r="I20" i="32"/>
  <c r="I19" i="32"/>
  <c r="N19" i="32" s="1"/>
  <c r="I11" i="15"/>
  <c r="I28" i="15" s="1"/>
  <c r="G46" i="16"/>
  <c r="D46" i="13" s="1"/>
  <c r="G49" i="17"/>
  <c r="D51" i="16" s="1"/>
  <c r="I11" i="6"/>
  <c r="I28" i="6" s="1"/>
  <c r="G28" i="15"/>
  <c r="E18" i="3"/>
  <c r="F48" i="6"/>
  <c r="D19" i="3"/>
  <c r="G50" i="16" l="1"/>
  <c r="D50" i="13" s="1"/>
  <c r="E51" i="16"/>
  <c r="A39" i="5"/>
  <c r="A18" i="5"/>
  <c r="E41" i="13"/>
  <c r="S14" i="22"/>
  <c r="F20" i="32"/>
  <c r="N20" i="32" s="1"/>
  <c r="F21" i="32"/>
  <c r="D22" i="33"/>
  <c r="A17" i="6"/>
  <c r="A34" i="6" s="1"/>
  <c r="A18" i="8"/>
  <c r="N45" i="7"/>
  <c r="A46" i="7"/>
  <c r="O46" i="7"/>
  <c r="F48" i="15"/>
  <c r="C47" i="13"/>
  <c r="N57" i="10"/>
  <c r="A56" i="10"/>
  <c r="N49" i="9"/>
  <c r="A48" i="9"/>
  <c r="A50" i="11"/>
  <c r="N51" i="11"/>
  <c r="A17" i="15"/>
  <c r="A35" i="15"/>
  <c r="A37" i="17"/>
  <c r="A18" i="17"/>
  <c r="H28" i="15"/>
  <c r="G47" i="16"/>
  <c r="D47" i="13" s="1"/>
  <c r="F49" i="17"/>
  <c r="D52" i="16" s="1"/>
  <c r="E52" i="16" s="1"/>
  <c r="H28" i="6"/>
  <c r="E46" i="13"/>
  <c r="I21" i="32"/>
  <c r="N21" i="32" s="1"/>
  <c r="D23" i="33"/>
  <c r="D20" i="3"/>
  <c r="E48" i="6"/>
  <c r="E19" i="3"/>
  <c r="C19" i="2" s="1"/>
  <c r="C18" i="2"/>
  <c r="A38" i="5" l="1"/>
  <c r="A17" i="5"/>
  <c r="A17" i="8"/>
  <c r="S16" i="22"/>
  <c r="F24" i="32"/>
  <c r="F23" i="32"/>
  <c r="S15" i="22"/>
  <c r="F22" i="32"/>
  <c r="E48" i="15"/>
  <c r="D54" i="14" s="1"/>
  <c r="E54" i="14" s="1"/>
  <c r="D53" i="14"/>
  <c r="E53" i="14" s="1"/>
  <c r="A16" i="6"/>
  <c r="A33" i="6" s="1"/>
  <c r="O45" i="7"/>
  <c r="A45" i="7"/>
  <c r="N44" i="7"/>
  <c r="E47" i="13"/>
  <c r="C48" i="13"/>
  <c r="A16" i="8"/>
  <c r="N48" i="9"/>
  <c r="A47" i="9"/>
  <c r="A55" i="10"/>
  <c r="N56" i="10"/>
  <c r="N50" i="11"/>
  <c r="A49" i="11"/>
  <c r="A34" i="15"/>
  <c r="A16" i="15"/>
  <c r="A36" i="17"/>
  <c r="A17" i="17"/>
  <c r="G48" i="16"/>
  <c r="D48" i="13" s="1"/>
  <c r="E49" i="17"/>
  <c r="D53" i="16" s="1"/>
  <c r="E53" i="16" s="1"/>
  <c r="I23" i="32"/>
  <c r="I22" i="32"/>
  <c r="D24" i="33"/>
  <c r="D21" i="3"/>
  <c r="E21" i="3" s="1"/>
  <c r="D48" i="6"/>
  <c r="C48" i="6" s="1"/>
  <c r="E20" i="3"/>
  <c r="C20" i="2" s="1"/>
  <c r="N22" i="32" l="1"/>
  <c r="A37" i="5"/>
  <c r="A16" i="5"/>
  <c r="S17" i="22"/>
  <c r="F25" i="32"/>
  <c r="D48" i="15"/>
  <c r="A15" i="6"/>
  <c r="A32" i="6" s="1"/>
  <c r="A44" i="7"/>
  <c r="N43" i="7"/>
  <c r="O44" i="7"/>
  <c r="A15" i="8"/>
  <c r="A54" i="10"/>
  <c r="N55" i="10"/>
  <c r="N47" i="9"/>
  <c r="A46" i="9"/>
  <c r="A48" i="11"/>
  <c r="N49" i="11"/>
  <c r="A15" i="15"/>
  <c r="A33" i="15"/>
  <c r="A16" i="17"/>
  <c r="A35" i="17"/>
  <c r="N23" i="32"/>
  <c r="D25" i="33"/>
  <c r="S18" i="22" s="1"/>
  <c r="I24" i="32"/>
  <c r="N24" i="32" s="1"/>
  <c r="G49" i="16"/>
  <c r="D49" i="13" s="1"/>
  <c r="D49" i="17"/>
  <c r="E48" i="13"/>
  <c r="C21" i="2"/>
  <c r="D23" i="3"/>
  <c r="D22" i="3"/>
  <c r="E22" i="3" s="1"/>
  <c r="C22" i="2" s="1"/>
  <c r="A36" i="5" l="1"/>
  <c r="A14" i="5" s="1"/>
  <c r="A15" i="5"/>
  <c r="C48" i="15"/>
  <c r="D56" i="14" s="1"/>
  <c r="D54" i="16"/>
  <c r="C49" i="17"/>
  <c r="D55" i="16" s="1"/>
  <c r="E55" i="16" s="1"/>
  <c r="G55" i="16" s="1"/>
  <c r="D55" i="13" s="1"/>
  <c r="E23" i="3"/>
  <c r="E26" i="3" s="1"/>
  <c r="H52" i="21"/>
  <c r="G64" i="20" s="1"/>
  <c r="D55" i="14"/>
  <c r="A14" i="6"/>
  <c r="A31" i="6" s="1"/>
  <c r="A43" i="7"/>
  <c r="O43" i="7"/>
  <c r="N42" i="7"/>
  <c r="C52" i="13"/>
  <c r="A14" i="8"/>
  <c r="N46" i="9"/>
  <c r="A45" i="9"/>
  <c r="N54" i="10"/>
  <c r="A53" i="10"/>
  <c r="N48" i="11"/>
  <c r="A47" i="11"/>
  <c r="A14" i="15"/>
  <c r="A31" i="15" s="1"/>
  <c r="A32" i="15"/>
  <c r="A34" i="17"/>
  <c r="A15" i="17"/>
  <c r="I25" i="32"/>
  <c r="N25" i="32" s="1"/>
  <c r="D26" i="33"/>
  <c r="C53" i="13" l="1"/>
  <c r="E55" i="14"/>
  <c r="C54" i="13" s="1"/>
  <c r="G53" i="16"/>
  <c r="D53" i="13" s="1"/>
  <c r="D59" i="13" s="1"/>
  <c r="E54" i="16"/>
  <c r="G54" i="16" s="1"/>
  <c r="D54" i="13" s="1"/>
  <c r="E56" i="14"/>
  <c r="C55" i="13" s="1"/>
  <c r="E55" i="13" s="1"/>
  <c r="S19" i="22"/>
  <c r="F26" i="32"/>
  <c r="F27" i="32"/>
  <c r="C23" i="2"/>
  <c r="C26" i="2" s="1"/>
  <c r="O42" i="7"/>
  <c r="A42" i="7"/>
  <c r="N41" i="7"/>
  <c r="G51" i="16"/>
  <c r="D51" i="13" s="1"/>
  <c r="G52" i="16"/>
  <c r="D52" i="13" s="1"/>
  <c r="N53" i="10"/>
  <c r="A52" i="10"/>
  <c r="A44" i="9"/>
  <c r="N45" i="9"/>
  <c r="N47" i="11"/>
  <c r="A46" i="11"/>
  <c r="A33" i="17"/>
  <c r="A14" i="17"/>
  <c r="A32" i="17" s="1"/>
  <c r="I26" i="32"/>
  <c r="D27" i="33"/>
  <c r="D57" i="13" l="1"/>
  <c r="D63" i="13"/>
  <c r="E53" i="13"/>
  <c r="S20" i="22"/>
  <c r="F30" i="32"/>
  <c r="F31" i="32"/>
  <c r="F28" i="32"/>
  <c r="F29" i="32"/>
  <c r="E54" i="13"/>
  <c r="A41" i="7"/>
  <c r="O41" i="7"/>
  <c r="N40" i="7"/>
  <c r="E52" i="13"/>
  <c r="N44" i="9"/>
  <c r="A43" i="9"/>
  <c r="A51" i="10"/>
  <c r="N52" i="10"/>
  <c r="N46" i="11"/>
  <c r="A45" i="11"/>
  <c r="N26" i="32"/>
  <c r="I29" i="32"/>
  <c r="I28" i="32"/>
  <c r="I31" i="32"/>
  <c r="I30" i="32"/>
  <c r="D28" i="33"/>
  <c r="I27" i="32"/>
  <c r="N27" i="32" s="1"/>
  <c r="S21" i="22" l="1"/>
  <c r="F32" i="32"/>
  <c r="F33" i="32"/>
  <c r="D62" i="13"/>
  <c r="N39" i="7"/>
  <c r="O40" i="7"/>
  <c r="A40" i="7"/>
  <c r="N51" i="10"/>
  <c r="A50" i="10"/>
  <c r="N43" i="9"/>
  <c r="A42" i="9"/>
  <c r="N45" i="11"/>
  <c r="A44" i="11"/>
  <c r="N31" i="32"/>
  <c r="N29" i="32"/>
  <c r="D29" i="33"/>
  <c r="I32" i="32"/>
  <c r="I33" i="32"/>
  <c r="N30" i="32"/>
  <c r="N28" i="32"/>
  <c r="S22" i="22" l="1"/>
  <c r="F34" i="32"/>
  <c r="N38" i="7"/>
  <c r="A39" i="7"/>
  <c r="O39" i="7"/>
  <c r="A41" i="9"/>
  <c r="N42" i="9"/>
  <c r="A49" i="10"/>
  <c r="N50" i="10"/>
  <c r="A43" i="11"/>
  <c r="N44" i="11"/>
  <c r="N33" i="32"/>
  <c r="N32" i="32"/>
  <c r="D30" i="33"/>
  <c r="I34" i="32"/>
  <c r="K58" i="11" l="1"/>
  <c r="J55" i="11"/>
  <c r="K55" i="11"/>
  <c r="S23" i="22"/>
  <c r="F35" i="32"/>
  <c r="K48" i="11"/>
  <c r="J48" i="11"/>
  <c r="A38" i="7"/>
  <c r="O38" i="7"/>
  <c r="N37" i="7"/>
  <c r="N49" i="10"/>
  <c r="A48" i="10"/>
  <c r="A40" i="9"/>
  <c r="N41" i="9"/>
  <c r="K46" i="11"/>
  <c r="K50" i="11"/>
  <c r="J59" i="11"/>
  <c r="J45" i="11"/>
  <c r="K49" i="11"/>
  <c r="J53" i="11"/>
  <c r="J46" i="11"/>
  <c r="K52" i="11"/>
  <c r="K54" i="11"/>
  <c r="K44" i="11"/>
  <c r="J50" i="11"/>
  <c r="J44" i="11"/>
  <c r="J51" i="11"/>
  <c r="J54" i="11"/>
  <c r="K59" i="11"/>
  <c r="J47" i="11"/>
  <c r="K47" i="11"/>
  <c r="K45" i="11"/>
  <c r="K51" i="11"/>
  <c r="K53" i="11"/>
  <c r="J49" i="11"/>
  <c r="J52" i="11"/>
  <c r="A42" i="11"/>
  <c r="N43" i="11"/>
  <c r="N34" i="32"/>
  <c r="I35" i="32"/>
  <c r="D31" i="33"/>
  <c r="J58" i="11" l="1"/>
  <c r="S24" i="22"/>
  <c r="F36" i="32"/>
  <c r="O37" i="7"/>
  <c r="N36" i="7"/>
  <c r="A37" i="7"/>
  <c r="N40" i="9"/>
  <c r="A39" i="9"/>
  <c r="N48" i="10"/>
  <c r="A47" i="10"/>
  <c r="N42" i="11"/>
  <c r="A41" i="11"/>
  <c r="N35" i="32"/>
  <c r="D32" i="33"/>
  <c r="I36" i="32"/>
  <c r="S25" i="22" l="1"/>
  <c r="F37" i="32"/>
  <c r="N36" i="32"/>
  <c r="O36" i="7"/>
  <c r="A36" i="7"/>
  <c r="N35" i="7"/>
  <c r="N47" i="10"/>
  <c r="A46" i="10"/>
  <c r="A38" i="9"/>
  <c r="N39" i="9"/>
  <c r="A40" i="11"/>
  <c r="N41" i="11"/>
  <c r="D33" i="33"/>
  <c r="I37" i="32"/>
  <c r="S26" i="22" l="1"/>
  <c r="F38" i="32"/>
  <c r="A35" i="7"/>
  <c r="O35" i="7"/>
  <c r="N34" i="7"/>
  <c r="A37" i="9"/>
  <c r="N38" i="9"/>
  <c r="N46" i="10"/>
  <c r="A45" i="10"/>
  <c r="A39" i="11"/>
  <c r="N40" i="11"/>
  <c r="D34" i="33"/>
  <c r="I38" i="32"/>
  <c r="N37" i="32"/>
  <c r="I58" i="11" l="1"/>
  <c r="I55" i="11"/>
  <c r="S27" i="22"/>
  <c r="F39" i="32"/>
  <c r="H47" i="11"/>
  <c r="I48" i="11"/>
  <c r="O34" i="7"/>
  <c r="A34" i="7"/>
  <c r="N33" i="7"/>
  <c r="A44" i="10"/>
  <c r="N45" i="10"/>
  <c r="N37" i="9"/>
  <c r="A36" i="9"/>
  <c r="I43" i="11"/>
  <c r="I51" i="11"/>
  <c r="I59" i="11"/>
  <c r="I46" i="11"/>
  <c r="I41" i="11"/>
  <c r="H53" i="11"/>
  <c r="I49" i="11"/>
  <c r="I50" i="11"/>
  <c r="H52" i="11"/>
  <c r="H50" i="11"/>
  <c r="H41" i="11"/>
  <c r="H49" i="11"/>
  <c r="H44" i="11"/>
  <c r="I54" i="11"/>
  <c r="H48" i="11"/>
  <c r="I45" i="11"/>
  <c r="I47" i="11"/>
  <c r="H55" i="11"/>
  <c r="I44" i="11"/>
  <c r="H40" i="11"/>
  <c r="H54" i="11"/>
  <c r="I40" i="11"/>
  <c r="H43" i="11"/>
  <c r="H46" i="11"/>
  <c r="I52" i="11"/>
  <c r="I42" i="11"/>
  <c r="H51" i="11"/>
  <c r="H45" i="11"/>
  <c r="H59" i="11"/>
  <c r="I53" i="11"/>
  <c r="H42" i="11"/>
  <c r="N39" i="11"/>
  <c r="A38" i="11"/>
  <c r="I39" i="32"/>
  <c r="D35" i="33"/>
  <c r="N38" i="32"/>
  <c r="N39" i="32" l="1"/>
  <c r="S28" i="22"/>
  <c r="F40" i="32"/>
  <c r="N32" i="7"/>
  <c r="A33" i="7"/>
  <c r="O33" i="7"/>
  <c r="A35" i="9"/>
  <c r="N36" i="9"/>
  <c r="N44" i="10"/>
  <c r="A43" i="10"/>
  <c r="N38" i="11"/>
  <c r="A37" i="11"/>
  <c r="H58" i="11"/>
  <c r="D36" i="33"/>
  <c r="S29" i="22" s="1"/>
  <c r="A32" i="7" l="1"/>
  <c r="N31" i="7"/>
  <c r="O32" i="7"/>
  <c r="N43" i="10"/>
  <c r="A42" i="10"/>
  <c r="A34" i="9"/>
  <c r="N35" i="9"/>
  <c r="A36" i="11"/>
  <c r="N37" i="11"/>
  <c r="D37" i="33"/>
  <c r="I40" i="32"/>
  <c r="N40" i="32" s="1"/>
  <c r="S30" i="22" l="1"/>
  <c r="F41" i="32"/>
  <c r="F42" i="32"/>
  <c r="O31" i="7"/>
  <c r="A31" i="7"/>
  <c r="N30" i="7"/>
  <c r="A33" i="9"/>
  <c r="N34" i="9"/>
  <c r="E56" i="9" s="1"/>
  <c r="C28" i="8" s="1"/>
  <c r="A41" i="10"/>
  <c r="N42" i="10"/>
  <c r="E64" i="10" s="1"/>
  <c r="N36" i="11"/>
  <c r="A35" i="11"/>
  <c r="D38" i="33"/>
  <c r="I41" i="32"/>
  <c r="G55" i="11" l="1"/>
  <c r="F55" i="11"/>
  <c r="S31" i="22"/>
  <c r="F43" i="32"/>
  <c r="C30" i="8"/>
  <c r="G46" i="11"/>
  <c r="F46" i="11"/>
  <c r="A30" i="7"/>
  <c r="O30" i="7"/>
  <c r="N29" i="7"/>
  <c r="N41" i="10"/>
  <c r="A40" i="10"/>
  <c r="A32" i="9"/>
  <c r="N33" i="9"/>
  <c r="A34" i="11"/>
  <c r="N35" i="11"/>
  <c r="G50" i="11"/>
  <c r="G45" i="11"/>
  <c r="G43" i="11"/>
  <c r="F45" i="11"/>
  <c r="F47" i="11"/>
  <c r="F53" i="11"/>
  <c r="F54" i="11"/>
  <c r="F42" i="11"/>
  <c r="G51" i="11"/>
  <c r="G39" i="11"/>
  <c r="G42" i="11"/>
  <c r="F51" i="11"/>
  <c r="F39" i="11"/>
  <c r="G44" i="11"/>
  <c r="F37" i="11"/>
  <c r="F36" i="11"/>
  <c r="G41" i="11"/>
  <c r="G40" i="11"/>
  <c r="G53" i="11"/>
  <c r="F44" i="11"/>
  <c r="F50" i="11"/>
  <c r="G36" i="11"/>
  <c r="G48" i="11"/>
  <c r="F48" i="11"/>
  <c r="G47" i="11"/>
  <c r="F41" i="11"/>
  <c r="G59" i="11"/>
  <c r="G37" i="11"/>
  <c r="F52" i="11"/>
  <c r="G52" i="11"/>
  <c r="G58" i="11"/>
  <c r="G28" i="8" s="1"/>
  <c r="G30" i="8" s="1"/>
  <c r="F40" i="11"/>
  <c r="G54" i="11"/>
  <c r="F59" i="11"/>
  <c r="F43" i="11"/>
  <c r="G49" i="11"/>
  <c r="F38" i="11"/>
  <c r="F49" i="11"/>
  <c r="G38" i="11"/>
  <c r="N41" i="32"/>
  <c r="I42" i="32"/>
  <c r="N42" i="32" s="1"/>
  <c r="D39" i="33"/>
  <c r="S32" i="22" l="1"/>
  <c r="F44" i="32"/>
  <c r="F58" i="11"/>
  <c r="N28" i="7"/>
  <c r="O29" i="7"/>
  <c r="A29" i="7"/>
  <c r="N32" i="9"/>
  <c r="A31" i="9"/>
  <c r="N40" i="10"/>
  <c r="A39" i="10"/>
  <c r="N34" i="11"/>
  <c r="A33" i="11"/>
  <c r="D40" i="33"/>
  <c r="I44" i="32"/>
  <c r="I43" i="32"/>
  <c r="N43" i="32" s="1"/>
  <c r="S33" i="22" l="1"/>
  <c r="F45" i="32"/>
  <c r="A28" i="7"/>
  <c r="O28" i="7"/>
  <c r="N27" i="7"/>
  <c r="A38" i="10"/>
  <c r="N39" i="10"/>
  <c r="N31" i="9"/>
  <c r="A30" i="9"/>
  <c r="N33" i="11"/>
  <c r="A32" i="11"/>
  <c r="N44" i="32"/>
  <c r="I45" i="32"/>
  <c r="D41" i="33"/>
  <c r="S34" i="22" l="1"/>
  <c r="D42" i="33"/>
  <c r="F47" i="32" s="1"/>
  <c r="F46" i="32"/>
  <c r="O27" i="7"/>
  <c r="A27" i="7"/>
  <c r="N26" i="7"/>
  <c r="N30" i="9"/>
  <c r="A29" i="9"/>
  <c r="A37" i="10"/>
  <c r="N38" i="10"/>
  <c r="A31" i="11"/>
  <c r="N32" i="11"/>
  <c r="S35" i="22"/>
  <c r="I46" i="32"/>
  <c r="N45" i="32"/>
  <c r="N25" i="7" l="1"/>
  <c r="O26" i="7"/>
  <c r="A26" i="7"/>
  <c r="A36" i="10"/>
  <c r="N37" i="10"/>
  <c r="N29" i="9"/>
  <c r="A28" i="9"/>
  <c r="N31" i="11"/>
  <c r="A30" i="11"/>
  <c r="N46" i="32"/>
  <c r="D43" i="33"/>
  <c r="I47" i="32"/>
  <c r="S36" i="22" l="1"/>
  <c r="F48" i="32"/>
  <c r="O25" i="7"/>
  <c r="N24" i="7"/>
  <c r="A25" i="7"/>
  <c r="A27" i="9"/>
  <c r="N28" i="9"/>
  <c r="N36" i="10"/>
  <c r="A35" i="10"/>
  <c r="A29" i="11"/>
  <c r="N30" i="11"/>
  <c r="N47" i="32"/>
  <c r="I48" i="32"/>
  <c r="D44" i="33"/>
  <c r="S37" i="22" l="1"/>
  <c r="F49" i="32"/>
  <c r="A24" i="7"/>
  <c r="O24" i="7"/>
  <c r="N23" i="7"/>
  <c r="N35" i="10"/>
  <c r="A34" i="10"/>
  <c r="N27" i="9"/>
  <c r="A26" i="9"/>
  <c r="N29" i="11"/>
  <c r="A28" i="11"/>
  <c r="D45" i="33"/>
  <c r="N48" i="32"/>
  <c r="S38" i="22" l="1"/>
  <c r="F50" i="32"/>
  <c r="N22" i="7"/>
  <c r="O23" i="7"/>
  <c r="A23" i="7"/>
  <c r="N26" i="9"/>
  <c r="A25" i="9"/>
  <c r="A33" i="10"/>
  <c r="N34" i="10"/>
  <c r="A27" i="11"/>
  <c r="N28" i="11"/>
  <c r="I49" i="32"/>
  <c r="N49" i="32" s="1"/>
  <c r="D46" i="33"/>
  <c r="F51" i="32" l="1"/>
  <c r="D47" i="33"/>
  <c r="F52" i="32" s="1"/>
  <c r="A22" i="7"/>
  <c r="N21" i="7"/>
  <c r="O22" i="7"/>
  <c r="D48" i="33"/>
  <c r="S39" i="22"/>
  <c r="A32" i="10"/>
  <c r="N33" i="10"/>
  <c r="A24" i="9"/>
  <c r="N25" i="9"/>
  <c r="N27" i="11"/>
  <c r="A26" i="11"/>
  <c r="I50" i="32"/>
  <c r="N50" i="32" s="1"/>
  <c r="D49" i="33" l="1"/>
  <c r="F53" i="32"/>
  <c r="S42" i="22"/>
  <c r="A21" i="7"/>
  <c r="O21" i="7"/>
  <c r="N20" i="7"/>
  <c r="S40" i="22"/>
  <c r="N24" i="9"/>
  <c r="A23" i="9"/>
  <c r="N32" i="10"/>
  <c r="A31" i="10"/>
  <c r="A25" i="11"/>
  <c r="N26" i="11"/>
  <c r="I51" i="32"/>
  <c r="N51" i="32" s="1"/>
  <c r="D50" i="33" l="1"/>
  <c r="F54" i="32"/>
  <c r="I54" i="32" s="1"/>
  <c r="N54" i="32" s="1"/>
  <c r="AJ46" i="22"/>
  <c r="A20" i="7"/>
  <c r="N19" i="7"/>
  <c r="O20" i="7"/>
  <c r="S41" i="22"/>
  <c r="AP46" i="22" s="1"/>
  <c r="A30" i="10"/>
  <c r="N31" i="10"/>
  <c r="N23" i="9"/>
  <c r="A22" i="9"/>
  <c r="N25" i="11"/>
  <c r="A24" i="11"/>
  <c r="I52" i="32"/>
  <c r="N52" i="32" s="1"/>
  <c r="D51" i="33" l="1"/>
  <c r="F55" i="32"/>
  <c r="I55" i="32" s="1"/>
  <c r="N55" i="32" s="1"/>
  <c r="S43" i="22"/>
  <c r="BH46" i="22" s="1"/>
  <c r="AL46" i="22"/>
  <c r="AI46" i="22"/>
  <c r="BC46" i="22"/>
  <c r="BI46" i="22"/>
  <c r="AD46" i="22"/>
  <c r="I53" i="32"/>
  <c r="N53" i="32" s="1"/>
  <c r="AC46" i="22"/>
  <c r="U46" i="22"/>
  <c r="AQ46" i="22"/>
  <c r="P71" i="22" s="1"/>
  <c r="AU46" i="22"/>
  <c r="AW46" i="22"/>
  <c r="BF46" i="22"/>
  <c r="AY46" i="22"/>
  <c r="AN46" i="22"/>
  <c r="BD46" i="22"/>
  <c r="AK46" i="22"/>
  <c r="X46" i="22"/>
  <c r="T46" i="22"/>
  <c r="BG46" i="22"/>
  <c r="AX46" i="22"/>
  <c r="V46" i="22"/>
  <c r="AE46" i="22"/>
  <c r="AH46" i="22"/>
  <c r="AV46" i="22"/>
  <c r="AB46" i="22"/>
  <c r="AG46" i="22"/>
  <c r="Z46" i="22"/>
  <c r="BB46" i="22"/>
  <c r="AZ46" i="22"/>
  <c r="AT46" i="22"/>
  <c r="BE46" i="22"/>
  <c r="AM46" i="22"/>
  <c r="AF46" i="22"/>
  <c r="AO46" i="22"/>
  <c r="AR46" i="22"/>
  <c r="P72" i="22" s="1"/>
  <c r="AA46" i="22"/>
  <c r="AS46" i="22"/>
  <c r="W46" i="22"/>
  <c r="Y46" i="22"/>
  <c r="BA46" i="22"/>
  <c r="N18" i="7"/>
  <c r="O19" i="7"/>
  <c r="A19" i="7"/>
  <c r="P64" i="22"/>
  <c r="P70" i="22"/>
  <c r="A21" i="9"/>
  <c r="N22" i="9"/>
  <c r="N30" i="10"/>
  <c r="A29" i="10"/>
  <c r="A23" i="11"/>
  <c r="N24" i="11"/>
  <c r="D52" i="33" l="1"/>
  <c r="F56" i="32"/>
  <c r="Q70" i="22"/>
  <c r="Q64" i="22"/>
  <c r="P80" i="22"/>
  <c r="Q80" i="22" s="1"/>
  <c r="P83" i="22"/>
  <c r="Q83" i="22" s="1"/>
  <c r="P79" i="22"/>
  <c r="Q79" i="22" s="1"/>
  <c r="P63" i="22"/>
  <c r="Q63" i="22" s="1"/>
  <c r="P66" i="22"/>
  <c r="Q66" i="22" s="1"/>
  <c r="P49" i="22"/>
  <c r="Q49" i="22" s="1"/>
  <c r="P50" i="22"/>
  <c r="Q50" i="22" s="1"/>
  <c r="S44" i="22"/>
  <c r="I58" i="32"/>
  <c r="N58" i="32" s="1"/>
  <c r="O53" i="32" s="1"/>
  <c r="D39" i="31" s="1"/>
  <c r="E39" i="31" s="1"/>
  <c r="P55" i="22"/>
  <c r="Q55" i="22" s="1"/>
  <c r="P58" i="22"/>
  <c r="Q58" i="22" s="1"/>
  <c r="P77" i="22"/>
  <c r="Q77" i="22" s="1"/>
  <c r="P68" i="22"/>
  <c r="Q68" i="22" s="1"/>
  <c r="P59" i="22"/>
  <c r="Q59" i="22" s="1"/>
  <c r="P62" i="22"/>
  <c r="Q62" i="22" s="1"/>
  <c r="P87" i="22"/>
  <c r="Q87" i="22" s="1"/>
  <c r="P84" i="22"/>
  <c r="Q84" i="22" s="1"/>
  <c r="P56" i="22"/>
  <c r="Q56" i="22" s="1"/>
  <c r="P89" i="22"/>
  <c r="Q89" i="22" s="1"/>
  <c r="P88" i="22"/>
  <c r="Q88" i="22" s="1"/>
  <c r="P74" i="22"/>
  <c r="Q74" i="22" s="1"/>
  <c r="P85" i="22"/>
  <c r="Q85" i="22" s="1"/>
  <c r="P51" i="22"/>
  <c r="Q51" i="22" s="1"/>
  <c r="P54" i="22"/>
  <c r="Q54" i="22" s="1"/>
  <c r="P81" i="22"/>
  <c r="Q81" i="22" s="1"/>
  <c r="P67" i="22"/>
  <c r="Q67" i="22" s="1"/>
  <c r="P48" i="22"/>
  <c r="Q48" i="22" s="1"/>
  <c r="P76" i="22"/>
  <c r="Q76" i="22" s="1"/>
  <c r="P60" i="22"/>
  <c r="Q60" i="22" s="1"/>
  <c r="P52" i="22"/>
  <c r="Q52" i="22" s="1"/>
  <c r="A18" i="7"/>
  <c r="O18" i="7"/>
  <c r="N17" i="7"/>
  <c r="P61" i="22"/>
  <c r="Q61" i="22" s="1"/>
  <c r="P65" i="22"/>
  <c r="Q65" i="22" s="1"/>
  <c r="P78" i="22"/>
  <c r="Q78" i="22" s="1"/>
  <c r="P57" i="22"/>
  <c r="Q57" i="22" s="1"/>
  <c r="P69" i="22"/>
  <c r="Q69" i="22" s="1"/>
  <c r="P73" i="22"/>
  <c r="Q73" i="22" s="1"/>
  <c r="P82" i="22"/>
  <c r="Q82" i="22" s="1"/>
  <c r="P53" i="22"/>
  <c r="Q53" i="22" s="1"/>
  <c r="P75" i="22"/>
  <c r="Q75" i="22" s="1"/>
  <c r="P86" i="22"/>
  <c r="Q86" i="22" s="1"/>
  <c r="A28" i="10"/>
  <c r="N29" i="10"/>
  <c r="N21" i="9"/>
  <c r="D21" i="9" s="1"/>
  <c r="A20" i="9"/>
  <c r="A22" i="11"/>
  <c r="N23" i="11"/>
  <c r="Q71" i="22" l="1"/>
  <c r="Q72" i="22"/>
  <c r="I56" i="32"/>
  <c r="N56" i="32" s="1"/>
  <c r="O56" i="32" s="1"/>
  <c r="D42" i="31" s="1"/>
  <c r="E42" i="31" s="1"/>
  <c r="Q47" i="22"/>
  <c r="S45" i="22"/>
  <c r="BJ46" i="22"/>
  <c r="O51" i="32"/>
  <c r="D37" i="31" s="1"/>
  <c r="E37" i="31" s="1"/>
  <c r="O55" i="32"/>
  <c r="D41" i="31" s="1"/>
  <c r="E41" i="31" s="1"/>
  <c r="O31" i="32"/>
  <c r="D17" i="31" s="1"/>
  <c r="E17" i="31" s="1"/>
  <c r="O35" i="32"/>
  <c r="D21" i="31" s="1"/>
  <c r="E21" i="31" s="1"/>
  <c r="O21" i="32"/>
  <c r="O38" i="32"/>
  <c r="D24" i="31" s="1"/>
  <c r="E24" i="31" s="1"/>
  <c r="O30" i="32"/>
  <c r="D16" i="31" s="1"/>
  <c r="E16" i="31" s="1"/>
  <c r="O37" i="32"/>
  <c r="D23" i="31" s="1"/>
  <c r="E23" i="31" s="1"/>
  <c r="O49" i="32"/>
  <c r="D35" i="31" s="1"/>
  <c r="E35" i="31" s="1"/>
  <c r="O24" i="32"/>
  <c r="O18" i="32"/>
  <c r="O47" i="32"/>
  <c r="D33" i="31" s="1"/>
  <c r="E33" i="31" s="1"/>
  <c r="O20" i="32"/>
  <c r="O36" i="32"/>
  <c r="D22" i="31" s="1"/>
  <c r="E22" i="31" s="1"/>
  <c r="O44" i="32"/>
  <c r="D30" i="31" s="1"/>
  <c r="E30" i="31" s="1"/>
  <c r="O15" i="32"/>
  <c r="O48" i="32"/>
  <c r="D34" i="31" s="1"/>
  <c r="E34" i="31" s="1"/>
  <c r="F35" i="31" s="1"/>
  <c r="G16" i="2" s="1"/>
  <c r="O22" i="32"/>
  <c r="O34" i="32"/>
  <c r="D20" i="31" s="1"/>
  <c r="E20" i="31" s="1"/>
  <c r="O40" i="32"/>
  <c r="D26" i="31" s="1"/>
  <c r="E26" i="31" s="1"/>
  <c r="O43" i="32"/>
  <c r="D29" i="31" s="1"/>
  <c r="E29" i="31" s="1"/>
  <c r="O33" i="32"/>
  <c r="D19" i="31" s="1"/>
  <c r="E19" i="31" s="1"/>
  <c r="O27" i="32"/>
  <c r="O17" i="32"/>
  <c r="O14" i="32"/>
  <c r="O39" i="32"/>
  <c r="D25" i="31" s="1"/>
  <c r="E25" i="31" s="1"/>
  <c r="O19" i="32"/>
  <c r="O46" i="32"/>
  <c r="D32" i="31" s="1"/>
  <c r="E32" i="31" s="1"/>
  <c r="F33" i="31" s="1"/>
  <c r="G14" i="2" s="1"/>
  <c r="O28" i="32"/>
  <c r="D14" i="31" s="1"/>
  <c r="E14" i="31" s="1"/>
  <c r="O16" i="32"/>
  <c r="O42" i="32"/>
  <c r="D28" i="31" s="1"/>
  <c r="E28" i="31" s="1"/>
  <c r="O23" i="32"/>
  <c r="O45" i="32"/>
  <c r="D31" i="31" s="1"/>
  <c r="E31" i="31" s="1"/>
  <c r="O26" i="32"/>
  <c r="O50" i="32"/>
  <c r="D36" i="31" s="1"/>
  <c r="E36" i="31" s="1"/>
  <c r="O32" i="32"/>
  <c r="D18" i="31" s="1"/>
  <c r="E18" i="31" s="1"/>
  <c r="F19" i="31" s="1"/>
  <c r="O29" i="32"/>
  <c r="D15" i="31" s="1"/>
  <c r="E15" i="31" s="1"/>
  <c r="F16" i="31" s="1"/>
  <c r="O41" i="32"/>
  <c r="D27" i="31" s="1"/>
  <c r="E27" i="31" s="1"/>
  <c r="O25" i="32"/>
  <c r="O54" i="32"/>
  <c r="D40" i="31" s="1"/>
  <c r="E40" i="31" s="1"/>
  <c r="F40" i="31" s="1"/>
  <c r="G21" i="2" s="1"/>
  <c r="O52" i="32"/>
  <c r="D38" i="31" s="1"/>
  <c r="E38" i="31" s="1"/>
  <c r="F39" i="31" s="1"/>
  <c r="G20" i="2" s="1"/>
  <c r="E22" i="22"/>
  <c r="E22" i="23" s="1"/>
  <c r="E30" i="22"/>
  <c r="E30" i="23" s="1"/>
  <c r="E29" i="22"/>
  <c r="E23" i="22"/>
  <c r="B63" i="22" s="1"/>
  <c r="E31" i="22"/>
  <c r="E31" i="24" s="1"/>
  <c r="P42" i="23"/>
  <c r="F39" i="23" s="1"/>
  <c r="H39" i="23" s="1"/>
  <c r="D38" i="21" s="1"/>
  <c r="E16" i="22"/>
  <c r="E24" i="22"/>
  <c r="P43" i="23"/>
  <c r="F40" i="23" s="1"/>
  <c r="H40" i="23" s="1"/>
  <c r="D39" i="21" s="1"/>
  <c r="E17" i="22"/>
  <c r="E17" i="25" s="1"/>
  <c r="E25" i="22"/>
  <c r="F25" i="22" s="1"/>
  <c r="E33" i="22"/>
  <c r="E18" i="22"/>
  <c r="E26" i="22"/>
  <c r="E26" i="24" s="1"/>
  <c r="P45" i="23"/>
  <c r="E21" i="22"/>
  <c r="E19" i="22"/>
  <c r="E27" i="22"/>
  <c r="E20" i="22"/>
  <c r="E28" i="22"/>
  <c r="P47" i="23"/>
  <c r="E15" i="22"/>
  <c r="E14" i="22"/>
  <c r="E14" i="23" s="1"/>
  <c r="O17" i="7"/>
  <c r="A17" i="7"/>
  <c r="N16" i="7"/>
  <c r="E25" i="25"/>
  <c r="E31" i="25"/>
  <c r="F36" i="24"/>
  <c r="H36" i="24" s="1"/>
  <c r="E35" i="21" s="1"/>
  <c r="F36" i="22"/>
  <c r="H36" i="22" s="1"/>
  <c r="C35" i="21" s="1"/>
  <c r="P23" i="23"/>
  <c r="P21" i="23"/>
  <c r="P17" i="23"/>
  <c r="P33" i="23"/>
  <c r="P18" i="23"/>
  <c r="P29" i="23"/>
  <c r="F40" i="24"/>
  <c r="H40" i="24" s="1"/>
  <c r="E39" i="21" s="1"/>
  <c r="F40" i="22"/>
  <c r="H40" i="22" s="1"/>
  <c r="C39" i="21" s="1"/>
  <c r="P38" i="23"/>
  <c r="F35" i="23" s="1"/>
  <c r="H35" i="23" s="1"/>
  <c r="D34" i="21" s="1"/>
  <c r="F35" i="24"/>
  <c r="H35" i="24" s="1"/>
  <c r="E34" i="21" s="1"/>
  <c r="F35" i="22"/>
  <c r="H35" i="22" s="1"/>
  <c r="C34" i="21" s="1"/>
  <c r="P40" i="23"/>
  <c r="F37" i="23" s="1"/>
  <c r="H37" i="23" s="1"/>
  <c r="D36" i="21" s="1"/>
  <c r="F37" i="24"/>
  <c r="H37" i="24" s="1"/>
  <c r="E36" i="21" s="1"/>
  <c r="F37" i="22"/>
  <c r="H37" i="22" s="1"/>
  <c r="C36" i="21" s="1"/>
  <c r="P53" i="23"/>
  <c r="P49" i="23"/>
  <c r="P26" i="23"/>
  <c r="P34" i="23"/>
  <c r="P36" i="23"/>
  <c r="P44" i="23"/>
  <c r="P27" i="23"/>
  <c r="F38" i="24"/>
  <c r="H38" i="24" s="1"/>
  <c r="E37" i="21" s="1"/>
  <c r="F38" i="22"/>
  <c r="H38" i="22" s="1"/>
  <c r="C37" i="21" s="1"/>
  <c r="P48" i="23"/>
  <c r="P20" i="23"/>
  <c r="F39" i="24"/>
  <c r="H39" i="24" s="1"/>
  <c r="E38" i="21" s="1"/>
  <c r="F39" i="22"/>
  <c r="H39" i="22" s="1"/>
  <c r="C38" i="21" s="1"/>
  <c r="P37" i="23"/>
  <c r="F34" i="23" s="1"/>
  <c r="F34" i="24"/>
  <c r="F34" i="22"/>
  <c r="H34" i="22" s="1"/>
  <c r="C33" i="21" s="1"/>
  <c r="P50" i="23"/>
  <c r="P46" i="23"/>
  <c r="N20" i="9"/>
  <c r="A19" i="9"/>
  <c r="E27" i="9"/>
  <c r="D37" i="9"/>
  <c r="E26" i="9"/>
  <c r="D53" i="9"/>
  <c r="E44" i="9"/>
  <c r="D35" i="9"/>
  <c r="D44" i="9"/>
  <c r="E38" i="9"/>
  <c r="D36" i="9"/>
  <c r="E53" i="9"/>
  <c r="D45" i="9"/>
  <c r="D46" i="9"/>
  <c r="E32" i="9"/>
  <c r="E22" i="9"/>
  <c r="D27" i="9"/>
  <c r="D32" i="9"/>
  <c r="D57" i="9"/>
  <c r="E30" i="9"/>
  <c r="E36" i="9"/>
  <c r="D49" i="9"/>
  <c r="D41" i="9"/>
  <c r="E31" i="9"/>
  <c r="E48" i="9"/>
  <c r="D43" i="9"/>
  <c r="E33" i="9"/>
  <c r="E41" i="9"/>
  <c r="E52" i="9"/>
  <c r="D48" i="9"/>
  <c r="E39" i="9"/>
  <c r="D47" i="9"/>
  <c r="D34" i="9"/>
  <c r="E34" i="9"/>
  <c r="E40" i="9"/>
  <c r="D31" i="9"/>
  <c r="E46" i="9"/>
  <c r="D51" i="9"/>
  <c r="E43" i="9"/>
  <c r="D26" i="9"/>
  <c r="E29" i="9"/>
  <c r="D29" i="9"/>
  <c r="D52" i="9"/>
  <c r="E23" i="9"/>
  <c r="E49" i="9"/>
  <c r="E37" i="9"/>
  <c r="E21" i="9"/>
  <c r="D33" i="9"/>
  <c r="E24" i="9"/>
  <c r="E45" i="9"/>
  <c r="D50" i="9"/>
  <c r="E50" i="9"/>
  <c r="D30" i="9"/>
  <c r="D28" i="9"/>
  <c r="E57" i="9"/>
  <c r="E42" i="9"/>
  <c r="D42" i="9"/>
  <c r="D38" i="9"/>
  <c r="E51" i="9"/>
  <c r="D24" i="9"/>
  <c r="E47" i="9"/>
  <c r="E28" i="9"/>
  <c r="D23" i="9"/>
  <c r="D25" i="9"/>
  <c r="D40" i="9"/>
  <c r="D22" i="9"/>
  <c r="E35" i="9"/>
  <c r="E25" i="9"/>
  <c r="D39" i="9"/>
  <c r="A27" i="10"/>
  <c r="N28" i="10"/>
  <c r="A21" i="11"/>
  <c r="N22" i="11"/>
  <c r="F37" i="31" l="1"/>
  <c r="G18" i="2" s="1"/>
  <c r="AJ47" i="22"/>
  <c r="AP47" i="22"/>
  <c r="Z47" i="22"/>
  <c r="AQ47" i="22"/>
  <c r="AH47" i="22"/>
  <c r="AA47" i="22"/>
  <c r="BC47" i="22"/>
  <c r="U47" i="22"/>
  <c r="AO47" i="22"/>
  <c r="BA47" i="22"/>
  <c r="BD47" i="22"/>
  <c r="BB47" i="22"/>
  <c r="AG47" i="22"/>
  <c r="AM47" i="22"/>
  <c r="AC47" i="22"/>
  <c r="BG47" i="22"/>
  <c r="AX47" i="22"/>
  <c r="AY47" i="22"/>
  <c r="V47" i="22"/>
  <c r="T47" i="22"/>
  <c r="AV47" i="22"/>
  <c r="AR47" i="22"/>
  <c r="AS47" i="22"/>
  <c r="BF47" i="22"/>
  <c r="AU47" i="22"/>
  <c r="AK47" i="22"/>
  <c r="W47" i="22"/>
  <c r="AD47" i="22"/>
  <c r="BI47" i="22"/>
  <c r="AI47" i="22"/>
  <c r="AF47" i="22"/>
  <c r="BH47" i="22"/>
  <c r="AT47" i="22"/>
  <c r="AW47" i="22"/>
  <c r="AB47" i="22"/>
  <c r="Y47" i="22"/>
  <c r="AE47" i="22"/>
  <c r="AZ47" i="22"/>
  <c r="AL47" i="22"/>
  <c r="X47" i="22"/>
  <c r="BE47" i="22"/>
  <c r="AN47" i="22"/>
  <c r="F42" i="31"/>
  <c r="BK46" i="22"/>
  <c r="G23" i="2"/>
  <c r="K24" i="43"/>
  <c r="P90" i="22"/>
  <c r="Q90" i="22" s="1"/>
  <c r="BJ47" i="22"/>
  <c r="F31" i="22"/>
  <c r="H31" i="22" s="1"/>
  <c r="C30" i="21" s="1"/>
  <c r="E26" i="23"/>
  <c r="F28" i="31"/>
  <c r="E26" i="25"/>
  <c r="F26" i="25" s="1"/>
  <c r="H26" i="25" s="1"/>
  <c r="F25" i="21" s="1"/>
  <c r="F26" i="22"/>
  <c r="H26" i="22" s="1"/>
  <c r="C25" i="21" s="1"/>
  <c r="F24" i="31"/>
  <c r="E44" i="31"/>
  <c r="F21" i="31"/>
  <c r="F18" i="31"/>
  <c r="F26" i="31"/>
  <c r="F29" i="31"/>
  <c r="F32" i="31"/>
  <c r="E30" i="25"/>
  <c r="F36" i="31"/>
  <c r="G17" i="2" s="1"/>
  <c r="F38" i="31"/>
  <c r="G19" i="2" s="1"/>
  <c r="F41" i="31"/>
  <c r="G22" i="2" s="1"/>
  <c r="F31" i="31"/>
  <c r="F17" i="31"/>
  <c r="E22" i="24"/>
  <c r="E22" i="20"/>
  <c r="F20" i="31"/>
  <c r="F23" i="31"/>
  <c r="F25" i="31"/>
  <c r="E22" i="25"/>
  <c r="F15" i="31"/>
  <c r="F14" i="31"/>
  <c r="F30" i="31"/>
  <c r="F27" i="31"/>
  <c r="F34" i="31"/>
  <c r="G15" i="2" s="1"/>
  <c r="F22" i="31"/>
  <c r="E31" i="23"/>
  <c r="F31" i="23" s="1"/>
  <c r="H31" i="23" s="1"/>
  <c r="D30" i="21" s="1"/>
  <c r="E18" i="23"/>
  <c r="E19" i="23"/>
  <c r="F29" i="22"/>
  <c r="H29" i="22" s="1"/>
  <c r="C28" i="21" s="1"/>
  <c r="F15" i="22"/>
  <c r="F14" i="22"/>
  <c r="H14" i="22" s="1"/>
  <c r="C13" i="21" s="1"/>
  <c r="E14" i="25"/>
  <c r="E21" i="25"/>
  <c r="E27" i="24"/>
  <c r="F27" i="24" s="1"/>
  <c r="H27" i="24" s="1"/>
  <c r="E26" i="21" s="1"/>
  <c r="P30" i="23"/>
  <c r="P39" i="23"/>
  <c r="F36" i="23" s="1"/>
  <c r="H36" i="23" s="1"/>
  <c r="D35" i="21" s="1"/>
  <c r="E19" i="25"/>
  <c r="E15" i="25"/>
  <c r="E33" i="25"/>
  <c r="E16" i="25"/>
  <c r="E25" i="24"/>
  <c r="F25" i="24" s="1"/>
  <c r="H25" i="24" s="1"/>
  <c r="E24" i="21" s="1"/>
  <c r="E30" i="24"/>
  <c r="F30" i="24" s="1"/>
  <c r="H30" i="24" s="1"/>
  <c r="E29" i="21" s="1"/>
  <c r="E17" i="23"/>
  <c r="E17" i="24"/>
  <c r="E27" i="25"/>
  <c r="E19" i="24"/>
  <c r="E23" i="23"/>
  <c r="F23" i="23" s="1"/>
  <c r="H23" i="23" s="1"/>
  <c r="D22" i="21" s="1"/>
  <c r="F23" i="22"/>
  <c r="E23" i="25"/>
  <c r="F23" i="25" s="1"/>
  <c r="F16" i="22"/>
  <c r="E23" i="24"/>
  <c r="F19" i="24" s="1"/>
  <c r="H19" i="24" s="1"/>
  <c r="E18" i="21" s="1"/>
  <c r="P41" i="23"/>
  <c r="F38" i="23" s="1"/>
  <c r="H38" i="23" s="1"/>
  <c r="D37" i="21" s="1"/>
  <c r="P51" i="23"/>
  <c r="E18" i="24"/>
  <c r="E33" i="23"/>
  <c r="F33" i="23" s="1"/>
  <c r="H33" i="23" s="1"/>
  <c r="D32" i="21" s="1"/>
  <c r="P22" i="23"/>
  <c r="P28" i="23"/>
  <c r="F33" i="22"/>
  <c r="H33" i="22" s="1"/>
  <c r="C32" i="21" s="1"/>
  <c r="F30" i="22"/>
  <c r="H30" i="22" s="1"/>
  <c r="C29" i="21" s="1"/>
  <c r="E14" i="24"/>
  <c r="E18" i="25"/>
  <c r="E27" i="23"/>
  <c r="F27" i="23" s="1"/>
  <c r="H27" i="23" s="1"/>
  <c r="D26" i="21" s="1"/>
  <c r="E33" i="24"/>
  <c r="F33" i="24" s="1"/>
  <c r="H33" i="24" s="1"/>
  <c r="E32" i="21" s="1"/>
  <c r="E25" i="23"/>
  <c r="F25" i="23" s="1"/>
  <c r="H25" i="23" s="1"/>
  <c r="D24" i="21" s="1"/>
  <c r="F27" i="22"/>
  <c r="H27" i="22" s="1"/>
  <c r="C26" i="21" s="1"/>
  <c r="P19" i="23"/>
  <c r="P25" i="23"/>
  <c r="E28" i="23"/>
  <c r="F28" i="23" s="1"/>
  <c r="H28" i="23" s="1"/>
  <c r="D27" i="21" s="1"/>
  <c r="F28" i="22"/>
  <c r="H28" i="22" s="1"/>
  <c r="C27" i="21" s="1"/>
  <c r="E28" i="25"/>
  <c r="F28" i="25" s="1"/>
  <c r="E28" i="24"/>
  <c r="F28" i="24" s="1"/>
  <c r="H28" i="24" s="1"/>
  <c r="E27" i="21" s="1"/>
  <c r="E20" i="23"/>
  <c r="E20" i="25"/>
  <c r="E20" i="24"/>
  <c r="F24" i="22"/>
  <c r="H24" i="22" s="1"/>
  <c r="C23" i="21" s="1"/>
  <c r="E24" i="25"/>
  <c r="E24" i="24"/>
  <c r="F24" i="24" s="1"/>
  <c r="H24" i="24" s="1"/>
  <c r="E23" i="21" s="1"/>
  <c r="E24" i="23"/>
  <c r="F24" i="23" s="1"/>
  <c r="H24" i="23" s="1"/>
  <c r="D23" i="21" s="1"/>
  <c r="P24" i="23"/>
  <c r="P31" i="23"/>
  <c r="E29" i="24"/>
  <c r="F29" i="24" s="1"/>
  <c r="H29" i="24" s="1"/>
  <c r="E28" i="21" s="1"/>
  <c r="E32" i="22"/>
  <c r="E29" i="23"/>
  <c r="E29" i="25"/>
  <c r="E16" i="23"/>
  <c r="E16" i="24"/>
  <c r="P35" i="23"/>
  <c r="E15" i="23"/>
  <c r="E21" i="23"/>
  <c r="P52" i="23"/>
  <c r="E15" i="24"/>
  <c r="E21" i="24"/>
  <c r="P32" i="23"/>
  <c r="F25" i="25"/>
  <c r="H25" i="25" s="1"/>
  <c r="F24" i="21" s="1"/>
  <c r="D56" i="9"/>
  <c r="H34" i="24"/>
  <c r="E33" i="21" s="1"/>
  <c r="H34" i="23"/>
  <c r="D33" i="21" s="1"/>
  <c r="F26" i="23"/>
  <c r="H26" i="23" s="1"/>
  <c r="D25" i="21" s="1"/>
  <c r="F30" i="23"/>
  <c r="H30" i="23" s="1"/>
  <c r="D29" i="21" s="1"/>
  <c r="F31" i="24"/>
  <c r="H31" i="24" s="1"/>
  <c r="E30" i="21" s="1"/>
  <c r="F26" i="24"/>
  <c r="H26" i="24" s="1"/>
  <c r="E25" i="21" s="1"/>
  <c r="O16" i="7"/>
  <c r="A16" i="7"/>
  <c r="N15" i="7"/>
  <c r="H25" i="22"/>
  <c r="C24" i="21" s="1"/>
  <c r="E14" i="20"/>
  <c r="G14" i="20" s="1"/>
  <c r="E18" i="20"/>
  <c r="G18" i="20" s="1"/>
  <c r="E15" i="20"/>
  <c r="G15" i="20" s="1"/>
  <c r="E19" i="20"/>
  <c r="G19" i="20" s="1"/>
  <c r="E12" i="20"/>
  <c r="E23" i="20"/>
  <c r="G23" i="20" s="1"/>
  <c r="E16" i="20"/>
  <c r="G16" i="20" s="1"/>
  <c r="E20" i="20"/>
  <c r="G20" i="20" s="1"/>
  <c r="E13" i="20"/>
  <c r="E21" i="20"/>
  <c r="G21" i="20" s="1"/>
  <c r="E24" i="20"/>
  <c r="E17" i="20"/>
  <c r="G17" i="20" s="1"/>
  <c r="F19" i="22"/>
  <c r="F20" i="22"/>
  <c r="F17" i="22"/>
  <c r="F21" i="22"/>
  <c r="F22" i="22"/>
  <c r="F18" i="22"/>
  <c r="H18" i="22" s="1"/>
  <c r="C17" i="21" s="1"/>
  <c r="N27" i="10"/>
  <c r="A26" i="10"/>
  <c r="A18" i="9"/>
  <c r="N19" i="9"/>
  <c r="N21" i="11"/>
  <c r="A20" i="11"/>
  <c r="P91" i="22" l="1"/>
  <c r="Q91" i="22" s="1"/>
  <c r="BK47" i="22"/>
  <c r="F15" i="24"/>
  <c r="H15" i="24" s="1"/>
  <c r="E14" i="21" s="1"/>
  <c r="F19" i="23"/>
  <c r="H19" i="23" s="1"/>
  <c r="D18" i="21" s="1"/>
  <c r="F17" i="23"/>
  <c r="H17" i="23" s="1"/>
  <c r="D16" i="21" s="1"/>
  <c r="F22" i="25"/>
  <c r="H22" i="25" s="1"/>
  <c r="F21" i="21" s="1"/>
  <c r="F20" i="25"/>
  <c r="H20" i="25" s="1"/>
  <c r="F19" i="21" s="1"/>
  <c r="F20" i="24"/>
  <c r="H20" i="24" s="1"/>
  <c r="E19" i="21" s="1"/>
  <c r="F44" i="31"/>
  <c r="F30" i="43"/>
  <c r="F32" i="43" s="1"/>
  <c r="G26" i="2"/>
  <c r="F22" i="24"/>
  <c r="H22" i="24" s="1"/>
  <c r="E21" i="21" s="1"/>
  <c r="F15" i="23"/>
  <c r="H15" i="23" s="1"/>
  <c r="D14" i="21" s="1"/>
  <c r="F22" i="23"/>
  <c r="H22" i="23" s="1"/>
  <c r="D21" i="21" s="1"/>
  <c r="F14" i="24"/>
  <c r="F18" i="24"/>
  <c r="H18" i="24" s="1"/>
  <c r="E17" i="21" s="1"/>
  <c r="F18" i="23"/>
  <c r="H18" i="23" s="1"/>
  <c r="D17" i="21" s="1"/>
  <c r="F20" i="23"/>
  <c r="H20" i="23" s="1"/>
  <c r="D19" i="21" s="1"/>
  <c r="F14" i="23"/>
  <c r="F17" i="24"/>
  <c r="H17" i="24" s="1"/>
  <c r="E16" i="21" s="1"/>
  <c r="F21" i="23"/>
  <c r="H21" i="23" s="1"/>
  <c r="D20" i="21" s="1"/>
  <c r="F16" i="23"/>
  <c r="H16" i="23" s="1"/>
  <c r="D15" i="21" s="1"/>
  <c r="F29" i="23"/>
  <c r="H29" i="23" s="1"/>
  <c r="D28" i="21" s="1"/>
  <c r="F17" i="25"/>
  <c r="H17" i="25" s="1"/>
  <c r="F16" i="21" s="1"/>
  <c r="F14" i="25"/>
  <c r="F27" i="25"/>
  <c r="H27" i="25" s="1"/>
  <c r="F26" i="21" s="1"/>
  <c r="G26" i="21" s="1"/>
  <c r="H26" i="21" s="1"/>
  <c r="G38" i="20" s="1"/>
  <c r="F24" i="25"/>
  <c r="H24" i="25" s="1"/>
  <c r="F23" i="21" s="1"/>
  <c r="G23" i="21" s="1"/>
  <c r="H23" i="21" s="1"/>
  <c r="G35" i="20" s="1"/>
  <c r="H23" i="25"/>
  <c r="F22" i="21" s="1"/>
  <c r="F16" i="25"/>
  <c r="H16" i="25" s="1"/>
  <c r="F15" i="21" s="1"/>
  <c r="F19" i="25"/>
  <c r="H19" i="25" s="1"/>
  <c r="F18" i="21" s="1"/>
  <c r="F21" i="25"/>
  <c r="H21" i="25" s="1"/>
  <c r="F20" i="21" s="1"/>
  <c r="F23" i="24"/>
  <c r="H23" i="24" s="1"/>
  <c r="E22" i="21" s="1"/>
  <c r="F16" i="24"/>
  <c r="H16" i="24" s="1"/>
  <c r="E15" i="21" s="1"/>
  <c r="F18" i="25"/>
  <c r="H18" i="25" s="1"/>
  <c r="F17" i="21" s="1"/>
  <c r="F15" i="25"/>
  <c r="H15" i="25" s="1"/>
  <c r="F14" i="21" s="1"/>
  <c r="F21" i="24"/>
  <c r="H21" i="24" s="1"/>
  <c r="E20" i="21" s="1"/>
  <c r="H28" i="25"/>
  <c r="F27" i="21" s="1"/>
  <c r="G27" i="21" s="1"/>
  <c r="H27" i="21" s="1"/>
  <c r="G39" i="20" s="1"/>
  <c r="E32" i="24"/>
  <c r="F32" i="24" s="1"/>
  <c r="H32" i="24" s="1"/>
  <c r="E31" i="21" s="1"/>
  <c r="E32" i="23"/>
  <c r="F32" i="23" s="1"/>
  <c r="H32" i="23" s="1"/>
  <c r="D31" i="21" s="1"/>
  <c r="E32" i="25"/>
  <c r="F32" i="22"/>
  <c r="H32" i="22" s="1"/>
  <c r="C31" i="21" s="1"/>
  <c r="G24" i="21"/>
  <c r="H24" i="21" s="1"/>
  <c r="G36" i="20" s="1"/>
  <c r="E36" i="20"/>
  <c r="E37" i="20"/>
  <c r="G25" i="21"/>
  <c r="H25" i="21" s="1"/>
  <c r="G37" i="20" s="1"/>
  <c r="A15" i="7"/>
  <c r="O15" i="7"/>
  <c r="N14" i="7"/>
  <c r="G22" i="20"/>
  <c r="E16" i="19" s="1"/>
  <c r="C16" i="19"/>
  <c r="H21" i="22"/>
  <c r="C20" i="21" s="1"/>
  <c r="H16" i="22"/>
  <c r="C15" i="21" s="1"/>
  <c r="H23" i="22"/>
  <c r="C22" i="21" s="1"/>
  <c r="H17" i="22"/>
  <c r="C16" i="21" s="1"/>
  <c r="H19" i="22"/>
  <c r="C18" i="21" s="1"/>
  <c r="H15" i="22"/>
  <c r="C14" i="21" s="1"/>
  <c r="C15" i="19"/>
  <c r="G13" i="20"/>
  <c r="E15" i="19" s="1"/>
  <c r="G12" i="20"/>
  <c r="E14" i="19" s="1"/>
  <c r="C14" i="19"/>
  <c r="H22" i="22"/>
  <c r="C21" i="21" s="1"/>
  <c r="H20" i="22"/>
  <c r="C19" i="21" s="1"/>
  <c r="A17" i="9"/>
  <c r="N18" i="9"/>
  <c r="N26" i="10"/>
  <c r="A25" i="10"/>
  <c r="A19" i="11"/>
  <c r="N20" i="11"/>
  <c r="E31" i="20" l="1"/>
  <c r="C19" i="19" s="1"/>
  <c r="G19" i="21"/>
  <c r="H19" i="21" s="1"/>
  <c r="G31" i="20" s="1"/>
  <c r="E19" i="19" s="1"/>
  <c r="H14" i="25"/>
  <c r="F13" i="21" s="1"/>
  <c r="H14" i="24"/>
  <c r="E13" i="21" s="1"/>
  <c r="G22" i="21"/>
  <c r="H22" i="21" s="1"/>
  <c r="G34" i="20" s="1"/>
  <c r="H14" i="23"/>
  <c r="D13" i="21" s="1"/>
  <c r="G14" i="21"/>
  <c r="H14" i="21" s="1"/>
  <c r="G26" i="20" s="1"/>
  <c r="E33" i="20"/>
  <c r="E26" i="20"/>
  <c r="G21" i="21"/>
  <c r="H21" i="21" s="1"/>
  <c r="G33" i="20" s="1"/>
  <c r="G16" i="21"/>
  <c r="H16" i="21" s="1"/>
  <c r="G28" i="20" s="1"/>
  <c r="E18" i="19" s="1"/>
  <c r="G20" i="21"/>
  <c r="H20" i="21" s="1"/>
  <c r="G32" i="20" s="1"/>
  <c r="E28" i="20"/>
  <c r="C18" i="19" s="1"/>
  <c r="E34" i="20"/>
  <c r="E39" i="20"/>
  <c r="G18" i="21"/>
  <c r="H18" i="21" s="1"/>
  <c r="G30" i="20" s="1"/>
  <c r="E38" i="20"/>
  <c r="E29" i="20"/>
  <c r="G17" i="21"/>
  <c r="H17" i="21" s="1"/>
  <c r="G29" i="20" s="1"/>
  <c r="E35" i="20"/>
  <c r="E32" i="20"/>
  <c r="E30" i="20"/>
  <c r="G15" i="21"/>
  <c r="H15" i="21" s="1"/>
  <c r="G27" i="20" s="1"/>
  <c r="E25" i="20"/>
  <c r="C17" i="19" s="1"/>
  <c r="E27" i="20"/>
  <c r="N13" i="7"/>
  <c r="A14" i="7"/>
  <c r="O14" i="7"/>
  <c r="N25" i="10"/>
  <c r="A24" i="10"/>
  <c r="A16" i="9"/>
  <c r="N17" i="9"/>
  <c r="A18" i="11"/>
  <c r="N19" i="11"/>
  <c r="G13" i="21" l="1"/>
  <c r="A13" i="7"/>
  <c r="O13" i="7"/>
  <c r="N16" i="9"/>
  <c r="A15" i="9"/>
  <c r="A23" i="10"/>
  <c r="N24" i="10"/>
  <c r="A17" i="11"/>
  <c r="N18" i="11"/>
  <c r="H13" i="21" l="1"/>
  <c r="G25" i="20" s="1"/>
  <c r="E17" i="19" s="1"/>
  <c r="N23" i="10"/>
  <c r="A22" i="10"/>
  <c r="N15" i="9"/>
  <c r="A14" i="9"/>
  <c r="N14" i="9" s="1"/>
  <c r="A16" i="11"/>
  <c r="N17" i="11"/>
  <c r="N22" i="10" l="1"/>
  <c r="A21" i="10"/>
  <c r="A15" i="11"/>
  <c r="N16" i="11"/>
  <c r="A20" i="10" l="1"/>
  <c r="N21" i="10"/>
  <c r="D65" i="10" s="1"/>
  <c r="A14" i="11"/>
  <c r="N14" i="11" s="1"/>
  <c r="N15" i="11"/>
  <c r="D14" i="11" l="1"/>
  <c r="E55" i="11"/>
  <c r="E46" i="11"/>
  <c r="E58" i="11"/>
  <c r="D55" i="11"/>
  <c r="D28" i="8"/>
  <c r="D27" i="10"/>
  <c r="D46" i="10"/>
  <c r="D51" i="10"/>
  <c r="D34" i="10"/>
  <c r="E22" i="10"/>
  <c r="E36" i="10"/>
  <c r="D42" i="10"/>
  <c r="E58" i="10"/>
  <c r="D61" i="10"/>
  <c r="E29" i="10"/>
  <c r="E37" i="10"/>
  <c r="D56" i="10"/>
  <c r="E35" i="10"/>
  <c r="D41" i="10"/>
  <c r="D23" i="10"/>
  <c r="E21" i="10"/>
  <c r="E46" i="10"/>
  <c r="E26" i="10"/>
  <c r="D43" i="10"/>
  <c r="E48" i="10"/>
  <c r="D25" i="10"/>
  <c r="E56" i="10"/>
  <c r="E65" i="10"/>
  <c r="E49" i="10"/>
  <c r="E41" i="10"/>
  <c r="E59" i="10"/>
  <c r="E34" i="10"/>
  <c r="D47" i="10"/>
  <c r="E24" i="10"/>
  <c r="D50" i="10"/>
  <c r="E55" i="10"/>
  <c r="E27" i="10"/>
  <c r="E61" i="10"/>
  <c r="E42" i="10"/>
  <c r="D33" i="10"/>
  <c r="D39" i="10"/>
  <c r="E44" i="10"/>
  <c r="D53" i="10"/>
  <c r="D24" i="10"/>
  <c r="D37" i="10"/>
  <c r="E50" i="10"/>
  <c r="E38" i="10"/>
  <c r="D26" i="10"/>
  <c r="E54" i="10"/>
  <c r="D35" i="10"/>
  <c r="D49" i="10"/>
  <c r="D45" i="10"/>
  <c r="E60" i="10"/>
  <c r="D22" i="10"/>
  <c r="E52" i="10"/>
  <c r="E23" i="10"/>
  <c r="E57" i="10"/>
  <c r="D31" i="10"/>
  <c r="E39" i="10"/>
  <c r="E32" i="10"/>
  <c r="E25" i="10"/>
  <c r="D52" i="10"/>
  <c r="D32" i="10"/>
  <c r="E31" i="10"/>
  <c r="E45" i="10"/>
  <c r="E30" i="10"/>
  <c r="D40" i="10"/>
  <c r="D36" i="10"/>
  <c r="E40" i="10"/>
  <c r="D55" i="10"/>
  <c r="D30" i="10"/>
  <c r="D29" i="10"/>
  <c r="D57" i="10"/>
  <c r="D44" i="10"/>
  <c r="D28" i="10"/>
  <c r="D48" i="10"/>
  <c r="D58" i="10"/>
  <c r="E33" i="10"/>
  <c r="D60" i="10"/>
  <c r="E53" i="10"/>
  <c r="D54" i="10"/>
  <c r="E28" i="10"/>
  <c r="E51" i="10"/>
  <c r="E43" i="10"/>
  <c r="D38" i="10"/>
  <c r="D59" i="10"/>
  <c r="D21" i="10"/>
  <c r="E47" i="10"/>
  <c r="A19" i="10"/>
  <c r="N20" i="10"/>
  <c r="D49" i="11"/>
  <c r="D51" i="11"/>
  <c r="D58" i="11" s="1"/>
  <c r="E45" i="11"/>
  <c r="D32" i="11"/>
  <c r="E50" i="11"/>
  <c r="D18" i="11"/>
  <c r="D44" i="11"/>
  <c r="D38" i="11"/>
  <c r="E23" i="11"/>
  <c r="E52" i="11"/>
  <c r="E19" i="11"/>
  <c r="D31" i="11"/>
  <c r="E20" i="11"/>
  <c r="D52" i="11"/>
  <c r="D47" i="11"/>
  <c r="E17" i="11"/>
  <c r="E38" i="11"/>
  <c r="E49" i="11"/>
  <c r="E37" i="11"/>
  <c r="E28" i="11"/>
  <c r="D53" i="11"/>
  <c r="E53" i="11"/>
  <c r="E27" i="11"/>
  <c r="E44" i="11"/>
  <c r="D50" i="11"/>
  <c r="D45" i="11"/>
  <c r="E35" i="11"/>
  <c r="E32" i="11"/>
  <c r="E54" i="11"/>
  <c r="E21" i="11"/>
  <c r="E24" i="11"/>
  <c r="D59" i="11"/>
  <c r="D27" i="11"/>
  <c r="E14" i="11"/>
  <c r="E31" i="11"/>
  <c r="D23" i="11"/>
  <c r="D21" i="11"/>
  <c r="D41" i="11"/>
  <c r="D15" i="11"/>
  <c r="E51" i="11"/>
  <c r="D40" i="11"/>
  <c r="D43" i="11"/>
  <c r="E15" i="11"/>
  <c r="D29" i="11"/>
  <c r="D22" i="11"/>
  <c r="E25" i="11"/>
  <c r="E42" i="11"/>
  <c r="E26" i="11"/>
  <c r="D20" i="11"/>
  <c r="E29" i="11"/>
  <c r="D16" i="11"/>
  <c r="E34" i="11"/>
  <c r="E40" i="11"/>
  <c r="E16" i="11"/>
  <c r="D42" i="11"/>
  <c r="D17" i="11"/>
  <c r="D24" i="11"/>
  <c r="D19" i="11"/>
  <c r="D54" i="11"/>
  <c r="E41" i="11"/>
  <c r="D37" i="11"/>
  <c r="E18" i="11"/>
  <c r="E39" i="11"/>
  <c r="D39" i="11"/>
  <c r="D35" i="11"/>
  <c r="D46" i="11"/>
  <c r="D26" i="11"/>
  <c r="E33" i="11"/>
  <c r="E59" i="11"/>
  <c r="E30" i="11"/>
  <c r="D30" i="11"/>
  <c r="D36" i="11"/>
  <c r="D34" i="11"/>
  <c r="E47" i="11"/>
  <c r="D48" i="11"/>
  <c r="E22" i="11"/>
  <c r="D25" i="11"/>
  <c r="D33" i="11"/>
  <c r="E36" i="11"/>
  <c r="E43" i="11"/>
  <c r="E48" i="11"/>
  <c r="D28" i="11"/>
  <c r="D64" i="10" l="1"/>
  <c r="A18" i="10"/>
  <c r="N19" i="10"/>
  <c r="D30" i="8"/>
  <c r="A17" i="10" l="1"/>
  <c r="N18" i="10"/>
  <c r="A16" i="10" l="1"/>
  <c r="N17" i="10"/>
  <c r="N16" i="10" l="1"/>
  <c r="A15" i="10"/>
  <c r="A14" i="10" l="1"/>
  <c r="N14" i="10" s="1"/>
  <c r="N15" i="10"/>
  <c r="F41" i="23" l="1"/>
  <c r="F41" i="24"/>
  <c r="H41" i="23" l="1"/>
  <c r="D40" i="21" s="1"/>
  <c r="C52" i="20"/>
  <c r="F41" i="22"/>
  <c r="H41" i="24"/>
  <c r="E40" i="21" s="1"/>
  <c r="H42" i="24"/>
  <c r="E41" i="21" s="1"/>
  <c r="F42" i="23"/>
  <c r="H41" i="22" l="1"/>
  <c r="C40" i="21" s="1"/>
  <c r="H42" i="23"/>
  <c r="D41" i="21" s="1"/>
  <c r="C53" i="20"/>
  <c r="H42" i="22"/>
  <c r="C41" i="21" s="1"/>
  <c r="F43" i="23"/>
  <c r="H43" i="23" l="1"/>
  <c r="D42" i="21" s="1"/>
  <c r="F43" i="22"/>
  <c r="H43" i="22" s="1"/>
  <c r="C42" i="21" s="1"/>
  <c r="F44" i="23"/>
  <c r="H44" i="23" l="1"/>
  <c r="D43" i="21" s="1"/>
  <c r="F44" i="22"/>
  <c r="F45" i="23"/>
  <c r="H45" i="23" l="1"/>
  <c r="D44" i="21" s="1"/>
  <c r="H44" i="22"/>
  <c r="C43" i="21" s="1"/>
  <c r="F45" i="22"/>
  <c r="F46" i="23"/>
  <c r="H46" i="23" l="1"/>
  <c r="D45" i="21" s="1"/>
  <c r="F46" i="22"/>
  <c r="H46" i="22" s="1"/>
  <c r="C45" i="21" s="1"/>
  <c r="H45" i="22"/>
  <c r="C44" i="21" s="1"/>
  <c r="F47" i="23"/>
  <c r="H47" i="23" l="1"/>
  <c r="D46" i="21" s="1"/>
  <c r="F47" i="22"/>
  <c r="F48" i="23"/>
  <c r="H48" i="23" l="1"/>
  <c r="D47" i="21" s="1"/>
  <c r="F48" i="22"/>
  <c r="H47" i="22"/>
  <c r="C46" i="21" s="1"/>
  <c r="F49" i="23"/>
  <c r="H49" i="23" l="1"/>
  <c r="D48" i="21" s="1"/>
  <c r="F49" i="22"/>
  <c r="H48" i="22"/>
  <c r="C47" i="21" s="1"/>
  <c r="F50" i="22" l="1"/>
  <c r="F50" i="23"/>
  <c r="H49" i="22"/>
  <c r="C48" i="21" s="1"/>
  <c r="F55" i="22" l="1"/>
  <c r="H55" i="22" s="1"/>
  <c r="F55" i="23"/>
  <c r="H55" i="23" s="1"/>
  <c r="H50" i="22"/>
  <c r="C49" i="21" s="1"/>
  <c r="C53" i="21" s="1"/>
  <c r="H50" i="23"/>
  <c r="D49" i="21" s="1"/>
  <c r="D53" i="21" s="1"/>
  <c r="B62" i="25" l="1"/>
  <c r="F34" i="25"/>
  <c r="F40" i="25"/>
  <c r="F41" i="25"/>
  <c r="F37" i="25"/>
  <c r="F38" i="25"/>
  <c r="F35" i="25"/>
  <c r="F39" i="25"/>
  <c r="F29" i="25"/>
  <c r="F31" i="25"/>
  <c r="F36" i="25"/>
  <c r="F32" i="25"/>
  <c r="F30" i="25"/>
  <c r="F33" i="25"/>
  <c r="H36" i="25" l="1"/>
  <c r="F35" i="21" s="1"/>
  <c r="G35" i="21" s="1"/>
  <c r="H35" i="21" s="1"/>
  <c r="G47" i="20" s="1"/>
  <c r="E22" i="19" s="1"/>
  <c r="E47" i="20"/>
  <c r="C22" i="19" s="1"/>
  <c r="H37" i="25"/>
  <c r="F36" i="21" s="1"/>
  <c r="G36" i="21" s="1"/>
  <c r="H36" i="21" s="1"/>
  <c r="G48" i="20" s="1"/>
  <c r="E48" i="20"/>
  <c r="H31" i="25"/>
  <c r="F30" i="21" s="1"/>
  <c r="G30" i="21" s="1"/>
  <c r="H30" i="21" s="1"/>
  <c r="G42" i="20" s="1"/>
  <c r="E42" i="20"/>
  <c r="H38" i="25"/>
  <c r="F37" i="21" s="1"/>
  <c r="G37" i="21" s="1"/>
  <c r="H37" i="21" s="1"/>
  <c r="G49" i="20" s="1"/>
  <c r="E23" i="19" s="1"/>
  <c r="E49" i="20"/>
  <c r="C23" i="19" s="1"/>
  <c r="H41" i="25"/>
  <c r="F40" i="21" s="1"/>
  <c r="E52" i="20"/>
  <c r="H34" i="25"/>
  <c r="F33" i="21" s="1"/>
  <c r="E45" i="20"/>
  <c r="H30" i="25"/>
  <c r="F29" i="21" s="1"/>
  <c r="G29" i="21" s="1"/>
  <c r="H29" i="21" s="1"/>
  <c r="G41" i="20" s="1"/>
  <c r="E20" i="19" s="1"/>
  <c r="E41" i="20"/>
  <c r="H33" i="25"/>
  <c r="F32" i="21" s="1"/>
  <c r="G32" i="21" s="1"/>
  <c r="H32" i="21" s="1"/>
  <c r="G44" i="20" s="1"/>
  <c r="E44" i="20"/>
  <c r="H32" i="25"/>
  <c r="F31" i="21" s="1"/>
  <c r="G31" i="21" s="1"/>
  <c r="H31" i="21" s="1"/>
  <c r="G43" i="20" s="1"/>
  <c r="E43" i="20"/>
  <c r="H29" i="25"/>
  <c r="F28" i="21" s="1"/>
  <c r="E40" i="20"/>
  <c r="F41" i="21"/>
  <c r="G41" i="21" s="1"/>
  <c r="H41" i="21" s="1"/>
  <c r="E53" i="20"/>
  <c r="H35" i="25"/>
  <c r="F34" i="21" s="1"/>
  <c r="G34" i="21" s="1"/>
  <c r="H34" i="21" s="1"/>
  <c r="G46" i="20" s="1"/>
  <c r="E46" i="20"/>
  <c r="H40" i="25"/>
  <c r="F39" i="21" s="1"/>
  <c r="G39" i="21" s="1"/>
  <c r="E51" i="20"/>
  <c r="H39" i="25"/>
  <c r="F38" i="21" s="1"/>
  <c r="G38" i="21" s="1"/>
  <c r="H38" i="21" s="1"/>
  <c r="G50" i="20" s="1"/>
  <c r="E24" i="19" s="1"/>
  <c r="E50" i="20"/>
  <c r="C24" i="19" s="1"/>
  <c r="G33" i="21" l="1"/>
  <c r="H33" i="21" s="1"/>
  <c r="G45" i="20" s="1"/>
  <c r="E21" i="19" s="1"/>
  <c r="G28" i="21"/>
  <c r="C21" i="19"/>
  <c r="G53" i="20"/>
  <c r="C20" i="19"/>
  <c r="G40" i="21"/>
  <c r="H39" i="21"/>
  <c r="G51" i="20" s="1"/>
  <c r="H28" i="21" l="1"/>
  <c r="G40" i="20" s="1"/>
  <c r="H40" i="21"/>
  <c r="G52" i="20" s="1"/>
  <c r="E22" i="36" l="1"/>
  <c r="G22" i="36" s="1"/>
  <c r="E24" i="36" l="1"/>
  <c r="G24" i="36" s="1"/>
  <c r="E23" i="36"/>
  <c r="G23" i="36" s="1"/>
  <c r="E19" i="36"/>
  <c r="G19" i="36" s="1"/>
  <c r="E21" i="36"/>
  <c r="G21" i="36" s="1"/>
  <c r="E16" i="36"/>
  <c r="G16" i="36" s="1"/>
  <c r="E17" i="36"/>
  <c r="G17" i="36" s="1"/>
  <c r="E26" i="36"/>
  <c r="G26" i="36" s="1"/>
  <c r="E25" i="36"/>
  <c r="G25" i="36" s="1"/>
  <c r="E18" i="36"/>
  <c r="G18" i="36" s="1"/>
  <c r="E20" i="36"/>
  <c r="G20" i="36" s="1"/>
  <c r="E15" i="36"/>
  <c r="G15" i="36" s="1"/>
  <c r="E14" i="36" l="1"/>
  <c r="E30" i="36" s="1"/>
  <c r="G14" i="36" l="1"/>
  <c r="G30" i="36" s="1"/>
  <c r="C49" i="13" l="1"/>
  <c r="D52" i="14"/>
  <c r="E52" i="14" s="1"/>
  <c r="C51" i="13" s="1"/>
  <c r="C50" i="13"/>
  <c r="C59" i="13" s="1"/>
  <c r="C63" i="13" l="1"/>
  <c r="E63" i="13" s="1"/>
  <c r="D14" i="2" s="1"/>
  <c r="C57" i="13"/>
  <c r="E57" i="13" s="1"/>
  <c r="E59" i="13"/>
  <c r="D14" i="18" s="1"/>
  <c r="J35" i="43" s="1"/>
  <c r="B44" i="43" s="1"/>
  <c r="E50" i="13"/>
  <c r="E49" i="13"/>
  <c r="E51" i="13"/>
  <c r="F28" i="43" l="1"/>
  <c r="F34" i="43" s="1"/>
  <c r="G38" i="34" s="1"/>
  <c r="G42" i="34" s="1"/>
  <c r="E19" i="1" s="1"/>
  <c r="E28" i="43"/>
  <c r="D28" i="43"/>
  <c r="D19" i="18"/>
  <c r="D20" i="18"/>
  <c r="C62" i="13"/>
  <c r="E62" i="13" s="1"/>
  <c r="D17" i="18"/>
  <c r="D22" i="18"/>
  <c r="D18" i="18"/>
  <c r="D19" i="2"/>
  <c r="D17" i="2"/>
  <c r="D15" i="2"/>
  <c r="D20" i="2"/>
  <c r="D16" i="2"/>
  <c r="D23" i="2"/>
  <c r="D21" i="2"/>
  <c r="D18" i="2"/>
  <c r="D22" i="2"/>
  <c r="E26" i="1" l="1"/>
  <c r="E21" i="1"/>
  <c r="E24" i="1"/>
  <c r="E23" i="1"/>
  <c r="E22" i="1"/>
  <c r="E15" i="1"/>
  <c r="F50" i="24" l="1"/>
  <c r="F49" i="25"/>
  <c r="F52" i="25"/>
  <c r="F51" i="24"/>
  <c r="F51" i="25"/>
  <c r="F50" i="25"/>
  <c r="H52" i="25" l="1"/>
  <c r="F51" i="21" s="1"/>
  <c r="C63" i="20"/>
  <c r="F52" i="24"/>
  <c r="H52" i="24" s="1"/>
  <c r="H51" i="25"/>
  <c r="F50" i="21" s="1"/>
  <c r="H50" i="25"/>
  <c r="F49" i="21" s="1"/>
  <c r="E61" i="20"/>
  <c r="H49" i="25"/>
  <c r="F48" i="21" s="1"/>
  <c r="C61" i="20"/>
  <c r="H50" i="24"/>
  <c r="E49" i="21" s="1"/>
  <c r="F48" i="25"/>
  <c r="C62" i="20"/>
  <c r="F49" i="24"/>
  <c r="C60" i="20"/>
  <c r="H48" i="25" l="1"/>
  <c r="F47" i="21" s="1"/>
  <c r="E51" i="21"/>
  <c r="E63" i="20"/>
  <c r="G49" i="21"/>
  <c r="H49" i="21" s="1"/>
  <c r="G61" i="20" s="1"/>
  <c r="H49" i="24"/>
  <c r="E48" i="21" s="1"/>
  <c r="G48" i="21" s="1"/>
  <c r="H48" i="21" s="1"/>
  <c r="G60" i="20" s="1"/>
  <c r="E60" i="20"/>
  <c r="H51" i="24"/>
  <c r="E50" i="21" s="1"/>
  <c r="G50" i="21" s="1"/>
  <c r="H50" i="21" s="1"/>
  <c r="G62" i="20" s="1"/>
  <c r="E62" i="20"/>
  <c r="C26" i="19" s="1"/>
  <c r="F47" i="25"/>
  <c r="F48" i="24"/>
  <c r="C59" i="20"/>
  <c r="C27" i="19" l="1"/>
  <c r="G51" i="21"/>
  <c r="H51" i="21" s="1"/>
  <c r="G63" i="20" s="1"/>
  <c r="H47" i="25"/>
  <c r="F46" i="21" s="1"/>
  <c r="H48" i="24"/>
  <c r="E47" i="21" s="1"/>
  <c r="G47" i="21" s="1"/>
  <c r="H47" i="21" s="1"/>
  <c r="G59" i="20" s="1"/>
  <c r="E59" i="20"/>
  <c r="C25" i="19" s="1"/>
  <c r="F46" i="25"/>
  <c r="F47" i="24"/>
  <c r="E58" i="20" s="1"/>
  <c r="C58" i="20"/>
  <c r="E27" i="19" l="1"/>
  <c r="E25" i="19"/>
  <c r="E26" i="19"/>
  <c r="H47" i="24"/>
  <c r="E46" i="21" s="1"/>
  <c r="G46" i="21" s="1"/>
  <c r="H46" i="21" s="1"/>
  <c r="G58" i="20" s="1"/>
  <c r="H46" i="25"/>
  <c r="F45" i="21" s="1"/>
  <c r="F46" i="24"/>
  <c r="C57" i="20"/>
  <c r="F45" i="25"/>
  <c r="E29" i="19" l="1"/>
  <c r="H45" i="25"/>
  <c r="F44" i="21" s="1"/>
  <c r="H46" i="24"/>
  <c r="E45" i="21" s="1"/>
  <c r="G45" i="21" s="1"/>
  <c r="H45" i="21" s="1"/>
  <c r="G57" i="20" s="1"/>
  <c r="E57" i="20"/>
  <c r="F45" i="24"/>
  <c r="C56" i="20"/>
  <c r="F44" i="25"/>
  <c r="H45" i="24" l="1"/>
  <c r="E44" i="21" s="1"/>
  <c r="G44" i="21" s="1"/>
  <c r="H44" i="21" s="1"/>
  <c r="G56" i="20" s="1"/>
  <c r="E56" i="20"/>
  <c r="F44" i="24"/>
  <c r="C55" i="20"/>
  <c r="H44" i="25"/>
  <c r="F43" i="21" s="1"/>
  <c r="H44" i="24" l="1"/>
  <c r="E43" i="21" s="1"/>
  <c r="G43" i="21" s="1"/>
  <c r="H43" i="21" s="1"/>
  <c r="G55" i="20" s="1"/>
  <c r="E55" i="20"/>
  <c r="F43" i="24" l="1"/>
  <c r="C54" i="20"/>
  <c r="C66" i="20" s="1"/>
  <c r="F43" i="25"/>
  <c r="F55" i="24" l="1"/>
  <c r="H55" i="24" s="1"/>
  <c r="F55" i="25"/>
  <c r="H55" i="25" s="1"/>
  <c r="H43" i="24"/>
  <c r="E42" i="21" s="1"/>
  <c r="E53" i="21" s="1"/>
  <c r="E54" i="20"/>
  <c r="E66" i="20" s="1"/>
  <c r="H43" i="25"/>
  <c r="F42" i="21" s="1"/>
  <c r="F53" i="21" s="1"/>
  <c r="G42" i="21" l="1"/>
  <c r="H42" i="21" l="1"/>
  <c r="G53" i="21"/>
  <c r="H53" i="21" l="1"/>
  <c r="G54" i="20"/>
  <c r="G69" i="20" s="1"/>
  <c r="G68" i="20" l="1"/>
  <c r="G66" i="20"/>
  <c r="G70" i="20" l="1"/>
  <c r="E31" i="19" s="1"/>
  <c r="F27" i="19" s="1"/>
  <c r="F20" i="19" l="1"/>
  <c r="F19" i="19"/>
  <c r="F24" i="19"/>
  <c r="F21" i="19"/>
  <c r="F23" i="19"/>
  <c r="F22" i="19"/>
  <c r="F17" i="19"/>
  <c r="F14" i="19"/>
  <c r="F25" i="19"/>
  <c r="F18" i="19"/>
  <c r="F15" i="19"/>
  <c r="F26" i="19"/>
  <c r="F16" i="19"/>
  <c r="F29" i="19" l="1"/>
  <c r="E33" i="19"/>
  <c r="E34" i="19" s="1"/>
  <c r="E44" i="19" l="1"/>
  <c r="E45" i="19" l="1"/>
  <c r="C14" i="18" s="1"/>
  <c r="E14" i="18" s="1"/>
  <c r="C19" i="1" s="1"/>
  <c r="D51" i="7"/>
  <c r="F51" i="7" s="1"/>
  <c r="G51" i="7" s="1"/>
  <c r="D48" i="7"/>
  <c r="F48" i="7" s="1"/>
  <c r="D34" i="7"/>
  <c r="F34" i="7" s="1"/>
  <c r="D31" i="7"/>
  <c r="F31" i="7" s="1"/>
  <c r="D47" i="7"/>
  <c r="F47" i="7" s="1"/>
  <c r="D42" i="7"/>
  <c r="F42" i="7" s="1"/>
  <c r="D37" i="7"/>
  <c r="F37" i="7" s="1"/>
  <c r="G37" i="7" s="1"/>
  <c r="D25" i="7"/>
  <c r="F25" i="7" s="1"/>
  <c r="D38" i="7"/>
  <c r="F38" i="7" s="1"/>
  <c r="D19" i="7"/>
  <c r="F19" i="7" s="1"/>
  <c r="D16" i="7"/>
  <c r="F16" i="7" s="1"/>
  <c r="D29" i="7"/>
  <c r="F29" i="7" s="1"/>
  <c r="D23" i="7"/>
  <c r="F23" i="7" s="1"/>
  <c r="D28" i="7"/>
  <c r="F28" i="7" s="1"/>
  <c r="D24" i="7"/>
  <c r="F24" i="7" s="1"/>
  <c r="D35" i="7"/>
  <c r="F35" i="7" s="1"/>
  <c r="G35" i="7" s="1"/>
  <c r="D15" i="7"/>
  <c r="F15" i="7" s="1"/>
  <c r="D27" i="7"/>
  <c r="F27" i="7" s="1"/>
  <c r="D26" i="7"/>
  <c r="F26" i="7" s="1"/>
  <c r="D36" i="7"/>
  <c r="F36" i="7" s="1"/>
  <c r="D20" i="7"/>
  <c r="F20" i="7" s="1"/>
  <c r="D45" i="7"/>
  <c r="F45" i="7" s="1"/>
  <c r="D43" i="7"/>
  <c r="F43" i="7" s="1"/>
  <c r="D39" i="7"/>
  <c r="F39" i="7" s="1"/>
  <c r="D33" i="7"/>
  <c r="F33" i="7" s="1"/>
  <c r="D13" i="7"/>
  <c r="F13" i="7" s="1"/>
  <c r="D21" i="7"/>
  <c r="F21" i="7" s="1"/>
  <c r="D14" i="7"/>
  <c r="F14" i="7" s="1"/>
  <c r="D40" i="7"/>
  <c r="F40" i="7" s="1"/>
  <c r="D17" i="7"/>
  <c r="F17" i="7" s="1"/>
  <c r="G17" i="7" s="1"/>
  <c r="D41" i="7"/>
  <c r="F41" i="7" s="1"/>
  <c r="D32" i="7"/>
  <c r="F32" i="7" s="1"/>
  <c r="D44" i="7"/>
  <c r="F44" i="7" s="1"/>
  <c r="D18" i="7"/>
  <c r="F18" i="7" s="1"/>
  <c r="D46" i="7"/>
  <c r="F46" i="7" s="1"/>
  <c r="D30" i="7"/>
  <c r="F30" i="7" s="1"/>
  <c r="D22" i="7"/>
  <c r="F22" i="7" s="1"/>
  <c r="D50" i="7"/>
  <c r="F50" i="7" s="1"/>
  <c r="G50" i="7" s="1"/>
  <c r="D49" i="7"/>
  <c r="F49" i="7" s="1"/>
  <c r="D52" i="7"/>
  <c r="F52" i="7" s="1"/>
  <c r="G52" i="7" s="1"/>
  <c r="G43" i="7" l="1"/>
  <c r="H46" i="7"/>
  <c r="H40" i="7"/>
  <c r="C20" i="5" s="1"/>
  <c r="H43" i="7"/>
  <c r="G40" i="7"/>
  <c r="G26" i="7"/>
  <c r="H29" i="7"/>
  <c r="G23" i="7"/>
  <c r="H26" i="7"/>
  <c r="G16" i="7"/>
  <c r="H19" i="7"/>
  <c r="H28" i="7"/>
  <c r="C17" i="5" s="1"/>
  <c r="G25" i="7"/>
  <c r="G42" i="7"/>
  <c r="H45" i="7"/>
  <c r="G14" i="7"/>
  <c r="H17" i="7"/>
  <c r="G29" i="7"/>
  <c r="H32" i="7"/>
  <c r="C18" i="5" s="1"/>
  <c r="G31" i="7"/>
  <c r="H34" i="7"/>
  <c r="G22" i="7"/>
  <c r="H25" i="7"/>
  <c r="G41" i="7"/>
  <c r="H44" i="7"/>
  <c r="C21" i="5" s="1"/>
  <c r="G21" i="7"/>
  <c r="H24" i="7"/>
  <c r="C16" i="5" s="1"/>
  <c r="G13" i="7"/>
  <c r="H16" i="7"/>
  <c r="C14" i="5" s="1"/>
  <c r="H20" i="7"/>
  <c r="C15" i="5" s="1"/>
  <c r="H23" i="7"/>
  <c r="G20" i="7"/>
  <c r="G45" i="7"/>
  <c r="H48" i="7"/>
  <c r="C22" i="5" s="1"/>
  <c r="G19" i="7"/>
  <c r="H22" i="7"/>
  <c r="G38" i="7"/>
  <c r="H41" i="7"/>
  <c r="G34" i="7"/>
  <c r="H37" i="7"/>
  <c r="G33" i="7"/>
  <c r="H36" i="7"/>
  <c r="C19" i="5" s="1"/>
  <c r="G27" i="7"/>
  <c r="H30" i="7"/>
  <c r="H31" i="7"/>
  <c r="G28" i="7"/>
  <c r="H51" i="7"/>
  <c r="G48" i="7"/>
  <c r="G30" i="7"/>
  <c r="H33" i="7"/>
  <c r="G44" i="7"/>
  <c r="H47" i="7"/>
  <c r="G39" i="7"/>
  <c r="H42" i="7"/>
  <c r="H38" i="7"/>
  <c r="H39" i="7"/>
  <c r="G36" i="7"/>
  <c r="G15" i="7"/>
  <c r="H18" i="7"/>
  <c r="G24" i="7"/>
  <c r="H27" i="7"/>
  <c r="G18" i="7"/>
  <c r="H21" i="7"/>
  <c r="H52" i="7"/>
  <c r="C23" i="5" s="1"/>
  <c r="C45" i="5" s="1"/>
  <c r="G49" i="7"/>
  <c r="G46" i="7"/>
  <c r="H49" i="7"/>
  <c r="G32" i="7"/>
  <c r="H35" i="7"/>
  <c r="H50" i="7"/>
  <c r="G47" i="7"/>
  <c r="J51" i="7" l="1"/>
  <c r="J42" i="7"/>
  <c r="J36" i="7"/>
  <c r="J41" i="7"/>
  <c r="J34" i="7"/>
  <c r="J46" i="7"/>
  <c r="J43" i="7"/>
  <c r="J35" i="7"/>
  <c r="J40" i="7"/>
  <c r="J48" i="7"/>
  <c r="J33" i="7"/>
  <c r="J39" i="7"/>
  <c r="J49" i="7"/>
  <c r="J56" i="7"/>
  <c r="J44" i="7"/>
  <c r="J45" i="7"/>
  <c r="J47" i="7"/>
  <c r="J50" i="7"/>
  <c r="J52" i="7"/>
  <c r="J38" i="7"/>
  <c r="J37" i="7"/>
  <c r="C41" i="5"/>
  <c r="C38" i="5"/>
  <c r="L41" i="7"/>
  <c r="L45" i="7"/>
  <c r="L50" i="7"/>
  <c r="L48" i="7"/>
  <c r="L43" i="7"/>
  <c r="L44" i="7"/>
  <c r="L51" i="7"/>
  <c r="L42" i="7"/>
  <c r="L46" i="7"/>
  <c r="L52" i="7"/>
  <c r="L47" i="7"/>
  <c r="L56" i="7"/>
  <c r="L49" i="7"/>
  <c r="C43" i="5"/>
  <c r="I48" i="7"/>
  <c r="I42" i="7"/>
  <c r="I25" i="7"/>
  <c r="I51" i="7"/>
  <c r="I52" i="7"/>
  <c r="I41" i="7"/>
  <c r="I17" i="7"/>
  <c r="I37" i="7"/>
  <c r="I36" i="7"/>
  <c r="I40" i="7"/>
  <c r="I50" i="7"/>
  <c r="I29" i="7"/>
  <c r="I44" i="7"/>
  <c r="I47" i="7"/>
  <c r="I46" i="7"/>
  <c r="I35" i="7"/>
  <c r="I32" i="7"/>
  <c r="I34" i="7"/>
  <c r="I18" i="7"/>
  <c r="I30" i="7"/>
  <c r="I24" i="7"/>
  <c r="I22" i="7"/>
  <c r="I26" i="7"/>
  <c r="I31" i="7"/>
  <c r="I38" i="7"/>
  <c r="I39" i="7"/>
  <c r="I20" i="7"/>
  <c r="I27" i="7"/>
  <c r="I21" i="7"/>
  <c r="I45" i="7"/>
  <c r="I28" i="7"/>
  <c r="I49" i="7"/>
  <c r="I19" i="7"/>
  <c r="I23" i="7"/>
  <c r="I33" i="7"/>
  <c r="I43" i="7"/>
  <c r="C42" i="5"/>
  <c r="I56" i="7"/>
  <c r="C39" i="5"/>
  <c r="C40" i="5"/>
  <c r="K43" i="7"/>
  <c r="K46" i="7"/>
  <c r="K56" i="7"/>
  <c r="K39" i="7"/>
  <c r="K41" i="7"/>
  <c r="K38" i="7"/>
  <c r="K51" i="7"/>
  <c r="K37" i="7"/>
  <c r="K50" i="7"/>
  <c r="K48" i="7"/>
  <c r="K42" i="7"/>
  <c r="K49" i="7"/>
  <c r="K45" i="7"/>
  <c r="K44" i="7"/>
  <c r="K47" i="7"/>
  <c r="K52" i="7"/>
  <c r="K40" i="7"/>
  <c r="C44" i="5"/>
  <c r="C37" i="5"/>
  <c r="C36" i="5"/>
  <c r="K55" i="7" l="1"/>
  <c r="I55" i="7"/>
  <c r="L55" i="7"/>
  <c r="J55" i="7"/>
  <c r="N58" i="7" l="1"/>
  <c r="I18" i="5"/>
  <c r="E41" i="5" s="1"/>
  <c r="E36" i="5"/>
  <c r="E38" i="5"/>
  <c r="E39" i="5"/>
  <c r="E37" i="5"/>
  <c r="E45" i="5"/>
  <c r="E40" i="5"/>
  <c r="E43" i="5"/>
  <c r="E42" i="5" l="1"/>
  <c r="E44" i="5"/>
  <c r="E30" i="43" l="1"/>
  <c r="E32" i="43" s="1"/>
  <c r="E34" i="43" s="1"/>
  <c r="D30" i="43"/>
  <c r="D32" i="43" s="1"/>
  <c r="D34" i="43" s="1"/>
  <c r="E21" i="8" l="1"/>
  <c r="F16" i="8"/>
  <c r="F15" i="8" l="1"/>
  <c r="F19" i="8"/>
  <c r="E19" i="8"/>
  <c r="H19" i="8" s="1"/>
  <c r="D41" i="5" s="1"/>
  <c r="F23" i="8"/>
  <c r="F21" i="8"/>
  <c r="H21" i="8" s="1"/>
  <c r="D43" i="5" s="1"/>
  <c r="F14" i="8"/>
  <c r="F22" i="8"/>
  <c r="E16" i="8"/>
  <c r="H16" i="8" s="1"/>
  <c r="D38" i="5" s="1"/>
  <c r="F17" i="8"/>
  <c r="E18" i="8"/>
  <c r="E20" i="8"/>
  <c r="E14" i="8"/>
  <c r="E15" i="8"/>
  <c r="H15" i="8" s="1"/>
  <c r="D37" i="5" s="1"/>
  <c r="F18" i="8"/>
  <c r="F20" i="8"/>
  <c r="E22" i="8"/>
  <c r="H22" i="8" s="1"/>
  <c r="D44" i="5" s="1"/>
  <c r="E17" i="8"/>
  <c r="H17" i="8" s="1"/>
  <c r="D39" i="5" s="1"/>
  <c r="E23" i="8"/>
  <c r="H23" i="8" l="1"/>
  <c r="D45" i="5" s="1"/>
  <c r="H14" i="8"/>
  <c r="D36" i="5" s="1"/>
  <c r="H18" i="8"/>
  <c r="D40" i="5" s="1"/>
  <c r="H20" i="8"/>
  <c r="D42" i="5" s="1"/>
  <c r="E28" i="8" l="1"/>
  <c r="E30" i="8" l="1"/>
  <c r="F28" i="8" l="1"/>
  <c r="F30" i="8" l="1"/>
  <c r="H28" i="8"/>
  <c r="H30" i="8" l="1"/>
  <c r="I19" i="5"/>
  <c r="F36" i="5" l="1"/>
  <c r="G36" i="5" s="1"/>
  <c r="E14" i="2" s="1"/>
  <c r="F14" i="2" s="1"/>
  <c r="F39" i="5"/>
  <c r="G39" i="5" s="1"/>
  <c r="E17" i="2" s="1"/>
  <c r="F17" i="2" s="1"/>
  <c r="H17" i="2" s="1"/>
  <c r="F37" i="5"/>
  <c r="G37" i="5" s="1"/>
  <c r="E15" i="2" s="1"/>
  <c r="F15" i="2" s="1"/>
  <c r="H15" i="2" s="1"/>
  <c r="F42" i="5"/>
  <c r="G42" i="5" s="1"/>
  <c r="E20" i="2" s="1"/>
  <c r="F20" i="2" s="1"/>
  <c r="H20" i="2" s="1"/>
  <c r="F45" i="5"/>
  <c r="G45" i="5" s="1"/>
  <c r="F41" i="5"/>
  <c r="G41" i="5" s="1"/>
  <c r="F38" i="5"/>
  <c r="G38" i="5" s="1"/>
  <c r="E16" i="2" s="1"/>
  <c r="F16" i="2" s="1"/>
  <c r="H16" i="2" s="1"/>
  <c r="F40" i="5"/>
  <c r="G40" i="5" s="1"/>
  <c r="F44" i="5"/>
  <c r="G44" i="5" s="1"/>
  <c r="H27" i="19" s="1"/>
  <c r="F43" i="5"/>
  <c r="G43" i="5" s="1"/>
  <c r="E18" i="2" l="1"/>
  <c r="F18" i="2" s="1"/>
  <c r="H18" i="2" s="1"/>
  <c r="H25" i="19"/>
  <c r="E21" i="2"/>
  <c r="F21" i="2" s="1"/>
  <c r="H21" i="2" s="1"/>
  <c r="H26" i="19"/>
  <c r="E19" i="2"/>
  <c r="F19" i="2" s="1"/>
  <c r="H19" i="2" s="1"/>
  <c r="E23" i="2"/>
  <c r="F23" i="2" s="1"/>
  <c r="H23" i="2" s="1"/>
  <c r="E22" i="2"/>
  <c r="F22" i="2" s="1"/>
  <c r="H22" i="2" s="1"/>
  <c r="H14" i="2"/>
  <c r="F26" i="2" l="1"/>
  <c r="H26" i="2" s="1"/>
  <c r="D19" i="1" s="1"/>
  <c r="H24" i="19"/>
  <c r="H23" i="19"/>
  <c r="D22" i="1" l="1"/>
  <c r="D23" i="1"/>
  <c r="D15" i="1"/>
  <c r="D21" i="1"/>
  <c r="F19" i="1"/>
  <c r="H19" i="1" s="1"/>
  <c r="D26" i="1"/>
  <c r="D24" i="1"/>
  <c r="D15" i="47" l="1"/>
  <c r="E15" i="47" s="1"/>
  <c r="D15" i="49" s="1"/>
  <c r="E15" i="49" s="1"/>
  <c r="D16" i="47"/>
  <c r="E16" i="47" s="1"/>
  <c r="D16" i="49" s="1"/>
  <c r="E16" i="49" s="1"/>
  <c r="D17" i="47"/>
  <c r="E17" i="47" s="1"/>
  <c r="D17" i="49" s="1"/>
  <c r="E17" i="49" s="1"/>
  <c r="D18" i="47"/>
  <c r="E18" i="47" s="1"/>
  <c r="D18" i="49" s="1"/>
  <c r="E18" i="49" s="1"/>
  <c r="D19" i="47"/>
  <c r="E19" i="47" s="1"/>
  <c r="D19" i="49" s="1"/>
  <c r="E19" i="49" s="1"/>
  <c r="D20" i="47"/>
  <c r="E20" i="47" s="1"/>
  <c r="D20" i="49" s="1"/>
  <c r="E20" i="49" s="1"/>
  <c r="D21" i="47"/>
  <c r="E21" i="47" s="1"/>
  <c r="D21" i="49" s="1"/>
  <c r="E21" i="49" s="1"/>
  <c r="D22" i="47"/>
  <c r="E22" i="47" s="1"/>
  <c r="D22" i="49" s="1"/>
  <c r="E22" i="49" s="1"/>
  <c r="D23" i="47"/>
  <c r="E23" i="47" s="1"/>
  <c r="D23" i="49" s="1"/>
  <c r="E23" i="49" s="1"/>
  <c r="D24" i="47"/>
  <c r="E24" i="47" s="1"/>
  <c r="D24" i="49" s="1"/>
  <c r="E24" i="49" s="1"/>
  <c r="D25" i="47"/>
  <c r="E25" i="47" s="1"/>
  <c r="D25" i="49" s="1"/>
  <c r="E25" i="49" s="1"/>
  <c r="D26" i="47"/>
  <c r="E26" i="47" s="1"/>
  <c r="D26" i="49" s="1"/>
  <c r="E26" i="49" s="1"/>
  <c r="D27" i="47"/>
  <c r="E27" i="47" s="1"/>
  <c r="D27" i="49" s="1"/>
  <c r="E27" i="49" s="1"/>
  <c r="D28" i="47"/>
  <c r="E28" i="47" s="1"/>
  <c r="D28" i="49" s="1"/>
  <c r="E28" i="49" s="1"/>
  <c r="D14" i="47"/>
  <c r="D15" i="46"/>
  <c r="E15" i="46" s="1"/>
  <c r="D15" i="48" s="1"/>
  <c r="E15" i="48" s="1"/>
  <c r="D16" i="46"/>
  <c r="E16" i="46" s="1"/>
  <c r="D16" i="48" s="1"/>
  <c r="E16" i="48" s="1"/>
  <c r="D17" i="46"/>
  <c r="E17" i="46" s="1"/>
  <c r="D17" i="48" s="1"/>
  <c r="E17" i="48" s="1"/>
  <c r="D18" i="46"/>
  <c r="E18" i="46" s="1"/>
  <c r="D18" i="48" s="1"/>
  <c r="E18" i="48" s="1"/>
  <c r="D19" i="46"/>
  <c r="E19" i="46" s="1"/>
  <c r="D19" i="48" s="1"/>
  <c r="E19" i="48" s="1"/>
  <c r="D20" i="46"/>
  <c r="E20" i="46" s="1"/>
  <c r="D20" i="48" s="1"/>
  <c r="E20" i="48" s="1"/>
  <c r="D21" i="46"/>
  <c r="E21" i="46" s="1"/>
  <c r="D21" i="48" s="1"/>
  <c r="E21" i="48" s="1"/>
  <c r="D22" i="46"/>
  <c r="E22" i="46" s="1"/>
  <c r="D22" i="48" s="1"/>
  <c r="E22" i="48" s="1"/>
  <c r="D23" i="46"/>
  <c r="E23" i="46" s="1"/>
  <c r="D23" i="48" s="1"/>
  <c r="E23" i="48" s="1"/>
  <c r="D24" i="46"/>
  <c r="E24" i="46" s="1"/>
  <c r="D24" i="48" s="1"/>
  <c r="E24" i="48" s="1"/>
  <c r="D25" i="46"/>
  <c r="E25" i="46" s="1"/>
  <c r="D25" i="48" s="1"/>
  <c r="E25" i="48" s="1"/>
  <c r="D26" i="46"/>
  <c r="E26" i="46" s="1"/>
  <c r="D26" i="48" s="1"/>
  <c r="E26" i="48" s="1"/>
  <c r="D27" i="46"/>
  <c r="E27" i="46" s="1"/>
  <c r="D27" i="48" s="1"/>
  <c r="E27" i="48" s="1"/>
  <c r="D28" i="46"/>
  <c r="E28" i="46" s="1"/>
  <c r="D28" i="48" s="1"/>
  <c r="E28" i="48" s="1"/>
  <c r="D14" i="46"/>
  <c r="D18" i="29"/>
  <c r="E18" i="29" s="1"/>
  <c r="D18" i="28" s="1"/>
  <c r="E18" i="28" s="1"/>
  <c r="D26" i="29"/>
  <c r="E26" i="29" s="1"/>
  <c r="D26" i="28" s="1"/>
  <c r="E26" i="28" s="1"/>
  <c r="D14" i="29"/>
  <c r="D15" i="29"/>
  <c r="E15" i="29" s="1"/>
  <c r="D15" i="28" s="1"/>
  <c r="E15" i="28" s="1"/>
  <c r="D16" i="29"/>
  <c r="E16" i="29" s="1"/>
  <c r="D16" i="28" s="1"/>
  <c r="E16" i="28" s="1"/>
  <c r="D17" i="29"/>
  <c r="E17" i="29" s="1"/>
  <c r="D17" i="28" s="1"/>
  <c r="E17" i="28" s="1"/>
  <c r="D19" i="29"/>
  <c r="E19" i="29" s="1"/>
  <c r="D19" i="28" s="1"/>
  <c r="E19" i="28" s="1"/>
  <c r="D20" i="29"/>
  <c r="E20" i="29" s="1"/>
  <c r="D20" i="28" s="1"/>
  <c r="E20" i="28" s="1"/>
  <c r="D21" i="29"/>
  <c r="E21" i="29" s="1"/>
  <c r="D21" i="28" s="1"/>
  <c r="E21" i="28" s="1"/>
  <c r="D22" i="29"/>
  <c r="E22" i="29" s="1"/>
  <c r="D22" i="28" s="1"/>
  <c r="E22" i="28" s="1"/>
  <c r="D23" i="29"/>
  <c r="E23" i="29" s="1"/>
  <c r="D23" i="28" s="1"/>
  <c r="E23" i="28" s="1"/>
  <c r="D24" i="29"/>
  <c r="E24" i="29" s="1"/>
  <c r="D24" i="28" s="1"/>
  <c r="E24" i="28" s="1"/>
  <c r="D25" i="29"/>
  <c r="E25" i="29" s="1"/>
  <c r="D25" i="28" s="1"/>
  <c r="E25" i="28" s="1"/>
  <c r="D27" i="29"/>
  <c r="E27" i="29" s="1"/>
  <c r="D27" i="28" s="1"/>
  <c r="E27" i="28" s="1"/>
  <c r="D28" i="29"/>
  <c r="E28" i="29" s="1"/>
  <c r="D28" i="28" s="1"/>
  <c r="E28" i="28" s="1"/>
  <c r="D14" i="27"/>
  <c r="D15" i="27"/>
  <c r="E15" i="27" s="1"/>
  <c r="D15" i="26" s="1"/>
  <c r="E15" i="26" s="1"/>
  <c r="D16" i="27"/>
  <c r="E16" i="27" s="1"/>
  <c r="D16" i="26" s="1"/>
  <c r="E16" i="26" s="1"/>
  <c r="D18" i="27"/>
  <c r="E18" i="27" s="1"/>
  <c r="D18" i="26" s="1"/>
  <c r="E18" i="26" s="1"/>
  <c r="D19" i="27"/>
  <c r="E19" i="27" s="1"/>
  <c r="D19" i="26" s="1"/>
  <c r="E19" i="26" s="1"/>
  <c r="D20" i="27"/>
  <c r="E20" i="27" s="1"/>
  <c r="D20" i="26" s="1"/>
  <c r="E20" i="26" s="1"/>
  <c r="D21" i="27"/>
  <c r="E21" i="27" s="1"/>
  <c r="D21" i="26" s="1"/>
  <c r="E21" i="26" s="1"/>
  <c r="D22" i="27"/>
  <c r="E22" i="27" s="1"/>
  <c r="D22" i="26" s="1"/>
  <c r="E22" i="26" s="1"/>
  <c r="D23" i="27"/>
  <c r="E23" i="27" s="1"/>
  <c r="D23" i="26" s="1"/>
  <c r="E23" i="26" s="1"/>
  <c r="D24" i="27"/>
  <c r="E24" i="27" s="1"/>
  <c r="D24" i="26" s="1"/>
  <c r="E24" i="26" s="1"/>
  <c r="D26" i="27"/>
  <c r="E26" i="27" s="1"/>
  <c r="D26" i="26" s="1"/>
  <c r="E26" i="26" s="1"/>
  <c r="D27" i="27"/>
  <c r="E27" i="27" s="1"/>
  <c r="D27" i="26" s="1"/>
  <c r="E27" i="26" s="1"/>
  <c r="D28" i="27"/>
  <c r="E28" i="27" s="1"/>
  <c r="D28" i="26" s="1"/>
  <c r="E28" i="26" s="1"/>
  <c r="E14" i="46" l="1"/>
  <c r="D14" i="48" s="1"/>
  <c r="E14" i="48" s="1"/>
  <c r="E31" i="48" s="1"/>
  <c r="D31" i="46"/>
  <c r="E31" i="46" s="1"/>
  <c r="E14" i="29"/>
  <c r="D14" i="28" s="1"/>
  <c r="E14" i="28" s="1"/>
  <c r="E31" i="28" s="1"/>
  <c r="D31" i="29"/>
  <c r="E31" i="29" s="1"/>
  <c r="D31" i="47"/>
  <c r="E31" i="47" s="1"/>
  <c r="E14" i="47"/>
  <c r="D14" i="49" s="1"/>
  <c r="E14" i="49" s="1"/>
  <c r="E31" i="49" s="1"/>
  <c r="D25" i="27"/>
  <c r="E25" i="27" s="1"/>
  <c r="D25" i="26" s="1"/>
  <c r="E25" i="26" s="1"/>
  <c r="D17" i="27"/>
  <c r="E17" i="27" s="1"/>
  <c r="D17" i="26" s="1"/>
  <c r="E17" i="26" s="1"/>
  <c r="E14" i="27"/>
  <c r="D14" i="26" s="1"/>
  <c r="E14" i="26" s="1"/>
  <c r="D31" i="27" l="1"/>
  <c r="E31" i="27" s="1"/>
  <c r="E31" i="26"/>
  <c r="D31" i="26" s="1"/>
  <c r="D31" i="49"/>
  <c r="E34" i="49"/>
  <c r="C20" i="18" s="1"/>
  <c r="E20" i="18" s="1"/>
  <c r="C24" i="1" s="1"/>
  <c r="F24" i="1" s="1"/>
  <c r="H24" i="1" s="1"/>
  <c r="E34" i="28"/>
  <c r="C18" i="18" s="1"/>
  <c r="E18" i="18" s="1"/>
  <c r="C22" i="1" s="1"/>
  <c r="F22" i="1" s="1"/>
  <c r="H22" i="1" s="1"/>
  <c r="D31" i="28"/>
  <c r="E34" i="48"/>
  <c r="C19" i="18" s="1"/>
  <c r="E19" i="18" s="1"/>
  <c r="C23" i="1" s="1"/>
  <c r="F23" i="1" s="1"/>
  <c r="H23" i="1" s="1"/>
  <c r="D31" i="48"/>
  <c r="E34" i="26" l="1"/>
  <c r="C17" i="18" s="1"/>
  <c r="C22" i="18" s="1"/>
  <c r="E22" i="18" s="1"/>
  <c r="C26" i="1" s="1"/>
  <c r="E17" i="18" l="1"/>
  <c r="C21" i="1" s="1"/>
  <c r="F21" i="1" s="1"/>
  <c r="H21" i="1" s="1"/>
  <c r="C15" i="1"/>
  <c r="F15" i="1" s="1"/>
  <c r="H15" i="1" s="1"/>
  <c r="R1" i="8" s="1"/>
  <c r="F26" i="1"/>
  <c r="H26" i="1" s="1"/>
  <c r="L7" i="25" l="1"/>
  <c r="K1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xli</author>
  </authors>
  <commentList>
    <comment ref="C4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manually picked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  <author>Jim Murphy</author>
  </authors>
  <commentList>
    <comment ref="F26" authorId="0" shapeId="0" xr:uid="{00000000-0006-0000-2100-000001000000}">
      <text>
        <r>
          <rPr>
            <b/>
            <sz val="8"/>
            <color indexed="81"/>
            <rFont val="Tahoma"/>
            <family val="2"/>
          </rPr>
          <t>Xiu: total other UW exp + Aggregate Write in + Invest Exp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08E59AE1-4564-4930-AA4B-75762D7A26ED}">
      <text>
        <r>
          <rPr>
            <b/>
            <sz val="9"/>
            <color indexed="81"/>
            <rFont val="Tahoma"/>
            <family val="2"/>
          </rPr>
          <t>Jim Murphy:</t>
        </r>
        <r>
          <rPr>
            <sz val="9"/>
            <color indexed="81"/>
            <rFont val="Tahoma"/>
            <family val="2"/>
          </rPr>
          <t xml:space="preserve">
changed back to written premium due to majority of expenses incurred at policy issuance</t>
        </r>
      </text>
    </comment>
    <comment ref="G32" authorId="1" shapeId="0" xr:uid="{C811C45B-8BFF-4B3F-B613-9BAA0DD108DA}">
      <text>
        <r>
          <rPr>
            <b/>
            <sz val="9"/>
            <color indexed="81"/>
            <rFont val="Tahoma"/>
            <family val="2"/>
          </rPr>
          <t>Jim Murphy:</t>
        </r>
        <r>
          <rPr>
            <sz val="9"/>
            <color indexed="81"/>
            <rFont val="Tahoma"/>
            <family val="2"/>
          </rPr>
          <t xml:space="preserve">
50% weight given to prior year due to growth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D10" authorId="0" shapeId="0" xr:uid="{00000000-0006-0000-2200-000001000000}">
      <text>
        <r>
          <rPr>
            <b/>
            <sz val="8"/>
            <color indexed="81"/>
            <rFont val="Tahoma"/>
            <family val="2"/>
          </rPr>
          <t xml:space="preserve">
net of commission and broker discount, depop
</t>
        </r>
      </text>
    </comment>
    <comment ref="D13" authorId="0" shapeId="0" xr:uid="{CAD579F8-5354-40AD-A60F-5386E65F2B85}">
      <text>
        <r>
          <rPr>
            <b/>
            <sz val="8"/>
            <color indexed="81"/>
            <rFont val="Tahoma"/>
            <family val="2"/>
          </rPr>
          <t>from AAL by Layers</t>
        </r>
      </text>
    </comment>
    <comment ref="D18" authorId="0" shapeId="0" xr:uid="{00000000-0006-0000-2200-000003000000}">
      <text>
        <r>
          <rPr>
            <b/>
            <sz val="8"/>
            <color indexed="81"/>
            <rFont val="Tahoma"/>
            <family val="2"/>
          </rPr>
          <t>from AAL by Layers</t>
        </r>
      </text>
    </comment>
    <comment ref="J18" authorId="0" shapeId="0" xr:uid="{00000000-0006-0000-2200-000004000000}">
      <text>
        <r>
          <rPr>
            <b/>
            <sz val="8"/>
            <color indexed="81"/>
            <rFont val="Tahoma"/>
            <family val="2"/>
          </rPr>
          <t>Xiu: based on Montly stat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  <author>jmurphy</author>
  </authors>
  <commentList>
    <comment ref="F11" authorId="0" shapeId="0" xr:uid="{00000000-0006-0000-2300-000001000000}">
      <text>
        <r>
          <rPr>
            <b/>
            <sz val="8"/>
            <color indexed="81"/>
            <rFont val="Tahoma"/>
            <family val="2"/>
          </rPr>
          <t>Twia Admin:</t>
        </r>
        <r>
          <rPr>
            <sz val="8"/>
            <color indexed="81"/>
            <rFont val="Tahoma"/>
            <family val="2"/>
          </rPr>
          <t xml:space="preserve">
only loss; no adjustment expenses</t>
        </r>
      </text>
    </comment>
    <comment ref="F18" authorId="1" shapeId="0" xr:uid="{00000000-0006-0000-2300-000002000000}">
      <text>
        <r>
          <rPr>
            <b/>
            <sz val="8"/>
            <color indexed="81"/>
            <rFont val="Tahoma"/>
            <family val="2"/>
          </rPr>
          <t>jmurphy:
removed accounting adjustment of $110M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xli</author>
  </authors>
  <commentList>
    <comment ref="C36" authorId="0" shapeId="0" xr:uid="{00000000-0006-0000-2400-000001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Changes due to migration to GWDW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B63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10 Non-Hurricane Years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C47" authorId="0" shapeId="0" xr:uid="{AA7BA2A5-0CC7-4E69-ACC7-8CEAD0B4F488}">
      <text>
        <r>
          <rPr>
            <b/>
            <sz val="9"/>
            <color indexed="81"/>
            <rFont val="Tahoma"/>
            <family val="2"/>
          </rPr>
          <t>Jim Murphy:</t>
        </r>
        <r>
          <rPr>
            <sz val="9"/>
            <color indexed="81"/>
            <rFont val="Tahoma"/>
            <family val="2"/>
          </rPr>
          <t xml:space="preserve">
manually selected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Fang</author>
  </authors>
  <commentList>
    <comment ref="O11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Angela Fang:</t>
        </r>
        <r>
          <rPr>
            <sz val="9"/>
            <color indexed="81"/>
            <rFont val="Tahoma"/>
            <family val="2"/>
          </rPr>
          <t xml:space="preserve">
Schedule P - Column 8</t>
        </r>
      </text>
    </comment>
    <comment ref="P11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Angela Fang:</t>
        </r>
        <r>
          <rPr>
            <sz val="9"/>
            <color indexed="81"/>
            <rFont val="Tahoma"/>
            <family val="2"/>
          </rPr>
          <t xml:space="preserve">
Column 21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C48" authorId="0" shapeId="0" xr:uid="{10B6F29C-00CF-4A7D-BBD8-1DE25FFEBFC6}">
      <text>
        <r>
          <rPr>
            <b/>
            <sz val="9"/>
            <color indexed="81"/>
            <rFont val="Tahoma"/>
            <family val="2"/>
          </rPr>
          <t>Jim Murphy:</t>
        </r>
        <r>
          <rPr>
            <sz val="9"/>
            <color indexed="81"/>
            <rFont val="Tahoma"/>
            <family val="2"/>
          </rPr>
          <t xml:space="preserve">
selected based on historical non-hurricane years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  <author>xli</author>
    <author>jmurphy</author>
  </authors>
  <commentList>
    <comment ref="L32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Jim Murphy:
Total of actual TWIA / Industry EP from ISO data for all available years</t>
        </r>
      </text>
    </comment>
    <comment ref="G39" authorId="1" shapeId="0" xr:uid="{00000000-0006-0000-1500-000002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jmurphy:
subtract litigation related costs</t>
        </r>
      </text>
    </comment>
    <comment ref="L43" authorId="2" shapeId="0" xr:uid="{00000000-0006-0000-1500-000003000000}">
      <text>
        <r>
          <rPr>
            <b/>
            <sz val="8"/>
            <color indexed="81"/>
            <rFont val="Tahoma"/>
            <family val="2"/>
          </rPr>
          <t>jmurphy:</t>
        </r>
        <r>
          <rPr>
            <sz val="8"/>
            <color indexed="81"/>
            <rFont val="Tahoma"/>
            <family val="2"/>
          </rPr>
          <t xml:space="preserve">
from Ike Dolly Lit Reduction spreadsheet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6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6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7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8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8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<sst xmlns="http://schemas.openxmlformats.org/spreadsheetml/2006/main" count="1746" uniqueCount="626">
  <si>
    <t>Texas Windstorm Insurance Association</t>
  </si>
  <si>
    <t>Rate Level Review</t>
  </si>
  <si>
    <t>Summary of Indicated Rate Change</t>
  </si>
  <si>
    <t>By Method for Projecting Hurricane Loss &amp; LAE</t>
  </si>
  <si>
    <t>Exhibit 1</t>
  </si>
  <si>
    <t>Hurricane</t>
  </si>
  <si>
    <t>Indicated Loss &amp; LAE Ratio</t>
  </si>
  <si>
    <t>Non-Hurricane</t>
  </si>
  <si>
    <t>Total</t>
  </si>
  <si>
    <t>Permissible</t>
  </si>
  <si>
    <t>Loss &amp; LAE</t>
  </si>
  <si>
    <t>Ratio</t>
  </si>
  <si>
    <t>Indicated</t>
  </si>
  <si>
    <t>Rate</t>
  </si>
  <si>
    <t>Change</t>
  </si>
  <si>
    <t>A</t>
  </si>
  <si>
    <t>B</t>
  </si>
  <si>
    <t>Hurricane Projection Method</t>
  </si>
  <si>
    <t>Notes:</t>
  </si>
  <si>
    <t>Projected Ultimate Non-Hurricane Loss &amp; LAE Ratio</t>
  </si>
  <si>
    <t>Exhibit 2</t>
  </si>
  <si>
    <t>Sheet 1</t>
  </si>
  <si>
    <t>Tier 2</t>
  </si>
  <si>
    <t>Amount</t>
  </si>
  <si>
    <t>Loss &amp; LAE Ratio</t>
  </si>
  <si>
    <t>Total / Average</t>
  </si>
  <si>
    <t>Tier 1 -- Territory 8 (Galveston County)</t>
  </si>
  <si>
    <t>Ending</t>
  </si>
  <si>
    <t>Ultimate</t>
  </si>
  <si>
    <t>LAE</t>
  </si>
  <si>
    <t>Factor</t>
  </si>
  <si>
    <t>Net</t>
  </si>
  <si>
    <t>Trend</t>
  </si>
  <si>
    <t>Projected</t>
  </si>
  <si>
    <t>Loss</t>
  </si>
  <si>
    <t>at Current</t>
  </si>
  <si>
    <t>TWIA Rate Level</t>
  </si>
  <si>
    <t>Earned Premium</t>
  </si>
  <si>
    <t>Tier 1 -- Territory 9 (Nueces County)</t>
  </si>
  <si>
    <t>Tier 1 -- Territory 10 (Other Tier 1)</t>
  </si>
  <si>
    <t>Projected Ultimate Non-Hurricane Loss</t>
  </si>
  <si>
    <t>Accident</t>
  </si>
  <si>
    <t>Year</t>
  </si>
  <si>
    <t>Paid Loss</t>
  </si>
  <si>
    <t>Development</t>
  </si>
  <si>
    <t>Paid Loss Excluding Expense</t>
  </si>
  <si>
    <t>Paid Loss Development Factors</t>
  </si>
  <si>
    <t>Exhibit 3</t>
  </si>
  <si>
    <t>Months of Development</t>
  </si>
  <si>
    <t>Starting Accident Age</t>
  </si>
  <si>
    <t>Development Factors</t>
  </si>
  <si>
    <t>Average</t>
  </si>
  <si>
    <t>Avg 5 Year</t>
  </si>
  <si>
    <t>Selected</t>
  </si>
  <si>
    <t>Cumulative</t>
  </si>
  <si>
    <t>Exhibit 4</t>
  </si>
  <si>
    <t>Development of LAE factor Using TWIA Commercial + Residential Experience</t>
  </si>
  <si>
    <t>LAE to</t>
  </si>
  <si>
    <t>Loss Ratio</t>
  </si>
  <si>
    <t>Indicator</t>
  </si>
  <si>
    <t>H</t>
  </si>
  <si>
    <t>Hurricane Years Total</t>
  </si>
  <si>
    <t>All Years Total</t>
  </si>
  <si>
    <t>Non-Hurricane Years</t>
  </si>
  <si>
    <t>10 Year</t>
  </si>
  <si>
    <t>Sheet 2</t>
  </si>
  <si>
    <t>Ultimate Loss (TWIA All Lines)</t>
  </si>
  <si>
    <t>Incurred</t>
  </si>
  <si>
    <t>Sheet 3</t>
  </si>
  <si>
    <t>Incurred Loss Development Factors</t>
  </si>
  <si>
    <t>TWIA Schedule P Incurred Loss (Including IBNR)</t>
  </si>
  <si>
    <t>Sheet 4</t>
  </si>
  <si>
    <t>Sheet 5</t>
  </si>
  <si>
    <t>Incurred ALAE Development Factors</t>
  </si>
  <si>
    <t>Avg x hi / lo</t>
  </si>
  <si>
    <t>Avg 3 Year</t>
  </si>
  <si>
    <t>Summary of Indicated Hurricane Loss &amp; LAE Ratios</t>
  </si>
  <si>
    <t>Exhibit 5</t>
  </si>
  <si>
    <t>Basis for Hurricane Loss Ratio</t>
  </si>
  <si>
    <t>Hurricane Models</t>
  </si>
  <si>
    <t>RMS Model</t>
  </si>
  <si>
    <t>Average of Models</t>
  </si>
  <si>
    <t>Exhibit 6</t>
  </si>
  <si>
    <t>(10)</t>
  </si>
  <si>
    <t>Start</t>
  </si>
  <si>
    <t>End</t>
  </si>
  <si>
    <t>Losses</t>
  </si>
  <si>
    <t>Years</t>
  </si>
  <si>
    <t>(5)</t>
  </si>
  <si>
    <t>(9)</t>
  </si>
  <si>
    <t>(8)</t>
  </si>
  <si>
    <t>(7)</t>
  </si>
  <si>
    <t>(6)</t>
  </si>
  <si>
    <t>Selected Non-Hurricane Loss Ratio</t>
  </si>
  <si>
    <t>Earned</t>
  </si>
  <si>
    <t>Premium</t>
  </si>
  <si>
    <t>Average of Non-Hurricane Years</t>
  </si>
  <si>
    <t>Average of Non-Hurricane Years Excluding 1991</t>
  </si>
  <si>
    <t>Territory 8</t>
  </si>
  <si>
    <t>Territory 9</t>
  </si>
  <si>
    <t>Territory 10</t>
  </si>
  <si>
    <t>Weighted</t>
  </si>
  <si>
    <t>Loss Ratios by Territory / Tier</t>
  </si>
  <si>
    <t>% Share</t>
  </si>
  <si>
    <t>Rate Level</t>
  </si>
  <si>
    <t>Sheet 6</t>
  </si>
  <si>
    <t>Sheet 7</t>
  </si>
  <si>
    <t>(4)</t>
  </si>
  <si>
    <t>County</t>
  </si>
  <si>
    <t>TWIA Insured</t>
  </si>
  <si>
    <t>Values (000s)</t>
  </si>
  <si>
    <t>Modeled</t>
  </si>
  <si>
    <t>Loss Cost</t>
  </si>
  <si>
    <t>Hurricane Loss</t>
  </si>
  <si>
    <t>Expected Annual</t>
  </si>
  <si>
    <t>Indicated Hurricane Loss Ratio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</si>
  <si>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</si>
  <si>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</si>
  <si>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</si>
  <si>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</si>
  <si>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</si>
  <si>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</si>
  <si>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</si>
  <si>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</si>
  <si>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</si>
  <si>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</si>
  <si>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</si>
  <si>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</si>
  <si>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</si>
  <si>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</si>
  <si>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</si>
  <si>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Insured Values as of</t>
  </si>
  <si>
    <t>Annual</t>
  </si>
  <si>
    <t>Modeled Loss</t>
  </si>
  <si>
    <t>Exhibit 8</t>
  </si>
  <si>
    <t>Exhibit 9</t>
  </si>
  <si>
    <t>Hurricane Loss Ratio -- RMS Model</t>
  </si>
  <si>
    <t>RMS Simulated Hurricane Results</t>
  </si>
  <si>
    <t>Exhibit 10</t>
  </si>
  <si>
    <t>Date</t>
  </si>
  <si>
    <t>Name</t>
  </si>
  <si>
    <t>Audrey</t>
  </si>
  <si>
    <t>Debra</t>
  </si>
  <si>
    <t>Carla</t>
  </si>
  <si>
    <t>Cindy</t>
  </si>
  <si>
    <t>Celia</t>
  </si>
  <si>
    <t>Fern</t>
  </si>
  <si>
    <t>Allen</t>
  </si>
  <si>
    <t>Alicia</t>
  </si>
  <si>
    <t>Bonnie</t>
  </si>
  <si>
    <t>Chantal</t>
  </si>
  <si>
    <t>Jerry</t>
  </si>
  <si>
    <t>Frequency</t>
  </si>
  <si>
    <t>Date Period</t>
  </si>
  <si>
    <t>Hurricanes</t>
  </si>
  <si>
    <t>Annual Frequency</t>
  </si>
  <si>
    <t>Exhibit 11</t>
  </si>
  <si>
    <t>Exhibit 12</t>
  </si>
  <si>
    <t>Expense Category</t>
  </si>
  <si>
    <t>(1)</t>
  </si>
  <si>
    <t>(2)</t>
  </si>
  <si>
    <t>(3)</t>
  </si>
  <si>
    <t>Direct Earned Premium</t>
  </si>
  <si>
    <t>Direct Written Premium</t>
  </si>
  <si>
    <t>Commission</t>
  </si>
  <si>
    <t>$ Amount</t>
  </si>
  <si>
    <t>% of DWP</t>
  </si>
  <si>
    <t>Other Acquisition</t>
  </si>
  <si>
    <t>General Expense</t>
  </si>
  <si>
    <t>Unadjusted $ Amount</t>
  </si>
  <si>
    <t>Adjustments</t>
  </si>
  <si>
    <t>Contribution to Statutory Fund</t>
  </si>
  <si>
    <t>Adjusted $ Amount</t>
  </si>
  <si>
    <t>Taxes, Licenses &amp; Fees</t>
  </si>
  <si>
    <t>Reinsurance Expense</t>
  </si>
  <si>
    <t>(11)</t>
  </si>
  <si>
    <t>Reconciliation of Premium Data to Annual Statement</t>
  </si>
  <si>
    <t>Calendar</t>
  </si>
  <si>
    <t>TWIA Provided Written Premium</t>
  </si>
  <si>
    <t>Commercial</t>
  </si>
  <si>
    <t>Residential</t>
  </si>
  <si>
    <t>Written Premium</t>
  </si>
  <si>
    <t>Statement Gross</t>
  </si>
  <si>
    <t>Difference</t>
  </si>
  <si>
    <t>Commercial Property - Wind &amp; Hail</t>
  </si>
  <si>
    <t>Reconciliation of Paid Loss Data to Schedule P</t>
  </si>
  <si>
    <t>TWIA Provided Paid Loss</t>
  </si>
  <si>
    <t>Schedule P</t>
  </si>
  <si>
    <t>Direct &amp; Assumed</t>
  </si>
  <si>
    <t>&amp; Farm</t>
  </si>
  <si>
    <t>History of Rate Level Changes</t>
  </si>
  <si>
    <t>Effective</t>
  </si>
  <si>
    <t>Prior</t>
  </si>
  <si>
    <t>8/1/80</t>
  </si>
  <si>
    <t>9/1/81</t>
  </si>
  <si>
    <t>9/1/82</t>
  </si>
  <si>
    <t>10/10/83</t>
  </si>
  <si>
    <t>3/1/85</t>
  </si>
  <si>
    <t>3/15/85</t>
  </si>
  <si>
    <t>11/15/85</t>
  </si>
  <si>
    <t>7/1/87</t>
  </si>
  <si>
    <t>11/1/88</t>
  </si>
  <si>
    <t>3/1/90</t>
  </si>
  <si>
    <t>4/1/91</t>
  </si>
  <si>
    <t>1/1/92</t>
  </si>
  <si>
    <t>10/1/93</t>
  </si>
  <si>
    <t>1/1/98</t>
  </si>
  <si>
    <t>1/1/00</t>
  </si>
  <si>
    <t>1/1/01</t>
  </si>
  <si>
    <t>1/1/02</t>
  </si>
  <si>
    <t>Calculation of On-Level Premium Factors</t>
  </si>
  <si>
    <t>Current</t>
  </si>
  <si>
    <t>Applicable Rates</t>
  </si>
  <si>
    <t>Rate Level in Effect</t>
  </si>
  <si>
    <t>B.O.Y.</t>
  </si>
  <si>
    <t>E.O.Y.</t>
  </si>
  <si>
    <t>Cumulative Rate Level</t>
  </si>
  <si>
    <t># Months</t>
  </si>
  <si>
    <t>Level</t>
  </si>
  <si>
    <t>Factor to</t>
  </si>
  <si>
    <t>Calculation of Earned Premium at Present Rate Level</t>
  </si>
  <si>
    <t>TWIA</t>
  </si>
  <si>
    <t>Written</t>
  </si>
  <si>
    <t>Industry Experience -- Commercial Extended Coverage</t>
  </si>
  <si>
    <t>AY</t>
  </si>
  <si>
    <t>at 1992 MR</t>
  </si>
  <si>
    <t>TWIA Factor</t>
  </si>
  <si>
    <t>to Current</t>
  </si>
  <si>
    <t>Premium at</t>
  </si>
  <si>
    <t>Current Rates</t>
  </si>
  <si>
    <t>TWIA premium as % of industry</t>
  </si>
  <si>
    <t>TWIA Commercial Property Paid Loss</t>
  </si>
  <si>
    <t>CY Data Ending</t>
  </si>
  <si>
    <t>Latest Annual Statement Date</t>
  </si>
  <si>
    <t>CAY Ending</t>
  </si>
  <si>
    <t>Evaluated as of</t>
  </si>
  <si>
    <t>TDI</t>
  </si>
  <si>
    <t>ISO</t>
  </si>
  <si>
    <t>at 1992 CMR</t>
  </si>
  <si>
    <t>1/1/03</t>
  </si>
  <si>
    <t>Calculation of On-Level Factors</t>
  </si>
  <si>
    <t>Rate Change</t>
  </si>
  <si>
    <t>RC + 1</t>
  </si>
  <si>
    <t>OLF</t>
  </si>
  <si>
    <t>Average OLF</t>
  </si>
  <si>
    <t>AY Ending</t>
  </si>
  <si>
    <t>Evaluated</t>
  </si>
  <si>
    <t>Ultimate LAE (TWIA All Lines)</t>
  </si>
  <si>
    <t>Fixed</t>
  </si>
  <si>
    <t>Expenses</t>
  </si>
  <si>
    <t>LLAE Ratio</t>
  </si>
  <si>
    <t>Total Fixed Expenses</t>
  </si>
  <si>
    <t>Total Variable Expenses</t>
  </si>
  <si>
    <t>In-Force</t>
  </si>
  <si>
    <t>Trend Length</t>
  </si>
  <si>
    <t>Selected Premium Trend</t>
  </si>
  <si>
    <t>Prospective</t>
  </si>
  <si>
    <t>Premium Trend Analysis</t>
  </si>
  <si>
    <t>Year /</t>
  </si>
  <si>
    <t>Period</t>
  </si>
  <si>
    <t>Quarter</t>
  </si>
  <si>
    <t>Index</t>
  </si>
  <si>
    <t>(15)</t>
  </si>
  <si>
    <t>Sheet 3a</t>
  </si>
  <si>
    <t>Loss Trend Analysis</t>
  </si>
  <si>
    <t>Summary of Indices and Calculation of Prospective Loss Costs</t>
  </si>
  <si>
    <t>Calendar Year</t>
  </si>
  <si>
    <t>Statewide</t>
  </si>
  <si>
    <t>Coastal</t>
  </si>
  <si>
    <t>Modified</t>
  </si>
  <si>
    <t>Weights</t>
  </si>
  <si>
    <t>Boeckh</t>
  </si>
  <si>
    <t>CPI</t>
  </si>
  <si>
    <t>MCPI</t>
  </si>
  <si>
    <t>Factors to Adjust For Prospective Loss Costs</t>
  </si>
  <si>
    <t>Fitted Trend</t>
  </si>
  <si>
    <t>Average Accident Date</t>
  </si>
  <si>
    <t>Cost Factor</t>
  </si>
  <si>
    <t>Sheet 3b</t>
  </si>
  <si>
    <t>CY Ending</t>
  </si>
  <si>
    <t>Texas</t>
  </si>
  <si>
    <t>Fitted Trends</t>
  </si>
  <si>
    <t>All Years</t>
  </si>
  <si>
    <t>5 Years</t>
  </si>
  <si>
    <t>4 Years</t>
  </si>
  <si>
    <t>3 Years</t>
  </si>
  <si>
    <t>Linear</t>
  </si>
  <si>
    <t>Exponential</t>
  </si>
  <si>
    <t>Annual Trend</t>
  </si>
  <si>
    <t>R-Squared</t>
  </si>
  <si>
    <t>Sheet 3c</t>
  </si>
  <si>
    <t>Sheet 3d</t>
  </si>
  <si>
    <t>Modified Consumer Price Index - External Trend</t>
  </si>
  <si>
    <t>Payments</t>
  </si>
  <si>
    <t>IBNR</t>
  </si>
  <si>
    <t>Case Resv</t>
  </si>
  <si>
    <t>1/1/04</t>
  </si>
  <si>
    <t>Calculation of Net Trend Factors</t>
  </si>
  <si>
    <t>Current Average Earned Date</t>
  </si>
  <si>
    <t>Current Average Accident Date</t>
  </si>
  <si>
    <t>Prospective Average Earned / Accident Date</t>
  </si>
  <si>
    <t>Premium Trend Length</t>
  </si>
  <si>
    <t>Loss Trend Length</t>
  </si>
  <si>
    <t>(12)</t>
  </si>
  <si>
    <t>(13)</t>
  </si>
  <si>
    <t>(14)</t>
  </si>
  <si>
    <t>Claudette</t>
  </si>
  <si>
    <t>1/1/05</t>
  </si>
  <si>
    <t>Boeckh Commercial Construction Index Trend (Coastal)</t>
  </si>
  <si>
    <t>Boeckh Commercial Construction Index Trend (Statewide)</t>
  </si>
  <si>
    <t xml:space="preserve"> </t>
  </si>
  <si>
    <t>Selected Frequency</t>
  </si>
  <si>
    <t>Historical Hurricane Frequency</t>
  </si>
  <si>
    <t>Industry Experience</t>
  </si>
  <si>
    <t>Using Actual Industry Experience</t>
  </si>
  <si>
    <t>5-Year</t>
  </si>
  <si>
    <t>4-Year</t>
  </si>
  <si>
    <t>3-Year</t>
  </si>
  <si>
    <t>Selected Loss Trend</t>
  </si>
  <si>
    <t>1/1/06</t>
  </si>
  <si>
    <t>Rita</t>
  </si>
  <si>
    <t>2005</t>
  </si>
  <si>
    <t xml:space="preserve">              For 1985, there were two additional rate changes</t>
  </si>
  <si>
    <t>TWIA Commercial Earned Premium at Present Rates</t>
  </si>
  <si>
    <t>Present Rates</t>
  </si>
  <si>
    <t>at Present Rates</t>
  </si>
  <si>
    <t>Exponential Fitted Trends</t>
  </si>
  <si>
    <t>All-Year</t>
  </si>
  <si>
    <t>Average Annual Change</t>
  </si>
  <si>
    <t>Correlation Coefficient</t>
  </si>
  <si>
    <t>(16)</t>
  </si>
  <si>
    <t>9/1/06</t>
  </si>
  <si>
    <t>1/1/07</t>
  </si>
  <si>
    <t>C</t>
  </si>
  <si>
    <t>D</t>
  </si>
  <si>
    <t>E</t>
  </si>
  <si>
    <t>F</t>
  </si>
  <si>
    <t>G</t>
  </si>
  <si>
    <t>I</t>
  </si>
  <si>
    <t>J</t>
  </si>
  <si>
    <t>K</t>
  </si>
  <si>
    <t>Avg Cuml</t>
  </si>
  <si>
    <t>Month</t>
  </si>
  <si>
    <t>Landfall</t>
  </si>
  <si>
    <t>Jun</t>
  </si>
  <si>
    <t>Sep</t>
  </si>
  <si>
    <t>Jul</t>
  </si>
  <si>
    <t>Oct</t>
  </si>
  <si>
    <t>Aug</t>
  </si>
  <si>
    <t>“Matagorda”</t>
  </si>
  <si>
    <t>“Sabine River-Lake Calcasieu”</t>
  </si>
  <si>
    <t>“Galveston”</t>
  </si>
  <si>
    <t>“Lower Texas Coast"</t>
  </si>
  <si>
    <t>“Indianola”</t>
  </si>
  <si>
    <t>“Velasco”</t>
  </si>
  <si>
    <t>“Freeport”</t>
  </si>
  <si>
    <t>Beulah</t>
  </si>
  <si>
    <t>Bret</t>
  </si>
  <si>
    <t>On-</t>
  </si>
  <si>
    <t>Factors</t>
  </si>
  <si>
    <t>Exhibit 7</t>
  </si>
  <si>
    <t>Humberto</t>
  </si>
  <si>
    <t>2/1/08</t>
  </si>
  <si>
    <t xml:space="preserve">              For each year except 1985, 2006, and 2008 the B.O.Y. and E.O.Y. rates are the only rates applicable</t>
  </si>
  <si>
    <t xml:space="preserve">              For 2006, there was one additional rate change</t>
  </si>
  <si>
    <t xml:space="preserve">              For 2008, the rate change took effect mid-year</t>
  </si>
  <si>
    <t>Tier 2 (Territories 1 and 11)</t>
  </si>
  <si>
    <t>L</t>
  </si>
  <si>
    <t>2007</t>
  </si>
  <si>
    <t>2/1/09</t>
  </si>
  <si>
    <t>Dolly</t>
  </si>
  <si>
    <t>Ike</t>
  </si>
  <si>
    <t>M</t>
  </si>
  <si>
    <t>2008</t>
  </si>
  <si>
    <t>Using Experience and Models</t>
  </si>
  <si>
    <t>Development of Reinsurer Expense</t>
  </si>
  <si>
    <t>Reinsurance Contract</t>
  </si>
  <si>
    <t>Expiring</t>
  </si>
  <si>
    <t>Average Earned Date</t>
  </si>
  <si>
    <t>(2a)</t>
  </si>
  <si>
    <t>Hurricane Model</t>
  </si>
  <si>
    <t>Selected Exposure Trend</t>
  </si>
  <si>
    <t>(2b)</t>
  </si>
  <si>
    <t>Average Annual Loss by Reinsurance Layer (RMS)</t>
  </si>
  <si>
    <t>(2c)</t>
  </si>
  <si>
    <t>Selected Total Average Annual Loss</t>
  </si>
  <si>
    <t>Annual Exposure Growth</t>
  </si>
  <si>
    <t>Prospective Average Annual Loss</t>
  </si>
  <si>
    <t>Net Cost of Reinsurance</t>
  </si>
  <si>
    <t>Indicated Reinsurance Expense %</t>
  </si>
  <si>
    <t>1/1/11</t>
  </si>
  <si>
    <t>N</t>
  </si>
  <si>
    <t>1/1/12</t>
  </si>
  <si>
    <t>1/1/13</t>
  </si>
  <si>
    <t>direct and assumed; DCC only</t>
  </si>
  <si>
    <t>sum</t>
  </si>
  <si>
    <t>2006</t>
  </si>
  <si>
    <t>2009</t>
  </si>
  <si>
    <t>2010</t>
  </si>
  <si>
    <t>O</t>
  </si>
  <si>
    <t>P</t>
  </si>
  <si>
    <t>2011</t>
  </si>
  <si>
    <t>1/1/14</t>
  </si>
  <si>
    <t>Q</t>
  </si>
  <si>
    <t>R</t>
  </si>
  <si>
    <t>Deducted Litigation Costs</t>
  </si>
  <si>
    <t>Notes: premium trend derived above include impact from exposure change, deductible change, policy limits change, and etc.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</si>
  <si>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</si>
  <si>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</si>
  <si>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</si>
  <si>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</si>
  <si>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</si>
  <si>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</si>
  <si>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</si>
  <si>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</si>
  <si>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</si>
  <si>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</si>
  <si>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</si>
  <si>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</si>
  <si>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2012</t>
  </si>
  <si>
    <t>2013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</si>
  <si>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</si>
  <si>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</si>
  <si>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</si>
  <si>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</si>
  <si>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</si>
  <si>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</si>
  <si>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</si>
  <si>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</si>
  <si>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</si>
  <si>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</si>
  <si>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1/1/15</t>
  </si>
  <si>
    <t>S</t>
  </si>
  <si>
    <t>1/1/16</t>
  </si>
  <si>
    <t>Exhibit of Preiumium and Loss</t>
  </si>
  <si>
    <t>Overall Indication</t>
  </si>
  <si>
    <t>Fixed Expenses and Permissible Loss &amp; LAE Ratios</t>
  </si>
  <si>
    <t>Harvey</t>
  </si>
  <si>
    <t>Outstanding Class 1 Public Security Repayment</t>
  </si>
  <si>
    <t>CRTF Contribution &amp; UW Contingency &amp; Uncertainty</t>
  </si>
  <si>
    <t>T</t>
  </si>
  <si>
    <t>1/1/17</t>
  </si>
  <si>
    <t>1/1/18</t>
  </si>
  <si>
    <t>2014</t>
  </si>
  <si>
    <t>2015</t>
  </si>
  <si>
    <t>2016</t>
  </si>
  <si>
    <t>2017</t>
  </si>
  <si>
    <t>AAO</t>
  </si>
  <si>
    <t>DCC</t>
  </si>
  <si>
    <t>TWIA Schedule P Incurred DCC (Including IBNR)</t>
  </si>
  <si>
    <t>Writen premium</t>
  </si>
  <si>
    <t>At present rates</t>
  </si>
  <si>
    <t>Paid</t>
  </si>
  <si>
    <t>Case</t>
  </si>
  <si>
    <t>2018</t>
  </si>
  <si>
    <t>Unpaid</t>
  </si>
  <si>
    <t>2017(Other)</t>
  </si>
  <si>
    <t>2017(Harvey)</t>
  </si>
  <si>
    <t>Col 6 -Schedule P Part I</t>
  </si>
  <si>
    <t>Col 17</t>
  </si>
  <si>
    <t>Col 19</t>
  </si>
  <si>
    <t>(9) = (5) + (7) + (8)</t>
  </si>
  <si>
    <t>Exposure</t>
  </si>
  <si>
    <t>Quarterly</t>
  </si>
  <si>
    <t>(6) = (5) / (2)</t>
  </si>
  <si>
    <t>(7) annualized average written premium</t>
  </si>
  <si>
    <t>Per house year</t>
  </si>
  <si>
    <t>Selected Avg Hurricane Loss Ratio Per Hurricane</t>
  </si>
  <si>
    <t>LAE loading</t>
  </si>
  <si>
    <t>Number of Hurricanes</t>
  </si>
  <si>
    <t>During the Year</t>
  </si>
  <si>
    <t>Average Hurricane Loss Ratio Per Hurricane</t>
  </si>
  <si>
    <t>Hurricane Year</t>
  </si>
  <si>
    <t>Per Hurricane</t>
  </si>
  <si>
    <t>Simple Average Loss Ratio Per Hurricane Year</t>
  </si>
  <si>
    <t>Permissible Loss, LAE, and Fixed Expense Ratio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</si>
  <si>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</si>
  <si>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</si>
  <si>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</si>
  <si>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</si>
  <si>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</si>
  <si>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</si>
  <si>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</si>
  <si>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</si>
  <si>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</si>
  <si>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</si>
  <si>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</si>
  <si>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</si>
  <si>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</si>
  <si>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</si>
  <si>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</si>
  <si>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Premium Surcharge</t>
  </si>
  <si>
    <t>84 manual rate chang</t>
  </si>
  <si>
    <t>surcharge removed</t>
  </si>
  <si>
    <t>(4) = MAX((3)-(5),0)/(2)</t>
  </si>
  <si>
    <t>(7) = (6) * loss development factors from Exhibit 2.2</t>
  </si>
  <si>
    <t>Commerial Property - Wind &amp; Hail</t>
  </si>
  <si>
    <t>Table of Contents</t>
  </si>
  <si>
    <t>Tab label</t>
  </si>
  <si>
    <t>Main Heading</t>
  </si>
  <si>
    <t>Sub-heading</t>
  </si>
  <si>
    <t xml:space="preserve">Exhibit </t>
  </si>
  <si>
    <t>Sheet</t>
  </si>
  <si>
    <t>3.2 premium trend</t>
  </si>
  <si>
    <t>3.3a</t>
  </si>
  <si>
    <t>3.3b</t>
  </si>
  <si>
    <t>3.3c</t>
  </si>
  <si>
    <t>3.3d</t>
  </si>
  <si>
    <t>6.2 - industry</t>
  </si>
  <si>
    <t>Calculation of TWIA Earned Premium at Present Rate Level</t>
  </si>
  <si>
    <t>Average Written</t>
  </si>
  <si>
    <t>Premium at Present</t>
  </si>
  <si>
    <t>Rates Four</t>
  </si>
  <si>
    <t>Quarter Ending</t>
  </si>
  <si>
    <t>Industry experience is for EC, where wind and hail related loss is predominant</t>
  </si>
  <si>
    <t>UW &amp; Investment Exhibit - part 3</t>
  </si>
  <si>
    <t>line 19</t>
  </si>
  <si>
    <t>line 24, col 2</t>
  </si>
  <si>
    <t>line 24, col 3</t>
  </si>
  <si>
    <t>AJ</t>
  </si>
  <si>
    <t>Hanna</t>
  </si>
  <si>
    <t>Laura</t>
  </si>
  <si>
    <t>Delta</t>
  </si>
  <si>
    <t>Loss Amounts</t>
  </si>
  <si>
    <t>Combined</t>
  </si>
  <si>
    <t>Update columns (2), (3), and (4)</t>
  </si>
  <si>
    <t>x</t>
  </si>
  <si>
    <t>Update column (2)</t>
  </si>
  <si>
    <t>Update Cell N8</t>
  </si>
  <si>
    <t>Nicholas</t>
  </si>
  <si>
    <t>keep most recent 11 years</t>
  </si>
  <si>
    <t>update the link and indices</t>
  </si>
  <si>
    <t>Update prior selected factors</t>
  </si>
  <si>
    <t>Copy and paste prior triangle</t>
  </si>
  <si>
    <t>Add most recent year</t>
  </si>
  <si>
    <t>Update the total row</t>
  </si>
  <si>
    <t>Update the table for latest rate change</t>
  </si>
  <si>
    <t>Update column F for latest year's data</t>
  </si>
  <si>
    <t>Update column R's data</t>
  </si>
  <si>
    <t>Add latest year's rate change.</t>
  </si>
  <si>
    <t>Include latest calendar year and copy and paste formulas for new row</t>
  </si>
  <si>
    <t>Add new hurricanes, if any</t>
  </si>
  <si>
    <t>Update hurricane count formula</t>
  </si>
  <si>
    <t>Copy and paste prior year's triangle</t>
  </si>
  <si>
    <t>Update formulas on the latest diagonal</t>
  </si>
  <si>
    <t>Update prior selected ATA factors</t>
  </si>
  <si>
    <t>Update Paid AAO and Case AAO columns</t>
  </si>
  <si>
    <t>Add latest AY and copy and paste formulas to th enew row</t>
  </si>
  <si>
    <t>Update development factors</t>
  </si>
  <si>
    <t>Update Loss payments, Case rsv, and IBNR columns below</t>
  </si>
  <si>
    <t>Add latest AY and copy and paste formulas to the new row</t>
  </si>
  <si>
    <t>$000 Omitted</t>
  </si>
  <si>
    <t>Add new row for most recent accident year</t>
  </si>
  <si>
    <t>Update 2017 loss amounts from the most recent TWIA Rx.</t>
  </si>
  <si>
    <t>Manually update the 2017 development factor</t>
  </si>
  <si>
    <t>Add new row to include latest accident year</t>
  </si>
  <si>
    <t>Include hurricane indicator if applicable</t>
  </si>
  <si>
    <t>Update total row to include latest row</t>
  </si>
  <si>
    <t>Ike (2008), Harvey (2017), Hanna (2020), Laura (2020), Delta (2020), and Nicholas (2021)</t>
  </si>
  <si>
    <t>Provided by TWIA, includes commercial and farm</t>
  </si>
  <si>
    <t>Excludes hurricanes Brett (1999), Claudette (2003), Rita (2005), Humberto (2007), Dolly (2008)</t>
  </si>
  <si>
    <t>Update column (6)'s indices</t>
  </si>
  <si>
    <t>Update values from latest year's data workbook</t>
  </si>
  <si>
    <t>IF Model</t>
  </si>
  <si>
    <t>Update Debt Service</t>
  </si>
  <si>
    <t>Update EPPR</t>
  </si>
  <si>
    <t>Update print area</t>
  </si>
  <si>
    <t>Update Average Earned Date</t>
  </si>
  <si>
    <t>Update Average Accident Date</t>
  </si>
  <si>
    <t>Update Propsective Average Earned  / Accident Date</t>
  </si>
  <si>
    <t>Update latest year referred in the footnotes</t>
  </si>
  <si>
    <t>Average of All Models</t>
  </si>
  <si>
    <t>AK</t>
  </si>
  <si>
    <t>Add new row for latest accident year</t>
  </si>
  <si>
    <t>Update on-level factor column (4)</t>
  </si>
  <si>
    <t>Update total row</t>
  </si>
  <si>
    <t>Update total row to include latest accident year</t>
  </si>
  <si>
    <t>Update average row to include latest accident year</t>
  </si>
  <si>
    <t>Update row (8) to latest year</t>
  </si>
  <si>
    <t>Update column (7) with latest LRs from page 2.2</t>
  </si>
  <si>
    <t>Update total/average row to include latest accident year</t>
  </si>
  <si>
    <t>Add latest accident year, if applicable</t>
  </si>
  <si>
    <t>Update average for non-hurricane years</t>
  </si>
  <si>
    <t>Update average for hurricane years</t>
  </si>
  <si>
    <t>Update formula for (6)</t>
  </si>
  <si>
    <t>Update litigation cost reduction</t>
  </si>
  <si>
    <t>Update links to external files</t>
  </si>
  <si>
    <t>Copied from accounting or previous analysis</t>
  </si>
  <si>
    <t>Tentative, will be updated when available</t>
  </si>
  <si>
    <t>Inflation Adjusted Indicated Hurricane Loss Ratio</t>
  </si>
  <si>
    <t>RMS</t>
  </si>
  <si>
    <t>CoreLogic RQE Model</t>
  </si>
  <si>
    <t>Hurricane Loss Ratio -- CoreLogic RQE Model</t>
  </si>
  <si>
    <t>CoreLogic RQE Simulated Hurricane Results</t>
  </si>
  <si>
    <t>Impact Forecasting</t>
  </si>
  <si>
    <t>Hurricane Loss Ratio -- Impact Forecasting Model</t>
  </si>
  <si>
    <t>Impact Forecasting Simulated Hurricane Results</t>
  </si>
  <si>
    <t>ALAE at 12/31/2022</t>
  </si>
  <si>
    <t>Losses at 12/31/2022</t>
  </si>
  <si>
    <t>Update N52</t>
  </si>
  <si>
    <t>2023 Rate Level Review</t>
  </si>
  <si>
    <t>100% of $2243M XS $2265M</t>
  </si>
  <si>
    <t>Indicated Rate Change</t>
  </si>
  <si>
    <t>Indicated Premium Trend</t>
  </si>
  <si>
    <t>COMPLETE</t>
  </si>
  <si>
    <t>Verisk (AIR) Simulated Hurricane Results</t>
  </si>
  <si>
    <t>Hurricane Loss Ratio -- Verisk (AIR) Model</t>
  </si>
  <si>
    <t>Dev Wtd</t>
  </si>
  <si>
    <t>Net Trend</t>
  </si>
  <si>
    <t>update formula for (5)</t>
  </si>
  <si>
    <t>(5) Derived from current and previous year's Exhibit 2, Sheet 5</t>
  </si>
  <si>
    <t>(7a)</t>
  </si>
  <si>
    <t>(7b)</t>
  </si>
  <si>
    <t>Selected Net Trending Factor</t>
  </si>
  <si>
    <t>Verisk Model</t>
  </si>
  <si>
    <t>2022 EPPR</t>
  </si>
  <si>
    <t>update combined reinsurance premium</t>
  </si>
  <si>
    <t>update AALs</t>
  </si>
  <si>
    <t>update dates</t>
  </si>
  <si>
    <t>update exposure trend</t>
  </si>
  <si>
    <t>update link for EPPR for residential and commercial to latest year</t>
  </si>
  <si>
    <t>Using Average of Verisk and  RMS Hurricane Models</t>
  </si>
  <si>
    <t>Average Annual Loss by Reinsurance Layer (Verisk)</t>
  </si>
  <si>
    <t>Verisk</t>
  </si>
  <si>
    <t>From TWIA Rx 2023 Q1</t>
  </si>
  <si>
    <t>(8) Outstanding principal paid off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</si>
</sst>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0.0%"/>
    <numFmt numFmtId="165" formatCode="\+0%;\-0%;0%"/>
    <numFmt numFmtId="166" formatCode="0.000"/>
    <numFmt numFmtId="167" formatCode="#,##0.000"/>
    <numFmt numFmtId="168" formatCode="0.0000"/>
    <numFmt numFmtId="169" formatCode="&quot;$&quot;#,##0"/>
    <numFmt numFmtId="170" formatCode="_(* #,##0_);_(* \(#,##0\);_(* &quot;-&quot;??_);_(@_)"/>
    <numFmt numFmtId="171" formatCode="0.0"/>
    <numFmt numFmtId="172" formatCode="_(&quot;$&quot;* #,##0.00_);_(&quot;$&quot;* \(#,##0.00\);_(&quot;$&quot;* &quot;0.00&quot;_);_(@_)"/>
    <numFmt numFmtId="173" formatCode="_(* #,##0.00_);_(* \(#,##0.00\);_(* &quot;0.00&quot;_);_(@_)"/>
    <numFmt numFmtId="174" formatCode="_(* #,##0.000_);_(* \(#,##0.000\);_(* &quot;0.000&quot;_);_(@_)"/>
    <numFmt numFmtId="175" formatCode="_(&quot;$&quot;* #,##0.0_);_(&quot;$&quot;* \(#,##0.0\);_(&quot;$&quot;* &quot;0.0&quot;_);_(@_)"/>
    <numFmt numFmtId="176" formatCode="_(* #,##0.0_);_(* \(#,##0.0\);_(* &quot;0.0&quot;_);_(@_)"/>
    <numFmt numFmtId="177" formatCode="_(* #,##0.00000_);_(* \(#,##0.00000\);_(* &quot;0.00000&quot;_);_(@_)"/>
    <numFmt numFmtId="178" formatCode="0.0000000000000000%"/>
    <numFmt numFmtId="179" formatCode="\+0.0%;\-0.0%;0.0%"/>
    <numFmt numFmtId="180" formatCode="m/d/yy;@"/>
    <numFmt numFmtId="181" formatCode="_(* #,##0.000_);_(* \(#,##0.000\);_(* &quot;-&quot;???_);_(@_)"/>
    <numFmt numFmtId="182" formatCode="_(* #,##0.0_);_(* \(#,##0.0\);_(* &quot;-&quot;??_);_(@_)"/>
  </numFmts>
  <fonts count="33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14"/>
      <name val="Arial"/>
      <family val="2"/>
    </font>
    <font>
      <sz val="8"/>
      <color indexed="54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8"/>
      <color indexed="81"/>
      <name val="Tahoma"/>
      <family val="2"/>
    </font>
    <font>
      <sz val="11"/>
      <name val="Calibri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sz val="10"/>
      <color rgb="FF1F497D"/>
      <name val="Arial"/>
      <family val="2"/>
    </font>
    <font>
      <sz val="8"/>
      <color theme="1"/>
      <name val="Arial"/>
      <family val="2"/>
    </font>
    <font>
      <b/>
      <sz val="10"/>
      <color rgb="FF26282A"/>
      <name val="Arial"/>
      <family val="2"/>
    </font>
    <font>
      <sz val="8"/>
      <color rgb="FF3366FF"/>
      <name val="Arial"/>
      <family val="2"/>
    </font>
    <font>
      <sz val="8"/>
      <color rgb="FF0000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rgb="FF7030A0"/>
      <name val="Arial"/>
      <family val="2"/>
    </font>
    <font>
      <sz val="8"/>
      <color theme="9" tint="-0.499984740745262"/>
      <name val="Arial"/>
      <family val="2"/>
    </font>
    <font>
      <sz val="8"/>
      <color rgb="FF7030A0"/>
      <name val="Wingdings"/>
      <charset val="2"/>
    </font>
    <font>
      <sz val="8"/>
      <color rgb="FFFF0000"/>
      <name val="Wingdings"/>
      <charset val="2"/>
    </font>
    <font>
      <sz val="8"/>
      <name val="Wingdings"/>
      <charset val="2"/>
    </font>
    <font>
      <sz val="8"/>
      <color theme="0" tint="-0.34998626667073579"/>
      <name val="Arial"/>
      <family val="2"/>
    </font>
    <font>
      <sz val="8"/>
      <color theme="6" tint="-0.249977111117893"/>
      <name val="Arial"/>
      <family val="2"/>
    </font>
    <font>
      <sz val="8"/>
      <color rgb="FFFF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176" fontId="11" fillId="0" borderId="0"/>
    <xf numFmtId="173" fontId="11" fillId="0" borderId="0"/>
    <xf numFmtId="174" fontId="11" fillId="0" borderId="0"/>
    <xf numFmtId="177" fontId="11" fillId="0" borderId="0"/>
    <xf numFmtId="175" fontId="11" fillId="0" borderId="0"/>
    <xf numFmtId="172" fontId="11" fillId="0" borderId="0"/>
    <xf numFmtId="0" fontId="5" fillId="0" borderId="0"/>
    <xf numFmtId="9" fontId="2" fillId="0" borderId="0" applyFont="0" applyFill="0" applyBorder="0" applyAlignment="0" applyProtection="0"/>
    <xf numFmtId="164" fontId="1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</cellStyleXfs>
  <cellXfs count="31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0" xfId="0" applyAlignment="1">
      <alignment horizontal="right"/>
    </xf>
    <xf numFmtId="0" fontId="3" fillId="0" borderId="0" xfId="0" applyFont="1"/>
    <xf numFmtId="0" fontId="0" fillId="0" borderId="7" xfId="0" applyBorder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Continuous"/>
    </xf>
    <xf numFmtId="164" fontId="6" fillId="0" borderId="0" xfId="9" applyNumberFormat="1" applyFont="1"/>
    <xf numFmtId="165" fontId="6" fillId="0" borderId="0" xfId="9" applyNumberFormat="1" applyFont="1"/>
    <xf numFmtId="165" fontId="5" fillId="0" borderId="0" xfId="9" applyNumberFormat="1" applyFont="1"/>
    <xf numFmtId="164" fontId="5" fillId="0" borderId="0" xfId="9" applyNumberFormat="1" applyFont="1"/>
    <xf numFmtId="3" fontId="0" fillId="0" borderId="0" xfId="0" applyNumberFormat="1"/>
    <xf numFmtId="164" fontId="0" fillId="0" borderId="0" xfId="0" applyNumberFormat="1"/>
    <xf numFmtId="164" fontId="0" fillId="0" borderId="7" xfId="0" applyNumberFormat="1" applyBorder="1"/>
    <xf numFmtId="164" fontId="5" fillId="0" borderId="0" xfId="9" applyNumberFormat="1" applyFont="1" applyFill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6" fillId="0" borderId="0" xfId="0" applyFont="1"/>
    <xf numFmtId="3" fontId="0" fillId="0" borderId="7" xfId="0" applyNumberFormat="1" applyBorder="1"/>
    <xf numFmtId="3" fontId="5" fillId="0" borderId="0" xfId="0" applyNumberFormat="1" applyFont="1"/>
    <xf numFmtId="3" fontId="5" fillId="0" borderId="7" xfId="0" applyNumberFormat="1" applyFont="1" applyBorder="1"/>
    <xf numFmtId="166" fontId="5" fillId="0" borderId="0" xfId="0" applyNumberFormat="1" applyFont="1"/>
    <xf numFmtId="166" fontId="0" fillId="0" borderId="0" xfId="0" applyNumberFormat="1"/>
    <xf numFmtId="166" fontId="0" fillId="0" borderId="7" xfId="0" applyNumberFormat="1" applyBorder="1"/>
    <xf numFmtId="3" fontId="6" fillId="0" borderId="0" xfId="0" applyNumberFormat="1" applyFont="1"/>
    <xf numFmtId="167" fontId="5" fillId="0" borderId="0" xfId="0" applyNumberFormat="1" applyFont="1"/>
    <xf numFmtId="167" fontId="5" fillId="0" borderId="7" xfId="0" applyNumberFormat="1" applyFont="1" applyBorder="1"/>
    <xf numFmtId="167" fontId="0" fillId="0" borderId="0" xfId="0" applyNumberFormat="1"/>
    <xf numFmtId="166" fontId="6" fillId="0" borderId="0" xfId="0" applyNumberFormat="1" applyFont="1"/>
    <xf numFmtId="14" fontId="5" fillId="0" borderId="0" xfId="0" applyNumberFormat="1" applyFont="1"/>
    <xf numFmtId="164" fontId="5" fillId="0" borderId="0" xfId="9" applyNumberFormat="1" applyFont="1" applyFill="1" applyBorder="1"/>
    <xf numFmtId="165" fontId="5" fillId="0" borderId="0" xfId="9" applyNumberFormat="1" applyFont="1" applyFill="1" applyBorder="1"/>
    <xf numFmtId="166" fontId="5" fillId="0" borderId="0" xfId="9" applyNumberFormat="1" applyFont="1" applyFill="1"/>
    <xf numFmtId="0" fontId="0" fillId="0" borderId="0" xfId="0" quotePrefix="1"/>
    <xf numFmtId="164" fontId="5" fillId="0" borderId="0" xfId="0" applyNumberFormat="1" applyFont="1"/>
    <xf numFmtId="164" fontId="6" fillId="0" borderId="0" xfId="0" applyNumberFormat="1" applyFont="1"/>
    <xf numFmtId="0" fontId="0" fillId="0" borderId="0" xfId="0" quotePrefix="1" applyAlignment="1">
      <alignment horizontal="center"/>
    </xf>
    <xf numFmtId="164" fontId="7" fillId="0" borderId="0" xfId="0" applyNumberFormat="1" applyFont="1"/>
    <xf numFmtId="164" fontId="5" fillId="0" borderId="7" xfId="0" applyNumberFormat="1" applyFont="1" applyBorder="1"/>
    <xf numFmtId="3" fontId="5" fillId="0" borderId="0" xfId="9" applyNumberFormat="1" applyFont="1" applyFill="1"/>
    <xf numFmtId="166" fontId="5" fillId="0" borderId="7" xfId="0" applyNumberFormat="1" applyFont="1" applyBorder="1"/>
    <xf numFmtId="3" fontId="6" fillId="0" borderId="7" xfId="0" applyNumberFormat="1" applyFont="1" applyBorder="1"/>
    <xf numFmtId="14" fontId="0" fillId="0" borderId="0" xfId="0" applyNumberFormat="1"/>
    <xf numFmtId="49" fontId="0" fillId="0" borderId="0" xfId="0" applyNumberFormat="1"/>
    <xf numFmtId="49" fontId="5" fillId="0" borderId="7" xfId="0" applyNumberFormat="1" applyFont="1" applyBorder="1"/>
    <xf numFmtId="0" fontId="5" fillId="0" borderId="7" xfId="0" applyFont="1" applyBorder="1" applyAlignment="1">
      <alignment horizontal="left"/>
    </xf>
    <xf numFmtId="170" fontId="5" fillId="0" borderId="0" xfId="9" applyNumberFormat="1" applyFont="1" applyFill="1"/>
    <xf numFmtId="170" fontId="5" fillId="0" borderId="7" xfId="9" applyNumberFormat="1" applyFont="1" applyFill="1" applyBorder="1"/>
    <xf numFmtId="170" fontId="0" fillId="0" borderId="0" xfId="0" applyNumberFormat="1"/>
    <xf numFmtId="171" fontId="5" fillId="0" borderId="0" xfId="0" applyNumberFormat="1" applyFont="1"/>
    <xf numFmtId="171" fontId="0" fillId="0" borderId="0" xfId="0" applyNumberFormat="1"/>
    <xf numFmtId="49" fontId="0" fillId="0" borderId="0" xfId="0" quotePrefix="1" applyNumberFormat="1"/>
    <xf numFmtId="3" fontId="9" fillId="0" borderId="7" xfId="0" applyNumberFormat="1" applyFont="1" applyBorder="1"/>
    <xf numFmtId="3" fontId="9" fillId="0" borderId="0" xfId="0" applyNumberFormat="1" applyFont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171" fontId="8" fillId="0" borderId="0" xfId="0" applyNumberFormat="1" applyFont="1"/>
    <xf numFmtId="14" fontId="9" fillId="0" borderId="0" xfId="0" applyNumberFormat="1" applyFont="1"/>
    <xf numFmtId="14" fontId="6" fillId="0" borderId="0" xfId="0" applyNumberFormat="1" applyFont="1"/>
    <xf numFmtId="169" fontId="6" fillId="0" borderId="0" xfId="0" applyNumberFormat="1" applyFont="1"/>
    <xf numFmtId="9" fontId="0" fillId="0" borderId="0" xfId="0" applyNumberFormat="1"/>
    <xf numFmtId="2" fontId="0" fillId="0" borderId="0" xfId="0" applyNumberFormat="1"/>
    <xf numFmtId="164" fontId="7" fillId="0" borderId="0" xfId="9" applyNumberFormat="1" applyFont="1" applyFill="1"/>
    <xf numFmtId="1" fontId="5" fillId="0" borderId="0" xfId="0" applyNumberFormat="1" applyFont="1"/>
    <xf numFmtId="167" fontId="7" fillId="0" borderId="0" xfId="0" applyNumberFormat="1" applyFont="1"/>
    <xf numFmtId="167" fontId="6" fillId="0" borderId="0" xfId="0" applyNumberFormat="1" applyFont="1"/>
    <xf numFmtId="0" fontId="5" fillId="0" borderId="0" xfId="0" quotePrefix="1" applyFont="1"/>
    <xf numFmtId="0" fontId="5" fillId="0" borderId="0" xfId="8"/>
    <xf numFmtId="3" fontId="9" fillId="0" borderId="0" xfId="8" applyNumberFormat="1" applyFont="1"/>
    <xf numFmtId="2" fontId="6" fillId="0" borderId="0" xfId="0" applyNumberFormat="1" applyFont="1"/>
    <xf numFmtId="2" fontId="5" fillId="0" borderId="0" xfId="0" applyNumberFormat="1" applyFont="1"/>
    <xf numFmtId="2" fontId="5" fillId="0" borderId="7" xfId="0" applyNumberFormat="1" applyFont="1" applyBorder="1"/>
    <xf numFmtId="14" fontId="0" fillId="0" borderId="7" xfId="0" applyNumberFormat="1" applyBorder="1"/>
    <xf numFmtId="10" fontId="0" fillId="0" borderId="0" xfId="0" applyNumberFormat="1"/>
    <xf numFmtId="3" fontId="7" fillId="0" borderId="7" xfId="0" applyNumberFormat="1" applyFont="1" applyBorder="1"/>
    <xf numFmtId="3" fontId="7" fillId="0" borderId="0" xfId="0" applyNumberFormat="1" applyFont="1"/>
    <xf numFmtId="2" fontId="7" fillId="0" borderId="0" xfId="0" applyNumberFormat="1" applyFont="1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quotePrefix="1" applyAlignment="1">
      <alignment horizontal="centerContinuous"/>
    </xf>
    <xf numFmtId="0" fontId="0" fillId="0" borderId="0" xfId="0" quotePrefix="1" applyAlignment="1">
      <alignment horizontal="right"/>
    </xf>
    <xf numFmtId="14" fontId="7" fillId="0" borderId="0" xfId="0" applyNumberFormat="1" applyFont="1"/>
    <xf numFmtId="168" fontId="0" fillId="0" borderId="7" xfId="0" applyNumberFormat="1" applyBorder="1"/>
    <xf numFmtId="168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6" fillId="0" borderId="0" xfId="9" applyNumberFormat="1" applyFont="1" applyFill="1"/>
    <xf numFmtId="166" fontId="7" fillId="0" borderId="0" xfId="0" applyNumberFormat="1" applyFont="1"/>
    <xf numFmtId="4" fontId="5" fillId="0" borderId="0" xfId="0" applyNumberFormat="1" applyFont="1"/>
    <xf numFmtId="170" fontId="5" fillId="0" borderId="0" xfId="9" applyNumberFormat="1" applyFont="1" applyFill="1" applyBorder="1"/>
    <xf numFmtId="0" fontId="5" fillId="0" borderId="7" xfId="0" applyFont="1" applyBorder="1"/>
    <xf numFmtId="4" fontId="0" fillId="0" borderId="7" xfId="0" applyNumberFormat="1" applyBorder="1"/>
    <xf numFmtId="178" fontId="0" fillId="0" borderId="0" xfId="0" applyNumberFormat="1"/>
    <xf numFmtId="4" fontId="5" fillId="0" borderId="7" xfId="0" applyNumberFormat="1" applyFont="1" applyBorder="1"/>
    <xf numFmtId="166" fontId="8" fillId="0" borderId="0" xfId="0" applyNumberFormat="1" applyFont="1"/>
    <xf numFmtId="166" fontId="5" fillId="0" borderId="0" xfId="0" applyNumberFormat="1" applyFont="1" applyAlignment="1">
      <alignment horizontal="left"/>
    </xf>
    <xf numFmtId="0" fontId="7" fillId="0" borderId="0" xfId="0" applyFont="1"/>
    <xf numFmtId="166" fontId="9" fillId="0" borderId="7" xfId="0" applyNumberFormat="1" applyFont="1" applyBorder="1"/>
    <xf numFmtId="2" fontId="9" fillId="0" borderId="0" xfId="0" applyNumberFormat="1" applyFont="1"/>
    <xf numFmtId="2" fontId="9" fillId="0" borderId="7" xfId="0" applyNumberFormat="1" applyFont="1" applyBorder="1"/>
    <xf numFmtId="179" fontId="7" fillId="0" borderId="0" xfId="9" applyNumberFormat="1" applyFont="1"/>
    <xf numFmtId="0" fontId="5" fillId="0" borderId="0" xfId="0" applyFont="1" applyAlignment="1">
      <alignment horizontal="right"/>
    </xf>
    <xf numFmtId="166" fontId="7" fillId="0" borderId="7" xfId="0" applyNumberFormat="1" applyFont="1" applyBorder="1"/>
    <xf numFmtId="0" fontId="3" fillId="0" borderId="0" xfId="0" applyFont="1" applyAlignment="1">
      <alignment horizontal="center"/>
    </xf>
    <xf numFmtId="3" fontId="17" fillId="0" borderId="0" xfId="0" applyNumberFormat="1" applyFont="1"/>
    <xf numFmtId="3" fontId="17" fillId="0" borderId="7" xfId="0" applyNumberFormat="1" applyFont="1" applyBorder="1"/>
    <xf numFmtId="43" fontId="0" fillId="0" borderId="0" xfId="1" applyFont="1"/>
    <xf numFmtId="43" fontId="0" fillId="0" borderId="0" xfId="1" applyFont="1" applyBorder="1"/>
    <xf numFmtId="43" fontId="0" fillId="2" borderId="2" xfId="1" applyFont="1" applyFill="1" applyBorder="1"/>
    <xf numFmtId="43" fontId="4" fillId="0" borderId="0" xfId="1" applyFont="1" applyFill="1"/>
    <xf numFmtId="43" fontId="0" fillId="0" borderId="7" xfId="1" applyFont="1" applyBorder="1"/>
    <xf numFmtId="43" fontId="0" fillId="0" borderId="0" xfId="1" applyFont="1" applyAlignment="1">
      <alignment horizontal="centerContinuous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left"/>
    </xf>
    <xf numFmtId="43" fontId="5" fillId="0" borderId="0" xfId="1" applyFont="1" applyFill="1"/>
    <xf numFmtId="43" fontId="0" fillId="0" borderId="7" xfId="1" applyFont="1" applyBorder="1" applyAlignment="1">
      <alignment horizontal="left"/>
    </xf>
    <xf numFmtId="43" fontId="6" fillId="0" borderId="0" xfId="1" applyFont="1"/>
    <xf numFmtId="43" fontId="0" fillId="0" borderId="6" xfId="1" applyFont="1" applyBorder="1"/>
    <xf numFmtId="37" fontId="0" fillId="0" borderId="0" xfId="1" applyNumberFormat="1" applyFont="1"/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left"/>
    </xf>
    <xf numFmtId="0" fontId="0" fillId="3" borderId="0" xfId="0" applyFill="1"/>
    <xf numFmtId="166" fontId="0" fillId="0" borderId="6" xfId="0" applyNumberFormat="1" applyBorder="1"/>
    <xf numFmtId="3" fontId="6" fillId="3" borderId="0" xfId="0" applyNumberFormat="1" applyFont="1" applyFill="1"/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4" fillId="0" borderId="0" xfId="0" applyFont="1"/>
    <xf numFmtId="3" fontId="5" fillId="3" borderId="0" xfId="0" applyNumberFormat="1" applyFont="1" applyFill="1"/>
    <xf numFmtId="43" fontId="0" fillId="0" borderId="0" xfId="1" applyFont="1" applyBorder="1" applyAlignment="1">
      <alignment horizontal="left"/>
    </xf>
    <xf numFmtId="1" fontId="0" fillId="0" borderId="0" xfId="0" applyNumberFormat="1"/>
    <xf numFmtId="3" fontId="17" fillId="0" borderId="0" xfId="0" applyNumberFormat="1" applyFont="1" applyAlignment="1">
      <alignment horizontal="right"/>
    </xf>
    <xf numFmtId="167" fontId="5" fillId="0" borderId="6" xfId="0" applyNumberFormat="1" applyFont="1" applyBorder="1"/>
    <xf numFmtId="3" fontId="5" fillId="0" borderId="6" xfId="0" applyNumberFormat="1" applyFont="1" applyBorder="1"/>
    <xf numFmtId="0" fontId="17" fillId="0" borderId="0" xfId="0" applyFont="1"/>
    <xf numFmtId="3" fontId="5" fillId="0" borderId="0" xfId="0" applyNumberFormat="1" applyFont="1" applyAlignment="1">
      <alignment vertical="center"/>
    </xf>
    <xf numFmtId="3" fontId="14" fillId="0" borderId="0" xfId="0" applyNumberFormat="1" applyFont="1"/>
    <xf numFmtId="14" fontId="0" fillId="0" borderId="0" xfId="0" applyNumberFormat="1" applyProtection="1">
      <protection locked="0"/>
    </xf>
    <xf numFmtId="0" fontId="0" fillId="0" borderId="0" xfId="0" applyAlignment="1">
      <alignment vertical="center"/>
    </xf>
    <xf numFmtId="3" fontId="17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3" fontId="18" fillId="0" borderId="0" xfId="0" applyNumberFormat="1" applyFont="1"/>
    <xf numFmtId="164" fontId="17" fillId="0" borderId="0" xfId="0" applyNumberFormat="1" applyFont="1"/>
    <xf numFmtId="0" fontId="5" fillId="0" borderId="0" xfId="0" applyFont="1" applyAlignment="1">
      <alignment horizontal="left"/>
    </xf>
    <xf numFmtId="180" fontId="6" fillId="0" borderId="0" xfId="0" applyNumberFormat="1" applyFont="1"/>
    <xf numFmtId="169" fontId="0" fillId="0" borderId="0" xfId="0" applyNumberFormat="1"/>
    <xf numFmtId="180" fontId="6" fillId="0" borderId="0" xfId="0" quotePrefix="1" applyNumberFormat="1" applyFont="1" applyAlignment="1">
      <alignment horizontal="left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/>
    <xf numFmtId="3" fontId="19" fillId="3" borderId="0" xfId="0" applyNumberFormat="1" applyFont="1" applyFill="1"/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17" fillId="0" borderId="0" xfId="0" applyNumberFormat="1" applyFont="1" applyAlignment="1">
      <alignment horizontal="left"/>
    </xf>
    <xf numFmtId="180" fontId="6" fillId="0" borderId="6" xfId="0" quotePrefix="1" applyNumberFormat="1" applyFont="1" applyBorder="1" applyAlignment="1">
      <alignment horizontal="left"/>
    </xf>
    <xf numFmtId="1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64" fontId="17" fillId="0" borderId="7" xfId="9" applyNumberFormat="1" applyFont="1" applyFill="1" applyBorder="1"/>
    <xf numFmtId="164" fontId="17" fillId="0" borderId="6" xfId="0" applyNumberFormat="1" applyFont="1" applyBorder="1"/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178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166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0" fillId="0" borderId="7" xfId="0" applyBorder="1" applyProtection="1">
      <protection locked="0"/>
    </xf>
    <xf numFmtId="167" fontId="5" fillId="0" borderId="0" xfId="0" applyNumberFormat="1" applyFont="1" applyAlignment="1">
      <alignment horizontal="center"/>
    </xf>
    <xf numFmtId="167" fontId="5" fillId="0" borderId="7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/>
    <xf numFmtId="3" fontId="21" fillId="0" borderId="0" xfId="0" applyNumberFormat="1" applyFont="1"/>
    <xf numFmtId="37" fontId="0" fillId="0" borderId="0" xfId="1" applyNumberFormat="1" applyFont="1" applyFill="1" applyBorder="1" applyAlignment="1">
      <alignment horizontal="center" wrapText="1"/>
    </xf>
    <xf numFmtId="0" fontId="0" fillId="0" borderId="15" xfId="0" applyBorder="1"/>
    <xf numFmtId="0" fontId="0" fillId="0" borderId="14" xfId="0" applyBorder="1"/>
    <xf numFmtId="0" fontId="0" fillId="0" borderId="19" xfId="0" applyBorder="1"/>
    <xf numFmtId="0" fontId="0" fillId="0" borderId="18" xfId="0" applyBorder="1"/>
    <xf numFmtId="0" fontId="0" fillId="0" borderId="7" xfId="0" applyBorder="1" applyAlignment="1">
      <alignment horizontal="right"/>
    </xf>
    <xf numFmtId="164" fontId="0" fillId="0" borderId="0" xfId="9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2" fillId="0" borderId="0" xfId="0" applyFont="1"/>
    <xf numFmtId="0" fontId="0" fillId="0" borderId="16" xfId="0" applyBorder="1"/>
    <xf numFmtId="0" fontId="0" fillId="0" borderId="21" xfId="0" applyBorder="1" applyAlignment="1">
      <alignment horizontal="centerContinuous"/>
    </xf>
    <xf numFmtId="0" fontId="0" fillId="0" borderId="20" xfId="0" applyBorder="1"/>
    <xf numFmtId="0" fontId="0" fillId="0" borderId="22" xfId="0" applyBorder="1"/>
    <xf numFmtId="0" fontId="0" fillId="0" borderId="7" xfId="0" applyBorder="1" applyAlignment="1">
      <alignment horizontal="centerContinuous"/>
    </xf>
    <xf numFmtId="0" fontId="0" fillId="0" borderId="23" xfId="0" applyBorder="1"/>
    <xf numFmtId="0" fontId="0" fillId="0" borderId="17" xfId="0" applyBorder="1"/>
    <xf numFmtId="0" fontId="0" fillId="0" borderId="24" xfId="0" applyBorder="1"/>
    <xf numFmtId="0" fontId="22" fillId="0" borderId="16" xfId="0" applyFont="1" applyBorder="1"/>
    <xf numFmtId="0" fontId="22" fillId="0" borderId="14" xfId="0" applyFont="1" applyBorder="1"/>
    <xf numFmtId="0" fontId="22" fillId="0" borderId="24" xfId="0" applyFont="1" applyBorder="1"/>
    <xf numFmtId="0" fontId="22" fillId="0" borderId="15" xfId="0" applyFont="1" applyBorder="1"/>
    <xf numFmtId="181" fontId="0" fillId="0" borderId="0" xfId="0" applyNumberFormat="1"/>
    <xf numFmtId="0" fontId="3" fillId="0" borderId="7" xfId="0" applyFont="1" applyBorder="1"/>
    <xf numFmtId="182" fontId="0" fillId="0" borderId="0" xfId="1" applyNumberFormat="1" applyFont="1"/>
    <xf numFmtId="0" fontId="3" fillId="0" borderId="8" xfId="0" applyFont="1" applyBorder="1" applyAlignment="1">
      <alignment horizontal="left"/>
    </xf>
    <xf numFmtId="0" fontId="0" fillId="0" borderId="25" xfId="0" applyBorder="1"/>
    <xf numFmtId="0" fontId="0" fillId="0" borderId="9" xfId="0" applyBorder="1"/>
    <xf numFmtId="0" fontId="3" fillId="0" borderId="10" xfId="0" applyFont="1" applyBorder="1" applyAlignment="1">
      <alignment horizontal="left"/>
    </xf>
    <xf numFmtId="0" fontId="0" fillId="0" borderId="11" xfId="0" applyBorder="1"/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/>
    <xf numFmtId="0" fontId="0" fillId="0" borderId="10" xfId="0" applyBorder="1" applyAlignment="1">
      <alignment horizontal="left"/>
    </xf>
    <xf numFmtId="182" fontId="0" fillId="0" borderId="11" xfId="1" applyNumberFormat="1" applyFont="1" applyBorder="1"/>
    <xf numFmtId="0" fontId="0" fillId="0" borderId="11" xfId="0" applyBorder="1" applyAlignment="1">
      <alignment horizontal="left"/>
    </xf>
    <xf numFmtId="182" fontId="0" fillId="0" borderId="0" xfId="1" applyNumberFormat="1" applyFont="1" applyBorder="1"/>
    <xf numFmtId="0" fontId="0" fillId="0" borderId="13" xfId="0" applyBorder="1" applyAlignment="1">
      <alignment horizontal="left"/>
    </xf>
    <xf numFmtId="0" fontId="0" fillId="0" borderId="28" xfId="0" applyBorder="1"/>
    <xf numFmtId="182" fontId="0" fillId="0" borderId="12" xfId="1" applyNumberFormat="1" applyFont="1" applyBorder="1"/>
    <xf numFmtId="164" fontId="0" fillId="0" borderId="6" xfId="0" applyNumberFormat="1" applyBorder="1"/>
    <xf numFmtId="164" fontId="0" fillId="0" borderId="6" xfId="0" applyNumberFormat="1" applyBorder="1" applyAlignment="1">
      <alignment horizontal="right"/>
    </xf>
    <xf numFmtId="164" fontId="5" fillId="0" borderId="0" xfId="0" applyNumberFormat="1" applyFont="1" applyAlignment="1">
      <alignment horizontal="center"/>
    </xf>
    <xf numFmtId="0" fontId="0" fillId="0" borderId="29" xfId="0" applyBorder="1"/>
    <xf numFmtId="14" fontId="6" fillId="0" borderId="29" xfId="0" applyNumberFormat="1" applyFont="1" applyBorder="1" applyAlignment="1">
      <alignment horizontal="left"/>
    </xf>
    <xf numFmtId="166" fontId="5" fillId="0" borderId="29" xfId="0" applyNumberFormat="1" applyFont="1" applyBorder="1"/>
    <xf numFmtId="171" fontId="5" fillId="0" borderId="29" xfId="0" applyNumberFormat="1" applyFont="1" applyBorder="1"/>
    <xf numFmtId="3" fontId="9" fillId="0" borderId="29" xfId="0" applyNumberFormat="1" applyFont="1" applyBorder="1"/>
    <xf numFmtId="3" fontId="5" fillId="0" borderId="29" xfId="0" applyNumberFormat="1" applyFont="1" applyBorder="1"/>
    <xf numFmtId="3" fontId="5" fillId="0" borderId="0" xfId="9" applyNumberFormat="1" applyFont="1" applyFill="1" applyBorder="1"/>
    <xf numFmtId="3" fontId="0" fillId="0" borderId="29" xfId="0" applyNumberFormat="1" applyBorder="1"/>
    <xf numFmtId="0" fontId="5" fillId="0" borderId="29" xfId="0" applyFont="1" applyBorder="1"/>
    <xf numFmtId="164" fontId="0" fillId="0" borderId="29" xfId="0" applyNumberFormat="1" applyBorder="1"/>
    <xf numFmtId="0" fontId="0" fillId="5" borderId="5" xfId="0" applyFill="1" applyBorder="1"/>
    <xf numFmtId="0" fontId="0" fillId="5" borderId="3" xfId="0" applyFill="1" applyBorder="1"/>
    <xf numFmtId="180" fontId="0" fillId="0" borderId="0" xfId="0" applyNumberFormat="1" applyAlignment="1">
      <alignment horizontal="left"/>
    </xf>
    <xf numFmtId="164" fontId="0" fillId="0" borderId="0" xfId="9" applyNumberFormat="1" applyFont="1" applyBorder="1"/>
    <xf numFmtId="0" fontId="0" fillId="0" borderId="29" xfId="0" applyBorder="1" applyAlignment="1">
      <alignment horizontal="right"/>
    </xf>
    <xf numFmtId="166" fontId="0" fillId="0" borderId="29" xfId="0" applyNumberFormat="1" applyBorder="1"/>
    <xf numFmtId="0" fontId="0" fillId="0" borderId="0" xfId="1" applyNumberFormat="1" applyFont="1"/>
    <xf numFmtId="170" fontId="0" fillId="0" borderId="29" xfId="0" applyNumberFormat="1" applyBorder="1"/>
    <xf numFmtId="0" fontId="17" fillId="0" borderId="6" xfId="0" applyFont="1" applyBorder="1"/>
    <xf numFmtId="14" fontId="0" fillId="0" borderId="0" xfId="0" applyNumberFormat="1" applyAlignment="1">
      <alignment horizontal="left"/>
    </xf>
    <xf numFmtId="1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43" fontId="7" fillId="0" borderId="0" xfId="1" applyFont="1" applyFill="1"/>
    <xf numFmtId="0" fontId="0" fillId="0" borderId="6" xfId="0" applyBorder="1" applyAlignment="1">
      <alignment horizontal="right"/>
    </xf>
    <xf numFmtId="3" fontId="25" fillId="0" borderId="0" xfId="0" applyNumberFormat="1" applyFont="1" applyAlignment="1">
      <alignment horizontal="center"/>
    </xf>
    <xf numFmtId="167" fontId="25" fillId="0" borderId="0" xfId="0" applyNumberFormat="1" applyFont="1"/>
    <xf numFmtId="2" fontId="25" fillId="0" borderId="0" xfId="0" applyNumberFormat="1" applyFont="1"/>
    <xf numFmtId="2" fontId="25" fillId="0" borderId="0" xfId="0" applyNumberFormat="1" applyFont="1" applyAlignment="1">
      <alignment horizontal="center"/>
    </xf>
    <xf numFmtId="166" fontId="25" fillId="0" borderId="0" xfId="0" applyNumberFormat="1" applyFont="1"/>
    <xf numFmtId="3" fontId="25" fillId="0" borderId="0" xfId="0" applyNumberFormat="1" applyFont="1"/>
    <xf numFmtId="3" fontId="26" fillId="0" borderId="0" xfId="0" applyNumberFormat="1" applyFont="1"/>
    <xf numFmtId="3" fontId="25" fillId="0" borderId="7" xfId="0" applyNumberFormat="1" applyFont="1" applyBorder="1"/>
    <xf numFmtId="3" fontId="17" fillId="0" borderId="0" xfId="1" applyNumberFormat="1" applyFont="1"/>
    <xf numFmtId="3" fontId="17" fillId="0" borderId="0" xfId="1" applyNumberFormat="1" applyFont="1" applyBorder="1"/>
    <xf numFmtId="3" fontId="17" fillId="4" borderId="0" xfId="1" applyNumberFormat="1" applyFont="1" applyFill="1"/>
    <xf numFmtId="3" fontId="17" fillId="4" borderId="0" xfId="0" applyNumberFormat="1" applyFont="1" applyFill="1"/>
    <xf numFmtId="167" fontId="26" fillId="0" borderId="0" xfId="0" applyNumberFormat="1" applyFont="1"/>
    <xf numFmtId="0" fontId="0" fillId="0" borderId="0" xfId="0" applyAlignment="1">
      <alignment horizontal="left" indent="1"/>
    </xf>
    <xf numFmtId="9" fontId="0" fillId="0" borderId="0" xfId="9" applyFont="1"/>
    <xf numFmtId="14" fontId="25" fillId="0" borderId="0" xfId="0" applyNumberFormat="1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164" fontId="25" fillId="0" borderId="0" xfId="0" applyNumberFormat="1" applyFont="1"/>
    <xf numFmtId="2" fontId="0" fillId="0" borderId="29" xfId="0" applyNumberFormat="1" applyBorder="1"/>
    <xf numFmtId="0" fontId="27" fillId="0" borderId="8" xfId="0" applyFont="1" applyBorder="1" applyAlignment="1">
      <alignment horizontal="right"/>
    </xf>
    <xf numFmtId="0" fontId="25" fillId="0" borderId="25" xfId="0" applyFont="1" applyBorder="1"/>
    <xf numFmtId="0" fontId="28" fillId="0" borderId="10" xfId="0" applyFont="1" applyBorder="1" applyAlignment="1">
      <alignment horizontal="right"/>
    </xf>
    <xf numFmtId="0" fontId="29" fillId="4" borderId="13" xfId="0" applyFont="1" applyFill="1" applyBorder="1" applyAlignment="1">
      <alignment horizontal="right"/>
    </xf>
    <xf numFmtId="0" fontId="0" fillId="4" borderId="28" xfId="0" applyFill="1" applyBorder="1"/>
    <xf numFmtId="166" fontId="0" fillId="2" borderId="2" xfId="0" applyNumberFormat="1" applyFill="1" applyBorder="1"/>
    <xf numFmtId="10" fontId="0" fillId="0" borderId="0" xfId="0" applyNumberFormat="1" applyAlignment="1">
      <alignment horizontal="center"/>
    </xf>
    <xf numFmtId="0" fontId="0" fillId="0" borderId="6" xfId="0" quotePrefix="1" applyBorder="1" applyAlignment="1">
      <alignment horizontal="center"/>
    </xf>
    <xf numFmtId="164" fontId="5" fillId="0" borderId="6" xfId="9" applyNumberFormat="1" applyFont="1" applyFill="1" applyBorder="1"/>
    <xf numFmtId="9" fontId="0" fillId="0" borderId="6" xfId="0" applyNumberFormat="1" applyBorder="1"/>
    <xf numFmtId="170" fontId="0" fillId="0" borderId="0" xfId="1" applyNumberFormat="1" applyFont="1" applyFill="1" applyBorder="1"/>
    <xf numFmtId="9" fontId="5" fillId="0" borderId="0" xfId="9" applyFont="1"/>
    <xf numFmtId="0" fontId="30" fillId="0" borderId="0" xfId="0" applyFont="1"/>
    <xf numFmtId="164" fontId="30" fillId="0" borderId="0" xfId="9" applyNumberFormat="1" applyFont="1"/>
    <xf numFmtId="164" fontId="0" fillId="0" borderId="0" xfId="9" applyNumberFormat="1" applyFont="1" applyFill="1"/>
    <xf numFmtId="0" fontId="31" fillId="0" borderId="0" xfId="0" applyFont="1"/>
    <xf numFmtId="164" fontId="32" fillId="0" borderId="0" xfId="0" applyNumberFormat="1" applyFont="1"/>
    <xf numFmtId="2" fontId="0" fillId="0" borderId="0" xfId="0" applyNumberFormat="1" applyAlignment="1">
      <alignment horizontal="right"/>
    </xf>
    <xf numFmtId="14" fontId="5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/>
    <xf numFmtId="0" fontId="23" fillId="0" borderId="0" xfId="0" applyFont="1" applyBorder="1" applyAlignment="1">
      <alignment horizontal="center"/>
    </xf>
  </cellXfs>
  <cellStyles count="14">
    <cellStyle name="Comma" xfId="1" builtinId="3"/>
    <cellStyle name="Comma [1]" xfId="2" xr:uid="{00000000-0005-0000-0000-000001000000}"/>
    <cellStyle name="Comma [2]" xfId="3" xr:uid="{00000000-0005-0000-0000-000002000000}"/>
    <cellStyle name="Comma [3]" xfId="4" xr:uid="{00000000-0005-0000-0000-000003000000}"/>
    <cellStyle name="Comma [5]" xfId="5" xr:uid="{00000000-0005-0000-0000-000004000000}"/>
    <cellStyle name="Comma 2" xfId="12" xr:uid="{43D21DC0-43DE-422E-964D-3FF7E2DE3841}"/>
    <cellStyle name="Currency [1]" xfId="6" xr:uid="{00000000-0005-0000-0000-000005000000}"/>
    <cellStyle name="Currency [2]" xfId="7" xr:uid="{00000000-0005-0000-0000-000006000000}"/>
    <cellStyle name="Normal" xfId="0" builtinId="0"/>
    <cellStyle name="Normal 2" xfId="13" xr:uid="{C02FF108-E132-4FF7-913C-92777719AD41}"/>
    <cellStyle name="Normal 3" xfId="11" xr:uid="{C95E6422-FBB7-41FB-887A-0F3D83E4C63B}"/>
    <cellStyle name="Normal_2004 Residential Indications" xfId="8" xr:uid="{00000000-0005-0000-0000-000008000000}"/>
    <cellStyle name="Percent" xfId="9" builtinId="5"/>
    <cellStyle name="Percent [1]" xfId="10" xr:uid="{00000000-0005-0000-0000-00000A000000}"/>
  </cellStyles>
  <dxfs count="0"/>
  <tableStyles count="0" defaultTableStyle="TableStyleMedium9" defaultPivotStyle="PivotStyleLight16"/>
  <colors>
    <mruColors>
      <color rgb="FFFF00FF"/>
      <color rgb="FF00FF00"/>
      <color rgb="FF6666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5.xml"/><Relationship Id="rId50" Type="http://schemas.openxmlformats.org/officeDocument/2006/relationships/externalLink" Target="externalLinks/externalLink8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3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52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externalLink" Target="externalLinks/externalLink6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9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38100</xdr:colOff>
      <xdr:row>28</xdr:row>
      <xdr:rowOff>0</xdr:rowOff>
    </xdr:from>
    <xdr:to>
      <xdr:col>62</xdr:col>
      <xdr:colOff>103505</xdr:colOff>
      <xdr:row>29</xdr:row>
      <xdr:rowOff>38100</xdr:rowOff>
    </xdr:to>
    <xdr:sp macro="" textlink="">
      <xdr:nvSpPr>
        <xdr:cNvPr id="495893" name="Text Box 5">
          <a:extLst>
            <a:ext uri="{FF2B5EF4-FFF2-40B4-BE49-F238E27FC236}">
              <a16:creationId xmlns:a16="http://schemas.microsoft.com/office/drawing/2014/main" id="{4FF5F8A6-8C5E-4E26-A84A-A241433C181B}"/>
            </a:ext>
          </a:extLst>
        </xdr:cNvPr>
        <xdr:cNvSpPr txBox="1">
          <a:spLocks noChangeArrowheads="1"/>
        </xdr:cNvSpPr>
      </xdr:nvSpPr>
      <xdr:spPr bwMode="auto">
        <a:xfrm>
          <a:off x="12169140" y="3642360"/>
          <a:ext cx="685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39076</xdr:colOff>
      <xdr:row>52</xdr:row>
      <xdr:rowOff>0</xdr:rowOff>
    </xdr:from>
    <xdr:to>
      <xdr:col>69</xdr:col>
      <xdr:colOff>43961</xdr:colOff>
      <xdr:row>56</xdr:row>
      <xdr:rowOff>4885</xdr:rowOff>
    </xdr:to>
    <xdr:cxnSp macro="">
      <xdr:nvCxnSpPr>
        <xdr:cNvPr id="6" name="AutoShape 4">
          <a:extLst>
            <a:ext uri="{FF2B5EF4-FFF2-40B4-BE49-F238E27FC236}">
              <a16:creationId xmlns:a16="http://schemas.microsoft.com/office/drawing/2014/main" id="{0AF31A86-2FED-4324-9B4D-BC03A98121CD}"/>
            </a:ext>
          </a:extLst>
        </xdr:cNvPr>
        <xdr:cNvCxnSpPr>
          <a:cxnSpLocks noChangeShapeType="1"/>
        </xdr:cNvCxnSpPr>
      </xdr:nvCxnSpPr>
      <xdr:spPr bwMode="auto">
        <a:xfrm flipV="1">
          <a:off x="25580730" y="6374423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69</xdr:col>
      <xdr:colOff>79130</xdr:colOff>
      <xdr:row>52</xdr:row>
      <xdr:rowOff>977</xdr:rowOff>
    </xdr:from>
    <xdr:to>
      <xdr:col>73</xdr:col>
      <xdr:colOff>84015</xdr:colOff>
      <xdr:row>56</xdr:row>
      <xdr:rowOff>5862</xdr:rowOff>
    </xdr:to>
    <xdr:cxnSp macro="">
      <xdr:nvCxnSpPr>
        <xdr:cNvPr id="8" name="AutoShape 4">
          <a:extLst>
            <a:ext uri="{FF2B5EF4-FFF2-40B4-BE49-F238E27FC236}">
              <a16:creationId xmlns:a16="http://schemas.microsoft.com/office/drawing/2014/main" id="{FBAE370E-9950-4D68-8059-CF785E6343FB}"/>
            </a:ext>
          </a:extLst>
        </xdr:cNvPr>
        <xdr:cNvCxnSpPr>
          <a:cxnSpLocks noChangeShapeType="1"/>
        </xdr:cNvCxnSpPr>
      </xdr:nvCxnSpPr>
      <xdr:spPr bwMode="auto">
        <a:xfrm flipV="1">
          <a:off x="26128784" y="6375400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73</xdr:col>
      <xdr:colOff>70338</xdr:colOff>
      <xdr:row>52</xdr:row>
      <xdr:rowOff>1953</xdr:rowOff>
    </xdr:from>
    <xdr:to>
      <xdr:col>77</xdr:col>
      <xdr:colOff>75223</xdr:colOff>
      <xdr:row>56</xdr:row>
      <xdr:rowOff>6838</xdr:rowOff>
    </xdr:to>
    <xdr:cxnSp macro="">
      <xdr:nvCxnSpPr>
        <xdr:cNvPr id="9" name="AutoShape 4">
          <a:extLst>
            <a:ext uri="{FF2B5EF4-FFF2-40B4-BE49-F238E27FC236}">
              <a16:creationId xmlns:a16="http://schemas.microsoft.com/office/drawing/2014/main" id="{071F5353-BC4A-4354-B9BE-B8EF54F1498B}"/>
            </a:ext>
          </a:extLst>
        </xdr:cNvPr>
        <xdr:cNvCxnSpPr>
          <a:cxnSpLocks noChangeShapeType="1"/>
        </xdr:cNvCxnSpPr>
      </xdr:nvCxnSpPr>
      <xdr:spPr bwMode="auto">
        <a:xfrm flipV="1">
          <a:off x="26627992" y="6376376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78</xdr:col>
      <xdr:colOff>17584</xdr:colOff>
      <xdr:row>51</xdr:row>
      <xdr:rowOff>120161</xdr:rowOff>
    </xdr:from>
    <xdr:to>
      <xdr:col>82</xdr:col>
      <xdr:colOff>22469</xdr:colOff>
      <xdr:row>55</xdr:row>
      <xdr:rowOff>129930</xdr:rowOff>
    </xdr:to>
    <xdr:cxnSp macro="">
      <xdr:nvCxnSpPr>
        <xdr:cNvPr id="10" name="AutoShape 4">
          <a:extLst>
            <a:ext uri="{FF2B5EF4-FFF2-40B4-BE49-F238E27FC236}">
              <a16:creationId xmlns:a16="http://schemas.microsoft.com/office/drawing/2014/main" id="{B5579A9C-6846-4F06-B24A-7155B96E2B06}"/>
            </a:ext>
          </a:extLst>
        </xdr:cNvPr>
        <xdr:cNvCxnSpPr>
          <a:cxnSpLocks noChangeShapeType="1"/>
        </xdr:cNvCxnSpPr>
      </xdr:nvCxnSpPr>
      <xdr:spPr bwMode="auto">
        <a:xfrm flipV="1">
          <a:off x="27210238" y="6367584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83</xdr:col>
      <xdr:colOff>86946</xdr:colOff>
      <xdr:row>51</xdr:row>
      <xdr:rowOff>121138</xdr:rowOff>
    </xdr:from>
    <xdr:to>
      <xdr:col>87</xdr:col>
      <xdr:colOff>91831</xdr:colOff>
      <xdr:row>55</xdr:row>
      <xdr:rowOff>130907</xdr:rowOff>
    </xdr:to>
    <xdr:cxnSp macro="">
      <xdr:nvCxnSpPr>
        <xdr:cNvPr id="11" name="AutoShape 4">
          <a:extLst>
            <a:ext uri="{FF2B5EF4-FFF2-40B4-BE49-F238E27FC236}">
              <a16:creationId xmlns:a16="http://schemas.microsoft.com/office/drawing/2014/main" id="{9D1266FC-C444-4B5A-9A3C-A8F246A20046}"/>
            </a:ext>
          </a:extLst>
        </xdr:cNvPr>
        <xdr:cNvCxnSpPr>
          <a:cxnSpLocks noChangeShapeType="1"/>
        </xdr:cNvCxnSpPr>
      </xdr:nvCxnSpPr>
      <xdr:spPr bwMode="auto">
        <a:xfrm flipV="1">
          <a:off x="27914600" y="63685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83</xdr:col>
      <xdr:colOff>107463</xdr:colOff>
      <xdr:row>51</xdr:row>
      <xdr:rowOff>122115</xdr:rowOff>
    </xdr:from>
    <xdr:to>
      <xdr:col>87</xdr:col>
      <xdr:colOff>112348</xdr:colOff>
      <xdr:row>56</xdr:row>
      <xdr:rowOff>0</xdr:rowOff>
    </xdr:to>
    <xdr:cxnSp macro="">
      <xdr:nvCxnSpPr>
        <xdr:cNvPr id="12" name="AutoShape 4">
          <a:extLst>
            <a:ext uri="{FF2B5EF4-FFF2-40B4-BE49-F238E27FC236}">
              <a16:creationId xmlns:a16="http://schemas.microsoft.com/office/drawing/2014/main" id="{7CCC4158-030D-4F9A-86DF-00C2A8C5E7C3}"/>
            </a:ext>
          </a:extLst>
        </xdr:cNvPr>
        <xdr:cNvCxnSpPr>
          <a:cxnSpLocks noChangeShapeType="1"/>
        </xdr:cNvCxnSpPr>
      </xdr:nvCxnSpPr>
      <xdr:spPr bwMode="auto">
        <a:xfrm flipV="1">
          <a:off x="27935117" y="636953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86</xdr:col>
      <xdr:colOff>91830</xdr:colOff>
      <xdr:row>51</xdr:row>
      <xdr:rowOff>121138</xdr:rowOff>
    </xdr:from>
    <xdr:to>
      <xdr:col>90</xdr:col>
      <xdr:colOff>96715</xdr:colOff>
      <xdr:row>55</xdr:row>
      <xdr:rowOff>130907</xdr:rowOff>
    </xdr:to>
    <xdr:cxnSp macro="">
      <xdr:nvCxnSpPr>
        <xdr:cNvPr id="13" name="AutoShape 4">
          <a:extLst>
            <a:ext uri="{FF2B5EF4-FFF2-40B4-BE49-F238E27FC236}">
              <a16:creationId xmlns:a16="http://schemas.microsoft.com/office/drawing/2014/main" id="{871EE9CE-C6D2-4E63-9029-9B576C9056FA}"/>
            </a:ext>
          </a:extLst>
        </xdr:cNvPr>
        <xdr:cNvCxnSpPr>
          <a:cxnSpLocks noChangeShapeType="1"/>
        </xdr:cNvCxnSpPr>
      </xdr:nvCxnSpPr>
      <xdr:spPr bwMode="auto">
        <a:xfrm flipV="1">
          <a:off x="28300484" y="63685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93</xdr:col>
      <xdr:colOff>4883</xdr:colOff>
      <xdr:row>51</xdr:row>
      <xdr:rowOff>122115</xdr:rowOff>
    </xdr:from>
    <xdr:to>
      <xdr:col>97</xdr:col>
      <xdr:colOff>9768</xdr:colOff>
      <xdr:row>56</xdr:row>
      <xdr:rowOff>0</xdr:rowOff>
    </xdr:to>
    <xdr:cxnSp macro="">
      <xdr:nvCxnSpPr>
        <xdr:cNvPr id="14" name="AutoShape 4">
          <a:extLst>
            <a:ext uri="{FF2B5EF4-FFF2-40B4-BE49-F238E27FC236}">
              <a16:creationId xmlns:a16="http://schemas.microsoft.com/office/drawing/2014/main" id="{DF7E04DE-07BC-47FB-8D87-50376D116995}"/>
            </a:ext>
          </a:extLst>
        </xdr:cNvPr>
        <xdr:cNvCxnSpPr>
          <a:cxnSpLocks noChangeShapeType="1"/>
        </xdr:cNvCxnSpPr>
      </xdr:nvCxnSpPr>
      <xdr:spPr bwMode="auto">
        <a:xfrm flipV="1">
          <a:off x="29102537" y="636953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98</xdr:col>
      <xdr:colOff>84014</xdr:colOff>
      <xdr:row>51</xdr:row>
      <xdr:rowOff>123092</xdr:rowOff>
    </xdr:from>
    <xdr:to>
      <xdr:col>102</xdr:col>
      <xdr:colOff>88899</xdr:colOff>
      <xdr:row>56</xdr:row>
      <xdr:rowOff>977</xdr:rowOff>
    </xdr:to>
    <xdr:cxnSp macro="">
      <xdr:nvCxnSpPr>
        <xdr:cNvPr id="15" name="AutoShape 4">
          <a:extLst>
            <a:ext uri="{FF2B5EF4-FFF2-40B4-BE49-F238E27FC236}">
              <a16:creationId xmlns:a16="http://schemas.microsoft.com/office/drawing/2014/main" id="{9D54520B-17BE-4FD9-AF90-1A96649BE19A}"/>
            </a:ext>
          </a:extLst>
        </xdr:cNvPr>
        <xdr:cNvCxnSpPr>
          <a:cxnSpLocks noChangeShapeType="1"/>
        </xdr:cNvCxnSpPr>
      </xdr:nvCxnSpPr>
      <xdr:spPr bwMode="auto">
        <a:xfrm flipV="1">
          <a:off x="29816668" y="6370515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103</xdr:col>
      <xdr:colOff>89877</xdr:colOff>
      <xdr:row>51</xdr:row>
      <xdr:rowOff>124069</xdr:rowOff>
    </xdr:from>
    <xdr:to>
      <xdr:col>107</xdr:col>
      <xdr:colOff>94762</xdr:colOff>
      <xdr:row>56</xdr:row>
      <xdr:rowOff>1954</xdr:rowOff>
    </xdr:to>
    <xdr:cxnSp macro="">
      <xdr:nvCxnSpPr>
        <xdr:cNvPr id="16" name="AutoShape 4">
          <a:extLst>
            <a:ext uri="{FF2B5EF4-FFF2-40B4-BE49-F238E27FC236}">
              <a16:creationId xmlns:a16="http://schemas.microsoft.com/office/drawing/2014/main" id="{B48357D5-8895-4744-97CB-528D61EB868D}"/>
            </a:ext>
          </a:extLst>
        </xdr:cNvPr>
        <xdr:cNvCxnSpPr>
          <a:cxnSpLocks noChangeShapeType="1"/>
        </xdr:cNvCxnSpPr>
      </xdr:nvCxnSpPr>
      <xdr:spPr bwMode="auto">
        <a:xfrm flipV="1">
          <a:off x="30457531" y="6371492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107</xdr:col>
      <xdr:colOff>125046</xdr:colOff>
      <xdr:row>51</xdr:row>
      <xdr:rowOff>125046</xdr:rowOff>
    </xdr:from>
    <xdr:to>
      <xdr:col>112</xdr:col>
      <xdr:colOff>2931</xdr:colOff>
      <xdr:row>56</xdr:row>
      <xdr:rowOff>2931</xdr:rowOff>
    </xdr:to>
    <xdr:cxnSp macro="">
      <xdr:nvCxnSpPr>
        <xdr:cNvPr id="17" name="AutoShape 4">
          <a:extLst>
            <a:ext uri="{FF2B5EF4-FFF2-40B4-BE49-F238E27FC236}">
              <a16:creationId xmlns:a16="http://schemas.microsoft.com/office/drawing/2014/main" id="{01D2AB69-9D13-4D21-BB49-CB2478A2D2CF}"/>
            </a:ext>
          </a:extLst>
        </xdr:cNvPr>
        <xdr:cNvCxnSpPr>
          <a:cxnSpLocks noChangeShapeType="1"/>
        </xdr:cNvCxnSpPr>
      </xdr:nvCxnSpPr>
      <xdr:spPr bwMode="auto">
        <a:xfrm flipV="1">
          <a:off x="31000700" y="6372469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110</xdr:col>
      <xdr:colOff>126022</xdr:colOff>
      <xdr:row>51</xdr:row>
      <xdr:rowOff>126024</xdr:rowOff>
    </xdr:from>
    <xdr:to>
      <xdr:col>115</xdr:col>
      <xdr:colOff>3907</xdr:colOff>
      <xdr:row>56</xdr:row>
      <xdr:rowOff>3909</xdr:rowOff>
    </xdr:to>
    <xdr:cxnSp macro="">
      <xdr:nvCxnSpPr>
        <xdr:cNvPr id="18" name="AutoShape 4">
          <a:extLst>
            <a:ext uri="{FF2B5EF4-FFF2-40B4-BE49-F238E27FC236}">
              <a16:creationId xmlns:a16="http://schemas.microsoft.com/office/drawing/2014/main" id="{0980ADC0-6E05-4100-8378-347389F754F3}"/>
            </a:ext>
          </a:extLst>
        </xdr:cNvPr>
        <xdr:cNvCxnSpPr>
          <a:cxnSpLocks noChangeShapeType="1"/>
        </xdr:cNvCxnSpPr>
      </xdr:nvCxnSpPr>
      <xdr:spPr bwMode="auto">
        <a:xfrm flipV="1">
          <a:off x="31382676" y="6373447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117</xdr:col>
      <xdr:colOff>126998</xdr:colOff>
      <xdr:row>52</xdr:row>
      <xdr:rowOff>0</xdr:rowOff>
    </xdr:from>
    <xdr:to>
      <xdr:col>122</xdr:col>
      <xdr:colOff>4883</xdr:colOff>
      <xdr:row>56</xdr:row>
      <xdr:rowOff>4885</xdr:rowOff>
    </xdr:to>
    <xdr:cxnSp macro="">
      <xdr:nvCxnSpPr>
        <xdr:cNvPr id="19" name="AutoShape 4">
          <a:extLst>
            <a:ext uri="{FF2B5EF4-FFF2-40B4-BE49-F238E27FC236}">
              <a16:creationId xmlns:a16="http://schemas.microsoft.com/office/drawing/2014/main" id="{B3FAAE80-ECB9-4697-9DFA-F83450C63D3D}"/>
            </a:ext>
          </a:extLst>
        </xdr:cNvPr>
        <xdr:cNvCxnSpPr>
          <a:cxnSpLocks noChangeShapeType="1"/>
        </xdr:cNvCxnSpPr>
      </xdr:nvCxnSpPr>
      <xdr:spPr bwMode="auto">
        <a:xfrm flipV="1">
          <a:off x="32272652" y="6374423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135</xdr:col>
      <xdr:colOff>974</xdr:colOff>
      <xdr:row>51</xdr:row>
      <xdr:rowOff>123092</xdr:rowOff>
    </xdr:from>
    <xdr:to>
      <xdr:col>139</xdr:col>
      <xdr:colOff>5859</xdr:colOff>
      <xdr:row>56</xdr:row>
      <xdr:rowOff>977</xdr:rowOff>
    </xdr:to>
    <xdr:cxnSp macro="">
      <xdr:nvCxnSpPr>
        <xdr:cNvPr id="20" name="AutoShape 4">
          <a:extLst>
            <a:ext uri="{FF2B5EF4-FFF2-40B4-BE49-F238E27FC236}">
              <a16:creationId xmlns:a16="http://schemas.microsoft.com/office/drawing/2014/main" id="{3348FBB3-8597-4721-93EC-B0DEFCB2D969}"/>
            </a:ext>
          </a:extLst>
        </xdr:cNvPr>
        <xdr:cNvCxnSpPr>
          <a:cxnSpLocks noChangeShapeType="1"/>
        </xdr:cNvCxnSpPr>
      </xdr:nvCxnSpPr>
      <xdr:spPr bwMode="auto">
        <a:xfrm flipV="1">
          <a:off x="34432628" y="6370515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143</xdr:col>
      <xdr:colOff>1951</xdr:colOff>
      <xdr:row>52</xdr:row>
      <xdr:rowOff>6838</xdr:rowOff>
    </xdr:from>
    <xdr:to>
      <xdr:col>147</xdr:col>
      <xdr:colOff>6836</xdr:colOff>
      <xdr:row>56</xdr:row>
      <xdr:rowOff>11723</xdr:rowOff>
    </xdr:to>
    <xdr:cxnSp macro="">
      <xdr:nvCxnSpPr>
        <xdr:cNvPr id="21" name="AutoShape 4">
          <a:extLst>
            <a:ext uri="{FF2B5EF4-FFF2-40B4-BE49-F238E27FC236}">
              <a16:creationId xmlns:a16="http://schemas.microsoft.com/office/drawing/2014/main" id="{D3D04FC7-C64E-4484-9500-99162AE1BB38}"/>
            </a:ext>
          </a:extLst>
        </xdr:cNvPr>
        <xdr:cNvCxnSpPr>
          <a:cxnSpLocks noChangeShapeType="1"/>
        </xdr:cNvCxnSpPr>
      </xdr:nvCxnSpPr>
      <xdr:spPr bwMode="auto">
        <a:xfrm flipV="1">
          <a:off x="35449605" y="63812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146</xdr:col>
      <xdr:colOff>125043</xdr:colOff>
      <xdr:row>51</xdr:row>
      <xdr:rowOff>125045</xdr:rowOff>
    </xdr:from>
    <xdr:to>
      <xdr:col>151</xdr:col>
      <xdr:colOff>2928</xdr:colOff>
      <xdr:row>56</xdr:row>
      <xdr:rowOff>2930</xdr:rowOff>
    </xdr:to>
    <xdr:cxnSp macro="">
      <xdr:nvCxnSpPr>
        <xdr:cNvPr id="22" name="AutoShape 4">
          <a:extLst>
            <a:ext uri="{FF2B5EF4-FFF2-40B4-BE49-F238E27FC236}">
              <a16:creationId xmlns:a16="http://schemas.microsoft.com/office/drawing/2014/main" id="{3EBEDC7F-CE34-4663-9B3D-C3C0115DBE85}"/>
            </a:ext>
          </a:extLst>
        </xdr:cNvPr>
        <xdr:cNvCxnSpPr>
          <a:cxnSpLocks noChangeShapeType="1"/>
        </xdr:cNvCxnSpPr>
      </xdr:nvCxnSpPr>
      <xdr:spPr bwMode="auto">
        <a:xfrm flipV="1">
          <a:off x="35953697" y="637246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150</xdr:col>
      <xdr:colOff>126020</xdr:colOff>
      <xdr:row>52</xdr:row>
      <xdr:rowOff>3907</xdr:rowOff>
    </xdr:from>
    <xdr:to>
      <xdr:col>155</xdr:col>
      <xdr:colOff>3905</xdr:colOff>
      <xdr:row>56</xdr:row>
      <xdr:rowOff>8792</xdr:rowOff>
    </xdr:to>
    <xdr:cxnSp macro="">
      <xdr:nvCxnSpPr>
        <xdr:cNvPr id="23" name="AutoShape 4">
          <a:extLst>
            <a:ext uri="{FF2B5EF4-FFF2-40B4-BE49-F238E27FC236}">
              <a16:creationId xmlns:a16="http://schemas.microsoft.com/office/drawing/2014/main" id="{473FC9F0-CAA0-4D9F-BC4F-29FE8B8B912F}"/>
            </a:ext>
          </a:extLst>
        </xdr:cNvPr>
        <xdr:cNvCxnSpPr>
          <a:cxnSpLocks noChangeShapeType="1"/>
        </xdr:cNvCxnSpPr>
      </xdr:nvCxnSpPr>
      <xdr:spPr bwMode="auto">
        <a:xfrm flipV="1">
          <a:off x="36462674" y="6378330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154</xdr:col>
      <xdr:colOff>125044</xdr:colOff>
      <xdr:row>52</xdr:row>
      <xdr:rowOff>2930</xdr:rowOff>
    </xdr:from>
    <xdr:to>
      <xdr:col>159</xdr:col>
      <xdr:colOff>2929</xdr:colOff>
      <xdr:row>56</xdr:row>
      <xdr:rowOff>7815</xdr:rowOff>
    </xdr:to>
    <xdr:cxnSp macro="">
      <xdr:nvCxnSpPr>
        <xdr:cNvPr id="24" name="AutoShape 4">
          <a:extLst>
            <a:ext uri="{FF2B5EF4-FFF2-40B4-BE49-F238E27FC236}">
              <a16:creationId xmlns:a16="http://schemas.microsoft.com/office/drawing/2014/main" id="{08698CAB-57DF-429A-9AAD-B0BA7EB8F6FB}"/>
            </a:ext>
          </a:extLst>
        </xdr:cNvPr>
        <xdr:cNvCxnSpPr>
          <a:cxnSpLocks noChangeShapeType="1"/>
        </xdr:cNvCxnSpPr>
      </xdr:nvCxnSpPr>
      <xdr:spPr bwMode="auto">
        <a:xfrm flipV="1">
          <a:off x="36969698" y="6377353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158</xdr:col>
      <xdr:colOff>121136</xdr:colOff>
      <xdr:row>51</xdr:row>
      <xdr:rowOff>121137</xdr:rowOff>
    </xdr:from>
    <xdr:to>
      <xdr:col>162</xdr:col>
      <xdr:colOff>126021</xdr:colOff>
      <xdr:row>55</xdr:row>
      <xdr:rowOff>130906</xdr:rowOff>
    </xdr:to>
    <xdr:cxnSp macro="">
      <xdr:nvCxnSpPr>
        <xdr:cNvPr id="25" name="AutoShape 4">
          <a:extLst>
            <a:ext uri="{FF2B5EF4-FFF2-40B4-BE49-F238E27FC236}">
              <a16:creationId xmlns:a16="http://schemas.microsoft.com/office/drawing/2014/main" id="{610CC2E8-E2BE-4A7A-BB93-8DC29B79DB2F}"/>
            </a:ext>
          </a:extLst>
        </xdr:cNvPr>
        <xdr:cNvCxnSpPr>
          <a:cxnSpLocks noChangeShapeType="1"/>
        </xdr:cNvCxnSpPr>
      </xdr:nvCxnSpPr>
      <xdr:spPr bwMode="auto">
        <a:xfrm flipV="1">
          <a:off x="37473790" y="6368560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162</xdr:col>
      <xdr:colOff>122113</xdr:colOff>
      <xdr:row>51</xdr:row>
      <xdr:rowOff>126999</xdr:rowOff>
    </xdr:from>
    <xdr:to>
      <xdr:col>166</xdr:col>
      <xdr:colOff>126998</xdr:colOff>
      <xdr:row>56</xdr:row>
      <xdr:rowOff>4884</xdr:rowOff>
    </xdr:to>
    <xdr:cxnSp macro="">
      <xdr:nvCxnSpPr>
        <xdr:cNvPr id="26" name="AutoShape 4">
          <a:extLst>
            <a:ext uri="{FF2B5EF4-FFF2-40B4-BE49-F238E27FC236}">
              <a16:creationId xmlns:a16="http://schemas.microsoft.com/office/drawing/2014/main" id="{0D305C3B-4853-48D8-B07D-D488B074AE13}"/>
            </a:ext>
          </a:extLst>
        </xdr:cNvPr>
        <xdr:cNvCxnSpPr>
          <a:cxnSpLocks noChangeShapeType="1"/>
        </xdr:cNvCxnSpPr>
      </xdr:nvCxnSpPr>
      <xdr:spPr bwMode="auto">
        <a:xfrm flipV="1">
          <a:off x="37982767" y="6374422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167</xdr:col>
      <xdr:colOff>5860</xdr:colOff>
      <xdr:row>51</xdr:row>
      <xdr:rowOff>123092</xdr:rowOff>
    </xdr:from>
    <xdr:to>
      <xdr:col>171</xdr:col>
      <xdr:colOff>10745</xdr:colOff>
      <xdr:row>56</xdr:row>
      <xdr:rowOff>977</xdr:rowOff>
    </xdr:to>
    <xdr:cxnSp macro="">
      <xdr:nvCxnSpPr>
        <xdr:cNvPr id="27" name="AutoShape 4">
          <a:extLst>
            <a:ext uri="{FF2B5EF4-FFF2-40B4-BE49-F238E27FC236}">
              <a16:creationId xmlns:a16="http://schemas.microsoft.com/office/drawing/2014/main" id="{B39D9906-1846-40EE-8E3C-044D307E376E}"/>
            </a:ext>
          </a:extLst>
        </xdr:cNvPr>
        <xdr:cNvCxnSpPr>
          <a:cxnSpLocks noChangeShapeType="1"/>
        </xdr:cNvCxnSpPr>
      </xdr:nvCxnSpPr>
      <xdr:spPr bwMode="auto">
        <a:xfrm flipV="1">
          <a:off x="38501514" y="6370515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169</xdr:col>
      <xdr:colOff>80106</xdr:colOff>
      <xdr:row>52</xdr:row>
      <xdr:rowOff>1954</xdr:rowOff>
    </xdr:from>
    <xdr:to>
      <xdr:col>173</xdr:col>
      <xdr:colOff>84991</xdr:colOff>
      <xdr:row>56</xdr:row>
      <xdr:rowOff>6839</xdr:rowOff>
    </xdr:to>
    <xdr:cxnSp macro="">
      <xdr:nvCxnSpPr>
        <xdr:cNvPr id="28" name="AutoShape 4">
          <a:extLst>
            <a:ext uri="{FF2B5EF4-FFF2-40B4-BE49-F238E27FC236}">
              <a16:creationId xmlns:a16="http://schemas.microsoft.com/office/drawing/2014/main" id="{CC4B78C6-8B83-48AD-84C0-14AE425D5773}"/>
            </a:ext>
          </a:extLst>
        </xdr:cNvPr>
        <xdr:cNvCxnSpPr>
          <a:cxnSpLocks noChangeShapeType="1"/>
        </xdr:cNvCxnSpPr>
      </xdr:nvCxnSpPr>
      <xdr:spPr bwMode="auto">
        <a:xfrm flipV="1">
          <a:off x="38829760" y="6376377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175</xdr:col>
      <xdr:colOff>33214</xdr:colOff>
      <xdr:row>51</xdr:row>
      <xdr:rowOff>121138</xdr:rowOff>
    </xdr:from>
    <xdr:to>
      <xdr:col>179</xdr:col>
      <xdr:colOff>38099</xdr:colOff>
      <xdr:row>55</xdr:row>
      <xdr:rowOff>130907</xdr:rowOff>
    </xdr:to>
    <xdr:cxnSp macro="">
      <xdr:nvCxnSpPr>
        <xdr:cNvPr id="30" name="AutoShape 4">
          <a:extLst>
            <a:ext uri="{FF2B5EF4-FFF2-40B4-BE49-F238E27FC236}">
              <a16:creationId xmlns:a16="http://schemas.microsoft.com/office/drawing/2014/main" id="{719B0F18-3DE4-4D81-B922-1FC45C264465}"/>
            </a:ext>
          </a:extLst>
        </xdr:cNvPr>
        <xdr:cNvCxnSpPr>
          <a:cxnSpLocks noChangeShapeType="1"/>
        </xdr:cNvCxnSpPr>
      </xdr:nvCxnSpPr>
      <xdr:spPr bwMode="auto">
        <a:xfrm flipV="1">
          <a:off x="39544868" y="63685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179</xdr:col>
      <xdr:colOff>29306</xdr:colOff>
      <xdr:row>51</xdr:row>
      <xdr:rowOff>122115</xdr:rowOff>
    </xdr:from>
    <xdr:to>
      <xdr:col>183</xdr:col>
      <xdr:colOff>34191</xdr:colOff>
      <xdr:row>56</xdr:row>
      <xdr:rowOff>0</xdr:rowOff>
    </xdr:to>
    <xdr:cxnSp macro="">
      <xdr:nvCxnSpPr>
        <xdr:cNvPr id="31" name="AutoShape 4">
          <a:extLst>
            <a:ext uri="{FF2B5EF4-FFF2-40B4-BE49-F238E27FC236}">
              <a16:creationId xmlns:a16="http://schemas.microsoft.com/office/drawing/2014/main" id="{362149EF-4326-4396-83DF-A46D28265CCA}"/>
            </a:ext>
          </a:extLst>
        </xdr:cNvPr>
        <xdr:cNvCxnSpPr>
          <a:cxnSpLocks noChangeShapeType="1"/>
        </xdr:cNvCxnSpPr>
      </xdr:nvCxnSpPr>
      <xdr:spPr bwMode="auto">
        <a:xfrm flipV="1">
          <a:off x="40048960" y="636953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186</xdr:col>
      <xdr:colOff>126997</xdr:colOff>
      <xdr:row>51</xdr:row>
      <xdr:rowOff>117718</xdr:rowOff>
    </xdr:from>
    <xdr:to>
      <xdr:col>191</xdr:col>
      <xdr:colOff>4882</xdr:colOff>
      <xdr:row>55</xdr:row>
      <xdr:rowOff>128953</xdr:rowOff>
    </xdr:to>
    <xdr:cxnSp macro="">
      <xdr:nvCxnSpPr>
        <xdr:cNvPr id="33" name="AutoShape 4">
          <a:extLst>
            <a:ext uri="{FF2B5EF4-FFF2-40B4-BE49-F238E27FC236}">
              <a16:creationId xmlns:a16="http://schemas.microsoft.com/office/drawing/2014/main" id="{33A61403-0964-46EF-9C89-8823C50520BA}"/>
            </a:ext>
          </a:extLst>
        </xdr:cNvPr>
        <xdr:cNvCxnSpPr>
          <a:cxnSpLocks noChangeShapeType="1"/>
        </xdr:cNvCxnSpPr>
      </xdr:nvCxnSpPr>
      <xdr:spPr bwMode="auto">
        <a:xfrm flipV="1">
          <a:off x="40957497" y="6372468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191</xdr:col>
      <xdr:colOff>974</xdr:colOff>
      <xdr:row>51</xdr:row>
      <xdr:rowOff>123580</xdr:rowOff>
    </xdr:from>
    <xdr:to>
      <xdr:col>195</xdr:col>
      <xdr:colOff>5859</xdr:colOff>
      <xdr:row>56</xdr:row>
      <xdr:rowOff>1465</xdr:rowOff>
    </xdr:to>
    <xdr:cxnSp macro="">
      <xdr:nvCxnSpPr>
        <xdr:cNvPr id="34" name="AutoShape 4">
          <a:extLst>
            <a:ext uri="{FF2B5EF4-FFF2-40B4-BE49-F238E27FC236}">
              <a16:creationId xmlns:a16="http://schemas.microsoft.com/office/drawing/2014/main" id="{B557AFF1-FB19-4016-87A3-D344C77D0D2B}"/>
            </a:ext>
          </a:extLst>
        </xdr:cNvPr>
        <xdr:cNvCxnSpPr>
          <a:cxnSpLocks noChangeShapeType="1"/>
        </xdr:cNvCxnSpPr>
      </xdr:nvCxnSpPr>
      <xdr:spPr bwMode="auto">
        <a:xfrm flipV="1">
          <a:off x="41466474" y="6378330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194</xdr:col>
      <xdr:colOff>126998</xdr:colOff>
      <xdr:row>51</xdr:row>
      <xdr:rowOff>122603</xdr:rowOff>
    </xdr:from>
    <xdr:to>
      <xdr:col>199</xdr:col>
      <xdr:colOff>4883</xdr:colOff>
      <xdr:row>56</xdr:row>
      <xdr:rowOff>488</xdr:rowOff>
    </xdr:to>
    <xdr:cxnSp macro="">
      <xdr:nvCxnSpPr>
        <xdr:cNvPr id="35" name="AutoShape 4">
          <a:extLst>
            <a:ext uri="{FF2B5EF4-FFF2-40B4-BE49-F238E27FC236}">
              <a16:creationId xmlns:a16="http://schemas.microsoft.com/office/drawing/2014/main" id="{1D20F2ED-AF70-4F36-89FD-00FDE7ED514D}"/>
            </a:ext>
          </a:extLst>
        </xdr:cNvPr>
        <xdr:cNvCxnSpPr>
          <a:cxnSpLocks noChangeShapeType="1"/>
        </xdr:cNvCxnSpPr>
      </xdr:nvCxnSpPr>
      <xdr:spPr bwMode="auto">
        <a:xfrm flipV="1">
          <a:off x="41973498" y="6377353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198</xdr:col>
      <xdr:colOff>123090</xdr:colOff>
      <xdr:row>51</xdr:row>
      <xdr:rowOff>113810</xdr:rowOff>
    </xdr:from>
    <xdr:to>
      <xdr:col>203</xdr:col>
      <xdr:colOff>975</xdr:colOff>
      <xdr:row>55</xdr:row>
      <xdr:rowOff>123579</xdr:rowOff>
    </xdr:to>
    <xdr:cxnSp macro="">
      <xdr:nvCxnSpPr>
        <xdr:cNvPr id="36" name="AutoShape 4">
          <a:extLst>
            <a:ext uri="{FF2B5EF4-FFF2-40B4-BE49-F238E27FC236}">
              <a16:creationId xmlns:a16="http://schemas.microsoft.com/office/drawing/2014/main" id="{727DAF3F-1ECB-4C2C-AEAC-DD2330AAE3CE}"/>
            </a:ext>
          </a:extLst>
        </xdr:cNvPr>
        <xdr:cNvCxnSpPr>
          <a:cxnSpLocks noChangeShapeType="1"/>
        </xdr:cNvCxnSpPr>
      </xdr:nvCxnSpPr>
      <xdr:spPr bwMode="auto">
        <a:xfrm flipV="1">
          <a:off x="42477590" y="6368560"/>
          <a:ext cx="512885" cy="52411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202</xdr:col>
      <xdr:colOff>124067</xdr:colOff>
      <xdr:row>51</xdr:row>
      <xdr:rowOff>119672</xdr:rowOff>
    </xdr:from>
    <xdr:to>
      <xdr:col>207</xdr:col>
      <xdr:colOff>1952</xdr:colOff>
      <xdr:row>55</xdr:row>
      <xdr:rowOff>130907</xdr:rowOff>
    </xdr:to>
    <xdr:cxnSp macro="">
      <xdr:nvCxnSpPr>
        <xdr:cNvPr id="37" name="AutoShape 4">
          <a:extLst>
            <a:ext uri="{FF2B5EF4-FFF2-40B4-BE49-F238E27FC236}">
              <a16:creationId xmlns:a16="http://schemas.microsoft.com/office/drawing/2014/main" id="{87280354-5AC1-41BE-ABA2-350376C09E83}"/>
            </a:ext>
          </a:extLst>
        </xdr:cNvPr>
        <xdr:cNvCxnSpPr>
          <a:cxnSpLocks noChangeShapeType="1"/>
        </xdr:cNvCxnSpPr>
      </xdr:nvCxnSpPr>
      <xdr:spPr bwMode="auto">
        <a:xfrm flipV="1">
          <a:off x="42986567" y="6374422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207</xdr:col>
      <xdr:colOff>7814</xdr:colOff>
      <xdr:row>51</xdr:row>
      <xdr:rowOff>115765</xdr:rowOff>
    </xdr:from>
    <xdr:to>
      <xdr:col>211</xdr:col>
      <xdr:colOff>12699</xdr:colOff>
      <xdr:row>55</xdr:row>
      <xdr:rowOff>127000</xdr:rowOff>
    </xdr:to>
    <xdr:cxnSp macro="">
      <xdr:nvCxnSpPr>
        <xdr:cNvPr id="38" name="AutoShape 4">
          <a:extLst>
            <a:ext uri="{FF2B5EF4-FFF2-40B4-BE49-F238E27FC236}">
              <a16:creationId xmlns:a16="http://schemas.microsoft.com/office/drawing/2014/main" id="{DE683C21-2F00-4ADB-AFEE-8D67C03E4A91}"/>
            </a:ext>
          </a:extLst>
        </xdr:cNvPr>
        <xdr:cNvCxnSpPr>
          <a:cxnSpLocks noChangeShapeType="1"/>
        </xdr:cNvCxnSpPr>
      </xdr:nvCxnSpPr>
      <xdr:spPr bwMode="auto">
        <a:xfrm flipV="1">
          <a:off x="43505314" y="6370515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210</xdr:col>
      <xdr:colOff>124067</xdr:colOff>
      <xdr:row>52</xdr:row>
      <xdr:rowOff>5372</xdr:rowOff>
    </xdr:from>
    <xdr:to>
      <xdr:col>215</xdr:col>
      <xdr:colOff>1952</xdr:colOff>
      <xdr:row>56</xdr:row>
      <xdr:rowOff>10257</xdr:rowOff>
    </xdr:to>
    <xdr:cxnSp macro="">
      <xdr:nvCxnSpPr>
        <xdr:cNvPr id="39" name="AutoShape 4">
          <a:extLst>
            <a:ext uri="{FF2B5EF4-FFF2-40B4-BE49-F238E27FC236}">
              <a16:creationId xmlns:a16="http://schemas.microsoft.com/office/drawing/2014/main" id="{A3138571-1221-4F57-A3C5-349AB5CD4D81}"/>
            </a:ext>
          </a:extLst>
        </xdr:cNvPr>
        <xdr:cNvCxnSpPr>
          <a:cxnSpLocks noChangeShapeType="1"/>
        </xdr:cNvCxnSpPr>
      </xdr:nvCxnSpPr>
      <xdr:spPr bwMode="auto">
        <a:xfrm flipV="1">
          <a:off x="44002567" y="6387122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215</xdr:col>
      <xdr:colOff>7814</xdr:colOff>
      <xdr:row>52</xdr:row>
      <xdr:rowOff>1465</xdr:rowOff>
    </xdr:from>
    <xdr:to>
      <xdr:col>219</xdr:col>
      <xdr:colOff>12699</xdr:colOff>
      <xdr:row>56</xdr:row>
      <xdr:rowOff>6350</xdr:rowOff>
    </xdr:to>
    <xdr:cxnSp macro="">
      <xdr:nvCxnSpPr>
        <xdr:cNvPr id="40" name="AutoShape 4">
          <a:extLst>
            <a:ext uri="{FF2B5EF4-FFF2-40B4-BE49-F238E27FC236}">
              <a16:creationId xmlns:a16="http://schemas.microsoft.com/office/drawing/2014/main" id="{C67B9B0C-7D67-4EBA-BF9A-26B7A9A25065}"/>
            </a:ext>
          </a:extLst>
        </xdr:cNvPr>
        <xdr:cNvCxnSpPr>
          <a:cxnSpLocks noChangeShapeType="1"/>
        </xdr:cNvCxnSpPr>
      </xdr:nvCxnSpPr>
      <xdr:spPr bwMode="auto">
        <a:xfrm flipV="1">
          <a:off x="44521314" y="6383215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215</xdr:col>
      <xdr:colOff>7814</xdr:colOff>
      <xdr:row>52</xdr:row>
      <xdr:rowOff>5372</xdr:rowOff>
    </xdr:from>
    <xdr:to>
      <xdr:col>219</xdr:col>
      <xdr:colOff>12699</xdr:colOff>
      <xdr:row>56</xdr:row>
      <xdr:rowOff>10257</xdr:rowOff>
    </xdr:to>
    <xdr:cxnSp macro="">
      <xdr:nvCxnSpPr>
        <xdr:cNvPr id="41" name="AutoShape 4">
          <a:extLst>
            <a:ext uri="{FF2B5EF4-FFF2-40B4-BE49-F238E27FC236}">
              <a16:creationId xmlns:a16="http://schemas.microsoft.com/office/drawing/2014/main" id="{FB6E92F0-33F4-4948-AAFF-029B6E9410F3}"/>
            </a:ext>
          </a:extLst>
        </xdr:cNvPr>
        <xdr:cNvCxnSpPr>
          <a:cxnSpLocks noChangeShapeType="1"/>
        </xdr:cNvCxnSpPr>
      </xdr:nvCxnSpPr>
      <xdr:spPr bwMode="auto">
        <a:xfrm flipV="1">
          <a:off x="44521314" y="6387122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230</xdr:col>
      <xdr:colOff>132861</xdr:colOff>
      <xdr:row>52</xdr:row>
      <xdr:rowOff>1465</xdr:rowOff>
    </xdr:from>
    <xdr:to>
      <xdr:col>234</xdr:col>
      <xdr:colOff>128221</xdr:colOff>
      <xdr:row>56</xdr:row>
      <xdr:rowOff>6350</xdr:rowOff>
    </xdr:to>
    <xdr:cxnSp macro="">
      <xdr:nvCxnSpPr>
        <xdr:cNvPr id="42" name="AutoShape 4">
          <a:extLst>
            <a:ext uri="{FF2B5EF4-FFF2-40B4-BE49-F238E27FC236}">
              <a16:creationId xmlns:a16="http://schemas.microsoft.com/office/drawing/2014/main" id="{996FA4C8-3FCB-4E6B-942F-4746705F3536}"/>
            </a:ext>
          </a:extLst>
        </xdr:cNvPr>
        <xdr:cNvCxnSpPr>
          <a:cxnSpLocks noChangeShapeType="1"/>
        </xdr:cNvCxnSpPr>
      </xdr:nvCxnSpPr>
      <xdr:spPr bwMode="auto">
        <a:xfrm flipV="1">
          <a:off x="47538786" y="7450015"/>
          <a:ext cx="528760" cy="58591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171</xdr:col>
      <xdr:colOff>5860</xdr:colOff>
      <xdr:row>51</xdr:row>
      <xdr:rowOff>121627</xdr:rowOff>
    </xdr:from>
    <xdr:to>
      <xdr:col>175</xdr:col>
      <xdr:colOff>10745</xdr:colOff>
      <xdr:row>55</xdr:row>
      <xdr:rowOff>132862</xdr:rowOff>
    </xdr:to>
    <xdr:cxnSp macro="">
      <xdr:nvCxnSpPr>
        <xdr:cNvPr id="43" name="AutoShape 4">
          <a:extLst>
            <a:ext uri="{FF2B5EF4-FFF2-40B4-BE49-F238E27FC236}">
              <a16:creationId xmlns:a16="http://schemas.microsoft.com/office/drawing/2014/main" id="{8C11F32B-C65B-47BD-80DD-F7DED8BE1365}"/>
            </a:ext>
          </a:extLst>
        </xdr:cNvPr>
        <xdr:cNvCxnSpPr>
          <a:cxnSpLocks noChangeShapeType="1"/>
        </xdr:cNvCxnSpPr>
      </xdr:nvCxnSpPr>
      <xdr:spPr bwMode="auto">
        <a:xfrm flipV="1">
          <a:off x="38931360" y="6376377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20%20Rate%20Review/Webpage%20Publication/Files%20from%202019/2019%20Commercial%20Memo%20Exhibits%20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xaswindstorm-my.sharepoint.com/personal/jmurphy_twia_org1/Documents/TWIA_Prem_Metrics_2023.xlsx" TargetMode="External"/><Relationship Id="rId1" Type="http://schemas.openxmlformats.org/officeDocument/2006/relationships/externalLinkPath" Target="https://texaswindstorm-my.sharepoint.com/personal/jmurphy_twia_org1/Documents/TWIA_Prem_Metrics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Copy%20of%202019%20Residential%20Indications%20JF%20Table%20of%20Contents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2%20Rate%20Review\2022%20Commercial%20Indications%20Exhibits.xlsx" TargetMode="External"/><Relationship Id="rId1" Type="http://schemas.openxmlformats.org/officeDocument/2006/relationships/externalLinkPath" Target="/Actuarial/Tier%203%20-%20Internal%20Use%20Secured/TWIA/Reviews/2022%20Rate%20Review/2022%20Commercial%20Indications%20Exhibit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3%20Rate%20Review\2023%20Data.xls" TargetMode="External"/><Relationship Id="rId1" Type="http://schemas.openxmlformats.org/officeDocument/2006/relationships/externalLinkPath" Target="/Actuarial/Tier%203%20-%20Internal%20Use%20Secured/TWIA/Reviews/2023%20Rate%20Review/2023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3%20Rate%20Review\2023%20Residential%20Indications%20Exhibits.xlsx" TargetMode="External"/><Relationship Id="rId1" Type="http://schemas.openxmlformats.org/officeDocument/2006/relationships/externalLinkPath" Target="/Actuarial/Tier%203%20-%20Internal%20Use%20Secured/TWIA/Reviews/2023%20Rate%20Review/2023%20Residential%20Indications%20Exhibit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3%201Q%20Rx\TWIA%20Rx%202023%20Q1.xlsx" TargetMode="External"/><Relationship Id="rId1" Type="http://schemas.openxmlformats.org/officeDocument/2006/relationships/externalLinkPath" Target="/Actuarial/Tier%203%20-%20Internal%20Use%20Secured/TWIA/Reviews/2023%201Q%20Rx/TWIA%20Rx%202023%20Q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17%20Rate%20Review\2017%20Commercial%20Indications.xls" TargetMode="External"/><Relationship Id="rId1" Type="http://schemas.openxmlformats.org/officeDocument/2006/relationships/externalLinkPath" Target="/Actuarial/Tier%203%20-%20Internal%20Use%20Secured/TWIA/Reviews/2017%20Rate%20Review/2017%20Commercial%20Indications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xaswindstorm-my.sharepoint.com/personal/jmurphy_twia_org1/Documents/TWIA_Prem_IF_20230430.xlsx" TargetMode="External"/><Relationship Id="rId1" Type="http://schemas.openxmlformats.org/officeDocument/2006/relationships/externalLinkPath" Target="https://texaswindstorm-my.sharepoint.com/personal/jmurphy_twia_org1/Documents/TWIA_Prem_IF_20230430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3%20Rate%20Review\Reinsurance\TWIA_20221130_CatXOL_CededEL_byLOB.xlsx" TargetMode="External"/><Relationship Id="rId1" Type="http://schemas.openxmlformats.org/officeDocument/2006/relationships/externalLinkPath" Target="/Actuarial/Tier%203%20-%20Internal%20Use%20Secured/TWIA/Reviews/2023%20Rate%20Review/Reinsurance/TWIA_20221130_CatXOL_CededEL_byLO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>
        <row r="5">
          <cell r="A5" t="str">
            <v>By Method for Projecting Hurricane Loss &amp; LAE</v>
          </cell>
        </row>
      </sheetData>
      <sheetData sheetId="3"/>
      <sheetData sheetId="4"/>
      <sheetData sheetId="5"/>
      <sheetData sheetId="6"/>
      <sheetData sheetId="7"/>
      <sheetData sheetId="8">
        <row r="5">
          <cell r="A5" t="str">
            <v>TWIA Commercial Earned Premium at Present Rates</v>
          </cell>
        </row>
      </sheetData>
      <sheetData sheetId="9">
        <row r="5">
          <cell r="A5" t="str">
            <v>Summary of Indices and Calculation of Prospective Loss Costs</v>
          </cell>
        </row>
      </sheetData>
      <sheetData sheetId="10">
        <row r="5">
          <cell r="A5" t="str">
            <v>Boeckh Commercial Construction Index Trend (Statewide)</v>
          </cell>
        </row>
      </sheetData>
      <sheetData sheetId="11">
        <row r="5">
          <cell r="A5" t="str">
            <v>Boeckh Commercial Construction Index Trend (Coastal)</v>
          </cell>
        </row>
      </sheetData>
      <sheetData sheetId="12">
        <row r="5">
          <cell r="A5" t="str">
            <v>Modified Consumer Price Index - External Trend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1966 - 2018 -- Hurricane Years Only</v>
          </cell>
        </row>
      </sheetData>
      <sheetData sheetId="20"/>
      <sheetData sheetId="21"/>
      <sheetData sheetId="22">
        <row r="5">
          <cell r="A5" t="str">
            <v>Tier 1 -- Territory 8 (Galveston County)</v>
          </cell>
        </row>
      </sheetData>
      <sheetData sheetId="23">
        <row r="5">
          <cell r="A5" t="str">
            <v>Tier 1 -- Territory 9 (Nueces County)</v>
          </cell>
        </row>
      </sheetData>
      <sheetData sheetId="24">
        <row r="5">
          <cell r="A5" t="str">
            <v>Tier 1 -- Territory 10 (Other Tier 1)</v>
          </cell>
        </row>
      </sheetData>
      <sheetData sheetId="25">
        <row r="5">
          <cell r="A5" t="str">
            <v>Tier 2 (Territories 1 and 11)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5">
          <cell r="A5" t="str">
            <v>Using Average of AIR and  RMS Hurricane Models</v>
          </cell>
        </row>
      </sheetData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s"/>
      <sheetName val="202305"/>
      <sheetName val="data"/>
      <sheetName val="202304"/>
    </sheetNames>
    <sheetDataSet>
      <sheetData sheetId="0"/>
      <sheetData sheetId="1">
        <row r="41">
          <cell r="U41">
            <v>66276038817</v>
          </cell>
          <cell r="V41">
            <v>64292251</v>
          </cell>
          <cell r="W41">
            <v>8581824338</v>
          </cell>
        </row>
        <row r="53">
          <cell r="U53">
            <v>77915355081.763641</v>
          </cell>
          <cell r="V53">
            <v>81106016.74234502</v>
          </cell>
          <cell r="W53">
            <v>11688745086.380016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Summary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Tier 1 -- Territory 8 (Galveston County)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Table of Contents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8.1"/>
      <sheetName val="8.2"/>
      <sheetName val="8.3"/>
      <sheetName val="8.4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>
        <row r="15">
          <cell r="H15">
            <v>0.11</v>
          </cell>
        </row>
        <row r="19">
          <cell r="H19">
            <v>0.08</v>
          </cell>
        </row>
        <row r="20">
          <cell r="H20">
            <v>0.34</v>
          </cell>
        </row>
        <row r="21">
          <cell r="H21">
            <v>0.27</v>
          </cell>
        </row>
        <row r="22">
          <cell r="H22">
            <v>-0.05</v>
          </cell>
        </row>
        <row r="23">
          <cell r="H23">
            <v>-0.01</v>
          </cell>
        </row>
        <row r="25">
          <cell r="H25">
            <v>0.13858702501619558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O"/>
      <sheetName val="TICO 1"/>
      <sheetName val="TICO 2"/>
      <sheetName val="TICO 3"/>
      <sheetName val="Hurr Models"/>
      <sheetName val="EC LDF"/>
      <sheetName val="TWIA 1"/>
      <sheetName val="TWIA 3"/>
      <sheetName val="TWIA 4 Premium Trend"/>
      <sheetName val="TWIA 5"/>
      <sheetName val="CPI"/>
      <sheetName val="Boeckh (R)"/>
      <sheetName val="Boeckh (C)"/>
      <sheetName val="Checklist"/>
    </sheetNames>
    <sheetDataSet>
      <sheetData sheetId="0">
        <row r="1">
          <cell r="E1">
            <v>44926</v>
          </cell>
        </row>
        <row r="2">
          <cell r="E2">
            <v>44926</v>
          </cell>
        </row>
        <row r="34">
          <cell r="O34">
            <v>37582814</v>
          </cell>
          <cell r="P34">
            <v>27964798</v>
          </cell>
          <cell r="Q34">
            <v>71237559</v>
          </cell>
          <cell r="R34">
            <v>87594841</v>
          </cell>
          <cell r="T34">
            <v>6670061</v>
          </cell>
          <cell r="U34">
            <v>1468876</v>
          </cell>
          <cell r="V34">
            <v>882597</v>
          </cell>
          <cell r="W34">
            <v>7837537</v>
          </cell>
        </row>
        <row r="35">
          <cell r="O35">
            <v>38169853</v>
          </cell>
          <cell r="P35">
            <v>27857373</v>
          </cell>
          <cell r="Q35">
            <v>66691855</v>
          </cell>
          <cell r="R35">
            <v>102019858</v>
          </cell>
          <cell r="T35">
            <v>255745</v>
          </cell>
          <cell r="U35">
            <v>1127998</v>
          </cell>
          <cell r="V35">
            <v>892615</v>
          </cell>
          <cell r="W35">
            <v>5452840</v>
          </cell>
        </row>
        <row r="36">
          <cell r="O36">
            <v>36704758</v>
          </cell>
          <cell r="P36">
            <v>26449955</v>
          </cell>
          <cell r="Q36">
            <v>61267612</v>
          </cell>
          <cell r="R36">
            <v>103198554</v>
          </cell>
          <cell r="T36">
            <v>5027267</v>
          </cell>
          <cell r="U36">
            <v>1152720</v>
          </cell>
          <cell r="V36">
            <v>15887126</v>
          </cell>
          <cell r="W36">
            <v>16625378</v>
          </cell>
        </row>
        <row r="37">
          <cell r="O37">
            <v>36091835</v>
          </cell>
          <cell r="P37">
            <v>22552307</v>
          </cell>
          <cell r="Q37">
            <v>56207168</v>
          </cell>
          <cell r="R37">
            <v>96191345</v>
          </cell>
          <cell r="T37">
            <v>331694</v>
          </cell>
          <cell r="U37">
            <v>1887548</v>
          </cell>
          <cell r="V37">
            <v>2289194</v>
          </cell>
          <cell r="W37">
            <v>33773939</v>
          </cell>
        </row>
        <row r="38">
          <cell r="O38">
            <v>32229276</v>
          </cell>
          <cell r="P38">
            <v>18922395</v>
          </cell>
          <cell r="Q38">
            <v>44762462</v>
          </cell>
          <cell r="R38">
            <v>87938738</v>
          </cell>
          <cell r="T38">
            <v>27347012</v>
          </cell>
          <cell r="U38">
            <v>248458879</v>
          </cell>
          <cell r="V38">
            <v>218068882</v>
          </cell>
          <cell r="W38">
            <v>121189793</v>
          </cell>
        </row>
        <row r="39">
          <cell r="O39">
            <v>32052459</v>
          </cell>
          <cell r="P39">
            <v>17985941</v>
          </cell>
          <cell r="Q39">
            <v>41494725</v>
          </cell>
          <cell r="R39">
            <v>89932098</v>
          </cell>
          <cell r="T39">
            <v>110422</v>
          </cell>
          <cell r="U39">
            <v>387950</v>
          </cell>
          <cell r="V39">
            <v>741880</v>
          </cell>
          <cell r="W39">
            <v>14008395</v>
          </cell>
        </row>
        <row r="40">
          <cell r="O40">
            <v>31282533</v>
          </cell>
          <cell r="P40">
            <v>16008766</v>
          </cell>
          <cell r="Q40">
            <v>39637988</v>
          </cell>
          <cell r="R40">
            <v>89510956</v>
          </cell>
          <cell r="T40">
            <v>369052</v>
          </cell>
          <cell r="U40">
            <v>141982</v>
          </cell>
          <cell r="V40">
            <v>1958323</v>
          </cell>
          <cell r="W40">
            <v>16313767</v>
          </cell>
        </row>
        <row r="41">
          <cell r="O41">
            <v>32437926</v>
          </cell>
          <cell r="P41">
            <v>15636712</v>
          </cell>
          <cell r="Q41">
            <v>39584894</v>
          </cell>
          <cell r="R41">
            <v>92312905</v>
          </cell>
          <cell r="T41">
            <v>864411</v>
          </cell>
          <cell r="U41">
            <v>1257240</v>
          </cell>
          <cell r="V41">
            <v>6286600</v>
          </cell>
          <cell r="W41">
            <v>20497133</v>
          </cell>
        </row>
        <row r="42">
          <cell r="O42">
            <v>32931814</v>
          </cell>
          <cell r="P42">
            <v>16595164</v>
          </cell>
          <cell r="Q42">
            <v>39999421</v>
          </cell>
          <cell r="R42">
            <v>97515903</v>
          </cell>
          <cell r="T42">
            <v>7366017</v>
          </cell>
          <cell r="U42">
            <v>54035</v>
          </cell>
          <cell r="V42">
            <v>3221365</v>
          </cell>
          <cell r="W42">
            <v>23461302</v>
          </cell>
        </row>
        <row r="43">
          <cell r="O43">
            <v>37475436</v>
          </cell>
          <cell r="P43">
            <v>21812063</v>
          </cell>
          <cell r="Q43">
            <v>44814513</v>
          </cell>
          <cell r="R43">
            <v>99780745</v>
          </cell>
          <cell r="T43">
            <v>838443</v>
          </cell>
          <cell r="U43">
            <v>216718</v>
          </cell>
          <cell r="V43">
            <v>549637</v>
          </cell>
          <cell r="W43">
            <v>9985883</v>
          </cell>
        </row>
        <row r="47">
          <cell r="O47">
            <v>0.83366863452429774</v>
          </cell>
          <cell r="P47">
            <v>0.85941328535119454</v>
          </cell>
          <cell r="Q47">
            <v>0.66077082730828873</v>
          </cell>
          <cell r="R47">
            <v>8.0082193333465487E-3</v>
          </cell>
        </row>
      </sheetData>
      <sheetData sheetId="1"/>
      <sheetData sheetId="2"/>
      <sheetData sheetId="3"/>
      <sheetData sheetId="4">
        <row r="1">
          <cell r="C1">
            <v>44895</v>
          </cell>
        </row>
        <row r="5">
          <cell r="B5">
            <v>334111773</v>
          </cell>
          <cell r="K5">
            <v>1240174.9946000001</v>
          </cell>
        </row>
        <row r="6">
          <cell r="B6">
            <v>460867981.05000001</v>
          </cell>
          <cell r="K6">
            <v>1671477.1758999999</v>
          </cell>
        </row>
        <row r="7">
          <cell r="B7">
            <v>131887632</v>
          </cell>
          <cell r="K7">
            <v>623291.9057</v>
          </cell>
        </row>
        <row r="8">
          <cell r="B8">
            <v>1232168354</v>
          </cell>
          <cell r="K8">
            <v>6268646.7893000003</v>
          </cell>
        </row>
        <row r="9">
          <cell r="B9">
            <v>66074529</v>
          </cell>
          <cell r="K9">
            <v>199281.728</v>
          </cell>
        </row>
        <row r="10">
          <cell r="B10">
            <v>3140710658.5999999</v>
          </cell>
          <cell r="K10">
            <v>20303971.8466</v>
          </cell>
        </row>
        <row r="11">
          <cell r="B11">
            <v>123247176</v>
          </cell>
          <cell r="K11">
            <v>474648.1054</v>
          </cell>
        </row>
        <row r="12">
          <cell r="B12">
            <v>498049575.10000002</v>
          </cell>
          <cell r="K12">
            <v>1365264.1398</v>
          </cell>
        </row>
        <row r="13">
          <cell r="B13">
            <v>694441</v>
          </cell>
          <cell r="K13">
            <v>1608.7788</v>
          </cell>
        </row>
        <row r="14">
          <cell r="B14">
            <v>22736963</v>
          </cell>
          <cell r="K14">
            <v>45572.033499999998</v>
          </cell>
        </row>
        <row r="15">
          <cell r="B15">
            <v>103140131</v>
          </cell>
          <cell r="K15">
            <v>420603.31040000002</v>
          </cell>
        </row>
        <row r="16">
          <cell r="B16">
            <v>2453933895.5999999</v>
          </cell>
          <cell r="K16">
            <v>10481481.6812</v>
          </cell>
        </row>
        <row r="17">
          <cell r="B17">
            <v>18576730</v>
          </cell>
          <cell r="K17">
            <v>54443.624300000003</v>
          </cell>
        </row>
        <row r="18">
          <cell r="B18">
            <v>133727579</v>
          </cell>
          <cell r="K18">
            <v>439386.66930000001</v>
          </cell>
        </row>
        <row r="19">
          <cell r="B19">
            <v>19550150</v>
          </cell>
          <cell r="K19">
            <v>74669.082299999995</v>
          </cell>
        </row>
        <row r="30">
          <cell r="E30">
            <v>334111773</v>
          </cell>
          <cell r="K30">
            <v>1327128.2633</v>
          </cell>
        </row>
        <row r="31">
          <cell r="E31">
            <v>460867981.05000001</v>
          </cell>
          <cell r="K31">
            <v>1640521.1658999999</v>
          </cell>
        </row>
        <row r="32">
          <cell r="E32">
            <v>131887632</v>
          </cell>
          <cell r="K32">
            <v>558142.4044</v>
          </cell>
        </row>
        <row r="33">
          <cell r="E33">
            <v>1232168354</v>
          </cell>
          <cell r="K33">
            <v>5337849.4145</v>
          </cell>
        </row>
        <row r="34">
          <cell r="E34">
            <v>66074529</v>
          </cell>
          <cell r="K34">
            <v>204908.6563</v>
          </cell>
        </row>
        <row r="35">
          <cell r="E35">
            <v>3140710658.5999999</v>
          </cell>
          <cell r="K35">
            <v>30433645.6809</v>
          </cell>
        </row>
        <row r="36">
          <cell r="E36">
            <v>123247176</v>
          </cell>
          <cell r="K36">
            <v>532285.98720000009</v>
          </cell>
        </row>
        <row r="37">
          <cell r="E37">
            <v>498049575.10000002</v>
          </cell>
          <cell r="K37">
            <v>1507700.4491999999</v>
          </cell>
        </row>
        <row r="38">
          <cell r="E38">
            <v>694441</v>
          </cell>
          <cell r="K38">
            <v>935.28089999999997</v>
          </cell>
        </row>
        <row r="39">
          <cell r="E39">
            <v>22736963</v>
          </cell>
          <cell r="K39">
            <v>27400.575499999999</v>
          </cell>
        </row>
        <row r="40">
          <cell r="E40">
            <v>103140131</v>
          </cell>
          <cell r="K40">
            <v>508218.63670000003</v>
          </cell>
        </row>
        <row r="41">
          <cell r="E41">
            <v>2453933895.5999999</v>
          </cell>
          <cell r="K41">
            <v>10712796.0056</v>
          </cell>
        </row>
        <row r="42">
          <cell r="E42">
            <v>18576730</v>
          </cell>
          <cell r="K42">
            <v>34597.249000000003</v>
          </cell>
        </row>
        <row r="43">
          <cell r="E43">
            <v>133727579</v>
          </cell>
          <cell r="K43">
            <v>378128.59780000005</v>
          </cell>
        </row>
        <row r="44">
          <cell r="E44">
            <v>19550150</v>
          </cell>
          <cell r="K44">
            <v>58991.885799999996</v>
          </cell>
        </row>
        <row r="52">
          <cell r="B52">
            <v>334111773</v>
          </cell>
          <cell r="H52">
            <v>909828.59210000001</v>
          </cell>
        </row>
        <row r="53">
          <cell r="B53">
            <v>460867981.05000001</v>
          </cell>
          <cell r="H53">
            <v>1384988.1153999979</v>
          </cell>
        </row>
        <row r="54">
          <cell r="B54">
            <v>131887632</v>
          </cell>
          <cell r="H54">
            <v>439632.44680000021</v>
          </cell>
        </row>
        <row r="55">
          <cell r="B55">
            <v>1232168354</v>
          </cell>
          <cell r="H55">
            <v>4660043.2557999957</v>
          </cell>
        </row>
        <row r="56">
          <cell r="B56">
            <v>66074529</v>
          </cell>
          <cell r="H56">
            <v>176612.86040000001</v>
          </cell>
        </row>
        <row r="57">
          <cell r="B57">
            <v>3140710658.5999999</v>
          </cell>
          <cell r="H57">
            <v>11592307.88909997</v>
          </cell>
        </row>
        <row r="58">
          <cell r="B58">
            <v>123247176</v>
          </cell>
          <cell r="H58">
            <v>277680.60299999971</v>
          </cell>
        </row>
        <row r="59">
          <cell r="B59">
            <v>498049575.10000002</v>
          </cell>
          <cell r="H59">
            <v>977003.86919999949</v>
          </cell>
        </row>
        <row r="60">
          <cell r="B60">
            <v>694441</v>
          </cell>
          <cell r="H60">
            <v>1678.9787000000001</v>
          </cell>
        </row>
        <row r="61">
          <cell r="B61">
            <v>22736963</v>
          </cell>
          <cell r="H61">
            <v>41111.998500000002</v>
          </cell>
        </row>
        <row r="62">
          <cell r="B62">
            <v>103140131</v>
          </cell>
          <cell r="H62">
            <v>403605.07159999973</v>
          </cell>
        </row>
        <row r="63">
          <cell r="B63">
            <v>2453933895.5999999</v>
          </cell>
          <cell r="H63">
            <v>7395285.5851000017</v>
          </cell>
        </row>
        <row r="64">
          <cell r="B64">
            <v>18576730</v>
          </cell>
          <cell r="H64">
            <v>48252.659000000007</v>
          </cell>
        </row>
        <row r="65">
          <cell r="B65">
            <v>133727579</v>
          </cell>
          <cell r="H65">
            <v>334046.21999999974</v>
          </cell>
        </row>
        <row r="66">
          <cell r="B66">
            <v>19550150</v>
          </cell>
          <cell r="H66">
            <v>59072.85379999999</v>
          </cell>
        </row>
        <row r="72">
          <cell r="B72">
            <v>334111773</v>
          </cell>
          <cell r="H72">
            <v>1063257.3433164954</v>
          </cell>
        </row>
        <row r="73">
          <cell r="B73">
            <v>460867981.05000001</v>
          </cell>
          <cell r="H73">
            <v>1266109.797094956</v>
          </cell>
        </row>
        <row r="74">
          <cell r="B74">
            <v>131887632</v>
          </cell>
          <cell r="H74">
            <v>457365.97869127244</v>
          </cell>
        </row>
        <row r="75">
          <cell r="B75">
            <v>1232168354</v>
          </cell>
          <cell r="H75">
            <v>3466591.138523641</v>
          </cell>
        </row>
        <row r="76">
          <cell r="B76">
            <v>66074529</v>
          </cell>
          <cell r="H76">
            <v>170706.73869323736</v>
          </cell>
        </row>
        <row r="77">
          <cell r="B77">
            <v>3140710658.5999999</v>
          </cell>
          <cell r="H77">
            <v>15757646.145392261</v>
          </cell>
        </row>
        <row r="78">
          <cell r="B78">
            <v>123247176</v>
          </cell>
          <cell r="H78">
            <v>569769.59300826862</v>
          </cell>
        </row>
        <row r="79">
          <cell r="B79">
            <v>498049575.10000002</v>
          </cell>
          <cell r="H79">
            <v>1788183.8890517056</v>
          </cell>
        </row>
        <row r="80">
          <cell r="B80">
            <v>694441</v>
          </cell>
          <cell r="H80">
            <v>1049.8725481033316</v>
          </cell>
        </row>
        <row r="81">
          <cell r="B81">
            <v>22736963</v>
          </cell>
          <cell r="H81">
            <v>29083.630111828454</v>
          </cell>
        </row>
        <row r="82">
          <cell r="B82">
            <v>103140131</v>
          </cell>
          <cell r="H82">
            <v>370879.46932430565</v>
          </cell>
        </row>
        <row r="83">
          <cell r="B83">
            <v>2453933895.5999999</v>
          </cell>
          <cell r="H83">
            <v>6815632.7696599141</v>
          </cell>
        </row>
        <row r="84">
          <cell r="B84">
            <v>18576730</v>
          </cell>
          <cell r="H84">
            <v>42204.72278404238</v>
          </cell>
        </row>
        <row r="85">
          <cell r="B85">
            <v>133727579</v>
          </cell>
          <cell r="H85">
            <v>287655.72381281859</v>
          </cell>
        </row>
        <row r="86">
          <cell r="B86">
            <v>19550150</v>
          </cell>
          <cell r="H86">
            <v>47627.199669588372</v>
          </cell>
        </row>
      </sheetData>
      <sheetData sheetId="5"/>
      <sheetData sheetId="6"/>
      <sheetData sheetId="7">
        <row r="5">
          <cell r="L5">
            <v>857250899.15999997</v>
          </cell>
          <cell r="M5">
            <v>1709221198.48</v>
          </cell>
        </row>
        <row r="6">
          <cell r="L6">
            <v>2553456.1800000002</v>
          </cell>
          <cell r="M6">
            <v>8479584.8599999994</v>
          </cell>
        </row>
        <row r="7">
          <cell r="L7">
            <v>7478288.5800000001</v>
          </cell>
          <cell r="M7">
            <v>10958717.68</v>
          </cell>
        </row>
        <row r="8">
          <cell r="L8">
            <v>19217586.699999999</v>
          </cell>
          <cell r="M8">
            <v>76982258.430000007</v>
          </cell>
        </row>
        <row r="9">
          <cell r="L9">
            <v>14459641.539999999</v>
          </cell>
          <cell r="M9">
            <v>52352044.619999997</v>
          </cell>
        </row>
        <row r="10">
          <cell r="H10">
            <v>7351329.1600000001</v>
          </cell>
          <cell r="J10">
            <v>0</v>
          </cell>
          <cell r="L10">
            <v>7351329.1600000001</v>
          </cell>
          <cell r="M10">
            <v>63532057.780000001</v>
          </cell>
        </row>
        <row r="11">
          <cell r="H11">
            <v>1056280.8</v>
          </cell>
          <cell r="J11">
            <v>0</v>
          </cell>
          <cell r="L11">
            <v>1056280.8</v>
          </cell>
          <cell r="M11">
            <v>6098077.21</v>
          </cell>
        </row>
        <row r="12">
          <cell r="H12">
            <v>18718278.780000001</v>
          </cell>
          <cell r="J12">
            <v>0</v>
          </cell>
          <cell r="L12">
            <v>18718278.780000001</v>
          </cell>
          <cell r="M12">
            <v>120286468.78</v>
          </cell>
        </row>
        <row r="13">
          <cell r="H13">
            <v>2551121.67</v>
          </cell>
          <cell r="J13">
            <v>0</v>
          </cell>
          <cell r="L13">
            <v>2551121.67</v>
          </cell>
          <cell r="M13">
            <v>25645894.620000001</v>
          </cell>
        </row>
        <row r="14">
          <cell r="H14">
            <v>2000222</v>
          </cell>
          <cell r="J14">
            <v>466420549.82999998</v>
          </cell>
          <cell r="L14">
            <v>468420771.82999998</v>
          </cell>
          <cell r="M14">
            <v>932622203.02999997</v>
          </cell>
        </row>
        <row r="15">
          <cell r="H15">
            <v>251357.35</v>
          </cell>
          <cell r="J15">
            <v>0</v>
          </cell>
          <cell r="L15">
            <v>251357.35</v>
          </cell>
          <cell r="M15">
            <v>11852645.09</v>
          </cell>
        </row>
        <row r="16">
          <cell r="H16">
            <v>941867.1</v>
          </cell>
          <cell r="J16">
            <v>0</v>
          </cell>
          <cell r="L16">
            <v>941867.1</v>
          </cell>
          <cell r="M16">
            <v>16646542.76</v>
          </cell>
        </row>
        <row r="17">
          <cell r="H17">
            <v>594548.32999999996</v>
          </cell>
          <cell r="J17">
            <v>5739254.9500000002</v>
          </cell>
          <cell r="L17">
            <v>6333803.2800000003</v>
          </cell>
          <cell r="M17">
            <v>56407146.020000003</v>
          </cell>
        </row>
        <row r="18">
          <cell r="H18">
            <v>712056.7</v>
          </cell>
          <cell r="J18">
            <v>6620330.29</v>
          </cell>
          <cell r="L18">
            <v>7332386.9900000002</v>
          </cell>
          <cell r="M18">
            <v>55574802.390000001</v>
          </cell>
        </row>
        <row r="19">
          <cell r="H19">
            <v>841111.11</v>
          </cell>
          <cell r="J19">
            <v>0</v>
          </cell>
          <cell r="L19">
            <v>841111.11</v>
          </cell>
          <cell r="M19">
            <v>18066308.18</v>
          </cell>
        </row>
      </sheetData>
      <sheetData sheetId="8">
        <row r="29">
          <cell r="B29">
            <v>24974712</v>
          </cell>
          <cell r="C29">
            <v>7144</v>
          </cell>
        </row>
        <row r="30">
          <cell r="B30">
            <v>32706056</v>
          </cell>
          <cell r="C30">
            <v>9194</v>
          </cell>
        </row>
        <row r="31">
          <cell r="B31">
            <v>35220808</v>
          </cell>
          <cell r="C31">
            <v>10002</v>
          </cell>
        </row>
        <row r="32">
          <cell r="B32">
            <v>24211988</v>
          </cell>
          <cell r="C32">
            <v>7133</v>
          </cell>
        </row>
        <row r="33">
          <cell r="B33">
            <v>23028882</v>
          </cell>
          <cell r="C33">
            <v>6329</v>
          </cell>
        </row>
        <row r="34">
          <cell r="B34">
            <v>35219745</v>
          </cell>
          <cell r="C34">
            <v>8964</v>
          </cell>
        </row>
        <row r="35">
          <cell r="B35">
            <v>29887118</v>
          </cell>
          <cell r="C35">
            <v>8292</v>
          </cell>
        </row>
        <row r="36">
          <cell r="B36">
            <v>21627063</v>
          </cell>
          <cell r="C36">
            <v>6088</v>
          </cell>
        </row>
        <row r="37">
          <cell r="B37">
            <v>24808373</v>
          </cell>
          <cell r="C37">
            <v>6464</v>
          </cell>
        </row>
        <row r="38">
          <cell r="B38">
            <v>33339199</v>
          </cell>
          <cell r="C38">
            <v>7870</v>
          </cell>
        </row>
        <row r="39">
          <cell r="B39">
            <v>28055666</v>
          </cell>
          <cell r="C39">
            <v>7657</v>
          </cell>
        </row>
        <row r="40">
          <cell r="B40">
            <v>17430504</v>
          </cell>
          <cell r="C40">
            <v>4802</v>
          </cell>
        </row>
        <row r="41">
          <cell r="B41">
            <v>22487925</v>
          </cell>
          <cell r="C41">
            <v>5512</v>
          </cell>
        </row>
        <row r="42">
          <cell r="B42">
            <v>28623450</v>
          </cell>
          <cell r="C42">
            <v>6522</v>
          </cell>
        </row>
        <row r="43">
          <cell r="B43">
            <v>25417054</v>
          </cell>
          <cell r="C43">
            <v>6507</v>
          </cell>
        </row>
        <row r="44">
          <cell r="B44">
            <v>14955154</v>
          </cell>
          <cell r="C44">
            <v>4047</v>
          </cell>
        </row>
        <row r="45">
          <cell r="B45">
            <v>17482209</v>
          </cell>
          <cell r="C45">
            <v>4263</v>
          </cell>
        </row>
        <row r="46">
          <cell r="B46">
            <v>25224489</v>
          </cell>
          <cell r="C46">
            <v>5717</v>
          </cell>
        </row>
        <row r="47">
          <cell r="B47">
            <v>19050031</v>
          </cell>
          <cell r="C47">
            <v>5172</v>
          </cell>
        </row>
        <row r="48">
          <cell r="B48">
            <v>13077837</v>
          </cell>
          <cell r="C48">
            <v>3489</v>
          </cell>
        </row>
        <row r="49">
          <cell r="B49">
            <v>15807970</v>
          </cell>
          <cell r="C49">
            <v>3663</v>
          </cell>
        </row>
        <row r="50">
          <cell r="B50">
            <v>22862777</v>
          </cell>
          <cell r="C50">
            <v>5108</v>
          </cell>
        </row>
        <row r="51">
          <cell r="B51">
            <v>17927115</v>
          </cell>
          <cell r="C51">
            <v>4612</v>
          </cell>
        </row>
        <row r="52">
          <cell r="B52">
            <v>12284401</v>
          </cell>
          <cell r="C52">
            <v>3109</v>
          </cell>
        </row>
        <row r="53">
          <cell r="B53">
            <v>14759154</v>
          </cell>
          <cell r="C53">
            <v>2933</v>
          </cell>
        </row>
        <row r="54">
          <cell r="B54">
            <v>20959587</v>
          </cell>
          <cell r="C54">
            <v>4431</v>
          </cell>
        </row>
        <row r="55">
          <cell r="B55">
            <v>14943999</v>
          </cell>
          <cell r="C55">
            <v>3993</v>
          </cell>
        </row>
        <row r="56">
          <cell r="B56">
            <v>12109737</v>
          </cell>
          <cell r="C56">
            <v>2966</v>
          </cell>
        </row>
        <row r="57">
          <cell r="B57">
            <v>14566185</v>
          </cell>
          <cell r="C57">
            <v>2719</v>
          </cell>
        </row>
        <row r="58">
          <cell r="B58">
            <v>18776705</v>
          </cell>
          <cell r="C58">
            <v>3982</v>
          </cell>
        </row>
        <row r="59">
          <cell r="B59">
            <v>15951658</v>
          </cell>
          <cell r="C59">
            <v>3970</v>
          </cell>
        </row>
        <row r="60">
          <cell r="B60">
            <v>13543203</v>
          </cell>
          <cell r="C60">
            <v>2710</v>
          </cell>
        </row>
        <row r="61">
          <cell r="B61">
            <v>12672604</v>
          </cell>
          <cell r="C61">
            <v>2521</v>
          </cell>
        </row>
        <row r="62">
          <cell r="B62">
            <v>20348072</v>
          </cell>
          <cell r="C62">
            <v>4228</v>
          </cell>
        </row>
        <row r="63">
          <cell r="B63">
            <v>16793147</v>
          </cell>
          <cell r="C63">
            <v>3892</v>
          </cell>
        </row>
        <row r="64">
          <cell r="B64">
            <v>16369478</v>
          </cell>
          <cell r="C64">
            <v>3112</v>
          </cell>
        </row>
        <row r="65">
          <cell r="B65">
            <v>15396927</v>
          </cell>
          <cell r="C65">
            <v>2725</v>
          </cell>
        </row>
        <row r="66">
          <cell r="B66">
            <v>25560832</v>
          </cell>
          <cell r="C66">
            <v>4642</v>
          </cell>
        </row>
        <row r="67">
          <cell r="B67">
            <v>29199819</v>
          </cell>
          <cell r="C67">
            <v>5337</v>
          </cell>
        </row>
        <row r="68">
          <cell r="B68">
            <v>22787093</v>
          </cell>
          <cell r="C68">
            <v>3496</v>
          </cell>
        </row>
      </sheetData>
      <sheetData sheetId="9">
        <row r="23">
          <cell r="X23">
            <v>34021878</v>
          </cell>
        </row>
        <row r="24">
          <cell r="X24">
            <v>22336222</v>
          </cell>
        </row>
        <row r="25">
          <cell r="X25">
            <v>31966858</v>
          </cell>
        </row>
        <row r="26">
          <cell r="X26">
            <v>1288623</v>
          </cell>
        </row>
        <row r="172">
          <cell r="I172">
            <v>1.2762815625000004</v>
          </cell>
        </row>
        <row r="184">
          <cell r="I184">
            <v>1.2155062500000002</v>
          </cell>
        </row>
        <row r="196">
          <cell r="I196">
            <v>1.1576250000000001</v>
          </cell>
        </row>
        <row r="208">
          <cell r="I208">
            <v>1.1025</v>
          </cell>
        </row>
        <row r="232">
          <cell r="I232">
            <v>1.05</v>
          </cell>
        </row>
        <row r="268">
          <cell r="I268">
            <v>1.05</v>
          </cell>
        </row>
        <row r="280">
          <cell r="I280">
            <v>1</v>
          </cell>
        </row>
        <row r="285">
          <cell r="C285">
            <v>29220514</v>
          </cell>
          <cell r="D285">
            <v>58573191</v>
          </cell>
          <cell r="I285">
            <v>2.5614743940658102</v>
          </cell>
        </row>
        <row r="286">
          <cell r="C286">
            <v>31009323</v>
          </cell>
          <cell r="D286">
            <v>71292702</v>
          </cell>
          <cell r="I286">
            <v>2.4481743926950581</v>
          </cell>
        </row>
        <row r="287">
          <cell r="C287">
            <v>35740174</v>
          </cell>
          <cell r="D287">
            <v>78094458</v>
          </cell>
          <cell r="I287">
            <v>2.2196457159722462</v>
          </cell>
        </row>
        <row r="288">
          <cell r="C288">
            <v>76847840</v>
          </cell>
          <cell r="D288">
            <v>119658576</v>
          </cell>
          <cell r="I288">
            <v>2.0368887779518374</v>
          </cell>
        </row>
        <row r="289">
          <cell r="C289">
            <v>110951718</v>
          </cell>
          <cell r="D289">
            <v>203561196</v>
          </cell>
          <cell r="I289">
            <v>1.8570470989540071</v>
          </cell>
        </row>
        <row r="290">
          <cell r="C290">
            <v>98036118.420000017</v>
          </cell>
          <cell r="D290">
            <v>232925989.76999998</v>
          </cell>
          <cell r="I290">
            <v>1.7641482522914027</v>
          </cell>
        </row>
        <row r="291">
          <cell r="C291">
            <v>111269572.63</v>
          </cell>
          <cell r="D291">
            <v>269535059.02999997</v>
          </cell>
          <cell r="I291">
            <v>1.5997647448930246</v>
          </cell>
        </row>
        <row r="292">
          <cell r="C292">
            <v>102174679.52999991</v>
          </cell>
          <cell r="D292">
            <v>278116922.00999999</v>
          </cell>
          <cell r="I292">
            <v>1.4780006228698501</v>
          </cell>
        </row>
        <row r="293">
          <cell r="C293">
            <v>100017021</v>
          </cell>
          <cell r="D293">
            <v>307494236.20000005</v>
          </cell>
          <cell r="I293">
            <v>1.443031610091043</v>
          </cell>
        </row>
        <row r="294">
          <cell r="C294">
            <v>110524396.51999998</v>
          </cell>
          <cell r="D294">
            <v>335795725.19999981</v>
          </cell>
          <cell r="I294">
            <v>1.3723433115836108</v>
          </cell>
        </row>
        <row r="295">
          <cell r="C295">
            <v>112904624</v>
          </cell>
          <cell r="D295">
            <v>360838080.7099998</v>
          </cell>
          <cell r="I295">
            <v>1.3075797103216005</v>
          </cell>
        </row>
        <row r="296">
          <cell r="C296">
            <v>104642688</v>
          </cell>
          <cell r="D296">
            <v>389333918.13999987</v>
          </cell>
          <cell r="I296">
            <v>1.2467307484438648</v>
          </cell>
        </row>
        <row r="297">
          <cell r="C297">
            <v>98715934</v>
          </cell>
          <cell r="D297">
            <v>407969846.0800004</v>
          </cell>
          <cell r="I297">
            <v>1.1863253854339257</v>
          </cell>
        </row>
        <row r="298">
          <cell r="C298">
            <v>88278690</v>
          </cell>
          <cell r="D298">
            <v>399074847</v>
          </cell>
          <cell r="I298">
            <v>1.1296863217775748</v>
          </cell>
        </row>
        <row r="299">
          <cell r="C299">
            <v>70749081</v>
          </cell>
          <cell r="D299">
            <v>352368052</v>
          </cell>
          <cell r="I299">
            <v>1.102499999999994</v>
          </cell>
        </row>
        <row r="300">
          <cell r="C300">
            <v>65696833</v>
          </cell>
          <cell r="D300">
            <v>331676957</v>
          </cell>
          <cell r="I300">
            <v>1.0755512293710299</v>
          </cell>
        </row>
        <row r="301">
          <cell r="C301">
            <v>59123729</v>
          </cell>
          <cell r="D301">
            <v>314907158.99999952</v>
          </cell>
          <cell r="I301">
            <v>1.049999999999998</v>
          </cell>
        </row>
        <row r="302">
          <cell r="C302">
            <v>60327052</v>
          </cell>
          <cell r="D302">
            <v>310312753</v>
          </cell>
          <cell r="I302">
            <v>1.0499999999999974</v>
          </cell>
        </row>
        <row r="303">
          <cell r="C303">
            <v>63366551</v>
          </cell>
          <cell r="D303">
            <v>331736850</v>
          </cell>
          <cell r="I303">
            <v>1.0499999999999987</v>
          </cell>
        </row>
        <row r="304">
          <cell r="C304">
            <v>88784127</v>
          </cell>
          <cell r="D304">
            <v>429663068</v>
          </cell>
          <cell r="I304">
            <v>1.0224475776595707</v>
          </cell>
        </row>
      </sheetData>
      <sheetData sheetId="10">
        <row r="104">
          <cell r="H104">
            <v>184.57</v>
          </cell>
        </row>
        <row r="105">
          <cell r="H105">
            <v>185.03</v>
          </cell>
        </row>
        <row r="106">
          <cell r="H106">
            <v>185.38</v>
          </cell>
        </row>
        <row r="107">
          <cell r="H107">
            <v>185.51</v>
          </cell>
        </row>
        <row r="108">
          <cell r="H108">
            <v>185.82</v>
          </cell>
        </row>
        <row r="109">
          <cell r="H109">
            <v>186.03</v>
          </cell>
        </row>
        <row r="110">
          <cell r="H110">
            <v>186.43</v>
          </cell>
        </row>
        <row r="111">
          <cell r="H111">
            <v>186.87</v>
          </cell>
        </row>
        <row r="112">
          <cell r="H112">
            <v>187.59</v>
          </cell>
        </row>
        <row r="113">
          <cell r="H113">
            <v>188.62</v>
          </cell>
        </row>
        <row r="114">
          <cell r="H114">
            <v>189.46</v>
          </cell>
        </row>
        <row r="115">
          <cell r="H115">
            <v>189.59</v>
          </cell>
        </row>
        <row r="116">
          <cell r="H116">
            <v>190.03</v>
          </cell>
        </row>
        <row r="117">
          <cell r="H117">
            <v>190.5</v>
          </cell>
        </row>
        <row r="118">
          <cell r="H118">
            <v>190.95</v>
          </cell>
        </row>
        <row r="119">
          <cell r="H119">
            <v>192.03</v>
          </cell>
        </row>
        <row r="120">
          <cell r="H120">
            <v>192.82</v>
          </cell>
        </row>
        <row r="121">
          <cell r="H121">
            <v>193.56</v>
          </cell>
        </row>
        <row r="122">
          <cell r="H122">
            <v>193.85</v>
          </cell>
        </row>
        <row r="123">
          <cell r="H123">
            <v>194.07</v>
          </cell>
        </row>
        <row r="124">
          <cell r="H124">
            <v>194.14</v>
          </cell>
        </row>
        <row r="125">
          <cell r="H125">
            <v>194.1</v>
          </cell>
        </row>
        <row r="126">
          <cell r="H126">
            <v>194.71</v>
          </cell>
        </row>
        <row r="127">
          <cell r="H127">
            <v>195.27</v>
          </cell>
        </row>
        <row r="128">
          <cell r="H128">
            <v>195.59</v>
          </cell>
        </row>
        <row r="129">
          <cell r="H129">
            <v>196.2</v>
          </cell>
        </row>
        <row r="130">
          <cell r="H130">
            <v>197.06</v>
          </cell>
        </row>
        <row r="131">
          <cell r="H131">
            <v>198.22</v>
          </cell>
        </row>
        <row r="132">
          <cell r="H132">
            <v>199.74</v>
          </cell>
        </row>
        <row r="133">
          <cell r="H133">
            <v>200.26</v>
          </cell>
        </row>
        <row r="134">
          <cell r="H134">
            <v>199.74</v>
          </cell>
        </row>
        <row r="135">
          <cell r="H135">
            <v>197.71</v>
          </cell>
        </row>
        <row r="136">
          <cell r="H136">
            <v>195.95</v>
          </cell>
        </row>
        <row r="137">
          <cell r="H137">
            <v>194.81</v>
          </cell>
        </row>
        <row r="138">
          <cell r="H138">
            <v>194.38</v>
          </cell>
        </row>
        <row r="139">
          <cell r="H139">
            <v>197.57</v>
          </cell>
        </row>
        <row r="140">
          <cell r="H140">
            <v>201.27</v>
          </cell>
        </row>
        <row r="141">
          <cell r="H141">
            <v>206.73</v>
          </cell>
        </row>
        <row r="142">
          <cell r="H142">
            <v>213</v>
          </cell>
        </row>
        <row r="143">
          <cell r="H143">
            <v>217.2</v>
          </cell>
        </row>
        <row r="144">
          <cell r="H144">
            <v>220.58</v>
          </cell>
        </row>
        <row r="145">
          <cell r="H145">
            <v>223.01</v>
          </cell>
        </row>
      </sheetData>
      <sheetData sheetId="11"/>
      <sheetData sheetId="12">
        <row r="37">
          <cell r="E37">
            <v>2320.3744796874998</v>
          </cell>
        </row>
        <row r="38">
          <cell r="D38">
            <v>2311.8841225781248</v>
          </cell>
          <cell r="E38">
            <v>2341.4351262499999</v>
          </cell>
        </row>
        <row r="39">
          <cell r="D39">
            <v>2322.1859947656249</v>
          </cell>
          <cell r="E39">
            <v>2352.9522928124998</v>
          </cell>
        </row>
        <row r="40">
          <cell r="D40">
            <v>2333.1690358593746</v>
          </cell>
          <cell r="E40">
            <v>2363.2381159375</v>
          </cell>
        </row>
        <row r="41">
          <cell r="D41">
            <v>2343.5874764843747</v>
          </cell>
          <cell r="E41">
            <v>2373.9487099999997</v>
          </cell>
        </row>
        <row r="42">
          <cell r="D42">
            <v>2355.2563627343748</v>
          </cell>
          <cell r="E42">
            <v>2388.1874668749997</v>
          </cell>
        </row>
        <row r="43">
          <cell r="D43">
            <v>2373.4682892968749</v>
          </cell>
          <cell r="E43">
            <v>2411.3442974999998</v>
          </cell>
        </row>
        <row r="44">
          <cell r="D44">
            <v>2390.5572240625002</v>
          </cell>
          <cell r="E44">
            <v>2431.1194746874999</v>
          </cell>
        </row>
        <row r="45">
          <cell r="D45">
            <v>2408.9965558593753</v>
          </cell>
          <cell r="E45">
            <v>2450.8795553125001</v>
          </cell>
        </row>
        <row r="46">
          <cell r="D46">
            <v>2427.520652578125</v>
          </cell>
          <cell r="E46">
            <v>2465.8835659375</v>
          </cell>
        </row>
        <row r="47">
          <cell r="D47">
            <v>2439.2176879687504</v>
          </cell>
          <cell r="E47">
            <v>2477.5474281249999</v>
          </cell>
        </row>
        <row r="48">
          <cell r="D48">
            <v>2447.2923714062499</v>
          </cell>
          <cell r="E48">
            <v>2486.8449137499997</v>
          </cell>
        </row>
        <row r="49">
          <cell r="D49">
            <v>2450.9525792187501</v>
          </cell>
          <cell r="E49">
            <v>2492.8528618749997</v>
          </cell>
        </row>
        <row r="50">
          <cell r="D50">
            <v>2448.9439421093748</v>
          </cell>
          <cell r="E50">
            <v>2493.6314934374996</v>
          </cell>
        </row>
        <row r="51">
          <cell r="D51">
            <v>2444.5603125781249</v>
          </cell>
          <cell r="E51">
            <v>2490.8853659375</v>
          </cell>
        </row>
        <row r="52">
          <cell r="D52">
            <v>2440.9017260156247</v>
          </cell>
          <cell r="E52">
            <v>2485.9081421874998</v>
          </cell>
        </row>
        <row r="53">
          <cell r="D53">
            <v>2440.5554000781249</v>
          </cell>
          <cell r="E53">
            <v>2482.1426353124998</v>
          </cell>
        </row>
        <row r="54">
          <cell r="D54">
            <v>2446.8926558593748</v>
          </cell>
          <cell r="E54">
            <v>2484.2557490624999</v>
          </cell>
        </row>
        <row r="55">
          <cell r="D55">
            <v>2460.3246798437499</v>
          </cell>
          <cell r="E55">
            <v>2494.8181668749999</v>
          </cell>
        </row>
        <row r="56">
          <cell r="D56">
            <v>2478.5653454687499</v>
          </cell>
          <cell r="E56">
            <v>2509.927030625</v>
          </cell>
        </row>
        <row r="57">
          <cell r="D57">
            <v>2496.247973359375</v>
          </cell>
          <cell r="E57">
            <v>2528.3060978125</v>
          </cell>
        </row>
        <row r="58">
          <cell r="D58">
            <v>2515.35349359375</v>
          </cell>
          <cell r="E58">
            <v>2547.1608884375</v>
          </cell>
        </row>
        <row r="59">
          <cell r="D59">
            <v>2538.6056569531247</v>
          </cell>
          <cell r="E59">
            <v>2569.7896781250001</v>
          </cell>
        </row>
        <row r="60">
          <cell r="D60">
            <v>2566.7190555468751</v>
          </cell>
          <cell r="E60">
            <v>2597.5666859375001</v>
          </cell>
        </row>
        <row r="61">
          <cell r="D61">
            <v>2599.9137418749997</v>
          </cell>
          <cell r="E61">
            <v>2632.3446362499999</v>
          </cell>
        </row>
        <row r="62">
          <cell r="D62">
            <v>2627.7651343749999</v>
          </cell>
          <cell r="E62">
            <v>2664.5061346875</v>
          </cell>
        </row>
        <row r="63">
          <cell r="D63">
            <v>2641.7406964843749</v>
          </cell>
          <cell r="E63">
            <v>2680.2753621874999</v>
          </cell>
        </row>
        <row r="64">
          <cell r="D64">
            <v>2644.6998006249996</v>
          </cell>
          <cell r="E64">
            <v>2686.9564568750002</v>
          </cell>
        </row>
        <row r="65">
          <cell r="D65">
            <v>2641.8307501562499</v>
          </cell>
          <cell r="E65">
            <v>2682.587639375</v>
          </cell>
        </row>
        <row r="66">
          <cell r="D66">
            <v>2639.3018529687502</v>
          </cell>
          <cell r="E66">
            <v>2677.5066381249999</v>
          </cell>
        </row>
        <row r="67">
          <cell r="D67">
            <v>2643.98962265625</v>
          </cell>
          <cell r="E67">
            <v>2680.4941650000001</v>
          </cell>
        </row>
        <row r="68">
          <cell r="D68">
            <v>2652.7249433593752</v>
          </cell>
          <cell r="E68">
            <v>2689.0040156249997</v>
          </cell>
        </row>
        <row r="69">
          <cell r="D69">
            <v>2676.1895065625004</v>
          </cell>
          <cell r="E69">
            <v>2713.0837368749999</v>
          </cell>
        </row>
        <row r="70">
          <cell r="D70">
            <v>2711.5296893750001</v>
          </cell>
          <cell r="E70">
            <v>2750.0643271875001</v>
          </cell>
        </row>
        <row r="71">
          <cell r="D71">
            <v>2775.7550714843746</v>
          </cell>
          <cell r="E71">
            <v>2818.8621468749998</v>
          </cell>
        </row>
        <row r="72">
          <cell r="D72">
            <v>2918.5914971093748</v>
          </cell>
          <cell r="E72">
            <v>2957.68750125</v>
          </cell>
        </row>
        <row r="73">
          <cell r="D73">
            <v>3055.6979400781247</v>
          </cell>
          <cell r="E73">
            <v>3104.2203487500001</v>
          </cell>
        </row>
        <row r="74">
          <cell r="D74">
            <v>3209.6158196093752</v>
          </cell>
          <cell r="E74">
            <v>3260.4629312499997</v>
          </cell>
        </row>
        <row r="75">
          <cell r="D75">
            <v>3387.066083515625</v>
          </cell>
          <cell r="E75">
            <v>3440.5619496874997</v>
          </cell>
        </row>
        <row r="76">
          <cell r="D76">
            <v>3500.6193241406249</v>
          </cell>
          <cell r="E76">
            <v>3563.6513509374995</v>
          </cell>
        </row>
        <row r="77">
          <cell r="D77">
            <v>3607.456296015625</v>
          </cell>
          <cell r="E77">
            <v>3667.3795874999996</v>
          </cell>
        </row>
      </sheetData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Table of Contents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8.1"/>
      <sheetName val="8.2"/>
      <sheetName val="8.3"/>
      <sheetName val="8.4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C14">
            <v>1.4710000000000001</v>
          </cell>
          <cell r="D14">
            <v>1.5049999999999999</v>
          </cell>
        </row>
        <row r="15">
          <cell r="C15">
            <v>1.4259999999999999</v>
          </cell>
          <cell r="D15">
            <v>1.448</v>
          </cell>
        </row>
        <row r="16">
          <cell r="C16">
            <v>1.39</v>
          </cell>
          <cell r="D16">
            <v>1.4139999999999999</v>
          </cell>
        </row>
        <row r="17">
          <cell r="C17">
            <v>1.399</v>
          </cell>
          <cell r="D17">
            <v>1.4239999999999999</v>
          </cell>
        </row>
        <row r="18">
          <cell r="C18">
            <v>1.3839999999999999</v>
          </cell>
          <cell r="D18">
            <v>1.4079999999999999</v>
          </cell>
        </row>
        <row r="19">
          <cell r="C19">
            <v>1.3340000000000001</v>
          </cell>
          <cell r="D19">
            <v>1.3540000000000001</v>
          </cell>
        </row>
        <row r="20">
          <cell r="C20">
            <v>1.3029999999999999</v>
          </cell>
          <cell r="D20">
            <v>1.3129999999999999</v>
          </cell>
        </row>
        <row r="21">
          <cell r="C21">
            <v>1.294</v>
          </cell>
          <cell r="D21">
            <v>1.3089999999999999</v>
          </cell>
        </row>
        <row r="22">
          <cell r="C22">
            <v>1.1579999999999999</v>
          </cell>
          <cell r="D22">
            <v>1.1779999999999999</v>
          </cell>
        </row>
        <row r="23">
          <cell r="C23">
            <v>1</v>
          </cell>
          <cell r="D23">
            <v>1</v>
          </cell>
        </row>
        <row r="28">
          <cell r="C28">
            <v>6.7000000000000004E-2</v>
          </cell>
          <cell r="D28">
            <v>6.9000000000000006E-2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8">
          <cell r="E28">
            <v>377501954.41666698</v>
          </cell>
        </row>
      </sheetData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mo Tab"/>
      <sheetName val="1.1"/>
      <sheetName val="1.2"/>
      <sheetName val="1.3 Hurr Evaluation"/>
      <sheetName val="1.4"/>
      <sheetName val="2"/>
      <sheetName val="3.1 "/>
      <sheetName val="3.2 "/>
      <sheetName val="4.1"/>
      <sheetName val="Summary Sheet"/>
      <sheetName val="4.2"/>
      <sheetName val="5"/>
      <sheetName val="Accounting Input"/>
      <sheetName val="2008 - 2022 GWDW"/>
      <sheetName val="Checklist"/>
    </sheetNames>
    <sheetDataSet>
      <sheetData sheetId="0"/>
      <sheetData sheetId="1">
        <row r="18">
          <cell r="C18">
            <v>23517219.419999998</v>
          </cell>
          <cell r="F18">
            <v>58154.2</v>
          </cell>
        </row>
        <row r="19">
          <cell r="C19">
            <v>1377711653.5900307</v>
          </cell>
          <cell r="F19">
            <v>10725863.736670844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.1"/>
      <sheetName val="2.2"/>
      <sheetName val="2.3"/>
      <sheetName val="2.4"/>
      <sheetName val="3.1"/>
      <sheetName val="3.2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/>
      <sheetData sheetId="3"/>
      <sheetData sheetId="4">
        <row r="30">
          <cell r="C30">
            <v>0.80877206949669689</v>
          </cell>
          <cell r="D30">
            <v>1.177</v>
          </cell>
        </row>
        <row r="31">
          <cell r="C31">
            <v>0.80877206949669689</v>
          </cell>
          <cell r="D31">
            <v>1.139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1 (2)"/>
    </sheetNames>
    <sheetDataSet>
      <sheetData sheetId="0">
        <row r="66">
          <cell r="D66">
            <v>74882663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ded EL by LOB"/>
    </sheetNames>
    <sheetDataSet>
      <sheetData sheetId="0">
        <row r="8">
          <cell r="F8">
            <v>23361164.528170601</v>
          </cell>
        </row>
        <row r="9">
          <cell r="F9">
            <v>5314469.7411021097</v>
          </cell>
        </row>
        <row r="14">
          <cell r="F14">
            <v>33855118.6019658</v>
          </cell>
        </row>
        <row r="15">
          <cell r="F15">
            <v>7906038.56150374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6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D9C67-4E3C-4E80-91EC-B129EBBD5BA4}">
  <dimension ref="B18:J46"/>
  <sheetViews>
    <sheetView showGridLines="0" tabSelected="1" zoomScaleNormal="100" workbookViewId="0"/>
  </sheetViews>
  <sheetFormatPr defaultRowHeight="11.25" x14ac:dyDescent="0.2"/>
  <cols>
    <col min="1" max="12" width="10.1640625" customWidth="1"/>
  </cols>
  <sheetData>
    <row r="18" spans="2:10" x14ac:dyDescent="0.2">
      <c r="B18" s="315"/>
      <c r="C18" s="315"/>
      <c r="D18" s="315"/>
      <c r="E18" s="315"/>
      <c r="F18" s="315"/>
      <c r="G18" s="315"/>
      <c r="H18" s="315"/>
      <c r="I18" s="315"/>
      <c r="J18" s="315"/>
    </row>
    <row r="19" spans="2:10" x14ac:dyDescent="0.2">
      <c r="B19" s="315"/>
      <c r="C19" s="315"/>
      <c r="D19" s="315"/>
      <c r="E19" s="315"/>
      <c r="F19" s="315"/>
      <c r="G19" s="315"/>
      <c r="H19" s="315"/>
      <c r="I19" s="315"/>
      <c r="J19" s="315"/>
    </row>
    <row r="20" spans="2:10" x14ac:dyDescent="0.2">
      <c r="B20" s="315"/>
      <c r="C20" s="315"/>
      <c r="D20" s="315"/>
      <c r="E20" s="315"/>
      <c r="F20" s="315"/>
      <c r="G20" s="315"/>
      <c r="H20" s="315"/>
      <c r="I20" s="315"/>
      <c r="J20" s="315"/>
    </row>
    <row r="21" spans="2:10" x14ac:dyDescent="0.2">
      <c r="B21" s="315"/>
      <c r="C21" s="315"/>
      <c r="D21" s="315"/>
      <c r="E21" s="315"/>
      <c r="F21" s="315"/>
      <c r="G21" s="315"/>
      <c r="H21" s="315"/>
      <c r="I21" s="315"/>
      <c r="J21" s="315"/>
    </row>
    <row r="22" spans="2:10" x14ac:dyDescent="0.2">
      <c r="B22" s="315"/>
      <c r="C22" s="315"/>
      <c r="D22" s="315"/>
      <c r="E22" s="315"/>
      <c r="F22" s="315"/>
      <c r="G22" s="315"/>
      <c r="H22" s="315"/>
      <c r="I22" s="315"/>
      <c r="J22" s="315"/>
    </row>
    <row r="23" spans="2:10" x14ac:dyDescent="0.2">
      <c r="B23" s="315"/>
      <c r="C23" s="315"/>
      <c r="D23" s="315"/>
      <c r="E23" s="315"/>
      <c r="F23" s="315"/>
      <c r="G23" s="315"/>
      <c r="H23" s="315"/>
      <c r="I23" s="315"/>
      <c r="J23" s="315"/>
    </row>
    <row r="24" spans="2:10" x14ac:dyDescent="0.2">
      <c r="B24" s="315"/>
      <c r="C24" s="315"/>
      <c r="D24" s="315"/>
      <c r="E24" s="315"/>
      <c r="F24" s="315"/>
      <c r="G24" s="315"/>
      <c r="H24" s="315"/>
      <c r="I24" s="315"/>
      <c r="J24" s="315"/>
    </row>
    <row r="25" spans="2:10" x14ac:dyDescent="0.2">
      <c r="B25" s="315"/>
      <c r="C25" s="315"/>
      <c r="D25" s="315"/>
      <c r="E25" s="315"/>
      <c r="F25" s="315"/>
      <c r="G25" s="315"/>
      <c r="H25" s="315"/>
      <c r="I25" s="315"/>
      <c r="J25" s="315"/>
    </row>
    <row r="26" spans="2:10" x14ac:dyDescent="0.2">
      <c r="B26" s="315"/>
      <c r="C26" s="315"/>
      <c r="D26" s="315"/>
      <c r="E26" s="315"/>
      <c r="F26" s="315"/>
      <c r="G26" s="315"/>
      <c r="H26" s="315"/>
      <c r="I26" s="315"/>
      <c r="J26" s="315"/>
    </row>
    <row r="27" spans="2:10" x14ac:dyDescent="0.2">
      <c r="B27" s="315"/>
      <c r="C27" s="315"/>
      <c r="D27" s="315"/>
      <c r="E27" s="315"/>
      <c r="F27" s="315"/>
      <c r="G27" s="315"/>
      <c r="H27" s="315"/>
      <c r="I27" s="315"/>
      <c r="J27" s="315"/>
    </row>
    <row r="28" spans="2:10" x14ac:dyDescent="0.2">
      <c r="B28" s="315"/>
      <c r="C28" s="315"/>
      <c r="D28" s="315"/>
      <c r="E28" s="315"/>
      <c r="F28" s="315"/>
      <c r="G28" s="315"/>
      <c r="H28" s="315"/>
      <c r="I28" s="315"/>
      <c r="J28" s="315"/>
    </row>
    <row r="29" spans="2:10" x14ac:dyDescent="0.2">
      <c r="B29" s="315"/>
      <c r="C29" s="315"/>
      <c r="D29" s="315"/>
      <c r="E29" s="315"/>
      <c r="F29" s="315"/>
      <c r="G29" s="315"/>
      <c r="H29" s="315"/>
      <c r="I29" s="315"/>
      <c r="J29" s="315"/>
    </row>
    <row r="30" spans="2:10" x14ac:dyDescent="0.2">
      <c r="B30" s="315"/>
      <c r="C30" s="315"/>
      <c r="D30" s="315"/>
      <c r="E30" s="315"/>
      <c r="F30" s="315"/>
      <c r="G30" s="315"/>
      <c r="H30" s="315"/>
      <c r="I30" s="315"/>
      <c r="J30" s="315"/>
    </row>
    <row r="31" spans="2:10" x14ac:dyDescent="0.2">
      <c r="B31" s="315"/>
      <c r="C31" s="315"/>
      <c r="D31" s="315"/>
      <c r="E31" s="315"/>
      <c r="F31" s="315"/>
      <c r="G31" s="315"/>
      <c r="H31" s="315"/>
      <c r="I31" s="315"/>
      <c r="J31" s="315"/>
    </row>
    <row r="32" spans="2:10" ht="15.75" x14ac:dyDescent="0.25">
      <c r="B32" s="316" t="s">
        <v>0</v>
      </c>
      <c r="C32" s="316"/>
      <c r="D32" s="316"/>
      <c r="E32" s="316"/>
      <c r="F32" s="316"/>
      <c r="G32" s="316"/>
      <c r="H32" s="316"/>
      <c r="I32" s="316"/>
      <c r="J32" s="316"/>
    </row>
    <row r="33" spans="2:10" ht="15.75" x14ac:dyDescent="0.25">
      <c r="B33" s="316" t="s">
        <v>184</v>
      </c>
      <c r="C33" s="316"/>
      <c r="D33" s="316"/>
      <c r="E33" s="316"/>
      <c r="F33" s="316"/>
      <c r="G33" s="316"/>
      <c r="H33" s="316"/>
      <c r="I33" s="316"/>
      <c r="J33" s="316"/>
    </row>
    <row r="34" spans="2:10" ht="15.75" x14ac:dyDescent="0.25">
      <c r="B34" s="316" t="s">
        <v>600</v>
      </c>
      <c r="C34" s="316"/>
      <c r="D34" s="316"/>
      <c r="E34" s="316"/>
      <c r="F34" s="316"/>
      <c r="G34" s="316"/>
      <c r="H34" s="316"/>
      <c r="I34" s="316"/>
      <c r="J34" s="316"/>
    </row>
    <row r="35" spans="2:10" x14ac:dyDescent="0.2">
      <c r="B35" s="315"/>
      <c r="C35" s="315"/>
      <c r="D35" s="315"/>
      <c r="E35" s="315"/>
      <c r="F35" s="315"/>
      <c r="G35" s="315"/>
      <c r="H35" s="315"/>
      <c r="I35" s="315"/>
      <c r="J35" s="315"/>
    </row>
    <row r="36" spans="2:10" x14ac:dyDescent="0.2">
      <c r="B36" s="315"/>
      <c r="C36" s="315"/>
      <c r="D36" s="315"/>
      <c r="E36" s="315"/>
      <c r="F36" s="315"/>
      <c r="G36" s="315"/>
      <c r="H36" s="315"/>
      <c r="I36" s="315"/>
      <c r="J36" s="315"/>
    </row>
    <row r="37" spans="2:10" x14ac:dyDescent="0.2">
      <c r="B37" s="315"/>
      <c r="C37" s="315"/>
      <c r="D37" s="315"/>
      <c r="E37" s="315"/>
      <c r="F37" s="315"/>
      <c r="G37" s="315"/>
      <c r="H37" s="315"/>
      <c r="I37" s="315"/>
      <c r="J37" s="315"/>
    </row>
    <row r="38" spans="2:10" x14ac:dyDescent="0.2">
      <c r="B38" s="315"/>
      <c r="C38" s="315"/>
      <c r="D38" s="315"/>
      <c r="E38" s="315"/>
      <c r="F38" s="315"/>
      <c r="G38" s="315"/>
      <c r="H38" s="315"/>
      <c r="I38" s="315"/>
      <c r="J38" s="315"/>
    </row>
    <row r="39" spans="2:10" x14ac:dyDescent="0.2">
      <c r="B39" s="315"/>
      <c r="C39" s="315"/>
      <c r="D39" s="315"/>
      <c r="E39" s="315"/>
      <c r="F39" s="315"/>
      <c r="G39" s="315"/>
      <c r="H39" s="315"/>
      <c r="I39" s="315"/>
      <c r="J39" s="315"/>
    </row>
    <row r="40" spans="2:10" x14ac:dyDescent="0.2">
      <c r="B40" s="315"/>
      <c r="C40" s="315"/>
      <c r="D40" s="315"/>
      <c r="E40" s="315"/>
      <c r="F40" s="315"/>
      <c r="G40" s="315"/>
      <c r="H40" s="315"/>
      <c r="I40" s="315"/>
      <c r="J40" s="315"/>
    </row>
    <row r="41" spans="2:10" x14ac:dyDescent="0.2">
      <c r="B41" s="315"/>
      <c r="C41" s="315"/>
      <c r="D41" s="315"/>
      <c r="E41" s="315"/>
      <c r="F41" s="315"/>
      <c r="G41" s="315"/>
      <c r="H41" s="315"/>
      <c r="I41" s="315"/>
      <c r="J41" s="315"/>
    </row>
    <row r="42" spans="2:10" x14ac:dyDescent="0.2">
      <c r="B42" s="315"/>
      <c r="C42" s="315"/>
      <c r="D42" s="315"/>
      <c r="E42" s="315"/>
      <c r="F42" s="315"/>
      <c r="G42" s="315"/>
      <c r="H42" s="315"/>
      <c r="I42" s="315"/>
      <c r="J42" s="315"/>
    </row>
    <row r="43" spans="2:10" x14ac:dyDescent="0.2">
      <c r="B43" s="315"/>
      <c r="C43" s="315"/>
      <c r="D43" s="315"/>
      <c r="E43" s="315"/>
      <c r="F43" s="315"/>
      <c r="G43" s="315"/>
      <c r="H43" s="315"/>
      <c r="I43" s="315"/>
      <c r="J43" s="315"/>
    </row>
    <row r="44" spans="2:10" x14ac:dyDescent="0.2">
      <c r="B44" s="315"/>
      <c r="C44" s="315"/>
      <c r="D44" s="315"/>
      <c r="E44" s="315"/>
      <c r="F44" s="315"/>
      <c r="G44" s="315"/>
      <c r="H44" s="315"/>
      <c r="I44" s="315"/>
      <c r="J44" s="315"/>
    </row>
    <row r="45" spans="2:10" x14ac:dyDescent="0.2">
      <c r="B45" s="315"/>
      <c r="C45" s="315"/>
      <c r="D45" s="315"/>
      <c r="E45" s="315"/>
      <c r="F45" s="315"/>
      <c r="G45" s="315"/>
      <c r="H45" s="315"/>
      <c r="I45" s="315"/>
      <c r="J45" s="315"/>
    </row>
    <row r="46" spans="2:10" x14ac:dyDescent="0.2">
      <c r="B46" s="315"/>
      <c r="C46" s="315"/>
      <c r="D46" s="315"/>
      <c r="E46" s="315"/>
      <c r="F46" s="315"/>
      <c r="G46" s="315"/>
      <c r="H46" s="315"/>
      <c r="I46" s="315"/>
      <c r="J46" s="315"/>
    </row>
  </sheetData>
  <mergeCells count="3">
    <mergeCell ref="B32:J32"/>
    <mergeCell ref="B33:J33"/>
    <mergeCell ref="B34:J34"/>
  </mergeCells>
  <pageMargins left="0.5" right="0.5" top="0.5" bottom="0.5" header="0.5" footer="0.5"/>
  <pageSetup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tabColor rgb="FF92D050"/>
  </sheetPr>
  <dimension ref="A1:S69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9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47</v>
      </c>
      <c r="M1" s="1"/>
      <c r="P1" s="306" t="s">
        <v>604</v>
      </c>
      <c r="R1" s="12">
        <f>'1'!H15</f>
        <v>0.22</v>
      </c>
    </row>
    <row r="2" spans="1:19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263</v>
      </c>
      <c r="M2" s="2"/>
    </row>
    <row r="3" spans="1:19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9" x14ac:dyDescent="0.2">
      <c r="A4" s="74" t="s">
        <v>264</v>
      </c>
      <c r="C4"/>
      <c r="D4"/>
      <c r="E4"/>
      <c r="F4"/>
      <c r="G4"/>
      <c r="H4"/>
      <c r="I4"/>
      <c r="J4"/>
      <c r="K4"/>
      <c r="L4"/>
      <c r="M4" s="2"/>
    </row>
    <row r="5" spans="1:19" x14ac:dyDescent="0.2">
      <c r="A5" s="74" t="s">
        <v>265</v>
      </c>
      <c r="C5"/>
      <c r="D5"/>
      <c r="E5"/>
      <c r="F5"/>
      <c r="G5"/>
      <c r="H5"/>
      <c r="I5"/>
      <c r="J5"/>
      <c r="K5"/>
      <c r="L5"/>
      <c r="M5" s="2"/>
    </row>
    <row r="6" spans="1:19" x14ac:dyDescent="0.2">
      <c r="A6"/>
      <c r="B6"/>
      <c r="C6"/>
      <c r="D6"/>
      <c r="E6"/>
      <c r="F6"/>
      <c r="G6"/>
      <c r="H6"/>
      <c r="I6"/>
      <c r="J6"/>
      <c r="K6"/>
      <c r="L6"/>
      <c r="M6" s="2"/>
    </row>
    <row r="7" spans="1:19" ht="12" thickBot="1" x14ac:dyDescent="0.25">
      <c r="A7" s="6"/>
      <c r="B7" s="6"/>
      <c r="C7" s="6"/>
      <c r="D7" s="6"/>
      <c r="E7" s="6"/>
      <c r="F7" s="6"/>
      <c r="G7" s="6"/>
      <c r="H7" s="6"/>
      <c r="I7"/>
      <c r="J7"/>
      <c r="K7"/>
      <c r="L7"/>
      <c r="M7" s="2"/>
    </row>
    <row r="8" spans="1:19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t="s">
        <v>234</v>
      </c>
    </row>
    <row r="9" spans="1:19" x14ac:dyDescent="0.2">
      <c r="A9" t="s">
        <v>266</v>
      </c>
      <c r="B9"/>
      <c r="C9" s="10" t="s">
        <v>179</v>
      </c>
      <c r="D9"/>
      <c r="E9" s="10" t="s">
        <v>180</v>
      </c>
      <c r="F9"/>
      <c r="G9"/>
      <c r="H9"/>
      <c r="I9"/>
      <c r="J9"/>
      <c r="K9"/>
      <c r="L9"/>
      <c r="M9" s="2"/>
      <c r="N9" s="62">
        <v>44926</v>
      </c>
      <c r="O9" t="s">
        <v>270</v>
      </c>
    </row>
    <row r="10" spans="1:19" x14ac:dyDescent="0.2">
      <c r="A10" t="s">
        <v>27</v>
      </c>
      <c r="B10"/>
      <c r="C10" t="s">
        <v>267</v>
      </c>
      <c r="D10" t="s">
        <v>268</v>
      </c>
      <c r="E10" t="s">
        <v>267</v>
      </c>
      <c r="F10" t="s">
        <v>268</v>
      </c>
      <c r="G10" t="s">
        <v>269</v>
      </c>
      <c r="H10" t="s">
        <v>101</v>
      </c>
      <c r="I10"/>
      <c r="J10"/>
      <c r="K10"/>
      <c r="L10"/>
      <c r="M10" s="2"/>
      <c r="O10" s="10" t="s">
        <v>179</v>
      </c>
      <c r="Q10" s="10" t="s">
        <v>180</v>
      </c>
      <c r="S10"/>
    </row>
    <row r="11" spans="1:19" x14ac:dyDescent="0.2">
      <c r="A11" s="9" t="str">
        <f>TEXT($N$9,"m/d/xx")</f>
        <v>12/31/xx</v>
      </c>
      <c r="B11" s="9"/>
      <c r="C11" s="9" t="s">
        <v>271</v>
      </c>
      <c r="D11" s="9" t="s">
        <v>271</v>
      </c>
      <c r="E11" s="9" t="s">
        <v>271</v>
      </c>
      <c r="F11" s="9" t="s">
        <v>271</v>
      </c>
      <c r="G11" s="9" t="s">
        <v>272</v>
      </c>
      <c r="H11" s="9" t="s">
        <v>51</v>
      </c>
      <c r="I11"/>
      <c r="J11"/>
      <c r="K11"/>
      <c r="L11"/>
      <c r="M11" s="2"/>
      <c r="N11" s="9"/>
      <c r="O11" s="9" t="s">
        <v>267</v>
      </c>
      <c r="P11" s="9" t="s">
        <v>268</v>
      </c>
      <c r="Q11" s="9" t="s">
        <v>267</v>
      </c>
      <c r="R11" s="9" t="s">
        <v>268</v>
      </c>
      <c r="S11" s="9" t="s">
        <v>273</v>
      </c>
    </row>
    <row r="12" spans="1:19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J12"/>
      <c r="K12"/>
      <c r="L12"/>
      <c r="M12" s="2"/>
    </row>
    <row r="13" spans="1:19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9" x14ac:dyDescent="0.2">
      <c r="A14" t="str">
        <f t="shared" ref="A14:A22" si="1">TEXT(A15-1,"#")</f>
        <v>2013</v>
      </c>
      <c r="B14" s="22"/>
      <c r="C14" s="29">
        <f>ROUND('3.3b'!$C$53/'3.3b'!$C$17,3)</f>
        <v>1.5389999999999999</v>
      </c>
      <c r="D14" s="29">
        <f>ROUND('3.3c'!$C$61/'3.3c'!$C$25,3)</f>
        <v>1.5449999999999999</v>
      </c>
      <c r="E14" s="271">
        <f>'[5]3.3a'!C14</f>
        <v>1.4710000000000001</v>
      </c>
      <c r="F14" s="271">
        <f>'[5]3.3a'!D14</f>
        <v>1.5049999999999999</v>
      </c>
      <c r="G14" s="29">
        <f>ROUND('3.3d'!$C$55/'3.3d'!$C$19,3)</f>
        <v>1.1990000000000001</v>
      </c>
      <c r="H14" s="29">
        <f>ROUND(SUMPRODUCT(C14:G14,$O14:$S14)/SUMIF(C14:G14,"&gt;0",$O14:$S14),3)</f>
        <v>1.4590000000000001</v>
      </c>
      <c r="I14" s="29"/>
      <c r="J14"/>
      <c r="K14" s="29"/>
      <c r="M14" s="2"/>
      <c r="N14" s="167"/>
      <c r="O14" s="83">
        <v>0</v>
      </c>
      <c r="P14" s="83">
        <v>0.75</v>
      </c>
      <c r="Q14" s="83">
        <v>0</v>
      </c>
      <c r="R14" s="83">
        <v>0</v>
      </c>
      <c r="S14" s="83">
        <v>0.25</v>
      </c>
    </row>
    <row r="15" spans="1:19" x14ac:dyDescent="0.2">
      <c r="A15" t="str">
        <f t="shared" si="1"/>
        <v>2014</v>
      </c>
      <c r="B15" s="22"/>
      <c r="C15" s="29">
        <f>ROUND('3.3b'!$C$53/'3.3b'!$C$21,3)</f>
        <v>1.4970000000000001</v>
      </c>
      <c r="D15" s="29">
        <f>ROUND('3.3c'!$C$61/'3.3c'!$C$29,3)</f>
        <v>1.496</v>
      </c>
      <c r="E15" s="271">
        <f>'[5]3.3a'!C15</f>
        <v>1.4259999999999999</v>
      </c>
      <c r="F15" s="271">
        <f>'[5]3.3a'!D15</f>
        <v>1.448</v>
      </c>
      <c r="G15" s="29">
        <f>ROUND('3.3d'!$C$55/'3.3d'!$C$23,3)</f>
        <v>1.1819999999999999</v>
      </c>
      <c r="H15" s="29">
        <f t="shared" ref="H15:H23" si="2">ROUND(SUMPRODUCT(C15:G15,$O15:$S15)/SUMIF(C15:G15,"&gt;0",$O15:$S15),3)</f>
        <v>1.4179999999999999</v>
      </c>
      <c r="I15" s="29"/>
      <c r="J15"/>
      <c r="K15" s="29"/>
      <c r="L15"/>
      <c r="M15" s="2"/>
      <c r="N15" s="167"/>
      <c r="O15" s="83">
        <v>0</v>
      </c>
      <c r="P15" s="83">
        <v>0.75</v>
      </c>
      <c r="Q15" s="83">
        <v>0</v>
      </c>
      <c r="R15" s="83">
        <v>0</v>
      </c>
      <c r="S15" s="83">
        <v>0.25</v>
      </c>
    </row>
    <row r="16" spans="1:19" x14ac:dyDescent="0.2">
      <c r="A16" t="str">
        <f t="shared" si="1"/>
        <v>2015</v>
      </c>
      <c r="B16" s="22"/>
      <c r="C16" s="29">
        <f>ROUND('3.3b'!$C$53/'3.3b'!$C$25,3)</f>
        <v>1.472</v>
      </c>
      <c r="D16" s="29">
        <f>ROUND('3.3c'!$C$61/'3.3c'!$C$33,3)</f>
        <v>1.4710000000000001</v>
      </c>
      <c r="E16" s="271">
        <f>'[5]3.3a'!C16</f>
        <v>1.39</v>
      </c>
      <c r="F16" s="271">
        <f>'[5]3.3a'!D16</f>
        <v>1.4139999999999999</v>
      </c>
      <c r="G16" s="29">
        <f>ROUND('3.3d'!$C$55/'3.3d'!$C$27,3)</f>
        <v>1.171</v>
      </c>
      <c r="H16" s="29">
        <f t="shared" si="2"/>
        <v>1.3959999999999999</v>
      </c>
      <c r="I16" s="29"/>
      <c r="J16"/>
      <c r="K16" s="29"/>
      <c r="L16"/>
      <c r="M16" s="2"/>
      <c r="N16" s="167"/>
      <c r="O16" s="83">
        <v>0</v>
      </c>
      <c r="P16" s="83">
        <v>0.75</v>
      </c>
      <c r="Q16" s="83">
        <v>0</v>
      </c>
      <c r="R16" s="83">
        <v>0</v>
      </c>
      <c r="S16" s="83">
        <v>0.25</v>
      </c>
    </row>
    <row r="17" spans="1:19" x14ac:dyDescent="0.2">
      <c r="A17" t="str">
        <f t="shared" si="1"/>
        <v>2016</v>
      </c>
      <c r="B17" s="22"/>
      <c r="C17" s="29">
        <f>ROUND('3.3b'!$C$53/'3.3b'!$C$29,3)</f>
        <v>1.478</v>
      </c>
      <c r="D17" s="29">
        <f>ROUND('3.3c'!$C$61/'3.3c'!$C$37,3)</f>
        <v>1.478</v>
      </c>
      <c r="E17" s="271">
        <f>'[5]3.3a'!C17</f>
        <v>1.399</v>
      </c>
      <c r="F17" s="271">
        <f>'[5]3.3a'!D17</f>
        <v>1.4239999999999999</v>
      </c>
      <c r="G17" s="29">
        <f>ROUND('3.3d'!$C$55/'3.3d'!$C$31,3)</f>
        <v>1.1519999999999999</v>
      </c>
      <c r="H17" s="29">
        <f t="shared" si="2"/>
        <v>1.397</v>
      </c>
      <c r="I17" s="29"/>
      <c r="J17"/>
      <c r="K17" s="29"/>
      <c r="L17"/>
      <c r="M17" s="2"/>
      <c r="N17" s="167"/>
      <c r="O17" s="83">
        <v>0</v>
      </c>
      <c r="P17" s="83">
        <v>0.75</v>
      </c>
      <c r="Q17" s="83">
        <v>0</v>
      </c>
      <c r="R17" s="83">
        <v>0</v>
      </c>
      <c r="S17" s="83">
        <v>0.25</v>
      </c>
    </row>
    <row r="18" spans="1:19" x14ac:dyDescent="0.2">
      <c r="A18" t="str">
        <f t="shared" si="1"/>
        <v>2017</v>
      </c>
      <c r="B18" s="22"/>
      <c r="C18" s="29">
        <f>ROUND('3.3b'!$C$53/'3.3b'!$C$33,3)</f>
        <v>1.4450000000000001</v>
      </c>
      <c r="D18" s="29">
        <f>ROUND('3.3c'!$C$61/'3.3c'!$C$41,3)</f>
        <v>1.4510000000000001</v>
      </c>
      <c r="E18" s="271">
        <f>'[5]3.3a'!C18</f>
        <v>1.3839999999999999</v>
      </c>
      <c r="F18" s="271">
        <f>'[5]3.3a'!D18</f>
        <v>1.4079999999999999</v>
      </c>
      <c r="G18" s="29">
        <f>ROUND('3.3d'!$C$55/'3.3d'!$C$35,3)</f>
        <v>1.149</v>
      </c>
      <c r="H18" s="29">
        <f t="shared" si="2"/>
        <v>1.3759999999999999</v>
      </c>
      <c r="I18" s="29"/>
      <c r="J18"/>
      <c r="K18" s="29"/>
      <c r="L18"/>
      <c r="M18" s="2"/>
      <c r="N18" s="167"/>
      <c r="O18" s="83">
        <v>0</v>
      </c>
      <c r="P18" s="83">
        <v>0.75</v>
      </c>
      <c r="Q18" s="83">
        <v>0</v>
      </c>
      <c r="R18" s="83">
        <v>0</v>
      </c>
      <c r="S18" s="83">
        <v>0.25</v>
      </c>
    </row>
    <row r="19" spans="1:19" x14ac:dyDescent="0.2">
      <c r="A19" t="str">
        <f t="shared" si="1"/>
        <v>2018</v>
      </c>
      <c r="B19" s="22"/>
      <c r="C19" s="29">
        <f>ROUND('3.3b'!$C$53/'3.3b'!$C$37,3)</f>
        <v>1.3879999999999999</v>
      </c>
      <c r="D19" s="29">
        <f>ROUND('3.3c'!$C$61/'3.3c'!$C$45,3)</f>
        <v>1.393</v>
      </c>
      <c r="E19" s="271">
        <f>'[5]3.3a'!C19</f>
        <v>1.3340000000000001</v>
      </c>
      <c r="F19" s="271">
        <f>'[5]3.3a'!D19</f>
        <v>1.3540000000000001</v>
      </c>
      <c r="G19" s="29">
        <f>ROUND('3.3d'!$C$55/'3.3d'!$C$39,3)</f>
        <v>1.137</v>
      </c>
      <c r="H19" s="29">
        <f t="shared" si="2"/>
        <v>1.329</v>
      </c>
      <c r="I19" s="29"/>
      <c r="J19"/>
      <c r="K19" s="29"/>
      <c r="L19"/>
      <c r="M19" s="2"/>
      <c r="N19" s="167"/>
      <c r="O19" s="83">
        <v>0</v>
      </c>
      <c r="P19" s="83">
        <v>0.75</v>
      </c>
      <c r="Q19" s="83">
        <v>0</v>
      </c>
      <c r="R19" s="83">
        <v>0</v>
      </c>
      <c r="S19" s="83">
        <v>0.25</v>
      </c>
    </row>
    <row r="20" spans="1:19" x14ac:dyDescent="0.2">
      <c r="A20" t="str">
        <f t="shared" si="1"/>
        <v>2019</v>
      </c>
      <c r="B20" s="22"/>
      <c r="C20" s="29">
        <f>ROUND('3.3b'!$C$53/'3.3b'!$C$41,3)</f>
        <v>1.3660000000000001</v>
      </c>
      <c r="D20" s="29">
        <f>ROUND('3.3c'!$C$61/'3.3c'!$C$49,3)</f>
        <v>1.367</v>
      </c>
      <c r="E20" s="271">
        <f>'[5]3.3a'!C20</f>
        <v>1.3029999999999999</v>
      </c>
      <c r="F20" s="271">
        <f>'[5]3.3a'!D20</f>
        <v>1.3129999999999999</v>
      </c>
      <c r="G20" s="29">
        <f>ROUND('3.3d'!$C$55/'3.3d'!$C$43,3)</f>
        <v>1.1140000000000001</v>
      </c>
      <c r="H20" s="29">
        <f>ROUND(SUMPRODUCT(C20:G20,$O20:$S20)/SUMIF(C20:G20,"&gt;0",$O20:$S20),3)</f>
        <v>1.304</v>
      </c>
      <c r="I20" s="29"/>
      <c r="J20"/>
      <c r="K20" s="29"/>
      <c r="L20"/>
      <c r="M20" s="2"/>
      <c r="N20" s="167"/>
      <c r="O20" s="83">
        <v>0</v>
      </c>
      <c r="P20" s="83">
        <v>0.75</v>
      </c>
      <c r="Q20" s="83">
        <v>0</v>
      </c>
      <c r="R20" s="83">
        <v>0</v>
      </c>
      <c r="S20" s="83">
        <v>0.25</v>
      </c>
    </row>
    <row r="21" spans="1:19" x14ac:dyDescent="0.2">
      <c r="A21" t="str">
        <f t="shared" si="1"/>
        <v>2020</v>
      </c>
      <c r="B21" s="22"/>
      <c r="C21" s="29">
        <f>ROUND('3.3b'!$C$53/'3.3b'!$C$45,3)</f>
        <v>1.3480000000000001</v>
      </c>
      <c r="D21" s="29">
        <f>ROUND('3.3c'!$C$61/'3.3c'!$C$53,3)</f>
        <v>1.3520000000000001</v>
      </c>
      <c r="E21" s="271">
        <f>'[5]3.3a'!C21</f>
        <v>1.294</v>
      </c>
      <c r="F21" s="271">
        <f>'[5]3.3a'!D21</f>
        <v>1.3089999999999999</v>
      </c>
      <c r="G21" s="29">
        <f>ROUND('3.3d'!$C$55/'3.3d'!$C$47,3)</f>
        <v>1.145</v>
      </c>
      <c r="H21" s="29">
        <f t="shared" si="2"/>
        <v>1.3</v>
      </c>
      <c r="I21" s="29"/>
      <c r="J21"/>
      <c r="K21" s="29"/>
      <c r="L21"/>
      <c r="M21" s="2"/>
      <c r="N21" s="167"/>
      <c r="O21" s="83">
        <v>0</v>
      </c>
      <c r="P21" s="83">
        <v>0.75</v>
      </c>
      <c r="Q21" s="83">
        <v>0</v>
      </c>
      <c r="R21" s="83">
        <v>0</v>
      </c>
      <c r="S21" s="83">
        <v>0.25</v>
      </c>
    </row>
    <row r="22" spans="1:19" x14ac:dyDescent="0.2">
      <c r="A22" t="str">
        <f t="shared" si="1"/>
        <v>2021</v>
      </c>
      <c r="B22" s="22"/>
      <c r="C22" s="29">
        <f>ROUND('3.3b'!$C$53/'3.3b'!$C$49,3)</f>
        <v>1.181</v>
      </c>
      <c r="D22" s="29">
        <f>ROUND('3.3c'!$C$61/'3.3c'!$C$57,3)</f>
        <v>1.181</v>
      </c>
      <c r="E22" s="271">
        <f>'[5]3.3a'!C22</f>
        <v>1.1579999999999999</v>
      </c>
      <c r="F22" s="271">
        <f>'[5]3.3a'!D22</f>
        <v>1.1779999999999999</v>
      </c>
      <c r="G22" s="29">
        <f>ROUND('3.3d'!$C$55/'3.3d'!$C$51,3)</f>
        <v>1.079</v>
      </c>
      <c r="H22" s="29">
        <f>ROUND(SUMPRODUCT(C22:G22,$O22:$S22)/SUMIF(C22:G22,"&gt;0",$O22:$S22),3)</f>
        <v>1.1559999999999999</v>
      </c>
      <c r="I22" s="29"/>
      <c r="J22"/>
      <c r="K22" s="29"/>
      <c r="L22"/>
      <c r="M22" s="2"/>
      <c r="N22" s="167"/>
      <c r="O22" s="83">
        <v>0</v>
      </c>
      <c r="P22" s="83">
        <v>0.75</v>
      </c>
      <c r="Q22" s="83">
        <v>0</v>
      </c>
      <c r="R22" s="83">
        <v>0</v>
      </c>
      <c r="S22" s="83">
        <v>0.25</v>
      </c>
    </row>
    <row r="23" spans="1:19" x14ac:dyDescent="0.2">
      <c r="A23" t="str">
        <f>TEXT(YEAR($N$9),"#")</f>
        <v>2022</v>
      </c>
      <c r="B23" s="22"/>
      <c r="C23" s="29">
        <f>ROUND('3.3b'!$C$53/'3.3b'!$C$53,3)</f>
        <v>1</v>
      </c>
      <c r="D23" s="29">
        <f>ROUND('3.3c'!$C$61/'3.3c'!$C$61,3)</f>
        <v>1</v>
      </c>
      <c r="E23" s="271">
        <f>'[5]3.3a'!C23</f>
        <v>1</v>
      </c>
      <c r="F23" s="271">
        <f>'[5]3.3a'!D23</f>
        <v>1</v>
      </c>
      <c r="G23" s="29">
        <f>ROUND('3.3d'!$C$55/'3.3d'!$C$55,3)</f>
        <v>1</v>
      </c>
      <c r="H23" s="29">
        <f t="shared" si="2"/>
        <v>1</v>
      </c>
      <c r="I23" s="29"/>
      <c r="J23"/>
      <c r="K23" s="29"/>
      <c r="L23"/>
      <c r="M23" s="2"/>
      <c r="N23" s="167"/>
      <c r="O23" s="83">
        <v>0</v>
      </c>
      <c r="P23" s="83">
        <v>0.75</v>
      </c>
      <c r="Q23" s="83">
        <v>0</v>
      </c>
      <c r="R23" s="83">
        <v>0</v>
      </c>
      <c r="S23" s="83">
        <v>0.25</v>
      </c>
    </row>
    <row r="24" spans="1:19" x14ac:dyDescent="0.2">
      <c r="A24" s="9"/>
      <c r="B24" s="23"/>
      <c r="C24" s="30"/>
      <c r="D24" s="30"/>
      <c r="E24" s="106"/>
      <c r="F24" s="106"/>
      <c r="G24" s="30"/>
      <c r="H24" s="30"/>
      <c r="I24"/>
      <c r="J24"/>
      <c r="K24"/>
      <c r="L24"/>
      <c r="M24" s="2"/>
      <c r="S24"/>
    </row>
    <row r="25" spans="1:19" x14ac:dyDescent="0.2">
      <c r="A25"/>
      <c r="B25"/>
      <c r="C25" s="18"/>
      <c r="D25"/>
      <c r="E25" s="18"/>
      <c r="F25"/>
      <c r="G25"/>
      <c r="H25"/>
      <c r="I25"/>
      <c r="J25"/>
      <c r="K25"/>
      <c r="L25"/>
      <c r="M25" s="2"/>
      <c r="S25"/>
    </row>
    <row r="26" spans="1:19" x14ac:dyDescent="0.2">
      <c r="A26" s="12" t="s">
        <v>274</v>
      </c>
      <c r="J26"/>
      <c r="K26"/>
      <c r="L26"/>
      <c r="M26" s="2"/>
    </row>
    <row r="27" spans="1:19" x14ac:dyDescent="0.2">
      <c r="B27"/>
      <c r="C27" s="75"/>
      <c r="D27" s="75"/>
      <c r="E27" s="75"/>
      <c r="F27" s="75"/>
      <c r="G27" s="75"/>
      <c r="H27" s="75"/>
      <c r="I27" s="75"/>
      <c r="J27"/>
      <c r="K27"/>
      <c r="L27"/>
      <c r="M27" s="2"/>
    </row>
    <row r="28" spans="1:19" x14ac:dyDescent="0.2">
      <c r="A28" s="73" t="s">
        <v>90</v>
      </c>
      <c r="B28" t="s">
        <v>275</v>
      </c>
      <c r="C28" s="41">
        <f>'3.3b'!$E$56</f>
        <v>6.931249405451867E-2</v>
      </c>
      <c r="D28" s="41">
        <f>'3.3c'!$E$64</f>
        <v>7.0174294634852252E-2</v>
      </c>
      <c r="E28" s="289">
        <f>'[5]3.3a'!C28</f>
        <v>6.7000000000000004E-2</v>
      </c>
      <c r="F28" s="289">
        <f>'[5]3.3a'!D28</f>
        <v>6.9000000000000006E-2</v>
      </c>
      <c r="G28" s="41">
        <f>'3.3d'!$G$58</f>
        <v>2.3259860233009189E-2</v>
      </c>
      <c r="H28" s="41">
        <f>ROUND(SUMPRODUCT(C28:G28,$O28:$S28)/SUMIF(C28:G28,"&gt;0",$O28:$S28),3)</f>
        <v>7.0000000000000007E-2</v>
      </c>
      <c r="I28" s="41"/>
      <c r="J28"/>
      <c r="K28"/>
      <c r="L28"/>
      <c r="M28" s="2"/>
      <c r="O28" s="83">
        <v>0.25</v>
      </c>
      <c r="P28" s="83">
        <v>0.75</v>
      </c>
      <c r="Q28" s="83">
        <v>0</v>
      </c>
      <c r="R28" s="83">
        <v>0</v>
      </c>
      <c r="S28" s="83">
        <v>0</v>
      </c>
    </row>
    <row r="29" spans="1:19" x14ac:dyDescent="0.2">
      <c r="A29" s="73"/>
      <c r="B29"/>
      <c r="C29"/>
      <c r="D29"/>
      <c r="E29"/>
      <c r="F29"/>
      <c r="G29"/>
      <c r="H29" s="19"/>
      <c r="I29" s="19"/>
      <c r="J29"/>
      <c r="K29"/>
      <c r="L29"/>
      <c r="M29" s="2"/>
    </row>
    <row r="30" spans="1:19" x14ac:dyDescent="0.2">
      <c r="A30" s="73" t="s">
        <v>89</v>
      </c>
      <c r="B30" t="s">
        <v>277</v>
      </c>
      <c r="C30" s="29">
        <f>ROUND((1+C28)^$N$32,3)</f>
        <v>1.1819999999999999</v>
      </c>
      <c r="D30" s="29">
        <f t="shared" ref="D30:H30" si="3">ROUND((1+D28)^$N$32,3)</f>
        <v>1.1850000000000001</v>
      </c>
      <c r="E30" s="29">
        <f t="shared" si="3"/>
        <v>1.1759999999999999</v>
      </c>
      <c r="F30" s="29">
        <f t="shared" si="3"/>
        <v>1.1819999999999999</v>
      </c>
      <c r="G30" s="29">
        <f t="shared" si="3"/>
        <v>1.0589999999999999</v>
      </c>
      <c r="H30" s="29">
        <f t="shared" si="3"/>
        <v>1.1839999999999999</v>
      </c>
      <c r="I30" s="29"/>
      <c r="J30"/>
      <c r="K30"/>
      <c r="L30"/>
      <c r="M30" s="2"/>
      <c r="O30" s="12" t="s">
        <v>276</v>
      </c>
    </row>
    <row r="31" spans="1:19" ht="12" thickBot="1" x14ac:dyDescent="0.25">
      <c r="A31" s="6"/>
      <c r="B31" s="6"/>
      <c r="C31" s="6"/>
      <c r="D31" s="6"/>
      <c r="E31" s="6"/>
      <c r="F31" s="6"/>
      <c r="G31" s="6"/>
      <c r="H31" s="6"/>
      <c r="I31"/>
      <c r="J31"/>
      <c r="K31"/>
      <c r="L31"/>
      <c r="M31" s="2"/>
      <c r="N31" s="12" t="s">
        <v>254</v>
      </c>
      <c r="O31" s="12" t="s">
        <v>211</v>
      </c>
      <c r="P31" s="12" t="s">
        <v>256</v>
      </c>
    </row>
    <row r="32" spans="1:19" ht="12" thickTop="1" x14ac:dyDescent="0.2">
      <c r="A32"/>
      <c r="B32"/>
      <c r="C32"/>
      <c r="D32"/>
      <c r="E32"/>
      <c r="F32"/>
      <c r="G32"/>
      <c r="H32"/>
      <c r="I32"/>
      <c r="J32"/>
      <c r="K32"/>
      <c r="L32"/>
      <c r="M32" s="2"/>
      <c r="N32" s="105">
        <f>YEAR(P32)-YEAR(O32)+(MONTH(P32)-MONTH(O32))/12</f>
        <v>2.5</v>
      </c>
      <c r="O32" s="36">
        <f>DATE(YEAR(N9+1),MONTH(N9+1)-6,1)</f>
        <v>44743</v>
      </c>
      <c r="P32" s="36">
        <f>'2.4'!I15</f>
        <v>45658</v>
      </c>
      <c r="Q32" s="36"/>
      <c r="R32" s="36"/>
    </row>
    <row r="33" spans="1:19" x14ac:dyDescent="0.2">
      <c r="A33" t="s">
        <v>18</v>
      </c>
      <c r="B33"/>
      <c r="C33"/>
      <c r="D33"/>
      <c r="E33"/>
      <c r="F33"/>
      <c r="G33"/>
      <c r="H33"/>
      <c r="I33"/>
      <c r="J33"/>
      <c r="K33"/>
      <c r="L33"/>
      <c r="M33" s="2"/>
    </row>
    <row r="34" spans="1:19" x14ac:dyDescent="0.2">
      <c r="A34"/>
      <c r="B34" s="12" t="str">
        <f>C12&amp;" = "&amp;'3.3b'!$L$1&amp;", "&amp;'3.3b'!$L$2&amp;" trended forward to "&amp;TEXT($N$9,"m/d/yyyy")</f>
        <v>(2) = Exhibit 3, Sheet 3b trended forward to 12/31/2022</v>
      </c>
      <c r="F34"/>
      <c r="G34"/>
      <c r="K34"/>
      <c r="L34"/>
      <c r="M34" s="2"/>
    </row>
    <row r="35" spans="1:19" x14ac:dyDescent="0.2">
      <c r="A35"/>
      <c r="B35" s="12" t="str">
        <f>D12&amp;" = "&amp;'3.3c'!$L$1&amp;", "&amp;'3.3c'!$L$2&amp;" trended forward to "&amp;TEXT($N$9,"m/d/yyyy")</f>
        <v>(3) = Exhibit 3, Sheet 3c trended forward to 12/31/2022</v>
      </c>
      <c r="C35"/>
      <c r="E35"/>
      <c r="F35"/>
      <c r="H35"/>
      <c r="I35"/>
      <c r="J35"/>
      <c r="K35"/>
      <c r="L35"/>
      <c r="M35" s="2"/>
    </row>
    <row r="36" spans="1:19" x14ac:dyDescent="0.2">
      <c r="A36"/>
      <c r="B36" t="str">
        <f>E12&amp;" = Residential Exhibit 3, Sheet 3b trended forward to "&amp;TEXT($N$9,"m/d/yyyy")</f>
        <v>(4) = Residential Exhibit 3, Sheet 3b trended forward to 12/31/2022</v>
      </c>
      <c r="D36"/>
      <c r="E36"/>
      <c r="F36"/>
      <c r="H36"/>
      <c r="I36"/>
      <c r="J36"/>
      <c r="K36"/>
      <c r="L36"/>
      <c r="M36" s="2"/>
    </row>
    <row r="37" spans="1:19" x14ac:dyDescent="0.2">
      <c r="A37"/>
      <c r="B37" t="str">
        <f>F12&amp;" = Residential Exhibit 3, Sheet 3c trended forward to "&amp;TEXT($N$9,"m/d/yyyy")</f>
        <v>(5) = Residential Exhibit 3, Sheet 3c trended forward to 12/31/2022</v>
      </c>
      <c r="C37"/>
      <c r="D37"/>
      <c r="E37"/>
      <c r="F37"/>
      <c r="H37"/>
      <c r="I37"/>
      <c r="J37"/>
      <c r="K37"/>
      <c r="L37"/>
      <c r="M37" s="2"/>
    </row>
    <row r="38" spans="1:19" x14ac:dyDescent="0.2">
      <c r="B38" s="12" t="str">
        <f>G12&amp;" = "&amp;'3.3d'!$L$1&amp;", "&amp;'3.3d'!$L$2</f>
        <v>(6) = Exhibit 3, Sheet 3d</v>
      </c>
      <c r="L38"/>
      <c r="M38" s="2"/>
    </row>
    <row r="39" spans="1:19" x14ac:dyDescent="0.2">
      <c r="A39" s="40"/>
      <c r="B39" s="12" t="str">
        <f>H12&amp;" = 25% "&amp;G11&amp;" and 75% "&amp;D11&amp;" (most appropriate available by year)"</f>
        <v>(7) = 25% CPI and 75% Boeckh (most appropriate available by year)</v>
      </c>
      <c r="C39" s="60"/>
      <c r="D39" s="28"/>
      <c r="E39" s="28"/>
      <c r="F39" s="29"/>
      <c r="G39" s="29"/>
      <c r="H39" s="18"/>
      <c r="I39" s="18"/>
      <c r="J39" s="18"/>
      <c r="K39" s="19"/>
      <c r="L39" s="19"/>
      <c r="M39" s="2"/>
    </row>
    <row r="40" spans="1:19" x14ac:dyDescent="0.2">
      <c r="A40" s="40"/>
      <c r="B40" s="12" t="str">
        <f>A28&amp;" = "&amp;C12&amp;" - "&amp;H12&amp;" fitted to an exponential curve using 5 years' data (where available)"</f>
        <v>(8) = (2) - (7) fitted to an exponential curve using 5 years' data (where available)</v>
      </c>
      <c r="C40" s="60"/>
      <c r="D40" s="28"/>
      <c r="E40" s="28"/>
      <c r="F40" s="19"/>
      <c r="G40" s="29"/>
      <c r="H40" s="18"/>
      <c r="I40" s="18"/>
      <c r="J40" s="18"/>
      <c r="K40" s="19"/>
      <c r="L40" s="19"/>
      <c r="M40" s="2"/>
    </row>
    <row r="41" spans="1:19" x14ac:dyDescent="0.2">
      <c r="A41" s="40"/>
      <c r="B41" t="str">
        <f>A30&amp;" = [1 + "&amp;A28&amp;"] ^ "&amp;$N$32&amp;" (trended from "&amp;TEXT($O$32,"m/d/yyyy")&amp;" to "&amp;TEXT($P$32,"m/d/yyyy")&amp;")"</f>
        <v>(9) = [1 + (8)] ^ 2.5 (trended from 7/1/2022 to 1/1/2025)</v>
      </c>
      <c r="C41" s="60"/>
      <c r="D41" s="28"/>
      <c r="E41" s="28"/>
      <c r="F41" s="19"/>
      <c r="G41" s="29"/>
      <c r="H41" s="18"/>
      <c r="I41" s="18"/>
      <c r="J41" s="18"/>
      <c r="K41" s="19"/>
      <c r="L41" s="19"/>
      <c r="M41" s="2"/>
    </row>
    <row r="42" spans="1:19" x14ac:dyDescent="0.2">
      <c r="A42" s="40"/>
      <c r="B42"/>
      <c r="C42" s="60"/>
      <c r="D42" s="28"/>
      <c r="E42" s="28"/>
      <c r="F42" s="19"/>
      <c r="G42" s="29"/>
      <c r="H42" s="18"/>
      <c r="I42" s="18"/>
      <c r="J42" s="18"/>
      <c r="K42" s="19"/>
      <c r="L42" s="19"/>
      <c r="M42" s="2"/>
    </row>
    <row r="43" spans="1:19" x14ac:dyDescent="0.2">
      <c r="A43"/>
      <c r="B43"/>
      <c r="C43" s="19"/>
      <c r="D43" s="19"/>
      <c r="E43" s="19"/>
      <c r="F43" s="19"/>
      <c r="G43"/>
      <c r="H43"/>
      <c r="I43"/>
      <c r="J43"/>
      <c r="K43"/>
      <c r="L43"/>
      <c r="M43" s="2"/>
      <c r="S43"/>
    </row>
    <row r="44" spans="1:19" x14ac:dyDescent="0.2">
      <c r="A44" s="40"/>
      <c r="B44"/>
      <c r="C44" s="60"/>
      <c r="D44" s="28"/>
      <c r="E44" s="28"/>
      <c r="F44" s="19"/>
      <c r="G44" s="29"/>
      <c r="H44" s="18"/>
      <c r="I44" s="18"/>
      <c r="J44" s="18"/>
      <c r="K44" s="19"/>
      <c r="L44" s="19"/>
      <c r="M44" s="2"/>
    </row>
    <row r="45" spans="1:19" x14ac:dyDescent="0.2">
      <c r="A45"/>
      <c r="B45" s="22"/>
      <c r="C45" s="60"/>
      <c r="D45" s="28"/>
      <c r="E45" s="28"/>
      <c r="F45" s="19"/>
      <c r="G45" s="29"/>
      <c r="H45" s="18"/>
      <c r="I45" s="18"/>
      <c r="J45" s="18"/>
      <c r="K45" s="19"/>
      <c r="L45" s="19"/>
      <c r="M45" s="2"/>
    </row>
    <row r="46" spans="1:19" x14ac:dyDescent="0.2">
      <c r="A46"/>
      <c r="C46"/>
      <c r="D46"/>
      <c r="E46"/>
      <c r="F46"/>
      <c r="G46"/>
      <c r="H46"/>
      <c r="I46"/>
      <c r="J46"/>
      <c r="L46"/>
      <c r="M46" s="2"/>
    </row>
    <row r="47" spans="1:19" x14ac:dyDescent="0.2">
      <c r="A47"/>
      <c r="C47"/>
      <c r="D47"/>
      <c r="E47"/>
      <c r="F47"/>
      <c r="H47"/>
      <c r="I47"/>
      <c r="J47"/>
      <c r="K47"/>
      <c r="L47"/>
      <c r="M47" s="2"/>
    </row>
    <row r="48" spans="1:19" x14ac:dyDescent="0.2">
      <c r="A48"/>
      <c r="C48" s="60"/>
      <c r="D48" s="28"/>
      <c r="E48" s="28"/>
      <c r="F48" s="29"/>
      <c r="G48" s="29"/>
      <c r="H48" s="18"/>
      <c r="I48" s="18"/>
      <c r="J48" s="18"/>
      <c r="K48" s="19"/>
      <c r="L48" s="19"/>
      <c r="M48" s="2"/>
    </row>
    <row r="49" spans="1:13" x14ac:dyDescent="0.2">
      <c r="A49"/>
      <c r="C49" s="60"/>
      <c r="D49" s="28"/>
      <c r="E49" s="28"/>
      <c r="F49" s="29"/>
      <c r="G49" s="29"/>
      <c r="H49" s="18"/>
      <c r="I49" s="18"/>
      <c r="J49" s="18"/>
      <c r="K49" s="19"/>
      <c r="L49" s="19"/>
      <c r="M49" s="2"/>
    </row>
    <row r="50" spans="1:13" x14ac:dyDescent="0.2">
      <c r="A50"/>
      <c r="C50" s="60"/>
      <c r="D50" s="28"/>
      <c r="E50" s="28"/>
      <c r="F50" s="29"/>
      <c r="G50" s="29"/>
      <c r="H50" s="18"/>
      <c r="I50" s="18"/>
      <c r="J50" s="18"/>
      <c r="K50" s="19"/>
      <c r="L50" s="19"/>
      <c r="M50" s="2"/>
    </row>
    <row r="51" spans="1:13" x14ac:dyDescent="0.2">
      <c r="A51"/>
      <c r="C51" s="18"/>
      <c r="D51"/>
      <c r="E51"/>
      <c r="F51"/>
      <c r="G51" s="18"/>
      <c r="H51" s="18"/>
      <c r="I51" s="18"/>
      <c r="J51" s="18"/>
      <c r="K51" s="18"/>
      <c r="L51"/>
      <c r="M51" s="2"/>
    </row>
    <row r="52" spans="1:13" x14ac:dyDescent="0.2">
      <c r="A52"/>
      <c r="C52" s="18"/>
      <c r="D52" s="18"/>
      <c r="E52"/>
      <c r="F52" s="18"/>
      <c r="G52" s="18"/>
      <c r="H52" s="18"/>
      <c r="I52" s="18"/>
      <c r="J52" s="18"/>
      <c r="K52" s="19"/>
      <c r="L52"/>
      <c r="M52" s="2"/>
    </row>
    <row r="53" spans="1:13" x14ac:dyDescent="0.2">
      <c r="A53" s="40"/>
      <c r="B53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2"/>
    </row>
    <row r="54" spans="1:13" x14ac:dyDescent="0.2">
      <c r="F54"/>
      <c r="M54" s="2"/>
    </row>
    <row r="55" spans="1:13" x14ac:dyDescent="0.2">
      <c r="F55"/>
      <c r="M55" s="2"/>
    </row>
    <row r="56" spans="1:13" x14ac:dyDescent="0.2">
      <c r="F56"/>
      <c r="M56" s="2"/>
    </row>
    <row r="57" spans="1:13" x14ac:dyDescent="0.2">
      <c r="F57"/>
      <c r="M57" s="2"/>
    </row>
    <row r="58" spans="1:13" x14ac:dyDescent="0.2">
      <c r="F58"/>
      <c r="M58" s="2"/>
    </row>
    <row r="59" spans="1:13" x14ac:dyDescent="0.2">
      <c r="F59"/>
      <c r="M59" s="2"/>
    </row>
    <row r="60" spans="1:13" x14ac:dyDescent="0.2">
      <c r="F60"/>
      <c r="M60" s="2"/>
    </row>
    <row r="61" spans="1:13" x14ac:dyDescent="0.2">
      <c r="F61"/>
      <c r="M61" s="2"/>
    </row>
    <row r="62" spans="1:13" x14ac:dyDescent="0.2">
      <c r="F62"/>
      <c r="M62" s="2"/>
    </row>
    <row r="63" spans="1:13" x14ac:dyDescent="0.2">
      <c r="F63"/>
      <c r="M63" s="2"/>
    </row>
    <row r="64" spans="1:13" x14ac:dyDescent="0.2">
      <c r="F64"/>
      <c r="M64" s="2"/>
    </row>
    <row r="65" spans="1:13" x14ac:dyDescent="0.2">
      <c r="M65" s="2"/>
    </row>
    <row r="66" spans="1:13" x14ac:dyDescent="0.2">
      <c r="M66" s="2"/>
    </row>
    <row r="67" spans="1:13" x14ac:dyDescent="0.2">
      <c r="M67" s="2"/>
    </row>
    <row r="68" spans="1:13" ht="12" thickBot="1" x14ac:dyDescent="0.25"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tabColor rgb="FF92D050"/>
  </sheetPr>
  <dimension ref="A1:R69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8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47</v>
      </c>
      <c r="M1" s="1"/>
      <c r="Q1" s="12" t="s">
        <v>526</v>
      </c>
      <c r="R1" s="12" t="s">
        <v>527</v>
      </c>
    </row>
    <row r="2" spans="1:18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278</v>
      </c>
      <c r="M2" s="2"/>
    </row>
    <row r="3" spans="1:18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74" t="s">
        <v>264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74" t="s">
        <v>309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2" thickBot="1" x14ac:dyDescent="0.25">
      <c r="A7" s="6"/>
      <c r="B7" s="6"/>
      <c r="C7" s="6"/>
      <c r="D7" s="6"/>
      <c r="E7" s="6"/>
      <c r="F7"/>
      <c r="G7"/>
      <c r="H7"/>
      <c r="I7"/>
      <c r="J7"/>
      <c r="K7"/>
      <c r="L7"/>
      <c r="M7" s="2"/>
    </row>
    <row r="8" spans="1:18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s="11" t="s">
        <v>279</v>
      </c>
    </row>
    <row r="9" spans="1:18" x14ac:dyDescent="0.2">
      <c r="A9"/>
      <c r="B9"/>
      <c r="C9" s="12" t="s">
        <v>280</v>
      </c>
      <c r="D9" s="10" t="s">
        <v>281</v>
      </c>
      <c r="E9"/>
      <c r="F9"/>
      <c r="G9"/>
      <c r="H9"/>
      <c r="I9"/>
      <c r="J9"/>
      <c r="K9"/>
      <c r="L9"/>
      <c r="M9" s="2"/>
      <c r="N9" s="166">
        <v>44926</v>
      </c>
    </row>
    <row r="10" spans="1:18" x14ac:dyDescent="0.2">
      <c r="A10" t="s">
        <v>266</v>
      </c>
      <c r="B10"/>
      <c r="C10" t="s">
        <v>267</v>
      </c>
      <c r="D10" t="s">
        <v>282</v>
      </c>
      <c r="E10"/>
      <c r="F10"/>
      <c r="G10"/>
      <c r="H10"/>
      <c r="I10"/>
      <c r="J10"/>
      <c r="K10"/>
      <c r="L10"/>
      <c r="M10" s="2"/>
    </row>
    <row r="11" spans="1:18" x14ac:dyDescent="0.2">
      <c r="A11" s="9" t="s">
        <v>27</v>
      </c>
      <c r="B11" s="9"/>
      <c r="C11" s="9" t="s">
        <v>261</v>
      </c>
      <c r="D11" s="9" t="s">
        <v>286</v>
      </c>
      <c r="E11" s="9" t="s">
        <v>287</v>
      </c>
      <c r="F11"/>
      <c r="G11"/>
      <c r="H11"/>
      <c r="I11"/>
      <c r="J11"/>
      <c r="K11"/>
      <c r="L11"/>
      <c r="M11" s="2"/>
      <c r="N11" s="178" t="s">
        <v>261</v>
      </c>
    </row>
    <row r="12" spans="1:18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/>
      <c r="G12"/>
      <c r="H12"/>
      <c r="I12"/>
      <c r="J12"/>
      <c r="K12"/>
      <c r="L12"/>
      <c r="M12" s="2"/>
    </row>
    <row r="13" spans="1:18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8" x14ac:dyDescent="0.2">
      <c r="A14" s="12" t="str">
        <f t="shared" ref="A14:A52" si="0">TEXT(DATE(YEAR(A15+1),MONTH(A15+1)-3,1)-1,"m/d/yyyy")</f>
        <v>3/31/2013</v>
      </c>
      <c r="B14" s="22"/>
      <c r="C14" s="270">
        <f>'[4]Boeckh (C)'!D38</f>
        <v>2311.8841225781248</v>
      </c>
      <c r="D14" s="77"/>
      <c r="E14" s="77"/>
      <c r="F14"/>
      <c r="G14"/>
      <c r="H14"/>
      <c r="I14"/>
      <c r="J14"/>
      <c r="K14"/>
      <c r="L14"/>
      <c r="M14" s="2"/>
      <c r="N14" s="12">
        <f t="shared" ref="N14:N53" si="1">YEAR(A14)+MONTH(A14)/12</f>
        <v>2013.25</v>
      </c>
    </row>
    <row r="15" spans="1:18" x14ac:dyDescent="0.2">
      <c r="A15" s="12" t="str">
        <f t="shared" si="0"/>
        <v>6/30/2013</v>
      </c>
      <c r="B15" s="22"/>
      <c r="C15" s="270">
        <f>'[4]Boeckh (C)'!D39</f>
        <v>2322.1859947656249</v>
      </c>
      <c r="D15" s="77"/>
      <c r="E15" s="77"/>
      <c r="F15"/>
      <c r="G15"/>
      <c r="H15"/>
      <c r="I15"/>
      <c r="J15"/>
      <c r="K15"/>
      <c r="L15"/>
      <c r="M15" s="2"/>
      <c r="N15" s="12">
        <f t="shared" si="1"/>
        <v>2013.5</v>
      </c>
    </row>
    <row r="16" spans="1:18" x14ac:dyDescent="0.2">
      <c r="A16" s="12" t="str">
        <f t="shared" si="0"/>
        <v>9/30/2013</v>
      </c>
      <c r="B16" s="22"/>
      <c r="C16" s="270">
        <f>'[4]Boeckh (C)'!D40</f>
        <v>2333.1690358593746</v>
      </c>
      <c r="D16" s="77"/>
      <c r="E16" s="77"/>
      <c r="F16"/>
      <c r="G16"/>
      <c r="H16"/>
      <c r="I16"/>
      <c r="J16"/>
      <c r="K16"/>
      <c r="L16"/>
      <c r="M16" s="2"/>
      <c r="N16" s="12">
        <f t="shared" si="1"/>
        <v>2013.75</v>
      </c>
    </row>
    <row r="17" spans="1:14" x14ac:dyDescent="0.2">
      <c r="A17" s="12" t="str">
        <f t="shared" si="0"/>
        <v>12/31/2013</v>
      </c>
      <c r="B17" s="22"/>
      <c r="C17" s="270">
        <f>'[4]Boeckh (C)'!D41</f>
        <v>2343.5874764843747</v>
      </c>
      <c r="D17" s="77"/>
      <c r="E17" s="77"/>
      <c r="F17"/>
      <c r="G17"/>
      <c r="H17"/>
      <c r="I17"/>
      <c r="J17"/>
      <c r="K17"/>
      <c r="L17"/>
      <c r="M17" s="2"/>
      <c r="N17" s="12">
        <f t="shared" si="1"/>
        <v>2014</v>
      </c>
    </row>
    <row r="18" spans="1:14" x14ac:dyDescent="0.2">
      <c r="A18" s="12" t="str">
        <f t="shared" si="0"/>
        <v>3/31/2014</v>
      </c>
      <c r="B18" s="22"/>
      <c r="C18" s="270">
        <f>'[4]Boeckh (C)'!D42</f>
        <v>2355.2563627343748</v>
      </c>
      <c r="D18" s="77"/>
      <c r="E18" s="77"/>
      <c r="F18"/>
      <c r="G18"/>
      <c r="H18"/>
      <c r="I18"/>
      <c r="J18"/>
      <c r="K18"/>
      <c r="L18"/>
      <c r="M18" s="2"/>
      <c r="N18" s="12">
        <f t="shared" si="1"/>
        <v>2014.25</v>
      </c>
    </row>
    <row r="19" spans="1:14" x14ac:dyDescent="0.2">
      <c r="A19" s="12" t="str">
        <f t="shared" si="0"/>
        <v>6/30/2014</v>
      </c>
      <c r="B19" s="22"/>
      <c r="C19" s="270">
        <f>'[4]Boeckh (C)'!D43</f>
        <v>2373.4682892968749</v>
      </c>
      <c r="D19" s="77"/>
      <c r="E19" s="77"/>
      <c r="F19"/>
      <c r="G19"/>
      <c r="H19"/>
      <c r="I19"/>
      <c r="J19"/>
      <c r="K19"/>
      <c r="L19"/>
      <c r="M19" s="2"/>
      <c r="N19" s="12">
        <f t="shared" si="1"/>
        <v>2014.5</v>
      </c>
    </row>
    <row r="20" spans="1:14" x14ac:dyDescent="0.2">
      <c r="A20" s="12" t="str">
        <f t="shared" si="0"/>
        <v>9/30/2014</v>
      </c>
      <c r="B20" s="22"/>
      <c r="C20" s="270">
        <f>'[4]Boeckh (C)'!D44</f>
        <v>2390.5572240625002</v>
      </c>
      <c r="D20" s="77"/>
      <c r="E20" s="77"/>
      <c r="F20"/>
      <c r="G20"/>
      <c r="H20"/>
      <c r="I20"/>
      <c r="J20"/>
      <c r="K20"/>
      <c r="L20"/>
      <c r="M20" s="2"/>
      <c r="N20" s="12">
        <f t="shared" si="1"/>
        <v>2014.75</v>
      </c>
    </row>
    <row r="21" spans="1:14" x14ac:dyDescent="0.2">
      <c r="A21" s="12" t="str">
        <f t="shared" si="0"/>
        <v>12/31/2014</v>
      </c>
      <c r="B21" s="22"/>
      <c r="C21" s="270">
        <f>'[4]Boeckh (C)'!D45</f>
        <v>2408.9965558593753</v>
      </c>
      <c r="D21" s="77">
        <f>TREND($C$21:$C$53,$N$21:$N$53,$N21,TRUE)</f>
        <v>2234.0264116591425</v>
      </c>
      <c r="E21" s="77">
        <f>GROWTH($C$21:$C$53,$N$21:$N$53,$N21,TRUE)</f>
        <v>2274.5378286530695</v>
      </c>
      <c r="F21"/>
      <c r="G21"/>
      <c r="H21"/>
      <c r="I21"/>
      <c r="J21"/>
      <c r="K21"/>
      <c r="L21"/>
      <c r="M21" s="2"/>
      <c r="N21" s="12">
        <f t="shared" si="1"/>
        <v>2015</v>
      </c>
    </row>
    <row r="22" spans="1:14" x14ac:dyDescent="0.2">
      <c r="A22" s="12" t="str">
        <f t="shared" si="0"/>
        <v>3/31/2015</v>
      </c>
      <c r="B22" s="22"/>
      <c r="C22" s="270">
        <f>'[4]Boeckh (C)'!D46</f>
        <v>2427.520652578125</v>
      </c>
      <c r="D22" s="77">
        <f t="shared" ref="D22:D52" si="2">TREND($C$21:$C$53,$N$21:$N$53,$N22,TRUE)</f>
        <v>2261.7977492994396</v>
      </c>
      <c r="E22" s="77">
        <f t="shared" ref="E22:E53" si="3">GROWTH($C$21:$C$53,$N$21:$N$53,$N22,TRUE)</f>
        <v>2296.9944374686734</v>
      </c>
      <c r="F22"/>
      <c r="G22"/>
      <c r="H22"/>
      <c r="I22"/>
      <c r="J22"/>
      <c r="K22"/>
      <c r="L22"/>
      <c r="M22" s="2"/>
      <c r="N22" s="12">
        <f t="shared" si="1"/>
        <v>2015.25</v>
      </c>
    </row>
    <row r="23" spans="1:14" x14ac:dyDescent="0.2">
      <c r="A23" s="12" t="str">
        <f t="shared" si="0"/>
        <v>6/30/2015</v>
      </c>
      <c r="B23" s="22"/>
      <c r="C23" s="270">
        <f>'[4]Boeckh (C)'!D47</f>
        <v>2439.2176879687504</v>
      </c>
      <c r="D23" s="77">
        <f t="shared" si="2"/>
        <v>2289.5690869397367</v>
      </c>
      <c r="E23" s="77">
        <f t="shared" si="3"/>
        <v>2319.6727613391208</v>
      </c>
      <c r="F23"/>
      <c r="G23"/>
      <c r="H23"/>
      <c r="I23"/>
      <c r="J23"/>
      <c r="K23"/>
      <c r="L23"/>
      <c r="M23" s="2"/>
      <c r="N23" s="12">
        <f t="shared" si="1"/>
        <v>2015.5</v>
      </c>
    </row>
    <row r="24" spans="1:14" x14ac:dyDescent="0.2">
      <c r="A24" s="12" t="str">
        <f t="shared" si="0"/>
        <v>9/30/2015</v>
      </c>
      <c r="B24"/>
      <c r="C24" s="270">
        <f>'[4]Boeckh (C)'!D48</f>
        <v>2447.2923714062499</v>
      </c>
      <c r="D24" s="77">
        <f t="shared" si="2"/>
        <v>2317.3404245800339</v>
      </c>
      <c r="E24" s="77">
        <f t="shared" si="3"/>
        <v>2342.574989266619</v>
      </c>
      <c r="F24"/>
      <c r="G24"/>
      <c r="H24"/>
      <c r="I24"/>
      <c r="J24"/>
      <c r="K24"/>
      <c r="L24"/>
      <c r="M24" s="2"/>
      <c r="N24" s="12">
        <f t="shared" si="1"/>
        <v>2015.75</v>
      </c>
    </row>
    <row r="25" spans="1:14" x14ac:dyDescent="0.2">
      <c r="A25" s="12" t="str">
        <f t="shared" si="0"/>
        <v>12/31/2015</v>
      </c>
      <c r="B25"/>
      <c r="C25" s="270">
        <f>'[4]Boeckh (C)'!D49</f>
        <v>2450.9525792187501</v>
      </c>
      <c r="D25" s="77">
        <f t="shared" si="2"/>
        <v>2345.111762220331</v>
      </c>
      <c r="E25" s="77">
        <f t="shared" si="3"/>
        <v>2365.7033318654558</v>
      </c>
      <c r="F25"/>
      <c r="G25"/>
      <c r="H25"/>
      <c r="I25"/>
      <c r="J25"/>
      <c r="K25"/>
      <c r="L25"/>
      <c r="M25" s="2"/>
      <c r="N25" s="12">
        <f t="shared" si="1"/>
        <v>2016</v>
      </c>
    </row>
    <row r="26" spans="1:14" x14ac:dyDescent="0.2">
      <c r="A26" s="12" t="str">
        <f t="shared" si="0"/>
        <v>3/31/2016</v>
      </c>
      <c r="B26"/>
      <c r="C26" s="270">
        <f>'[4]Boeckh (C)'!D50</f>
        <v>2448.9439421093748</v>
      </c>
      <c r="D26" s="77">
        <f t="shared" si="2"/>
        <v>2372.8830998606281</v>
      </c>
      <c r="E26" s="77">
        <f t="shared" si="3"/>
        <v>2389.0600215754416</v>
      </c>
      <c r="F26"/>
      <c r="G26"/>
      <c r="H26"/>
      <c r="I26"/>
      <c r="J26"/>
      <c r="K26"/>
      <c r="L26"/>
      <c r="M26" s="2"/>
      <c r="N26" s="12">
        <f t="shared" si="1"/>
        <v>2016.25</v>
      </c>
    </row>
    <row r="27" spans="1:14" x14ac:dyDescent="0.2">
      <c r="A27" s="12" t="str">
        <f t="shared" si="0"/>
        <v>6/30/2016</v>
      </c>
      <c r="B27"/>
      <c r="C27" s="270">
        <f>'[4]Boeckh (C)'!D51</f>
        <v>2444.5603125781249</v>
      </c>
      <c r="D27" s="77">
        <f t="shared" si="2"/>
        <v>2400.6544375009253</v>
      </c>
      <c r="E27" s="77">
        <f t="shared" si="3"/>
        <v>2412.6473128772582</v>
      </c>
      <c r="F27"/>
      <c r="G27"/>
      <c r="H27"/>
      <c r="I27"/>
      <c r="J27"/>
      <c r="K27"/>
      <c r="L27"/>
      <c r="M27" s="2"/>
      <c r="N27" s="12">
        <f t="shared" si="1"/>
        <v>2016.5</v>
      </c>
    </row>
    <row r="28" spans="1:14" x14ac:dyDescent="0.2">
      <c r="A28" s="12" t="str">
        <f t="shared" si="0"/>
        <v>9/30/2016</v>
      </c>
      <c r="B28"/>
      <c r="C28" s="270">
        <f>'[4]Boeckh (C)'!D52</f>
        <v>2440.9017260156247</v>
      </c>
      <c r="D28" s="77">
        <f t="shared" si="2"/>
        <v>2428.4257751412224</v>
      </c>
      <c r="E28" s="77">
        <f t="shared" si="3"/>
        <v>2436.4674825102725</v>
      </c>
      <c r="F28"/>
      <c r="G28"/>
      <c r="H28"/>
      <c r="I28"/>
      <c r="J28"/>
      <c r="K28"/>
      <c r="L28"/>
      <c r="M28" s="2"/>
      <c r="N28" s="12">
        <f t="shared" si="1"/>
        <v>2016.75</v>
      </c>
    </row>
    <row r="29" spans="1:14" x14ac:dyDescent="0.2">
      <c r="A29" s="12" t="str">
        <f t="shared" si="0"/>
        <v>12/31/2016</v>
      </c>
      <c r="B29"/>
      <c r="C29" s="270">
        <f>'[4]Boeckh (C)'!D53</f>
        <v>2440.5554000781249</v>
      </c>
      <c r="D29" s="77">
        <f t="shared" si="2"/>
        <v>2456.1971127815195</v>
      </c>
      <c r="E29" s="77">
        <f t="shared" si="3"/>
        <v>2460.5228296921982</v>
      </c>
      <c r="F29"/>
      <c r="G29"/>
      <c r="H29"/>
      <c r="I29"/>
      <c r="J29"/>
      <c r="K29"/>
      <c r="L29"/>
      <c r="M29" s="2"/>
      <c r="N29" s="12">
        <f t="shared" si="1"/>
        <v>2017</v>
      </c>
    </row>
    <row r="30" spans="1:14" x14ac:dyDescent="0.2">
      <c r="A30" s="12" t="str">
        <f t="shared" si="0"/>
        <v>3/31/2017</v>
      </c>
      <c r="B30"/>
      <c r="C30" s="270">
        <f>'[4]Boeckh (C)'!D54</f>
        <v>2446.8926558593748</v>
      </c>
      <c r="D30" s="77">
        <f t="shared" si="2"/>
        <v>2483.9684504218167</v>
      </c>
      <c r="E30" s="77">
        <f t="shared" si="3"/>
        <v>2484.8156763409179</v>
      </c>
      <c r="F30"/>
      <c r="G30"/>
      <c r="H30"/>
      <c r="I30"/>
      <c r="J30"/>
      <c r="K30"/>
      <c r="L30"/>
      <c r="M30" s="2"/>
      <c r="N30" s="12">
        <f t="shared" si="1"/>
        <v>2017.25</v>
      </c>
    </row>
    <row r="31" spans="1:14" x14ac:dyDescent="0.2">
      <c r="A31" s="12" t="str">
        <f t="shared" si="0"/>
        <v>6/30/2017</v>
      </c>
      <c r="B31"/>
      <c r="C31" s="270">
        <f>'[4]Boeckh (C)'!D55</f>
        <v>2460.3246798437499</v>
      </c>
      <c r="D31" s="77">
        <f t="shared" si="2"/>
        <v>2511.7397880621138</v>
      </c>
      <c r="E31" s="77">
        <f t="shared" si="3"/>
        <v>2509.3483672988136</v>
      </c>
      <c r="F31"/>
      <c r="G31"/>
      <c r="H31"/>
      <c r="I31"/>
      <c r="J31"/>
      <c r="K31"/>
      <c r="L31"/>
      <c r="M31" s="2"/>
      <c r="N31" s="12">
        <f t="shared" si="1"/>
        <v>2017.5</v>
      </c>
    </row>
    <row r="32" spans="1:14" x14ac:dyDescent="0.2">
      <c r="A32" s="12" t="str">
        <f t="shared" si="0"/>
        <v>9/30/2017</v>
      </c>
      <c r="B32"/>
      <c r="C32" s="270">
        <f>'[4]Boeckh (C)'!D56</f>
        <v>2478.5653454687499</v>
      </c>
      <c r="D32" s="77">
        <f t="shared" si="2"/>
        <v>2539.5111257024109</v>
      </c>
      <c r="E32" s="77">
        <f t="shared" si="3"/>
        <v>2534.12327055896</v>
      </c>
      <c r="F32"/>
      <c r="G32"/>
      <c r="H32"/>
      <c r="I32"/>
      <c r="J32"/>
      <c r="K32"/>
      <c r="L32"/>
      <c r="M32" s="2"/>
      <c r="N32" s="12">
        <f t="shared" si="1"/>
        <v>2017.75</v>
      </c>
    </row>
    <row r="33" spans="1:14" x14ac:dyDescent="0.2">
      <c r="A33" s="12" t="str">
        <f t="shared" si="0"/>
        <v>12/31/2017</v>
      </c>
      <c r="B33" s="22"/>
      <c r="C33" s="270">
        <f>'[4]Boeckh (C)'!D57</f>
        <v>2496.247973359375</v>
      </c>
      <c r="D33" s="77">
        <f t="shared" si="2"/>
        <v>2567.2824633427081</v>
      </c>
      <c r="E33" s="77">
        <f t="shared" si="3"/>
        <v>2559.1427774937652</v>
      </c>
      <c r="F33"/>
      <c r="G33"/>
      <c r="H33"/>
      <c r="I33"/>
      <c r="J33"/>
      <c r="K33"/>
      <c r="L33"/>
      <c r="M33" s="2"/>
      <c r="N33" s="12">
        <f t="shared" si="1"/>
        <v>2018</v>
      </c>
    </row>
    <row r="34" spans="1:14" x14ac:dyDescent="0.2">
      <c r="A34" s="12" t="str">
        <f t="shared" si="0"/>
        <v>3/31/2018</v>
      </c>
      <c r="B34" s="22"/>
      <c r="C34" s="270">
        <f>'[4]Boeckh (C)'!D58</f>
        <v>2515.35349359375</v>
      </c>
      <c r="D34" s="77">
        <f t="shared" si="2"/>
        <v>2595.0538009830052</v>
      </c>
      <c r="E34" s="77">
        <f t="shared" si="3"/>
        <v>2584.4093030856502</v>
      </c>
      <c r="F34"/>
      <c r="G34"/>
      <c r="H34"/>
      <c r="I34"/>
      <c r="J34"/>
      <c r="K34"/>
      <c r="L34"/>
      <c r="M34" s="2"/>
      <c r="N34" s="12">
        <f t="shared" si="1"/>
        <v>2018.25</v>
      </c>
    </row>
    <row r="35" spans="1:14" x14ac:dyDescent="0.2">
      <c r="A35" s="12" t="str">
        <f t="shared" si="0"/>
        <v>6/30/2018</v>
      </c>
      <c r="B35"/>
      <c r="C35" s="270">
        <f>'[4]Boeckh (C)'!D59</f>
        <v>2538.6056569531247</v>
      </c>
      <c r="D35" s="77">
        <f t="shared" si="2"/>
        <v>2622.8251386233023</v>
      </c>
      <c r="E35" s="77">
        <f t="shared" si="3"/>
        <v>2609.9252861603686</v>
      </c>
      <c r="F35"/>
      <c r="G35"/>
      <c r="H35"/>
      <c r="I35"/>
      <c r="J35"/>
      <c r="K35"/>
      <c r="L35"/>
      <c r="M35" s="2"/>
      <c r="N35" s="12">
        <f t="shared" si="1"/>
        <v>2018.5</v>
      </c>
    </row>
    <row r="36" spans="1:14" x14ac:dyDescent="0.2">
      <c r="A36" s="12" t="str">
        <f t="shared" si="0"/>
        <v>9/30/2018</v>
      </c>
      <c r="C36" s="270">
        <f>'[4]Boeckh (C)'!D60</f>
        <v>2566.7190555468751</v>
      </c>
      <c r="D36" s="77">
        <f>TREND($C$21:$C$53,$N$21:$N$53,$N36,TRUE)</f>
        <v>2650.5964762635995</v>
      </c>
      <c r="E36" s="77">
        <f t="shared" si="3"/>
        <v>2635.6931896223064</v>
      </c>
      <c r="F36"/>
      <c r="G36"/>
      <c r="H36"/>
      <c r="I36"/>
      <c r="J36"/>
      <c r="K36"/>
      <c r="L36"/>
      <c r="M36" s="2"/>
      <c r="N36" s="12">
        <f t="shared" si="1"/>
        <v>2018.75</v>
      </c>
    </row>
    <row r="37" spans="1:14" x14ac:dyDescent="0.2">
      <c r="A37" s="12" t="str">
        <f t="shared" si="0"/>
        <v>12/31/2018</v>
      </c>
      <c r="C37" s="270">
        <f>'[4]Boeckh (C)'!D61</f>
        <v>2599.9137418749997</v>
      </c>
      <c r="D37" s="77">
        <f t="shared" si="2"/>
        <v>2678.3678139038966</v>
      </c>
      <c r="E37" s="77">
        <f t="shared" si="3"/>
        <v>2661.7155006920962</v>
      </c>
      <c r="F37"/>
      <c r="G37"/>
      <c r="H37"/>
      <c r="I37"/>
      <c r="J37"/>
      <c r="K37"/>
      <c r="L37"/>
      <c r="M37" s="2"/>
      <c r="N37" s="12">
        <f t="shared" si="1"/>
        <v>2019</v>
      </c>
    </row>
    <row r="38" spans="1:14" x14ac:dyDescent="0.2">
      <c r="A38" s="12" t="str">
        <f t="shared" si="0"/>
        <v>3/31/2019</v>
      </c>
      <c r="C38" s="270">
        <f>'[4]Boeckh (C)'!D62</f>
        <v>2627.7651343749999</v>
      </c>
      <c r="D38" s="77">
        <f t="shared" si="2"/>
        <v>2706.1391515441937</v>
      </c>
      <c r="E38" s="77">
        <f t="shared" si="3"/>
        <v>2687.9947311469186</v>
      </c>
      <c r="F38"/>
      <c r="G38"/>
      <c r="H38"/>
      <c r="I38"/>
      <c r="J38"/>
      <c r="K38"/>
      <c r="L38"/>
      <c r="M38" s="2"/>
      <c r="N38" s="12">
        <f t="shared" si="1"/>
        <v>2019.25</v>
      </c>
    </row>
    <row r="39" spans="1:14" x14ac:dyDescent="0.2">
      <c r="A39" s="12" t="str">
        <f t="shared" si="0"/>
        <v>6/30/2019</v>
      </c>
      <c r="C39" s="270">
        <f>'[4]Boeckh (C)'!D63</f>
        <v>2641.7406964843749</v>
      </c>
      <c r="D39" s="77">
        <f t="shared" si="2"/>
        <v>2733.9104891844618</v>
      </c>
      <c r="E39" s="77">
        <f t="shared" si="3"/>
        <v>2714.5334175628004</v>
      </c>
      <c r="F39"/>
      <c r="G39"/>
      <c r="H39"/>
      <c r="I39"/>
      <c r="J39"/>
      <c r="K39"/>
      <c r="L39"/>
      <c r="M39" s="2"/>
      <c r="N39" s="12">
        <f t="shared" si="1"/>
        <v>2019.5</v>
      </c>
    </row>
    <row r="40" spans="1:14" x14ac:dyDescent="0.2">
      <c r="A40" s="12" t="str">
        <f t="shared" si="0"/>
        <v>9/30/2019</v>
      </c>
      <c r="C40" s="270">
        <f>'[4]Boeckh (C)'!D64</f>
        <v>2644.6998006249996</v>
      </c>
      <c r="D40" s="77">
        <f t="shared" si="2"/>
        <v>2761.6818268247589</v>
      </c>
      <c r="E40" s="77">
        <f t="shared" si="3"/>
        <v>2741.3341215595292</v>
      </c>
      <c r="F40"/>
      <c r="G40"/>
      <c r="H40"/>
      <c r="I40"/>
      <c r="J40"/>
      <c r="K40"/>
      <c r="L40"/>
      <c r="M40" s="2"/>
      <c r="N40" s="12">
        <f t="shared" si="1"/>
        <v>2019.75</v>
      </c>
    </row>
    <row r="41" spans="1:14" x14ac:dyDescent="0.2">
      <c r="A41" s="12" t="str">
        <f t="shared" si="0"/>
        <v>12/31/2019</v>
      </c>
      <c r="C41" s="270">
        <f>'[4]Boeckh (C)'!D65</f>
        <v>2641.8307501562499</v>
      </c>
      <c r="D41" s="77">
        <f t="shared" si="2"/>
        <v>2789.453164465056</v>
      </c>
      <c r="E41" s="77">
        <f t="shared" si="3"/>
        <v>2768.399430047758</v>
      </c>
      <c r="F41"/>
      <c r="G41"/>
      <c r="H41"/>
      <c r="I41"/>
      <c r="J41"/>
      <c r="K41"/>
      <c r="L41"/>
      <c r="M41" s="2"/>
      <c r="N41" s="12">
        <f t="shared" si="1"/>
        <v>2020</v>
      </c>
    </row>
    <row r="42" spans="1:14" x14ac:dyDescent="0.2">
      <c r="A42" s="12" t="str">
        <f t="shared" si="0"/>
        <v>3/31/2020</v>
      </c>
      <c r="C42" s="270">
        <f>'[4]Boeckh (C)'!D66</f>
        <v>2639.3018529687502</v>
      </c>
      <c r="D42" s="77">
        <f>TREND($C$21:$C$53,$N$21:$N$53,$N42,TRUE)</f>
        <v>2817.2245021053532</v>
      </c>
      <c r="E42" s="77">
        <f t="shared" si="3"/>
        <v>2795.7319554789347</v>
      </c>
      <c r="F42"/>
      <c r="G42"/>
      <c r="H42"/>
      <c r="I42"/>
      <c r="J42"/>
      <c r="K42"/>
      <c r="L42"/>
      <c r="M42" s="2"/>
      <c r="N42" s="12">
        <f t="shared" si="1"/>
        <v>2020.25</v>
      </c>
    </row>
    <row r="43" spans="1:14" x14ac:dyDescent="0.2">
      <c r="A43" s="12" t="str">
        <f t="shared" si="0"/>
        <v>6/30/2020</v>
      </c>
      <c r="B43"/>
      <c r="C43" s="270">
        <f>'[4]Boeckh (C)'!D67</f>
        <v>2643.98962265625</v>
      </c>
      <c r="D43" s="77">
        <f t="shared" si="2"/>
        <v>2844.9958397456503</v>
      </c>
      <c r="E43" s="77">
        <f t="shared" si="3"/>
        <v>2823.3343360973545</v>
      </c>
      <c r="F43"/>
      <c r="G43"/>
      <c r="H43"/>
      <c r="I43"/>
      <c r="J43"/>
      <c r="K43"/>
      <c r="L43"/>
      <c r="M43" s="2"/>
      <c r="N43" s="12">
        <f t="shared" si="1"/>
        <v>2020.5</v>
      </c>
    </row>
    <row r="44" spans="1:14" x14ac:dyDescent="0.2">
      <c r="A44" s="12" t="str">
        <f t="shared" si="0"/>
        <v>9/30/2020</v>
      </c>
      <c r="C44" s="270">
        <f>'[4]Boeckh (C)'!D68</f>
        <v>2652.7249433593752</v>
      </c>
      <c r="D44" s="77">
        <f t="shared" si="2"/>
        <v>2872.7671773859474</v>
      </c>
      <c r="E44" s="77">
        <f>GROWTH($C$21:$C$53,$N$21:$N$53,$N44,TRUE)</f>
        <v>2851.2092361946875</v>
      </c>
      <c r="F44"/>
      <c r="G44"/>
      <c r="H44"/>
      <c r="I44"/>
      <c r="J44"/>
      <c r="K44"/>
      <c r="L44"/>
      <c r="M44" s="2"/>
      <c r="N44" s="12">
        <f t="shared" si="1"/>
        <v>2020.75</v>
      </c>
    </row>
    <row r="45" spans="1:14" x14ac:dyDescent="0.2">
      <c r="A45" s="12" t="str">
        <f t="shared" si="0"/>
        <v>12/31/2020</v>
      </c>
      <c r="C45" s="270">
        <f>'[4]Boeckh (C)'!D69</f>
        <v>2676.1895065625004</v>
      </c>
      <c r="D45" s="77">
        <f t="shared" si="2"/>
        <v>2900.5385150262446</v>
      </c>
      <c r="E45" s="77">
        <f t="shared" si="3"/>
        <v>2879.3593463673924</v>
      </c>
      <c r="F45"/>
      <c r="G45"/>
      <c r="H45"/>
      <c r="I45"/>
      <c r="J45"/>
      <c r="K45"/>
      <c r="L45"/>
      <c r="M45" s="2"/>
      <c r="N45" s="12">
        <f t="shared" si="1"/>
        <v>2021</v>
      </c>
    </row>
    <row r="46" spans="1:14" x14ac:dyDescent="0.2">
      <c r="A46" s="12" t="str">
        <f t="shared" si="0"/>
        <v>3/31/2021</v>
      </c>
      <c r="C46" s="270">
        <f>'[4]Boeckh (C)'!D70</f>
        <v>2711.5296893750001</v>
      </c>
      <c r="D46" s="77">
        <f t="shared" si="2"/>
        <v>2928.3098526665417</v>
      </c>
      <c r="E46" s="77">
        <f t="shared" si="3"/>
        <v>2907.7873837762595</v>
      </c>
      <c r="F46"/>
      <c r="G46"/>
      <c r="H46"/>
      <c r="I46"/>
      <c r="J46"/>
      <c r="K46"/>
      <c r="L46"/>
      <c r="M46" s="2"/>
      <c r="N46" s="12">
        <f t="shared" si="1"/>
        <v>2021.25</v>
      </c>
    </row>
    <row r="47" spans="1:14" x14ac:dyDescent="0.2">
      <c r="A47" s="12" t="str">
        <f t="shared" si="0"/>
        <v>6/30/2021</v>
      </c>
      <c r="C47" s="270">
        <f>'[4]Boeckh (C)'!D71</f>
        <v>2775.7550714843746</v>
      </c>
      <c r="D47" s="77">
        <f t="shared" si="2"/>
        <v>2956.0811903068388</v>
      </c>
      <c r="E47" s="77">
        <f t="shared" si="3"/>
        <v>2936.4960924087654</v>
      </c>
      <c r="F47"/>
      <c r="G47"/>
      <c r="H47"/>
      <c r="I47"/>
      <c r="J47"/>
      <c r="K47"/>
      <c r="L47"/>
      <c r="M47" s="2"/>
      <c r="N47" s="12">
        <f t="shared" si="1"/>
        <v>2021.5</v>
      </c>
    </row>
    <row r="48" spans="1:14" x14ac:dyDescent="0.2">
      <c r="A48" s="12" t="str">
        <f t="shared" si="0"/>
        <v>9/30/2021</v>
      </c>
      <c r="B48"/>
      <c r="C48" s="270">
        <f>'[4]Boeckh (C)'!D72</f>
        <v>2918.5914971093748</v>
      </c>
      <c r="D48" s="77">
        <f t="shared" si="2"/>
        <v>2983.852527947136</v>
      </c>
      <c r="E48" s="77">
        <f t="shared" si="3"/>
        <v>2965.488243343766</v>
      </c>
      <c r="F48"/>
      <c r="G48"/>
      <c r="H48"/>
      <c r="I48"/>
      <c r="J48"/>
      <c r="K48"/>
      <c r="L48"/>
      <c r="M48" s="2"/>
      <c r="N48" s="12">
        <f t="shared" si="1"/>
        <v>2021.75</v>
      </c>
    </row>
    <row r="49" spans="1:14" x14ac:dyDescent="0.2">
      <c r="A49" s="12" t="str">
        <f t="shared" si="0"/>
        <v>12/31/2021</v>
      </c>
      <c r="C49" s="270">
        <f>'[4]Boeckh (C)'!D73</f>
        <v>3055.6979400781247</v>
      </c>
      <c r="D49" s="77">
        <f t="shared" si="2"/>
        <v>3011.6238655874331</v>
      </c>
      <c r="E49" s="77">
        <f t="shared" si="3"/>
        <v>2994.766635019223</v>
      </c>
      <c r="F49"/>
      <c r="G49"/>
      <c r="H49"/>
      <c r="I49"/>
      <c r="J49"/>
      <c r="K49"/>
      <c r="L49"/>
      <c r="M49" s="2"/>
      <c r="N49" s="12">
        <f t="shared" si="1"/>
        <v>2022</v>
      </c>
    </row>
    <row r="50" spans="1:14" x14ac:dyDescent="0.2">
      <c r="A50" s="12" t="str">
        <f t="shared" si="0"/>
        <v>3/31/2022</v>
      </c>
      <c r="C50" s="270">
        <f>'[4]Boeckh (C)'!D74</f>
        <v>3209.6158196093752</v>
      </c>
      <c r="D50" s="77">
        <f t="shared" si="2"/>
        <v>3039.3952032277302</v>
      </c>
      <c r="E50" s="77">
        <f t="shared" si="3"/>
        <v>3024.3340935021952</v>
      </c>
      <c r="F50"/>
      <c r="G50"/>
      <c r="H50"/>
      <c r="I50"/>
      <c r="J50"/>
      <c r="K50"/>
      <c r="L50"/>
      <c r="M50" s="2"/>
      <c r="N50" s="12">
        <f t="shared" si="1"/>
        <v>2022.25</v>
      </c>
    </row>
    <row r="51" spans="1:14" x14ac:dyDescent="0.2">
      <c r="A51" s="12" t="str">
        <f t="shared" si="0"/>
        <v>6/30/2022</v>
      </c>
      <c r="C51" s="270">
        <f>'[4]Boeckh (C)'!D75</f>
        <v>3387.066083515625</v>
      </c>
      <c r="D51" s="77">
        <f t="shared" si="2"/>
        <v>3067.1665408680274</v>
      </c>
      <c r="E51" s="77">
        <f t="shared" si="3"/>
        <v>3054.1934727614948</v>
      </c>
      <c r="F51"/>
      <c r="G51"/>
      <c r="H51"/>
      <c r="I51"/>
      <c r="J51"/>
      <c r="K51"/>
      <c r="L51"/>
      <c r="M51" s="2"/>
      <c r="N51" s="12">
        <f t="shared" si="1"/>
        <v>2022.5</v>
      </c>
    </row>
    <row r="52" spans="1:14" x14ac:dyDescent="0.2">
      <c r="A52" s="12" t="str">
        <f t="shared" si="0"/>
        <v>9/30/2022</v>
      </c>
      <c r="C52" s="270">
        <f>'[4]Boeckh (C)'!D76</f>
        <v>3500.6193241406249</v>
      </c>
      <c r="D52" s="77">
        <f t="shared" si="2"/>
        <v>3094.9378785083245</v>
      </c>
      <c r="E52" s="77">
        <f t="shared" si="3"/>
        <v>3084.3476549434167</v>
      </c>
      <c r="F52"/>
      <c r="G52"/>
      <c r="H52"/>
      <c r="I52"/>
      <c r="J52"/>
      <c r="K52"/>
      <c r="L52"/>
      <c r="M52" s="2"/>
      <c r="N52" s="12">
        <f t="shared" si="1"/>
        <v>2022.75</v>
      </c>
    </row>
    <row r="53" spans="1:14" x14ac:dyDescent="0.2">
      <c r="A53" s="12" t="str">
        <f>TEXT(N9,"m/d/yyyy")</f>
        <v>12/31/2022</v>
      </c>
      <c r="C53" s="270">
        <f>'[4]Boeckh (C)'!D77</f>
        <v>3607.456296015625</v>
      </c>
      <c r="D53" s="77">
        <f>TREND($C$21:$C$53,$N$21:$N$53,$N53,TRUE)</f>
        <v>3122.7092161486216</v>
      </c>
      <c r="E53" s="77">
        <f t="shared" si="3"/>
        <v>3114.7995506497664</v>
      </c>
      <c r="F53"/>
      <c r="G53"/>
      <c r="H53"/>
      <c r="I53"/>
      <c r="J53"/>
      <c r="K53"/>
      <c r="L53"/>
      <c r="M53" s="2"/>
      <c r="N53" s="12">
        <f t="shared" si="1"/>
        <v>2023</v>
      </c>
    </row>
    <row r="54" spans="1:14" x14ac:dyDescent="0.2">
      <c r="A54" s="79"/>
      <c r="B54" s="9"/>
      <c r="C54" s="151"/>
      <c r="D54" s="78"/>
      <c r="E54" s="78"/>
      <c r="L54"/>
      <c r="M54" s="2"/>
    </row>
    <row r="55" spans="1:14" x14ac:dyDescent="0.2">
      <c r="A55"/>
      <c r="C55"/>
      <c r="D55"/>
      <c r="E55"/>
      <c r="F55"/>
      <c r="G55"/>
      <c r="H55"/>
      <c r="I55"/>
      <c r="J55"/>
      <c r="K55"/>
      <c r="L55"/>
      <c r="M55" s="2"/>
    </row>
    <row r="56" spans="1:14" x14ac:dyDescent="0.2">
      <c r="A56" s="12" t="s">
        <v>288</v>
      </c>
      <c r="C56"/>
      <c r="D56" s="19">
        <f>(D53-D49)/D53</f>
        <v>3.5573389282206401E-2</v>
      </c>
      <c r="E56" s="19">
        <f>LOGEST($C$34:$C$53,$N$34:$N$53,TRUE,TRUE)-1</f>
        <v>6.931249405451867E-2</v>
      </c>
      <c r="F56"/>
      <c r="G56"/>
      <c r="H56"/>
      <c r="I56"/>
      <c r="J56"/>
      <c r="K56"/>
      <c r="L56"/>
      <c r="M56" s="2"/>
    </row>
    <row r="57" spans="1:14" x14ac:dyDescent="0.2">
      <c r="A57" t="s">
        <v>289</v>
      </c>
      <c r="B57"/>
      <c r="C57" s="60"/>
      <c r="D57" s="28">
        <f>INDEX(LINEST($C$21:$C$53,$N$21:$N$53,TRUE,TRUE),3,1)</f>
        <v>0.69901660045201908</v>
      </c>
      <c r="E57" s="28">
        <f>INDEX(LOGEST($C$21:$C$53,$N$21:$N$53,TRUE,TRUE),3,1)</f>
        <v>0.74118785317090374</v>
      </c>
      <c r="F57"/>
      <c r="G57"/>
      <c r="H57"/>
      <c r="I57"/>
      <c r="J57"/>
      <c r="K57"/>
      <c r="L57"/>
      <c r="M57" s="2"/>
    </row>
    <row r="58" spans="1:14" ht="12" thickBot="1" x14ac:dyDescent="0.25">
      <c r="A58" s="6"/>
      <c r="B58" s="6"/>
      <c r="C58" s="6"/>
      <c r="D58" s="6"/>
      <c r="E58" s="6"/>
      <c r="F58"/>
      <c r="G58"/>
      <c r="H58"/>
      <c r="I58"/>
      <c r="J58"/>
      <c r="K58"/>
      <c r="L58"/>
      <c r="M58" s="2"/>
    </row>
    <row r="59" spans="1:14" ht="12" thickTop="1" x14ac:dyDescent="0.2">
      <c r="A59"/>
      <c r="B59"/>
      <c r="C59"/>
      <c r="D59"/>
      <c r="E59"/>
      <c r="F59"/>
      <c r="G59"/>
      <c r="H59"/>
      <c r="I59"/>
      <c r="J59"/>
      <c r="K59"/>
      <c r="L59"/>
      <c r="M59" s="2"/>
    </row>
    <row r="60" spans="1:14" x14ac:dyDescent="0.2">
      <c r="A60" t="s">
        <v>18</v>
      </c>
      <c r="B60"/>
      <c r="F60"/>
      <c r="G60"/>
      <c r="H60"/>
      <c r="I60"/>
      <c r="J60"/>
      <c r="K60"/>
      <c r="L60"/>
      <c r="M60" s="2"/>
    </row>
    <row r="61" spans="1:14" x14ac:dyDescent="0.2">
      <c r="A61"/>
      <c r="B61" s="12" t="str">
        <f>C12&amp;" = Average Index for Austin, Corpus Christi, Dallas, El Paso, Fort Worth, Houston, Odessa, and San Antonio"</f>
        <v>(2) = Average Index for Austin, Corpus Christi, Dallas, El Paso, Fort Worth, Houston, Odessa, and San Antonio</v>
      </c>
      <c r="C61"/>
      <c r="D61"/>
      <c r="E61"/>
      <c r="F61"/>
      <c r="H61"/>
      <c r="J61"/>
      <c r="K61"/>
      <c r="L61"/>
      <c r="M61" s="2"/>
    </row>
    <row r="62" spans="1:14" x14ac:dyDescent="0.2">
      <c r="B62" s="12" t="str">
        <f>D12&amp;" - "&amp;E12&amp;" = "&amp;C12&amp;" fitted to linear and exponential distributions"</f>
        <v>(3) - (4) = (2) fitted to linear and exponential distributions</v>
      </c>
      <c r="L62"/>
      <c r="M62" s="2"/>
    </row>
    <row r="63" spans="1:14" x14ac:dyDescent="0.2">
      <c r="L63"/>
      <c r="M63" s="2"/>
    </row>
    <row r="64" spans="1:14" x14ac:dyDescent="0.2">
      <c r="L64"/>
      <c r="M64" s="2"/>
    </row>
    <row r="65" spans="1:13" x14ac:dyDescent="0.2">
      <c r="L65"/>
      <c r="M65" s="2"/>
    </row>
    <row r="66" spans="1:13" x14ac:dyDescent="0.2">
      <c r="L66"/>
      <c r="M66" s="2"/>
    </row>
    <row r="67" spans="1:13" x14ac:dyDescent="0.2">
      <c r="L67"/>
      <c r="M67" s="2"/>
    </row>
    <row r="68" spans="1:13" ht="12" thickBot="1" x14ac:dyDescent="0.25">
      <c r="A68"/>
      <c r="D68"/>
      <c r="E68"/>
      <c r="F68"/>
      <c r="H68"/>
      <c r="J68"/>
      <c r="K68"/>
      <c r="L68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>
    <tabColor rgb="FF92D050"/>
  </sheetPr>
  <dimension ref="A1:R71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8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47</v>
      </c>
      <c r="M1" s="1"/>
      <c r="Q1" s="12" t="s">
        <v>526</v>
      </c>
      <c r="R1" s="12" t="s">
        <v>527</v>
      </c>
    </row>
    <row r="2" spans="1:18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290</v>
      </c>
      <c r="M2" s="2"/>
    </row>
    <row r="3" spans="1:18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74" t="s">
        <v>264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74" t="s">
        <v>308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2" thickBot="1" x14ac:dyDescent="0.25">
      <c r="A7" s="6"/>
      <c r="B7" s="6"/>
      <c r="C7" s="6"/>
      <c r="D7" s="6"/>
      <c r="E7" s="6"/>
      <c r="F7"/>
      <c r="G7"/>
      <c r="H7"/>
      <c r="I7"/>
      <c r="J7"/>
      <c r="K7"/>
      <c r="L7"/>
      <c r="M7" s="2"/>
    </row>
    <row r="8" spans="1:18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t="s">
        <v>279</v>
      </c>
    </row>
    <row r="9" spans="1:18" x14ac:dyDescent="0.2">
      <c r="A9"/>
      <c r="B9"/>
      <c r="C9" s="12" t="s">
        <v>280</v>
      </c>
      <c r="D9" s="10" t="s">
        <v>281</v>
      </c>
      <c r="E9"/>
      <c r="F9"/>
      <c r="G9"/>
      <c r="H9"/>
      <c r="I9"/>
      <c r="J9"/>
      <c r="K9"/>
      <c r="L9"/>
      <c r="M9" s="2"/>
      <c r="N9" s="36">
        <f>'3.3b'!$N$9</f>
        <v>44926</v>
      </c>
    </row>
    <row r="10" spans="1:18" x14ac:dyDescent="0.2">
      <c r="A10" t="s">
        <v>266</v>
      </c>
      <c r="B10"/>
      <c r="C10" t="s">
        <v>268</v>
      </c>
      <c r="D10" t="s">
        <v>282</v>
      </c>
      <c r="E10"/>
      <c r="F10"/>
      <c r="G10"/>
      <c r="H10"/>
      <c r="I10"/>
      <c r="M10" s="2"/>
    </row>
    <row r="11" spans="1:18" x14ac:dyDescent="0.2">
      <c r="A11" s="9" t="s">
        <v>27</v>
      </c>
      <c r="B11" s="9"/>
      <c r="C11" s="9" t="s">
        <v>261</v>
      </c>
      <c r="D11" s="9" t="s">
        <v>286</v>
      </c>
      <c r="E11" s="9" t="s">
        <v>287</v>
      </c>
      <c r="F11"/>
      <c r="G11"/>
      <c r="H11"/>
      <c r="I11"/>
      <c r="M11" s="2"/>
      <c r="N11" s="9" t="s">
        <v>261</v>
      </c>
    </row>
    <row r="12" spans="1:18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/>
      <c r="G12"/>
      <c r="H12"/>
      <c r="I12"/>
      <c r="M12" s="2"/>
    </row>
    <row r="13" spans="1:18" x14ac:dyDescent="0.2">
      <c r="A13"/>
      <c r="B13"/>
      <c r="C13"/>
      <c r="D13"/>
      <c r="E13"/>
      <c r="F13"/>
      <c r="G13"/>
      <c r="H13"/>
      <c r="I13"/>
      <c r="M13" s="2"/>
    </row>
    <row r="14" spans="1:18" x14ac:dyDescent="0.2">
      <c r="A14" s="12" t="str">
        <f t="shared" ref="A14:A60" si="0">TEXT(DATE(YEAR(A15+1),MONTH(A15+1)-3,1)-1,"m/d/yyyy")</f>
        <v>3/31/2011</v>
      </c>
      <c r="B14" s="22"/>
      <c r="C14" s="76"/>
      <c r="D14" s="77"/>
      <c r="E14" s="77"/>
      <c r="F14"/>
      <c r="G14"/>
      <c r="H14"/>
      <c r="I14"/>
      <c r="M14" s="2"/>
      <c r="N14" s="12">
        <f>YEAR(A14)+MONTH(A14)/12</f>
        <v>2011.25</v>
      </c>
    </row>
    <row r="15" spans="1:18" x14ac:dyDescent="0.2">
      <c r="A15" s="12" t="str">
        <f t="shared" si="0"/>
        <v>6/30/2011</v>
      </c>
      <c r="B15" s="22"/>
      <c r="C15" s="76"/>
      <c r="D15" s="77"/>
      <c r="E15" s="77"/>
      <c r="F15"/>
      <c r="G15"/>
      <c r="H15"/>
      <c r="I15"/>
      <c r="M15" s="2"/>
      <c r="N15" s="12">
        <f t="shared" ref="N15:N53" si="1">YEAR(A15)+MONTH(A15)/12</f>
        <v>2011.5</v>
      </c>
    </row>
    <row r="16" spans="1:18" x14ac:dyDescent="0.2">
      <c r="A16" s="12" t="str">
        <f t="shared" si="0"/>
        <v>9/30/2011</v>
      </c>
      <c r="B16" s="22"/>
      <c r="C16" s="76"/>
      <c r="D16" s="77"/>
      <c r="E16" s="77"/>
      <c r="F16"/>
      <c r="G16"/>
      <c r="H16"/>
      <c r="I16"/>
      <c r="M16" s="2"/>
      <c r="N16" s="12">
        <f t="shared" si="1"/>
        <v>2011.75</v>
      </c>
    </row>
    <row r="17" spans="1:14" x14ac:dyDescent="0.2">
      <c r="A17" s="12" t="str">
        <f t="shared" si="0"/>
        <v>12/31/2011</v>
      </c>
      <c r="B17" s="22"/>
      <c r="C17" s="76"/>
      <c r="D17" s="77"/>
      <c r="E17" s="77"/>
      <c r="F17"/>
      <c r="G17"/>
      <c r="H17"/>
      <c r="I17"/>
      <c r="M17" s="2"/>
      <c r="N17" s="12">
        <f t="shared" si="1"/>
        <v>2012</v>
      </c>
    </row>
    <row r="18" spans="1:14" x14ac:dyDescent="0.2">
      <c r="A18" s="12" t="str">
        <f t="shared" si="0"/>
        <v>3/31/2012</v>
      </c>
      <c r="B18" s="22"/>
      <c r="C18" s="76"/>
      <c r="D18" s="77"/>
      <c r="E18" s="77"/>
      <c r="F18"/>
      <c r="G18"/>
      <c r="H18"/>
      <c r="I18"/>
      <c r="M18" s="2"/>
      <c r="N18" s="12">
        <f t="shared" si="1"/>
        <v>2012.25</v>
      </c>
    </row>
    <row r="19" spans="1:14" x14ac:dyDescent="0.2">
      <c r="A19" s="12" t="str">
        <f t="shared" si="0"/>
        <v>6/30/2012</v>
      </c>
      <c r="B19" s="22"/>
      <c r="C19" s="76"/>
      <c r="D19" s="77"/>
      <c r="E19" s="77"/>
      <c r="F19"/>
      <c r="G19"/>
      <c r="H19"/>
      <c r="I19"/>
      <c r="M19" s="2"/>
      <c r="N19" s="12">
        <f t="shared" si="1"/>
        <v>2012.5</v>
      </c>
    </row>
    <row r="20" spans="1:14" x14ac:dyDescent="0.2">
      <c r="A20" s="12" t="str">
        <f t="shared" si="0"/>
        <v>9/30/2012</v>
      </c>
      <c r="B20" s="22"/>
      <c r="C20" s="76"/>
      <c r="D20" s="77"/>
      <c r="E20" s="77"/>
      <c r="F20"/>
      <c r="G20"/>
      <c r="H20"/>
      <c r="I20"/>
      <c r="M20" s="2"/>
      <c r="N20" s="12">
        <f t="shared" si="1"/>
        <v>2012.75</v>
      </c>
    </row>
    <row r="21" spans="1:14" x14ac:dyDescent="0.2">
      <c r="A21" s="12" t="str">
        <f t="shared" si="0"/>
        <v>12/31/2012</v>
      </c>
      <c r="B21" s="22"/>
      <c r="C21" s="269">
        <f>'[4]Boeckh (C)'!E37</f>
        <v>2320.3744796874998</v>
      </c>
      <c r="D21" s="77">
        <f>TREND($C$21:$C$61,$N$21:$N$61,$N21,TRUE)</f>
        <v>2196.9671067094896</v>
      </c>
      <c r="E21" s="77">
        <f>GROWTH($C$21:$C$61,$N$21:$N$61,$N21,TRUE)</f>
        <v>2238.7709033456708</v>
      </c>
      <c r="F21" s="68"/>
      <c r="G21"/>
      <c r="H21"/>
      <c r="I21"/>
      <c r="M21" s="2"/>
      <c r="N21" s="12">
        <f t="shared" si="1"/>
        <v>2013</v>
      </c>
    </row>
    <row r="22" spans="1:14" x14ac:dyDescent="0.2">
      <c r="A22" s="12" t="str">
        <f t="shared" si="0"/>
        <v>3/31/2013</v>
      </c>
      <c r="B22" s="22"/>
      <c r="C22" s="269">
        <f>'[4]Boeckh (C)'!E38</f>
        <v>2341.4351262499999</v>
      </c>
      <c r="D22" s="77">
        <f t="shared" ref="D22:D58" si="2">TREND($C$21:$C$61,$N$21:$N$61,$N22,TRUE)</f>
        <v>2219.6927137532039</v>
      </c>
      <c r="E22" s="77">
        <f t="shared" ref="E22:E60" si="3">GROWTH($C$21:$C$61,$N$21:$N$61,$N22,TRUE)</f>
        <v>2257.058618722916</v>
      </c>
      <c r="F22" s="68"/>
      <c r="G22"/>
      <c r="H22"/>
      <c r="I22"/>
      <c r="M22" s="2"/>
      <c r="N22" s="12">
        <f t="shared" si="1"/>
        <v>2013.25</v>
      </c>
    </row>
    <row r="23" spans="1:14" x14ac:dyDescent="0.2">
      <c r="A23" s="12" t="str">
        <f t="shared" si="0"/>
        <v>6/30/2013</v>
      </c>
      <c r="B23" s="22"/>
      <c r="C23" s="269">
        <f>'[4]Boeckh (C)'!E39</f>
        <v>2352.9522928124998</v>
      </c>
      <c r="D23" s="77">
        <f t="shared" si="2"/>
        <v>2242.4183207969181</v>
      </c>
      <c r="E23" s="77">
        <f t="shared" si="3"/>
        <v>2275.4957198784432</v>
      </c>
      <c r="F23" s="68"/>
      <c r="G23"/>
      <c r="H23"/>
      <c r="I23"/>
      <c r="M23" s="2"/>
      <c r="N23" s="12">
        <f t="shared" si="1"/>
        <v>2013.5</v>
      </c>
    </row>
    <row r="24" spans="1:14" x14ac:dyDescent="0.2">
      <c r="A24" s="12" t="str">
        <f t="shared" si="0"/>
        <v>9/30/2013</v>
      </c>
      <c r="B24"/>
      <c r="C24" s="269">
        <f>'[4]Boeckh (C)'!E40</f>
        <v>2363.2381159375</v>
      </c>
      <c r="D24" s="77">
        <f t="shared" si="2"/>
        <v>2265.1439278406615</v>
      </c>
      <c r="E24" s="77">
        <f t="shared" si="3"/>
        <v>2294.0834270909536</v>
      </c>
      <c r="F24" s="68"/>
      <c r="G24"/>
      <c r="H24"/>
      <c r="I24"/>
      <c r="M24" s="2"/>
      <c r="N24" s="12">
        <f t="shared" si="1"/>
        <v>2013.75</v>
      </c>
    </row>
    <row r="25" spans="1:14" x14ac:dyDescent="0.2">
      <c r="A25" s="12" t="str">
        <f t="shared" si="0"/>
        <v>12/31/2013</v>
      </c>
      <c r="B25"/>
      <c r="C25" s="269">
        <f>'[4]Boeckh (C)'!E41</f>
        <v>2373.9487099999997</v>
      </c>
      <c r="D25" s="77">
        <f t="shared" si="2"/>
        <v>2287.8695348843758</v>
      </c>
      <c r="E25" s="77">
        <f t="shared" si="3"/>
        <v>2312.8229706072634</v>
      </c>
      <c r="F25" s="68"/>
      <c r="G25"/>
      <c r="H25"/>
      <c r="I25"/>
      <c r="M25" s="2"/>
      <c r="N25" s="12">
        <f t="shared" si="1"/>
        <v>2014</v>
      </c>
    </row>
    <row r="26" spans="1:14" x14ac:dyDescent="0.2">
      <c r="A26" s="12" t="str">
        <f t="shared" si="0"/>
        <v>3/31/2014</v>
      </c>
      <c r="B26"/>
      <c r="C26" s="269">
        <f>'[4]Boeckh (C)'!E42</f>
        <v>2388.1874668749997</v>
      </c>
      <c r="D26" s="77">
        <f t="shared" si="2"/>
        <v>2310.59514192809</v>
      </c>
      <c r="E26" s="77">
        <f t="shared" si="3"/>
        <v>2331.7155907236347</v>
      </c>
      <c r="F26" s="68"/>
      <c r="G26"/>
      <c r="H26"/>
      <c r="I26"/>
      <c r="M26" s="2"/>
      <c r="N26" s="12">
        <f t="shared" si="1"/>
        <v>2014.25</v>
      </c>
    </row>
    <row r="27" spans="1:14" x14ac:dyDescent="0.2">
      <c r="A27" s="12" t="str">
        <f t="shared" si="0"/>
        <v>6/30/2014</v>
      </c>
      <c r="B27"/>
      <c r="C27" s="269">
        <f>'[4]Boeckh (C)'!E43</f>
        <v>2411.3442974999998</v>
      </c>
      <c r="D27" s="77">
        <f t="shared" si="2"/>
        <v>2333.3207489718043</v>
      </c>
      <c r="E27" s="77">
        <f t="shared" si="3"/>
        <v>2350.7625378677631</v>
      </c>
      <c r="F27" s="68"/>
      <c r="G27"/>
      <c r="H27"/>
      <c r="I27"/>
      <c r="M27" s="2"/>
      <c r="N27" s="12">
        <f t="shared" si="1"/>
        <v>2014.5</v>
      </c>
    </row>
    <row r="28" spans="1:14" x14ac:dyDescent="0.2">
      <c r="A28" s="12" t="str">
        <f t="shared" si="0"/>
        <v>9/30/2014</v>
      </c>
      <c r="B28"/>
      <c r="C28" s="269">
        <f>'[4]Boeckh (C)'!E44</f>
        <v>2431.1194746874999</v>
      </c>
      <c r="D28" s="77">
        <f t="shared" si="2"/>
        <v>2356.0463560155185</v>
      </c>
      <c r="E28" s="77">
        <f t="shared" si="3"/>
        <v>2369.9650726817413</v>
      </c>
      <c r="F28" s="68"/>
      <c r="G28"/>
      <c r="H28"/>
      <c r="I28"/>
      <c r="M28" s="2"/>
      <c r="N28" s="12">
        <f t="shared" si="1"/>
        <v>2014.75</v>
      </c>
    </row>
    <row r="29" spans="1:14" x14ac:dyDescent="0.2">
      <c r="A29" s="12" t="str">
        <f t="shared" si="0"/>
        <v>12/31/2014</v>
      </c>
      <c r="B29"/>
      <c r="C29" s="269">
        <f>'[4]Boeckh (C)'!E45</f>
        <v>2450.8795553125001</v>
      </c>
      <c r="D29" s="77">
        <f t="shared" si="2"/>
        <v>2378.7719630592328</v>
      </c>
      <c r="E29" s="77">
        <f t="shared" si="3"/>
        <v>2389.3244661053927</v>
      </c>
      <c r="F29" s="68"/>
      <c r="G29"/>
      <c r="H29"/>
      <c r="I29"/>
      <c r="M29" s="2"/>
      <c r="N29" s="12">
        <f t="shared" si="1"/>
        <v>2015</v>
      </c>
    </row>
    <row r="30" spans="1:14" x14ac:dyDescent="0.2">
      <c r="A30" s="12" t="str">
        <f t="shared" si="0"/>
        <v>3/31/2015</v>
      </c>
      <c r="B30"/>
      <c r="C30" s="269">
        <f>'[4]Boeckh (C)'!E46</f>
        <v>2465.8835659375</v>
      </c>
      <c r="D30" s="77">
        <f t="shared" si="2"/>
        <v>2401.4975701029471</v>
      </c>
      <c r="E30" s="77">
        <f t="shared" si="3"/>
        <v>2408.84199946029</v>
      </c>
      <c r="F30" s="68"/>
      <c r="G30"/>
      <c r="H30"/>
      <c r="I30"/>
      <c r="M30" s="2"/>
      <c r="N30" s="12">
        <f t="shared" si="1"/>
        <v>2015.25</v>
      </c>
    </row>
    <row r="31" spans="1:14" x14ac:dyDescent="0.2">
      <c r="A31" s="12" t="str">
        <f t="shared" si="0"/>
        <v>6/30/2015</v>
      </c>
      <c r="B31"/>
      <c r="C31" s="269">
        <f>'[4]Boeckh (C)'!E47</f>
        <v>2477.5474281249999</v>
      </c>
      <c r="D31" s="77">
        <f t="shared" si="2"/>
        <v>2424.2231771466613</v>
      </c>
      <c r="E31" s="77">
        <f t="shared" si="3"/>
        <v>2428.5189645347655</v>
      </c>
      <c r="F31" s="68"/>
      <c r="G31"/>
      <c r="H31"/>
      <c r="I31"/>
      <c r="M31" s="2"/>
      <c r="N31" s="12">
        <f t="shared" si="1"/>
        <v>2015.5</v>
      </c>
    </row>
    <row r="32" spans="1:14" x14ac:dyDescent="0.2">
      <c r="A32" s="12" t="str">
        <f t="shared" si="0"/>
        <v>9/30/2015</v>
      </c>
      <c r="B32"/>
      <c r="C32" s="269">
        <f>'[4]Boeckh (C)'!E48</f>
        <v>2486.8449137499997</v>
      </c>
      <c r="D32" s="77">
        <f t="shared" si="2"/>
        <v>2446.9487841903756</v>
      </c>
      <c r="E32" s="77">
        <f t="shared" si="3"/>
        <v>2448.3566636693049</v>
      </c>
      <c r="F32" s="68"/>
      <c r="G32"/>
      <c r="H32"/>
      <c r="I32"/>
      <c r="M32" s="2"/>
      <c r="N32" s="12">
        <f t="shared" si="1"/>
        <v>2015.75</v>
      </c>
    </row>
    <row r="33" spans="1:14" x14ac:dyDescent="0.2">
      <c r="A33" s="12" t="str">
        <f t="shared" si="0"/>
        <v>12/31/2015</v>
      </c>
      <c r="B33" s="22"/>
      <c r="C33" s="269">
        <f>'[4]Boeckh (C)'!E49</f>
        <v>2492.8528618749997</v>
      </c>
      <c r="D33" s="77">
        <f t="shared" si="2"/>
        <v>2469.6743912340899</v>
      </c>
      <c r="E33" s="77">
        <f t="shared" si="3"/>
        <v>2468.3564098426418</v>
      </c>
      <c r="F33" s="68"/>
      <c r="G33"/>
      <c r="H33"/>
      <c r="I33"/>
      <c r="M33" s="2"/>
      <c r="N33" s="12">
        <f t="shared" si="1"/>
        <v>2016</v>
      </c>
    </row>
    <row r="34" spans="1:14" x14ac:dyDescent="0.2">
      <c r="A34" s="12" t="str">
        <f t="shared" si="0"/>
        <v>3/31/2016</v>
      </c>
      <c r="B34" s="22"/>
      <c r="C34" s="269">
        <f>'[4]Boeckh (C)'!E50</f>
        <v>2493.6314934374996</v>
      </c>
      <c r="D34" s="77">
        <f t="shared" si="2"/>
        <v>2492.3999982778332</v>
      </c>
      <c r="E34" s="77">
        <f t="shared" si="3"/>
        <v>2488.5195267588665</v>
      </c>
      <c r="F34" s="68"/>
      <c r="G34"/>
      <c r="H34"/>
      <c r="I34"/>
      <c r="M34" s="2"/>
      <c r="N34" s="12">
        <f t="shared" si="1"/>
        <v>2016.25</v>
      </c>
    </row>
    <row r="35" spans="1:14" x14ac:dyDescent="0.2">
      <c r="A35" s="12" t="str">
        <f t="shared" si="0"/>
        <v>6/30/2016</v>
      </c>
      <c r="B35"/>
      <c r="C35" s="269">
        <f>'[4]Boeckh (C)'!E51</f>
        <v>2490.8853659375</v>
      </c>
      <c r="D35" s="77">
        <f t="shared" si="2"/>
        <v>2515.1256053215475</v>
      </c>
      <c r="E35" s="77">
        <f t="shared" si="3"/>
        <v>2508.8473489349331</v>
      </c>
      <c r="F35" s="68"/>
      <c r="G35"/>
      <c r="H35"/>
      <c r="I35"/>
      <c r="M35" s="2"/>
      <c r="N35" s="12">
        <f t="shared" si="1"/>
        <v>2016.5</v>
      </c>
    </row>
    <row r="36" spans="1:14" x14ac:dyDescent="0.2">
      <c r="A36" s="12" t="str">
        <f t="shared" si="0"/>
        <v>9/30/2016</v>
      </c>
      <c r="C36" s="269">
        <f>'[4]Boeckh (C)'!E52</f>
        <v>2485.9081421874998</v>
      </c>
      <c r="D36" s="77">
        <f t="shared" si="2"/>
        <v>2537.8512123652617</v>
      </c>
      <c r="E36" s="77">
        <f t="shared" si="3"/>
        <v>2529.3412217888786</v>
      </c>
      <c r="F36" s="68"/>
      <c r="G36"/>
      <c r="H36"/>
      <c r="I36"/>
      <c r="M36" s="2"/>
      <c r="N36" s="12">
        <f t="shared" si="1"/>
        <v>2016.75</v>
      </c>
    </row>
    <row r="37" spans="1:14" x14ac:dyDescent="0.2">
      <c r="A37" s="12" t="str">
        <f t="shared" si="0"/>
        <v>12/31/2016</v>
      </c>
      <c r="C37" s="269">
        <f>'[4]Boeckh (C)'!E53</f>
        <v>2482.1426353124998</v>
      </c>
      <c r="D37" s="77">
        <f t="shared" si="2"/>
        <v>2560.576819408976</v>
      </c>
      <c r="E37" s="77">
        <f t="shared" si="3"/>
        <v>2550.0025017290823</v>
      </c>
      <c r="F37" s="68"/>
      <c r="G37"/>
      <c r="H37"/>
      <c r="I37"/>
      <c r="M37" s="2"/>
      <c r="N37" s="12">
        <f t="shared" si="1"/>
        <v>2017</v>
      </c>
    </row>
    <row r="38" spans="1:14" x14ac:dyDescent="0.2">
      <c r="A38" s="12" t="str">
        <f t="shared" si="0"/>
        <v>3/31/2017</v>
      </c>
      <c r="C38" s="269">
        <f>'[4]Boeckh (C)'!E54</f>
        <v>2484.2557490624999</v>
      </c>
      <c r="D38" s="77">
        <f>TREND($C$21:$C$61,$N$21:$N$61,$N38,TRUE)</f>
        <v>2583.3024264526903</v>
      </c>
      <c r="E38" s="77">
        <f t="shared" si="3"/>
        <v>2570.8325562439395</v>
      </c>
      <c r="F38" s="68"/>
      <c r="G38"/>
      <c r="H38"/>
      <c r="I38"/>
      <c r="M38" s="2"/>
      <c r="N38" s="12">
        <f t="shared" si="1"/>
        <v>2017.25</v>
      </c>
    </row>
    <row r="39" spans="1:14" x14ac:dyDescent="0.2">
      <c r="A39" s="12" t="str">
        <f t="shared" si="0"/>
        <v>6/30/2017</v>
      </c>
      <c r="C39" s="269">
        <f>'[4]Boeckh (C)'!E55</f>
        <v>2494.8181668749999</v>
      </c>
      <c r="D39" s="77">
        <f t="shared" si="2"/>
        <v>2606.0280334964045</v>
      </c>
      <c r="E39" s="77">
        <f t="shared" si="3"/>
        <v>2591.8327639922559</v>
      </c>
      <c r="F39" s="68"/>
      <c r="G39"/>
      <c r="H39"/>
      <c r="I39"/>
      <c r="M39" s="2"/>
      <c r="N39" s="12">
        <f t="shared" si="1"/>
        <v>2017.5</v>
      </c>
    </row>
    <row r="40" spans="1:14" x14ac:dyDescent="0.2">
      <c r="A40" s="12" t="str">
        <f t="shared" si="0"/>
        <v>9/30/2017</v>
      </c>
      <c r="C40" s="269">
        <f>'[4]Boeckh (C)'!E56</f>
        <v>2509.927030625</v>
      </c>
      <c r="D40" s="77">
        <f t="shared" si="2"/>
        <v>2628.7536405401188</v>
      </c>
      <c r="E40" s="77">
        <f t="shared" si="3"/>
        <v>2613.0045148947156</v>
      </c>
      <c r="F40" s="68"/>
      <c r="G40"/>
      <c r="H40"/>
      <c r="I40"/>
      <c r="M40" s="2"/>
      <c r="N40" s="12">
        <f t="shared" si="1"/>
        <v>2017.75</v>
      </c>
    </row>
    <row r="41" spans="1:14" x14ac:dyDescent="0.2">
      <c r="A41" s="12" t="str">
        <f t="shared" si="0"/>
        <v>12/31/2017</v>
      </c>
      <c r="C41" s="269">
        <f>'[4]Boeckh (C)'!E57</f>
        <v>2528.3060978125</v>
      </c>
      <c r="D41" s="77">
        <f t="shared" si="2"/>
        <v>2651.4792475838331</v>
      </c>
      <c r="E41" s="77">
        <f t="shared" si="3"/>
        <v>2634.3492102257665</v>
      </c>
      <c r="F41" s="68"/>
      <c r="G41"/>
      <c r="H41"/>
      <c r="I41"/>
      <c r="M41" s="2"/>
      <c r="N41" s="12">
        <f t="shared" si="1"/>
        <v>2018</v>
      </c>
    </row>
    <row r="42" spans="1:14" x14ac:dyDescent="0.2">
      <c r="A42" s="12" t="str">
        <f t="shared" si="0"/>
        <v>3/31/2018</v>
      </c>
      <c r="C42" s="269">
        <f>'[4]Boeckh (C)'!E58</f>
        <v>2547.1608884375</v>
      </c>
      <c r="D42" s="77">
        <f t="shared" si="2"/>
        <v>2674.2048546275473</v>
      </c>
      <c r="E42" s="77">
        <f t="shared" si="3"/>
        <v>2655.8682627062522</v>
      </c>
      <c r="F42" s="68"/>
      <c r="G42"/>
      <c r="H42"/>
      <c r="I42"/>
      <c r="M42" s="2"/>
      <c r="N42" s="12">
        <f t="shared" si="1"/>
        <v>2018.25</v>
      </c>
    </row>
    <row r="43" spans="1:14" x14ac:dyDescent="0.2">
      <c r="A43" s="12" t="str">
        <f t="shared" si="0"/>
        <v>6/30/2018</v>
      </c>
      <c r="B43"/>
      <c r="C43" s="269">
        <f>'[4]Boeckh (C)'!E59</f>
        <v>2569.7896781250001</v>
      </c>
      <c r="D43" s="77">
        <f t="shared" si="2"/>
        <v>2696.9304616712907</v>
      </c>
      <c r="E43" s="77">
        <f t="shared" si="3"/>
        <v>2677.5630965971368</v>
      </c>
      <c r="F43" s="68"/>
      <c r="G43"/>
      <c r="H43"/>
      <c r="I43"/>
      <c r="M43" s="2"/>
      <c r="N43" s="12">
        <f t="shared" si="1"/>
        <v>2018.5</v>
      </c>
    </row>
    <row r="44" spans="1:14" x14ac:dyDescent="0.2">
      <c r="A44" s="12" t="str">
        <f t="shared" si="0"/>
        <v>9/30/2018</v>
      </c>
      <c r="C44" s="269">
        <f>'[4]Boeckh (C)'!E60</f>
        <v>2597.5666859375001</v>
      </c>
      <c r="D44" s="77">
        <f t="shared" si="2"/>
        <v>2719.6560687150049</v>
      </c>
      <c r="E44" s="77">
        <f t="shared" si="3"/>
        <v>2699.435147793663</v>
      </c>
      <c r="F44" s="68"/>
      <c r="G44"/>
      <c r="H44"/>
      <c r="I44"/>
      <c r="M44" s="2"/>
      <c r="N44" s="12">
        <f t="shared" si="1"/>
        <v>2018.75</v>
      </c>
    </row>
    <row r="45" spans="1:14" x14ac:dyDescent="0.2">
      <c r="A45" s="12" t="str">
        <f t="shared" si="0"/>
        <v>12/31/2018</v>
      </c>
      <c r="C45" s="269">
        <f>'[4]Boeckh (C)'!E61</f>
        <v>2632.3446362499999</v>
      </c>
      <c r="D45" s="77">
        <f t="shared" si="2"/>
        <v>2742.3816757587192</v>
      </c>
      <c r="E45" s="77">
        <f t="shared" si="3"/>
        <v>2721.4858639202698</v>
      </c>
      <c r="F45" s="68"/>
      <c r="G45"/>
      <c r="H45"/>
      <c r="I45"/>
      <c r="M45" s="2"/>
      <c r="N45" s="12">
        <f t="shared" si="1"/>
        <v>2019</v>
      </c>
    </row>
    <row r="46" spans="1:14" x14ac:dyDescent="0.2">
      <c r="A46" s="12" t="str">
        <f t="shared" si="0"/>
        <v>3/31/2019</v>
      </c>
      <c r="C46" s="269">
        <f>'[4]Boeckh (C)'!E62</f>
        <v>2664.5061346875</v>
      </c>
      <c r="D46" s="77">
        <f t="shared" si="2"/>
        <v>2765.1072828024335</v>
      </c>
      <c r="E46" s="77">
        <f t="shared" si="3"/>
        <v>2743.7167044266353</v>
      </c>
      <c r="F46" s="68"/>
      <c r="G46"/>
      <c r="H46"/>
      <c r="I46"/>
      <c r="M46" s="2"/>
      <c r="N46" s="12">
        <f t="shared" si="1"/>
        <v>2019.25</v>
      </c>
    </row>
    <row r="47" spans="1:14" x14ac:dyDescent="0.2">
      <c r="A47" s="12" t="str">
        <f t="shared" si="0"/>
        <v>6/30/2019</v>
      </c>
      <c r="C47" s="269">
        <f>'[4]Boeckh (C)'!E63</f>
        <v>2680.2753621874999</v>
      </c>
      <c r="D47" s="77">
        <f t="shared" si="2"/>
        <v>2787.8328898461477</v>
      </c>
      <c r="E47" s="77">
        <f t="shared" si="3"/>
        <v>2766.1291406841601</v>
      </c>
      <c r="F47" s="68"/>
      <c r="G47"/>
      <c r="H47"/>
      <c r="I47"/>
      <c r="M47" s="2"/>
      <c r="N47" s="12">
        <f t="shared" si="1"/>
        <v>2019.5</v>
      </c>
    </row>
    <row r="48" spans="1:14" x14ac:dyDescent="0.2">
      <c r="A48" s="12" t="str">
        <f t="shared" si="0"/>
        <v>9/30/2019</v>
      </c>
      <c r="B48"/>
      <c r="C48" s="269">
        <f>'[4]Boeckh (C)'!E64</f>
        <v>2686.9564568750002</v>
      </c>
      <c r="D48" s="77">
        <f t="shared" si="2"/>
        <v>2810.558496889862</v>
      </c>
      <c r="E48" s="77">
        <f t="shared" si="3"/>
        <v>2788.7246560832295</v>
      </c>
      <c r="F48" s="68"/>
      <c r="G48"/>
      <c r="H48"/>
      <c r="I48"/>
      <c r="M48" s="2"/>
      <c r="N48" s="12">
        <f t="shared" si="1"/>
        <v>2019.75</v>
      </c>
    </row>
    <row r="49" spans="1:14" x14ac:dyDescent="0.2">
      <c r="A49" s="12" t="str">
        <f t="shared" si="0"/>
        <v>12/31/2019</v>
      </c>
      <c r="C49" s="269">
        <f>'[4]Boeckh (C)'!E65</f>
        <v>2682.587639375</v>
      </c>
      <c r="D49" s="77">
        <f t="shared" si="2"/>
        <v>2833.2841039335763</v>
      </c>
      <c r="E49" s="77">
        <f t="shared" si="3"/>
        <v>2811.5047461316708</v>
      </c>
      <c r="F49" s="68"/>
      <c r="G49"/>
      <c r="H49"/>
      <c r="I49"/>
      <c r="M49" s="2"/>
      <c r="N49" s="12">
        <f t="shared" si="1"/>
        <v>2020</v>
      </c>
    </row>
    <row r="50" spans="1:14" x14ac:dyDescent="0.2">
      <c r="A50" s="12" t="str">
        <f t="shared" si="0"/>
        <v>3/31/2020</v>
      </c>
      <c r="C50" s="269">
        <f>'[4]Boeckh (C)'!E66</f>
        <v>2677.5066381249999</v>
      </c>
      <c r="D50" s="77">
        <f t="shared" si="2"/>
        <v>2856.0097109772905</v>
      </c>
      <c r="E50" s="77">
        <f t="shared" si="3"/>
        <v>2834.4709185534193</v>
      </c>
      <c r="F50" s="68"/>
      <c r="G50"/>
      <c r="H50"/>
      <c r="I50"/>
      <c r="M50" s="2"/>
      <c r="N50" s="12">
        <f t="shared" si="1"/>
        <v>2020.25</v>
      </c>
    </row>
    <row r="51" spans="1:14" x14ac:dyDescent="0.2">
      <c r="A51" s="12" t="str">
        <f t="shared" si="0"/>
        <v>6/30/2020</v>
      </c>
      <c r="C51" s="269">
        <f>'[4]Boeckh (C)'!E67</f>
        <v>2680.4941650000001</v>
      </c>
      <c r="D51" s="77">
        <f>TREND($C$21:$C$61,$N$21:$N$61,$N51,TRUE)</f>
        <v>2878.7353180210048</v>
      </c>
      <c r="E51" s="77">
        <f t="shared" si="3"/>
        <v>2857.6246933885836</v>
      </c>
      <c r="F51" s="68"/>
      <c r="G51"/>
      <c r="H51"/>
      <c r="I51"/>
      <c r="M51" s="2"/>
      <c r="N51" s="12">
        <f t="shared" si="1"/>
        <v>2020.5</v>
      </c>
    </row>
    <row r="52" spans="1:14" x14ac:dyDescent="0.2">
      <c r="A52" s="12" t="str">
        <f t="shared" si="0"/>
        <v>9/30/2020</v>
      </c>
      <c r="C52" s="269">
        <f>'[4]Boeckh (C)'!E68</f>
        <v>2689.0040156249997</v>
      </c>
      <c r="D52" s="77">
        <f t="shared" si="2"/>
        <v>2901.4609250647482</v>
      </c>
      <c r="E52" s="77">
        <f t="shared" si="3"/>
        <v>2880.9676030939372</v>
      </c>
      <c r="F52" s="68"/>
      <c r="G52"/>
      <c r="H52"/>
      <c r="I52"/>
      <c r="M52" s="2"/>
      <c r="N52" s="12">
        <f t="shared" si="1"/>
        <v>2020.75</v>
      </c>
    </row>
    <row r="53" spans="1:14" x14ac:dyDescent="0.2">
      <c r="A53" s="12" t="str">
        <f t="shared" si="0"/>
        <v>12/31/2020</v>
      </c>
      <c r="B53"/>
      <c r="C53" s="269">
        <f>'[4]Boeckh (C)'!E69</f>
        <v>2713.0837368749999</v>
      </c>
      <c r="D53" s="77">
        <f t="shared" si="2"/>
        <v>2924.1865321084624</v>
      </c>
      <c r="E53" s="77">
        <f t="shared" si="3"/>
        <v>2904.5011926442166</v>
      </c>
      <c r="F53" s="68"/>
      <c r="G53"/>
      <c r="H53"/>
      <c r="I53"/>
      <c r="M53" s="2"/>
      <c r="N53" s="12">
        <f t="shared" si="1"/>
        <v>2021</v>
      </c>
    </row>
    <row r="54" spans="1:14" x14ac:dyDescent="0.2">
      <c r="A54" s="12" t="str">
        <f t="shared" si="0"/>
        <v>3/31/2021</v>
      </c>
      <c r="C54" s="269">
        <f>'[4]Boeckh (C)'!E70</f>
        <v>2750.0643271875001</v>
      </c>
      <c r="D54" s="77">
        <f t="shared" si="2"/>
        <v>2946.9121391521767</v>
      </c>
      <c r="E54" s="77">
        <f t="shared" si="3"/>
        <v>2928.227019634628</v>
      </c>
      <c r="F54" s="68"/>
      <c r="G54"/>
      <c r="H54"/>
      <c r="I54"/>
      <c r="M54" s="2"/>
      <c r="N54" s="12">
        <f t="shared" ref="N54:N60" si="4">YEAR(A54)+MONTH(A54)/12</f>
        <v>2021.25</v>
      </c>
    </row>
    <row r="55" spans="1:14" x14ac:dyDescent="0.2">
      <c r="A55" s="12" t="str">
        <f t="shared" si="0"/>
        <v>6/30/2021</v>
      </c>
      <c r="C55" s="269">
        <f>'[4]Boeckh (C)'!E71</f>
        <v>2818.8621468749998</v>
      </c>
      <c r="D55" s="77">
        <f t="shared" si="2"/>
        <v>2969.6377461958909</v>
      </c>
      <c r="E55" s="77">
        <f t="shared" si="3"/>
        <v>2952.1466543838128</v>
      </c>
      <c r="F55" s="68"/>
      <c r="G55"/>
      <c r="H55"/>
      <c r="I55"/>
      <c r="M55" s="2"/>
      <c r="N55" s="12">
        <f t="shared" si="4"/>
        <v>2021.5</v>
      </c>
    </row>
    <row r="56" spans="1:14" x14ac:dyDescent="0.2">
      <c r="A56" s="12" t="str">
        <f t="shared" si="0"/>
        <v>9/30/2021</v>
      </c>
      <c r="C56" s="269">
        <f>'[4]Boeckh (C)'!E72</f>
        <v>2957.68750125</v>
      </c>
      <c r="D56" s="77">
        <f t="shared" si="2"/>
        <v>2992.3633532396052</v>
      </c>
      <c r="E56" s="77">
        <f t="shared" si="3"/>
        <v>2976.2616800376559</v>
      </c>
      <c r="F56" s="68"/>
      <c r="G56"/>
      <c r="H56"/>
      <c r="I56"/>
      <c r="M56" s="2"/>
      <c r="N56" s="12">
        <f t="shared" si="4"/>
        <v>2021.75</v>
      </c>
    </row>
    <row r="57" spans="1:14" x14ac:dyDescent="0.2">
      <c r="A57" s="12" t="str">
        <f t="shared" si="0"/>
        <v>12/31/2021</v>
      </c>
      <c r="B57"/>
      <c r="C57" s="269">
        <f>'[4]Boeckh (C)'!E73</f>
        <v>3104.2203487500001</v>
      </c>
      <c r="D57" s="77">
        <f t="shared" si="2"/>
        <v>3015.0889602833195</v>
      </c>
      <c r="E57" s="77">
        <f t="shared" si="3"/>
        <v>3000.5736926743175</v>
      </c>
      <c r="F57" s="68"/>
      <c r="G57"/>
      <c r="H57"/>
      <c r="I57"/>
      <c r="M57" s="2"/>
      <c r="N57" s="12">
        <f t="shared" si="4"/>
        <v>2022</v>
      </c>
    </row>
    <row r="58" spans="1:14" x14ac:dyDescent="0.2">
      <c r="A58" s="12" t="str">
        <f t="shared" si="0"/>
        <v>3/31/2022</v>
      </c>
      <c r="C58" s="269">
        <f>'[4]Boeckh (C)'!E74</f>
        <v>3260.4629312499997</v>
      </c>
      <c r="D58" s="77">
        <f t="shared" si="2"/>
        <v>3037.8145673270337</v>
      </c>
      <c r="E58" s="77">
        <f>GROWTH($C$21:$C$61,$N$21:$N$61,$N58,TRUE)</f>
        <v>3025.0843014097486</v>
      </c>
      <c r="F58" s="68"/>
      <c r="G58"/>
      <c r="H58"/>
      <c r="I58"/>
      <c r="M58" s="2"/>
      <c r="N58" s="12">
        <f t="shared" si="4"/>
        <v>2022.25</v>
      </c>
    </row>
    <row r="59" spans="1:14" x14ac:dyDescent="0.2">
      <c r="A59" s="12" t="str">
        <f t="shared" si="0"/>
        <v>6/30/2022</v>
      </c>
      <c r="C59" s="269">
        <f>'[4]Boeckh (C)'!E75</f>
        <v>3440.5619496874997</v>
      </c>
      <c r="D59" s="77">
        <f>TREND($C$21:$C$61,$N$21:$N$61,$N59,TRUE)</f>
        <v>3060.540174370748</v>
      </c>
      <c r="E59" s="77">
        <f t="shared" si="3"/>
        <v>3049.7951285040617</v>
      </c>
      <c r="F59" s="68"/>
      <c r="G59"/>
      <c r="H59"/>
      <c r="I59"/>
      <c r="M59" s="2"/>
      <c r="N59" s="12">
        <f t="shared" si="4"/>
        <v>2022.5</v>
      </c>
    </row>
    <row r="60" spans="1:14" x14ac:dyDescent="0.2">
      <c r="A60" s="12" t="str">
        <f t="shared" si="0"/>
        <v>9/30/2022</v>
      </c>
      <c r="C60" s="269">
        <f>'[4]Boeckh (C)'!E76</f>
        <v>3563.6513509374995</v>
      </c>
      <c r="D60" s="77">
        <f>TREND($C$21:$C$61,$N$21:$N$61,$N60,TRUE)</f>
        <v>3083.2657814144623</v>
      </c>
      <c r="E60" s="77">
        <f t="shared" si="3"/>
        <v>3074.7078094691578</v>
      </c>
      <c r="F60" s="68"/>
      <c r="G60"/>
      <c r="H60"/>
      <c r="I60"/>
      <c r="M60" s="2"/>
      <c r="N60" s="12">
        <f t="shared" si="4"/>
        <v>2022.75</v>
      </c>
    </row>
    <row r="61" spans="1:14" x14ac:dyDescent="0.2">
      <c r="A61" s="49" t="str">
        <f>TEXT(N9,"m/d/yyyy")</f>
        <v>12/31/2022</v>
      </c>
      <c r="B61"/>
      <c r="C61" s="269">
        <f>'[4]Boeckh (C)'!E77</f>
        <v>3667.3795874999996</v>
      </c>
      <c r="D61" s="77">
        <f>TREND($C$21:$C$61,$N$21:$N$61,$N61,TRUE)</f>
        <v>3105.9913884581765</v>
      </c>
      <c r="E61" s="77">
        <f>GROWTH($C$21:$C$61,$N$21:$N$61,$N61,TRUE)</f>
        <v>3099.8239931768494</v>
      </c>
      <c r="F61" s="68"/>
      <c r="G61"/>
      <c r="H61"/>
      <c r="I61"/>
      <c r="M61" s="2"/>
      <c r="N61" s="12">
        <f>YEAR(A61)+MONTH(A61)/12</f>
        <v>2023</v>
      </c>
    </row>
    <row r="62" spans="1:14" x14ac:dyDescent="0.2">
      <c r="A62" s="99"/>
      <c r="B62" s="99"/>
      <c r="C62" s="99"/>
      <c r="D62" s="99"/>
      <c r="E62" s="99"/>
      <c r="F62"/>
      <c r="G62"/>
      <c r="H62"/>
      <c r="I62"/>
      <c r="M62" s="2"/>
    </row>
    <row r="63" spans="1:14" x14ac:dyDescent="0.2">
      <c r="A63"/>
      <c r="C63" s="107"/>
      <c r="D63"/>
      <c r="E63"/>
      <c r="F63"/>
      <c r="G63"/>
      <c r="H63"/>
      <c r="I63"/>
      <c r="M63" s="2"/>
    </row>
    <row r="64" spans="1:14" x14ac:dyDescent="0.2">
      <c r="A64" s="12" t="s">
        <v>288</v>
      </c>
      <c r="C64"/>
      <c r="D64" s="19">
        <f>(D61-D57)/D57</f>
        <v>3.0149169517809254E-2</v>
      </c>
      <c r="E64" s="19">
        <f>LOGEST($C$42:$C$61,$N$42:$N$61,TRUE,TRUE)-1</f>
        <v>7.0174294634852252E-2</v>
      </c>
      <c r="F64"/>
      <c r="G64"/>
      <c r="H64"/>
      <c r="I64"/>
      <c r="M64" s="2"/>
    </row>
    <row r="65" spans="1:13" x14ac:dyDescent="0.2">
      <c r="A65" t="s">
        <v>289</v>
      </c>
      <c r="B65"/>
      <c r="C65" s="60"/>
      <c r="D65" s="28">
        <f>INDEX(LINEST($C$21:$C$61,$N$21:$N$61,TRUE,TRUE),3,1)</f>
        <v>0.70462535064979959</v>
      </c>
      <c r="E65" s="28">
        <f>INDEX(LOGEST($C$21:$C$61,$N$21:$N$61,TRUE,TRUE),3,1)</f>
        <v>0.7572232073798304</v>
      </c>
      <c r="F65"/>
      <c r="G65"/>
      <c r="H65"/>
      <c r="I65"/>
      <c r="M65" s="2"/>
    </row>
    <row r="66" spans="1:13" ht="12" thickBot="1" x14ac:dyDescent="0.25">
      <c r="A66" s="6"/>
      <c r="B66" s="6"/>
      <c r="C66" s="6"/>
      <c r="D66" s="6"/>
      <c r="E66" s="6"/>
      <c r="F66"/>
      <c r="G66"/>
      <c r="H66"/>
      <c r="I66"/>
      <c r="M66" s="2"/>
    </row>
    <row r="67" spans="1:13" ht="12" thickTop="1" x14ac:dyDescent="0.2">
      <c r="A67"/>
      <c r="B67"/>
      <c r="C67"/>
      <c r="D67"/>
      <c r="E67"/>
      <c r="F67"/>
      <c r="G67"/>
      <c r="H67"/>
      <c r="I67"/>
      <c r="M67" s="2"/>
    </row>
    <row r="68" spans="1:13" x14ac:dyDescent="0.2">
      <c r="A68" t="s">
        <v>18</v>
      </c>
      <c r="B68"/>
      <c r="F68"/>
      <c r="G68"/>
      <c r="H68"/>
      <c r="I68"/>
      <c r="J68"/>
      <c r="K68"/>
      <c r="L68"/>
      <c r="M68" s="2"/>
    </row>
    <row r="69" spans="1:13" x14ac:dyDescent="0.2">
      <c r="A69"/>
      <c r="B69" s="12" t="str">
        <f>C12&amp;" = Average Index for Corpus Christi and Houston"</f>
        <v>(2) = Average Index for Corpus Christi and Houston</v>
      </c>
      <c r="C69"/>
      <c r="D69"/>
      <c r="E69"/>
      <c r="F69"/>
      <c r="G69"/>
      <c r="H69"/>
      <c r="I69"/>
      <c r="J69"/>
      <c r="K69"/>
      <c r="L69"/>
      <c r="M69" s="2"/>
    </row>
    <row r="70" spans="1:13" ht="12" thickBot="1" x14ac:dyDescent="0.25">
      <c r="B70" s="12" t="str">
        <f>D12&amp;" - "&amp;E12&amp;" = "&amp;C12&amp;" fitted to linear and exponential distributions"</f>
        <v>(3) - (4) = (2) fitted to linear and exponential distributions</v>
      </c>
      <c r="F70"/>
      <c r="G70"/>
      <c r="H70"/>
      <c r="I70"/>
      <c r="M70" s="2"/>
    </row>
    <row r="71" spans="1:13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0">
    <tabColor rgb="FF92D050"/>
  </sheetPr>
  <dimension ref="A1:R69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8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47</v>
      </c>
      <c r="M1" s="1"/>
      <c r="Q1" s="12" t="s">
        <v>526</v>
      </c>
      <c r="R1" s="12" t="s">
        <v>527</v>
      </c>
    </row>
    <row r="2" spans="1:18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L2" s="7" t="s">
        <v>291</v>
      </c>
      <c r="M2" s="2"/>
    </row>
    <row r="3" spans="1:18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74" t="s">
        <v>264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74" t="s">
        <v>292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/>
      <c r="M7" s="2"/>
    </row>
    <row r="8" spans="1:18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t="s">
        <v>279</v>
      </c>
    </row>
    <row r="9" spans="1:18" x14ac:dyDescent="0.2">
      <c r="A9"/>
      <c r="B9"/>
      <c r="D9" s="10" t="s">
        <v>281</v>
      </c>
      <c r="E9"/>
      <c r="F9" s="10"/>
      <c r="G9"/>
      <c r="H9"/>
      <c r="I9"/>
      <c r="J9"/>
      <c r="K9"/>
      <c r="L9"/>
      <c r="M9" s="2"/>
      <c r="N9" s="65">
        <v>44926</v>
      </c>
    </row>
    <row r="10" spans="1:18" x14ac:dyDescent="0.2">
      <c r="A10" t="s">
        <v>266</v>
      </c>
      <c r="B10"/>
      <c r="C10" t="s">
        <v>269</v>
      </c>
      <c r="D10" t="s">
        <v>282</v>
      </c>
      <c r="E10"/>
      <c r="F10" t="s">
        <v>283</v>
      </c>
      <c r="G10"/>
      <c r="H10" t="s">
        <v>284</v>
      </c>
      <c r="I10"/>
      <c r="J10" t="s">
        <v>285</v>
      </c>
      <c r="K10"/>
      <c r="L10"/>
      <c r="M10" s="2"/>
    </row>
    <row r="11" spans="1:18" x14ac:dyDescent="0.2">
      <c r="A11" s="9" t="s">
        <v>27</v>
      </c>
      <c r="B11" s="9"/>
      <c r="C11" s="9" t="s">
        <v>272</v>
      </c>
      <c r="D11" s="9" t="s">
        <v>286</v>
      </c>
      <c r="E11" s="9" t="s">
        <v>287</v>
      </c>
      <c r="F11" s="9" t="s">
        <v>286</v>
      </c>
      <c r="G11" s="9" t="s">
        <v>287</v>
      </c>
      <c r="H11" s="9" t="s">
        <v>286</v>
      </c>
      <c r="I11" s="9" t="s">
        <v>287</v>
      </c>
      <c r="J11" s="9" t="s">
        <v>286</v>
      </c>
      <c r="K11" s="9" t="s">
        <v>287</v>
      </c>
      <c r="L11"/>
      <c r="M11" s="2"/>
      <c r="N11" s="9" t="s">
        <v>261</v>
      </c>
    </row>
    <row r="12" spans="1:18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8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8" x14ac:dyDescent="0.2">
      <c r="A14" s="12" t="str">
        <f>TEXT(DATE(YEAR(A15+1),MONTH(A15+1)-3,1)-1,"m/d/yyyy")</f>
        <v>9/30/2012</v>
      </c>
      <c r="B14" s="22"/>
      <c r="C14" s="269">
        <f>[4]CPI!H104</f>
        <v>184.57</v>
      </c>
      <c r="D14" s="77">
        <f>TREND($C$14:$C$55,$N$14:$N$55,$N14,TRUE)</f>
        <v>182.05512735326647</v>
      </c>
      <c r="E14" s="77">
        <f>GROWTH($C$14:$C$55,$N$14:$N$55,$N14,TRUE)</f>
        <v>182.51816362363499</v>
      </c>
      <c r="F14" s="77"/>
      <c r="G14" s="77"/>
      <c r="H14" s="29"/>
      <c r="I14"/>
      <c r="J14" s="29"/>
      <c r="K14"/>
      <c r="L14"/>
      <c r="M14" s="2"/>
      <c r="N14" s="12">
        <f>YEAR(A14)+MONTH(A14)/12</f>
        <v>2012.75</v>
      </c>
    </row>
    <row r="15" spans="1:18" x14ac:dyDescent="0.2">
      <c r="A15" s="12" t="str">
        <f t="shared" ref="A15:A53" si="1">TEXT(DATE(YEAR(A16+1),MONTH(A16+1)-3,1)-1,"m/d/yyyy")</f>
        <v>12/31/2012</v>
      </c>
      <c r="B15" s="22"/>
      <c r="C15" s="269">
        <f>[4]CPI!H105</f>
        <v>185.03</v>
      </c>
      <c r="D15" s="77">
        <f t="shared" ref="D15:D54" si="2">TREND($C$14:$C$55,$N$14:$N$55,$N15,TRUE)</f>
        <v>182.70510952651057</v>
      </c>
      <c r="E15" s="77">
        <f t="shared" ref="E15:E54" si="3">GROWTH($C$14:$C$55,$N$14:$N$55,$N15,TRUE)</f>
        <v>183.11619234037533</v>
      </c>
      <c r="F15" s="77"/>
      <c r="G15" s="77"/>
      <c r="H15" s="29"/>
      <c r="I15"/>
      <c r="J15" s="29"/>
      <c r="K15"/>
      <c r="L15"/>
      <c r="M15" s="2"/>
      <c r="N15" s="12">
        <f>YEAR(A15)+MONTH(A15)/12</f>
        <v>2013</v>
      </c>
    </row>
    <row r="16" spans="1:18" x14ac:dyDescent="0.2">
      <c r="A16" s="12" t="str">
        <f t="shared" si="1"/>
        <v>3/31/2013</v>
      </c>
      <c r="B16" s="22"/>
      <c r="C16" s="269">
        <f>[4]CPI!H106</f>
        <v>185.38</v>
      </c>
      <c r="D16" s="77">
        <f t="shared" si="2"/>
        <v>183.35509169975376</v>
      </c>
      <c r="E16" s="77">
        <f t="shared" si="3"/>
        <v>183.71618052426717</v>
      </c>
      <c r="F16" s="77"/>
      <c r="G16" s="77"/>
      <c r="H16" s="29"/>
      <c r="I16"/>
      <c r="J16" s="29"/>
      <c r="K16"/>
      <c r="L16"/>
      <c r="M16" s="2"/>
      <c r="N16" s="12">
        <f t="shared" ref="N16:N54" si="4">YEAR(A16)+MONTH(A16)/12</f>
        <v>2013.25</v>
      </c>
    </row>
    <row r="17" spans="1:14" x14ac:dyDescent="0.2">
      <c r="A17" s="12" t="str">
        <f t="shared" si="1"/>
        <v>6/30/2013</v>
      </c>
      <c r="B17" s="22"/>
      <c r="C17" s="269">
        <f>[4]CPI!H107</f>
        <v>185.51</v>
      </c>
      <c r="D17" s="77">
        <f t="shared" si="2"/>
        <v>184.00507387299785</v>
      </c>
      <c r="E17" s="77">
        <f t="shared" si="3"/>
        <v>184.31813459558865</v>
      </c>
      <c r="F17" s="77"/>
      <c r="G17" s="77"/>
      <c r="H17" s="29"/>
      <c r="I17"/>
      <c r="J17" s="29"/>
      <c r="K17"/>
      <c r="L17"/>
      <c r="M17" s="2"/>
      <c r="N17" s="12">
        <f t="shared" si="4"/>
        <v>2013.5</v>
      </c>
    </row>
    <row r="18" spans="1:14" x14ac:dyDescent="0.2">
      <c r="A18" s="12" t="str">
        <f t="shared" si="1"/>
        <v>9/30/2013</v>
      </c>
      <c r="B18" s="22"/>
      <c r="C18" s="269">
        <f>[4]CPI!H108</f>
        <v>185.82</v>
      </c>
      <c r="D18" s="77">
        <f t="shared" si="2"/>
        <v>184.65505604624104</v>
      </c>
      <c r="E18" s="77">
        <f t="shared" si="3"/>
        <v>184.92206099565627</v>
      </c>
      <c r="F18" s="77"/>
      <c r="G18" s="77"/>
      <c r="H18" s="29"/>
      <c r="I18"/>
      <c r="J18" s="29"/>
      <c r="K18"/>
      <c r="L18"/>
      <c r="M18" s="2"/>
      <c r="N18" s="12">
        <f t="shared" si="4"/>
        <v>2013.75</v>
      </c>
    </row>
    <row r="19" spans="1:14" x14ac:dyDescent="0.2">
      <c r="A19" s="12" t="str">
        <f t="shared" si="1"/>
        <v>12/31/2013</v>
      </c>
      <c r="B19" s="22"/>
      <c r="C19" s="269">
        <f>[4]CPI!H109</f>
        <v>186.03</v>
      </c>
      <c r="D19" s="77">
        <f t="shared" si="2"/>
        <v>185.30503821948514</v>
      </c>
      <c r="E19" s="77">
        <f t="shared" si="3"/>
        <v>185.5279661868918</v>
      </c>
      <c r="F19" s="77"/>
      <c r="G19" s="77"/>
      <c r="H19" s="29"/>
      <c r="I19"/>
      <c r="J19" s="29"/>
      <c r="K19"/>
      <c r="L19"/>
      <c r="M19" s="2"/>
      <c r="N19" s="12">
        <f t="shared" si="4"/>
        <v>2014</v>
      </c>
    </row>
    <row r="20" spans="1:14" x14ac:dyDescent="0.2">
      <c r="A20" s="12" t="str">
        <f t="shared" si="1"/>
        <v>3/31/2014</v>
      </c>
      <c r="B20" s="22"/>
      <c r="C20" s="269">
        <f>[4]CPI!H110</f>
        <v>186.43</v>
      </c>
      <c r="D20" s="77">
        <f t="shared" si="2"/>
        <v>185.95502039272833</v>
      </c>
      <c r="E20" s="77">
        <f t="shared" si="3"/>
        <v>186.13585665288937</v>
      </c>
      <c r="F20" s="77"/>
      <c r="G20" s="77"/>
      <c r="H20" s="29"/>
      <c r="I20"/>
      <c r="J20" s="29"/>
      <c r="K20"/>
      <c r="L20"/>
      <c r="M20" s="2"/>
      <c r="N20" s="12">
        <f t="shared" si="4"/>
        <v>2014.25</v>
      </c>
    </row>
    <row r="21" spans="1:14" x14ac:dyDescent="0.2">
      <c r="A21" s="12" t="str">
        <f t="shared" si="1"/>
        <v>6/30/2014</v>
      </c>
      <c r="B21" s="22"/>
      <c r="C21" s="269">
        <f>[4]CPI!H111</f>
        <v>186.87</v>
      </c>
      <c r="D21" s="77">
        <f t="shared" si="2"/>
        <v>186.60500256597243</v>
      </c>
      <c r="E21" s="77">
        <f t="shared" si="3"/>
        <v>186.74573889848895</v>
      </c>
      <c r="F21" s="77"/>
      <c r="G21" s="77"/>
      <c r="H21" s="29"/>
      <c r="I21"/>
      <c r="J21" s="29"/>
      <c r="K21"/>
      <c r="L21"/>
      <c r="M21" s="2"/>
      <c r="N21" s="12">
        <f t="shared" si="4"/>
        <v>2014.5</v>
      </c>
    </row>
    <row r="22" spans="1:14" x14ac:dyDescent="0.2">
      <c r="A22" s="12" t="str">
        <f t="shared" si="1"/>
        <v>9/30/2014</v>
      </c>
      <c r="B22" s="22"/>
      <c r="C22" s="269">
        <f>[4]CPI!H112</f>
        <v>187.59</v>
      </c>
      <c r="D22" s="77">
        <f t="shared" si="2"/>
        <v>187.25498473921562</v>
      </c>
      <c r="E22" s="77">
        <f t="shared" si="3"/>
        <v>187.35761944984387</v>
      </c>
      <c r="F22" s="77"/>
      <c r="G22" s="77"/>
      <c r="H22" s="29"/>
      <c r="I22"/>
      <c r="J22" s="29"/>
      <c r="K22"/>
      <c r="L22"/>
      <c r="M22" s="2"/>
      <c r="N22" s="12">
        <f t="shared" si="4"/>
        <v>2014.75</v>
      </c>
    </row>
    <row r="23" spans="1:14" x14ac:dyDescent="0.2">
      <c r="A23" s="12" t="str">
        <f t="shared" si="1"/>
        <v>12/31/2014</v>
      </c>
      <c r="B23"/>
      <c r="C23" s="269">
        <f>[4]CPI!H113</f>
        <v>188.62</v>
      </c>
      <c r="D23" s="77">
        <f t="shared" si="2"/>
        <v>187.90496691245971</v>
      </c>
      <c r="E23" s="77">
        <f t="shared" si="3"/>
        <v>187.97150485448864</v>
      </c>
      <c r="F23" s="77"/>
      <c r="G23" s="77"/>
      <c r="H23"/>
      <c r="I23"/>
      <c r="J23"/>
      <c r="K23"/>
      <c r="L23"/>
      <c r="M23" s="2"/>
      <c r="N23" s="12">
        <f t="shared" si="4"/>
        <v>2015</v>
      </c>
    </row>
    <row r="24" spans="1:14" x14ac:dyDescent="0.2">
      <c r="A24" s="12" t="str">
        <f t="shared" si="1"/>
        <v>3/31/2015</v>
      </c>
      <c r="B24"/>
      <c r="C24" s="269">
        <f>[4]CPI!H114</f>
        <v>189.46</v>
      </c>
      <c r="D24" s="77">
        <f t="shared" si="2"/>
        <v>188.5549490857029</v>
      </c>
      <c r="E24" s="77">
        <f t="shared" si="3"/>
        <v>188.58740168141313</v>
      </c>
      <c r="F24" s="77"/>
      <c r="G24" s="77"/>
      <c r="H24"/>
      <c r="I24"/>
      <c r="J24"/>
      <c r="K24"/>
      <c r="L24"/>
      <c r="M24" s="2"/>
      <c r="N24" s="12">
        <f t="shared" si="4"/>
        <v>2015.25</v>
      </c>
    </row>
    <row r="25" spans="1:14" x14ac:dyDescent="0.2">
      <c r="A25" s="12" t="str">
        <f t="shared" si="1"/>
        <v>6/30/2015</v>
      </c>
      <c r="B25"/>
      <c r="C25" s="269">
        <f>[4]CPI!H115</f>
        <v>189.59</v>
      </c>
      <c r="D25" s="77">
        <f t="shared" si="2"/>
        <v>189.204931258947</v>
      </c>
      <c r="E25" s="77">
        <f t="shared" si="3"/>
        <v>189.20531652113078</v>
      </c>
      <c r="F25" s="77"/>
      <c r="G25" s="77"/>
      <c r="H25"/>
      <c r="I25"/>
      <c r="J25"/>
      <c r="K25"/>
      <c r="L25"/>
      <c r="M25" s="2"/>
      <c r="N25" s="12">
        <f t="shared" si="4"/>
        <v>2015.5</v>
      </c>
    </row>
    <row r="26" spans="1:14" x14ac:dyDescent="0.2">
      <c r="A26" s="12" t="str">
        <f t="shared" si="1"/>
        <v>9/30/2015</v>
      </c>
      <c r="B26"/>
      <c r="C26" s="269">
        <f>[4]CPI!H116</f>
        <v>190.03</v>
      </c>
      <c r="D26" s="77">
        <f t="shared" si="2"/>
        <v>189.85491343219019</v>
      </c>
      <c r="E26" s="77">
        <f t="shared" si="3"/>
        <v>189.82525598574708</v>
      </c>
      <c r="F26" s="77"/>
      <c r="G26" s="77"/>
      <c r="H26"/>
      <c r="I26"/>
      <c r="J26"/>
      <c r="K26"/>
      <c r="L26"/>
      <c r="M26" s="2"/>
      <c r="N26" s="12">
        <f t="shared" si="4"/>
        <v>2015.75</v>
      </c>
    </row>
    <row r="27" spans="1:14" x14ac:dyDescent="0.2">
      <c r="A27" s="12" t="str">
        <f t="shared" si="1"/>
        <v>12/31/2015</v>
      </c>
      <c r="B27"/>
      <c r="C27" s="269">
        <f>[4]CPI!H117</f>
        <v>190.5</v>
      </c>
      <c r="D27" s="77">
        <f t="shared" si="2"/>
        <v>190.50489560543429</v>
      </c>
      <c r="E27" s="77">
        <f t="shared" si="3"/>
        <v>190.44722670903437</v>
      </c>
      <c r="F27" s="77"/>
      <c r="G27" s="77"/>
      <c r="H27"/>
      <c r="I27"/>
      <c r="J27"/>
      <c r="K27"/>
      <c r="L27"/>
      <c r="M27" s="2"/>
      <c r="N27" s="12">
        <f t="shared" si="4"/>
        <v>2016</v>
      </c>
    </row>
    <row r="28" spans="1:14" x14ac:dyDescent="0.2">
      <c r="A28" s="12" t="str">
        <f t="shared" si="1"/>
        <v>3/31/2016</v>
      </c>
      <c r="B28"/>
      <c r="C28" s="269">
        <f>[4]CPI!H118</f>
        <v>190.95</v>
      </c>
      <c r="D28" s="77">
        <f t="shared" si="2"/>
        <v>191.15487777867747</v>
      </c>
      <c r="E28" s="77">
        <f t="shared" si="3"/>
        <v>191.07123534650097</v>
      </c>
      <c r="F28" s="77"/>
      <c r="G28" s="77"/>
      <c r="H28"/>
      <c r="I28"/>
      <c r="J28"/>
      <c r="K28"/>
      <c r="L28"/>
      <c r="M28" s="2"/>
      <c r="N28" s="12">
        <f t="shared" si="4"/>
        <v>2016.25</v>
      </c>
    </row>
    <row r="29" spans="1:14" x14ac:dyDescent="0.2">
      <c r="A29" s="12" t="str">
        <f t="shared" si="1"/>
        <v>6/30/2016</v>
      </c>
      <c r="B29"/>
      <c r="C29" s="269">
        <f>[4]CPI!H119</f>
        <v>192.03</v>
      </c>
      <c r="D29" s="77">
        <f t="shared" si="2"/>
        <v>191.80485995192157</v>
      </c>
      <c r="E29" s="77">
        <f t="shared" si="3"/>
        <v>191.69728857546005</v>
      </c>
      <c r="F29" s="77"/>
      <c r="G29" s="77"/>
      <c r="H29"/>
      <c r="I29"/>
      <c r="J29"/>
      <c r="K29"/>
      <c r="L29"/>
      <c r="M29" s="2"/>
      <c r="N29" s="12">
        <f t="shared" si="4"/>
        <v>2016.5</v>
      </c>
    </row>
    <row r="30" spans="1:14" x14ac:dyDescent="0.2">
      <c r="A30" s="12" t="str">
        <f t="shared" si="1"/>
        <v>9/30/2016</v>
      </c>
      <c r="B30"/>
      <c r="C30" s="269">
        <f>[4]CPI!H120</f>
        <v>192.82</v>
      </c>
      <c r="D30" s="77">
        <f t="shared" si="2"/>
        <v>192.45484212516476</v>
      </c>
      <c r="E30" s="77">
        <f t="shared" si="3"/>
        <v>192.32539309510548</v>
      </c>
      <c r="F30" s="77"/>
      <c r="G30" s="77"/>
      <c r="H30" s="19"/>
      <c r="I30" s="29"/>
      <c r="J30" s="19"/>
      <c r="K30" s="29"/>
      <c r="L30" s="29"/>
      <c r="M30" s="2"/>
      <c r="N30" s="12">
        <f t="shared" si="4"/>
        <v>2016.75</v>
      </c>
    </row>
    <row r="31" spans="1:14" x14ac:dyDescent="0.2">
      <c r="A31" s="12" t="str">
        <f t="shared" si="1"/>
        <v>12/31/2016</v>
      </c>
      <c r="B31"/>
      <c r="C31" s="269">
        <f>[4]CPI!H121</f>
        <v>193.56</v>
      </c>
      <c r="D31" s="77">
        <f t="shared" si="2"/>
        <v>193.10482429840886</v>
      </c>
      <c r="E31" s="77">
        <f t="shared" si="3"/>
        <v>192.95555562658123</v>
      </c>
      <c r="F31" s="77"/>
      <c r="G31" s="77"/>
      <c r="H31" s="19"/>
      <c r="I31" s="29"/>
      <c r="J31" s="19"/>
      <c r="K31" s="29"/>
      <c r="L31" s="29"/>
      <c r="M31" s="2"/>
      <c r="N31" s="12">
        <f t="shared" si="4"/>
        <v>2017</v>
      </c>
    </row>
    <row r="32" spans="1:14" x14ac:dyDescent="0.2">
      <c r="A32" s="12" t="str">
        <f t="shared" si="1"/>
        <v>3/31/2017</v>
      </c>
      <c r="B32" s="22"/>
      <c r="C32" s="269">
        <f>[4]CPI!H122</f>
        <v>193.85</v>
      </c>
      <c r="D32" s="77">
        <f t="shared" si="2"/>
        <v>193.75480647165205</v>
      </c>
      <c r="E32" s="77">
        <f t="shared" si="3"/>
        <v>193.58778291305137</v>
      </c>
      <c r="F32" s="77"/>
      <c r="G32" s="77"/>
      <c r="H32" s="19"/>
      <c r="I32" s="29"/>
      <c r="J32" s="19"/>
      <c r="K32" s="29"/>
      <c r="L32" s="29"/>
      <c r="M32" s="2"/>
      <c r="N32" s="12">
        <f t="shared" si="4"/>
        <v>2017.25</v>
      </c>
    </row>
    <row r="33" spans="1:14" x14ac:dyDescent="0.2">
      <c r="A33" s="12" t="str">
        <f t="shared" si="1"/>
        <v>6/30/2017</v>
      </c>
      <c r="B33" s="22"/>
      <c r="C33" s="269">
        <f>[4]CPI!H123</f>
        <v>194.07</v>
      </c>
      <c r="D33" s="77">
        <f t="shared" si="2"/>
        <v>194.40478864489614</v>
      </c>
      <c r="E33" s="77">
        <f t="shared" si="3"/>
        <v>194.22208171977636</v>
      </c>
      <c r="F33" s="77"/>
      <c r="G33" s="77"/>
      <c r="H33" s="19"/>
      <c r="I33" s="29"/>
      <c r="J33" s="19"/>
      <c r="K33" s="29"/>
      <c r="L33" s="29"/>
      <c r="M33" s="2"/>
      <c r="N33" s="12">
        <f t="shared" si="4"/>
        <v>2017.5</v>
      </c>
    </row>
    <row r="34" spans="1:14" x14ac:dyDescent="0.2">
      <c r="A34" s="12" t="str">
        <f t="shared" si="1"/>
        <v>9/30/2017</v>
      </c>
      <c r="B34"/>
      <c r="C34" s="269">
        <f>[4]CPI!H124</f>
        <v>194.14</v>
      </c>
      <c r="D34" s="77">
        <f t="shared" si="2"/>
        <v>195.05477081813933</v>
      </c>
      <c r="E34" s="77">
        <f t="shared" si="3"/>
        <v>194.85845883418247</v>
      </c>
      <c r="F34" s="77"/>
      <c r="G34" s="77"/>
      <c r="H34" s="29"/>
      <c r="I34" s="29"/>
      <c r="J34" s="29"/>
      <c r="K34" s="29"/>
      <c r="L34" s="29"/>
      <c r="M34" s="2"/>
      <c r="N34" s="12">
        <f t="shared" si="4"/>
        <v>2017.75</v>
      </c>
    </row>
    <row r="35" spans="1:14" x14ac:dyDescent="0.2">
      <c r="A35" s="12" t="str">
        <f t="shared" si="1"/>
        <v>12/31/2017</v>
      </c>
      <c r="C35" s="269">
        <f>[4]CPI!H125</f>
        <v>194.1</v>
      </c>
      <c r="D35" s="77">
        <f t="shared" si="2"/>
        <v>195.70475299138343</v>
      </c>
      <c r="E35" s="77">
        <f t="shared" si="3"/>
        <v>195.49692106593622</v>
      </c>
      <c r="F35" s="77"/>
      <c r="G35" s="77"/>
      <c r="H35"/>
      <c r="I35"/>
      <c r="J35"/>
      <c r="K35"/>
      <c r="L35"/>
      <c r="M35" s="2"/>
      <c r="N35" s="12">
        <f t="shared" si="4"/>
        <v>2018</v>
      </c>
    </row>
    <row r="36" spans="1:14" x14ac:dyDescent="0.2">
      <c r="A36" s="12" t="str">
        <f t="shared" si="1"/>
        <v>3/31/2018</v>
      </c>
      <c r="C36" s="269">
        <f>[4]CPI!H126</f>
        <v>194.71</v>
      </c>
      <c r="D36" s="77">
        <f t="shared" si="2"/>
        <v>196.35473516462662</v>
      </c>
      <c r="E36" s="77">
        <f t="shared" si="3"/>
        <v>196.13747524701395</v>
      </c>
      <c r="F36" s="77">
        <f>TREND($C$36:$C$55,$N$36:$N$55,$N36,TRUE)</f>
        <v>190.64142857142906</v>
      </c>
      <c r="G36" s="77">
        <f>GROWTH($C$36:$C$55,$N$36:$N$55,$N36,TRUE)</f>
        <v>191.03981533680883</v>
      </c>
      <c r="H36"/>
      <c r="J36"/>
      <c r="M36" s="2"/>
      <c r="N36" s="12">
        <f t="shared" si="4"/>
        <v>2018.25</v>
      </c>
    </row>
    <row r="37" spans="1:14" x14ac:dyDescent="0.2">
      <c r="A37" s="12" t="str">
        <f t="shared" si="1"/>
        <v>6/30/2018</v>
      </c>
      <c r="C37" s="269">
        <f>[4]CPI!H127</f>
        <v>195.27</v>
      </c>
      <c r="D37" s="77">
        <f t="shared" si="2"/>
        <v>197.00471733787072</v>
      </c>
      <c r="E37" s="77">
        <f t="shared" si="3"/>
        <v>196.78012823177954</v>
      </c>
      <c r="F37" s="77">
        <f t="shared" ref="F37:F54" si="5">TREND($C$36:$C$55,$N$36:$N$55,$N37,TRUE)</f>
        <v>191.83180451127919</v>
      </c>
      <c r="G37" s="77">
        <f t="shared" ref="G37:G54" si="6">GROWTH($C$36:$C$55,$N$36:$N$55,$N37,TRUE)</f>
        <v>192.14114491484881</v>
      </c>
      <c r="H37" s="77"/>
      <c r="I37" s="77"/>
      <c r="J37" s="29"/>
      <c r="K37" s="29"/>
      <c r="L37" s="29"/>
      <c r="M37" s="2"/>
      <c r="N37" s="12">
        <f t="shared" si="4"/>
        <v>2018.5</v>
      </c>
    </row>
    <row r="38" spans="1:14" x14ac:dyDescent="0.2">
      <c r="A38" s="12" t="str">
        <f t="shared" si="1"/>
        <v>9/30/2018</v>
      </c>
      <c r="C38" s="269">
        <f>[4]CPI!H128</f>
        <v>195.59</v>
      </c>
      <c r="D38" s="77">
        <f t="shared" si="2"/>
        <v>197.6546995111139</v>
      </c>
      <c r="E38" s="77">
        <f t="shared" si="3"/>
        <v>197.42488689705542</v>
      </c>
      <c r="F38" s="77">
        <f t="shared" si="5"/>
        <v>193.0221804511275</v>
      </c>
      <c r="G38" s="77">
        <f t="shared" si="6"/>
        <v>193.24882357167942</v>
      </c>
      <c r="H38" s="77"/>
      <c r="I38" s="77"/>
      <c r="J38" s="29"/>
      <c r="K38" s="29"/>
      <c r="L38" s="29"/>
      <c r="M38" s="2"/>
      <c r="N38" s="12">
        <f t="shared" si="4"/>
        <v>2018.75</v>
      </c>
    </row>
    <row r="39" spans="1:14" x14ac:dyDescent="0.2">
      <c r="A39" s="12" t="str">
        <f t="shared" si="1"/>
        <v>12/31/2018</v>
      </c>
      <c r="C39" s="269">
        <f>[4]CPI!H129</f>
        <v>196.2</v>
      </c>
      <c r="D39" s="77">
        <f t="shared" si="2"/>
        <v>198.304681684358</v>
      </c>
      <c r="E39" s="77">
        <f t="shared" si="3"/>
        <v>198.07175814219417</v>
      </c>
      <c r="F39" s="77">
        <f t="shared" si="5"/>
        <v>194.21255639097762</v>
      </c>
      <c r="G39" s="77">
        <f t="shared" si="6"/>
        <v>194.3628879092401</v>
      </c>
      <c r="H39" s="77"/>
      <c r="I39" s="77"/>
      <c r="J39" s="29"/>
      <c r="K39" s="29"/>
      <c r="L39" s="29"/>
      <c r="M39" s="2"/>
      <c r="N39" s="12">
        <f t="shared" si="4"/>
        <v>2019</v>
      </c>
    </row>
    <row r="40" spans="1:14" x14ac:dyDescent="0.2">
      <c r="A40" s="12" t="str">
        <f t="shared" si="1"/>
        <v>3/31/2019</v>
      </c>
      <c r="C40" s="269">
        <f>[4]CPI!H130</f>
        <v>197.06</v>
      </c>
      <c r="D40" s="77">
        <f t="shared" si="2"/>
        <v>198.95466385760119</v>
      </c>
      <c r="E40" s="77">
        <f t="shared" si="3"/>
        <v>198.72074888915643</v>
      </c>
      <c r="F40" s="77">
        <f t="shared" si="5"/>
        <v>195.40293233082775</v>
      </c>
      <c r="G40" s="77">
        <f t="shared" si="6"/>
        <v>195.48337474048301</v>
      </c>
      <c r="H40" s="77">
        <f>TREND($C$40:$C$55,$N$40:$N$55,$N40,TRUE)</f>
        <v>191.90985294117854</v>
      </c>
      <c r="I40" s="77">
        <f>GROWTH($C$40:$C$55,$N$40:$N$55,$N40,TRUE)</f>
        <v>192.30444578223901</v>
      </c>
      <c r="J40"/>
      <c r="K40" s="18"/>
      <c r="L40" s="18"/>
      <c r="M40" s="2"/>
      <c r="N40" s="12">
        <f t="shared" si="4"/>
        <v>2019.25</v>
      </c>
    </row>
    <row r="41" spans="1:14" x14ac:dyDescent="0.2">
      <c r="A41" s="12" t="str">
        <f t="shared" si="1"/>
        <v>6/30/2019</v>
      </c>
      <c r="C41" s="269">
        <f>[4]CPI!H131</f>
        <v>198.22</v>
      </c>
      <c r="D41" s="77">
        <f t="shared" si="2"/>
        <v>199.60464603084529</v>
      </c>
      <c r="E41" s="77">
        <f t="shared" si="3"/>
        <v>199.37186608258298</v>
      </c>
      <c r="F41" s="77">
        <f t="shared" si="5"/>
        <v>196.59330827067788</v>
      </c>
      <c r="G41" s="77">
        <f t="shared" si="6"/>
        <v>196.61032109057865</v>
      </c>
      <c r="H41" s="77">
        <f t="shared" ref="H41:H55" si="7">TREND($C$40:$C$55,$N$40:$N$55,$N41,TRUE)</f>
        <v>193.46545588235495</v>
      </c>
      <c r="I41" s="77">
        <f t="shared" ref="I41:I54" si="8">GROWTH($C$40:$C$55,$N$40:$N$55,$N41,TRUE)</f>
        <v>193.74488761735273</v>
      </c>
      <c r="J41" s="77"/>
      <c r="K41" s="77"/>
      <c r="L41" s="77"/>
      <c r="M41" s="2"/>
      <c r="N41" s="12">
        <f t="shared" si="4"/>
        <v>2019.5</v>
      </c>
    </row>
    <row r="42" spans="1:14" x14ac:dyDescent="0.2">
      <c r="A42" s="12" t="str">
        <f t="shared" si="1"/>
        <v>9/30/2019</v>
      </c>
      <c r="B42"/>
      <c r="C42" s="269">
        <f>[4]CPI!H132</f>
        <v>199.74</v>
      </c>
      <c r="D42" s="77">
        <f t="shared" si="2"/>
        <v>200.25462820408848</v>
      </c>
      <c r="E42" s="77">
        <f t="shared" si="3"/>
        <v>200.02511668986699</v>
      </c>
      <c r="F42" s="77">
        <f t="shared" si="5"/>
        <v>197.78368421052619</v>
      </c>
      <c r="G42" s="77">
        <f t="shared" si="6"/>
        <v>197.74376419815025</v>
      </c>
      <c r="H42" s="77">
        <f t="shared" si="7"/>
        <v>195.02105882353135</v>
      </c>
      <c r="I42" s="77">
        <f t="shared" si="8"/>
        <v>195.19611897255226</v>
      </c>
      <c r="J42" s="77"/>
      <c r="K42" s="77"/>
      <c r="L42" s="77"/>
      <c r="M42" s="2"/>
      <c r="N42" s="12">
        <f t="shared" si="4"/>
        <v>2019.75</v>
      </c>
    </row>
    <row r="43" spans="1:14" x14ac:dyDescent="0.2">
      <c r="A43" s="12" t="str">
        <f t="shared" si="1"/>
        <v>12/31/2019</v>
      </c>
      <c r="C43" s="269">
        <f>[4]CPI!H133</f>
        <v>200.26</v>
      </c>
      <c r="D43" s="77">
        <f>TREND($C$14:$C$55,$N$14:$N$55,$N43,TRUE)</f>
        <v>200.90461037733257</v>
      </c>
      <c r="E43" s="77">
        <f t="shared" si="3"/>
        <v>200.68050770123256</v>
      </c>
      <c r="F43" s="77">
        <f t="shared" si="5"/>
        <v>198.97406015037632</v>
      </c>
      <c r="G43" s="77">
        <f t="shared" si="6"/>
        <v>198.88374151649316</v>
      </c>
      <c r="H43" s="77">
        <f t="shared" si="7"/>
        <v>196.57666176470775</v>
      </c>
      <c r="I43" s="77">
        <f t="shared" si="8"/>
        <v>196.65822066591767</v>
      </c>
      <c r="J43" s="77"/>
      <c r="K43" s="77"/>
      <c r="L43" s="77"/>
      <c r="M43" s="2"/>
      <c r="N43" s="12">
        <f t="shared" si="4"/>
        <v>2020</v>
      </c>
    </row>
    <row r="44" spans="1:14" x14ac:dyDescent="0.2">
      <c r="A44" s="12" t="str">
        <f t="shared" si="1"/>
        <v>3/31/2020</v>
      </c>
      <c r="C44" s="269">
        <f>[4]CPI!H134</f>
        <v>199.74</v>
      </c>
      <c r="D44" s="77">
        <f t="shared" si="2"/>
        <v>201.55459255057667</v>
      </c>
      <c r="E44" s="77">
        <f t="shared" si="3"/>
        <v>201.33804612980768</v>
      </c>
      <c r="F44" s="77">
        <f t="shared" si="5"/>
        <v>200.16443609022645</v>
      </c>
      <c r="G44" s="77">
        <f t="shared" si="6"/>
        <v>200.03029071482374</v>
      </c>
      <c r="H44" s="77">
        <f t="shared" si="7"/>
        <v>198.13226470588415</v>
      </c>
      <c r="I44" s="77">
        <f t="shared" si="8"/>
        <v>198.13127412089077</v>
      </c>
      <c r="J44" s="77">
        <f>TREND($C$44:$C$55,$N$44:$N$55,$N44,TRUE)</f>
        <v>190.88846153845952</v>
      </c>
      <c r="K44" s="77">
        <f>GROWTH($C$44:$C$55,$N$44:$N$55,$N44,TRUE)</f>
        <v>191.32903191235357</v>
      </c>
      <c r="L44" s="77"/>
      <c r="M44" s="2"/>
      <c r="N44" s="12">
        <f t="shared" si="4"/>
        <v>2020.25</v>
      </c>
    </row>
    <row r="45" spans="1:14" x14ac:dyDescent="0.2">
      <c r="A45" s="12" t="str">
        <f t="shared" si="1"/>
        <v>6/30/2020</v>
      </c>
      <c r="C45" s="269">
        <f>[4]CPI!H135</f>
        <v>197.71</v>
      </c>
      <c r="D45" s="77">
        <f t="shared" si="2"/>
        <v>202.20457472381986</v>
      </c>
      <c r="E45" s="77">
        <f t="shared" si="3"/>
        <v>201.99773901169698</v>
      </c>
      <c r="F45" s="77">
        <f t="shared" si="5"/>
        <v>201.35481203007657</v>
      </c>
      <c r="G45" s="77">
        <f t="shared" si="6"/>
        <v>201.18344967951271</v>
      </c>
      <c r="H45" s="77">
        <f t="shared" si="7"/>
        <v>199.68786764706056</v>
      </c>
      <c r="I45" s="77">
        <f t="shared" si="8"/>
        <v>199.61536137080958</v>
      </c>
      <c r="J45" s="77">
        <f t="shared" ref="J45:J54" si="9">TREND($C$44:$C$55,$N$44:$N$55,$N45,TRUE)</f>
        <v>193.48374125874034</v>
      </c>
      <c r="K45" s="77">
        <f t="shared" ref="K45:K54" si="10">GROWTH($C$44:$C$55,$N$44:$N$55,$N45,TRUE)</f>
        <v>193.73073292362227</v>
      </c>
      <c r="L45" s="77"/>
      <c r="M45" s="2"/>
      <c r="N45" s="12">
        <f t="shared" si="4"/>
        <v>2020.5</v>
      </c>
    </row>
    <row r="46" spans="1:14" x14ac:dyDescent="0.2">
      <c r="A46" s="12" t="str">
        <f t="shared" si="1"/>
        <v>9/30/2020</v>
      </c>
      <c r="C46" s="269">
        <f>[4]CPI!H136</f>
        <v>195.95</v>
      </c>
      <c r="D46" s="77">
        <f t="shared" si="2"/>
        <v>202.85455689706396</v>
      </c>
      <c r="E46" s="77">
        <f>GROWTH($C$14:$C$55,$N$14:$N$55,$N46,TRUE)</f>
        <v>202.65959340606133</v>
      </c>
      <c r="F46" s="77">
        <f>TREND($C$36:$C$55,$N$36:$N$55,$N46,TRUE)</f>
        <v>202.54518796992488</v>
      </c>
      <c r="G46" s="77">
        <f>GROWTH($C$36:$C$55,$N$36:$N$55,$N46,TRUE)</f>
        <v>202.34325651534849</v>
      </c>
      <c r="H46" s="77">
        <f t="shared" si="7"/>
        <v>201.24347058823696</v>
      </c>
      <c r="I46" s="77">
        <f t="shared" si="8"/>
        <v>201.11056506347651</v>
      </c>
      <c r="J46" s="77">
        <f t="shared" si="9"/>
        <v>196.07902097902115</v>
      </c>
      <c r="K46" s="77">
        <f t="shared" si="10"/>
        <v>196.16258183084454</v>
      </c>
      <c r="L46" s="77"/>
      <c r="M46" s="2"/>
      <c r="N46" s="12">
        <f t="shared" si="4"/>
        <v>2020.75</v>
      </c>
    </row>
    <row r="47" spans="1:14" x14ac:dyDescent="0.2">
      <c r="A47" s="12" t="str">
        <f t="shared" si="1"/>
        <v>12/31/2020</v>
      </c>
      <c r="B47"/>
      <c r="C47" s="269">
        <f>[4]CPI!H137</f>
        <v>194.81</v>
      </c>
      <c r="D47" s="77">
        <f t="shared" si="2"/>
        <v>203.50453907030715</v>
      </c>
      <c r="E47" s="77">
        <f t="shared" si="3"/>
        <v>203.32361639519135</v>
      </c>
      <c r="F47" s="77">
        <f t="shared" si="5"/>
        <v>203.73556390977501</v>
      </c>
      <c r="G47" s="77">
        <f t="shared" si="6"/>
        <v>203.50974954678483</v>
      </c>
      <c r="H47" s="77">
        <f>TREND($C$40:$C$55,$N$40:$N$55,$N47,TRUE)</f>
        <v>202.79907352941336</v>
      </c>
      <c r="I47" s="77">
        <f t="shared" si="8"/>
        <v>202.616968465761</v>
      </c>
      <c r="J47" s="77">
        <f t="shared" si="9"/>
        <v>198.67430069929833</v>
      </c>
      <c r="K47" s="77">
        <f t="shared" si="10"/>
        <v>198.62495707231599</v>
      </c>
      <c r="L47" s="77"/>
      <c r="M47" s="2"/>
      <c r="N47" s="12">
        <f t="shared" si="4"/>
        <v>2021</v>
      </c>
    </row>
    <row r="48" spans="1:14" x14ac:dyDescent="0.2">
      <c r="A48" s="12" t="str">
        <f t="shared" si="1"/>
        <v>3/31/2021</v>
      </c>
      <c r="C48" s="269">
        <f>[4]CPI!H138</f>
        <v>194.38</v>
      </c>
      <c r="D48" s="77">
        <f t="shared" si="2"/>
        <v>204.15452124355124</v>
      </c>
      <c r="E48" s="77">
        <f t="shared" si="3"/>
        <v>203.98981508458073</v>
      </c>
      <c r="F48" s="77">
        <f t="shared" si="5"/>
        <v>204.92593984962514</v>
      </c>
      <c r="G48" s="77">
        <f t="shared" si="6"/>
        <v>204.68296731921887</v>
      </c>
      <c r="H48" s="77">
        <f t="shared" si="7"/>
        <v>204.35467647058977</v>
      </c>
      <c r="I48" s="77">
        <f>GROWTH($C$40:$C$55,$N$40:$N$55,$N48,TRUE)</f>
        <v>204.13465546823673</v>
      </c>
      <c r="J48" s="77">
        <f>TREND($C$44:$C$55,$N$44:$N$55,$N48,TRUE)</f>
        <v>201.26958041957914</v>
      </c>
      <c r="K48" s="77">
        <f>GROWTH($C$44:$C$55,$N$44:$N$55,$N48,TRUE)</f>
        <v>201.11824183676467</v>
      </c>
      <c r="L48" s="77"/>
      <c r="M48" s="2"/>
      <c r="N48" s="12">
        <f t="shared" si="4"/>
        <v>2021.25</v>
      </c>
    </row>
    <row r="49" spans="1:14" x14ac:dyDescent="0.2">
      <c r="A49" s="12" t="str">
        <f t="shared" si="1"/>
        <v>6/30/2021</v>
      </c>
      <c r="C49" s="269">
        <f>[4]CPI!H139</f>
        <v>197.57</v>
      </c>
      <c r="D49" s="77">
        <f t="shared" si="2"/>
        <v>204.80450341679443</v>
      </c>
      <c r="E49" s="77">
        <f t="shared" si="3"/>
        <v>204.65819660300696</v>
      </c>
      <c r="F49" s="77">
        <f>TREND($C$36:$C$55,$N$36:$N$55,$N49,TRUE)</f>
        <v>206.11631578947345</v>
      </c>
      <c r="G49" s="77">
        <f t="shared" si="6"/>
        <v>205.86294860025296</v>
      </c>
      <c r="H49" s="77">
        <f t="shared" si="7"/>
        <v>205.91027941176617</v>
      </c>
      <c r="I49" s="77">
        <f t="shared" si="8"/>
        <v>205.66371058985339</v>
      </c>
      <c r="J49" s="77">
        <f t="shared" si="9"/>
        <v>203.86486013985996</v>
      </c>
      <c r="K49" s="77">
        <f t="shared" si="10"/>
        <v>203.64282412297334</v>
      </c>
      <c r="L49" s="77"/>
      <c r="M49" s="2"/>
      <c r="N49" s="12">
        <f t="shared" si="4"/>
        <v>2021.5</v>
      </c>
    </row>
    <row r="50" spans="1:14" x14ac:dyDescent="0.2">
      <c r="A50" s="12" t="str">
        <f t="shared" si="1"/>
        <v>9/30/2021</v>
      </c>
      <c r="C50" s="269">
        <f>[4]CPI!H140</f>
        <v>201.27</v>
      </c>
      <c r="D50" s="77">
        <f t="shared" si="2"/>
        <v>205.45448559003853</v>
      </c>
      <c r="E50" s="77">
        <f>GROWTH($C$14:$C$55,$N$14:$N$55,$N50,TRUE)</f>
        <v>205.32876810260524</v>
      </c>
      <c r="F50" s="77">
        <f t="shared" si="5"/>
        <v>207.30669172932357</v>
      </c>
      <c r="G50" s="77">
        <f t="shared" si="6"/>
        <v>207.04973238098756</v>
      </c>
      <c r="H50" s="77">
        <f t="shared" si="7"/>
        <v>207.46588235294257</v>
      </c>
      <c r="I50" s="77">
        <f t="shared" si="8"/>
        <v>207.20421898264331</v>
      </c>
      <c r="J50" s="77">
        <f t="shared" si="9"/>
        <v>206.46013986014077</v>
      </c>
      <c r="K50" s="77">
        <f t="shared" si="10"/>
        <v>206.19909680017901</v>
      </c>
      <c r="L50" s="77"/>
      <c r="M50" s="2"/>
      <c r="N50" s="12">
        <f t="shared" si="4"/>
        <v>2021.75</v>
      </c>
    </row>
    <row r="51" spans="1:14" x14ac:dyDescent="0.2">
      <c r="A51" s="12" t="str">
        <f t="shared" si="1"/>
        <v>12/31/2021</v>
      </c>
      <c r="C51" s="269">
        <f>[4]CPI!H141</f>
        <v>206.73</v>
      </c>
      <c r="D51" s="77">
        <f t="shared" si="2"/>
        <v>206.10446776328172</v>
      </c>
      <c r="E51" s="77">
        <f t="shared" si="3"/>
        <v>206.00153675894282</v>
      </c>
      <c r="F51" s="77">
        <f t="shared" si="5"/>
        <v>208.4970676691737</v>
      </c>
      <c r="G51" s="77">
        <f t="shared" si="6"/>
        <v>208.24335787729791</v>
      </c>
      <c r="H51" s="77">
        <f t="shared" si="7"/>
        <v>209.02148529411897</v>
      </c>
      <c r="I51" s="77">
        <f t="shared" si="8"/>
        <v>208.75626643646373</v>
      </c>
      <c r="J51" s="77">
        <f t="shared" si="9"/>
        <v>209.05541958041795</v>
      </c>
      <c r="K51" s="77">
        <f t="shared" si="10"/>
        <v>208.78745766918695</v>
      </c>
      <c r="L51" s="77"/>
      <c r="M51" s="2"/>
      <c r="N51" s="12">
        <f t="shared" si="4"/>
        <v>2022</v>
      </c>
    </row>
    <row r="52" spans="1:14" x14ac:dyDescent="0.2">
      <c r="A52" s="12" t="str">
        <f t="shared" si="1"/>
        <v>3/31/2022</v>
      </c>
      <c r="C52" s="269">
        <f>[4]CPI!H142</f>
        <v>213</v>
      </c>
      <c r="D52" s="77">
        <f t="shared" si="2"/>
        <v>206.75444993652582</v>
      </c>
      <c r="E52" s="77">
        <f t="shared" si="3"/>
        <v>206.67650977110029</v>
      </c>
      <c r="F52" s="77">
        <f t="shared" si="5"/>
        <v>209.68744360902383</v>
      </c>
      <c r="G52" s="77">
        <f t="shared" si="6"/>
        <v>209.44386453114012</v>
      </c>
      <c r="H52" s="77">
        <f t="shared" si="7"/>
        <v>210.57708823529538</v>
      </c>
      <c r="I52" s="77">
        <f t="shared" si="8"/>
        <v>210.31993938377428</v>
      </c>
      <c r="J52" s="77">
        <f t="shared" si="9"/>
        <v>211.65069930069876</v>
      </c>
      <c r="K52" s="77">
        <f t="shared" si="10"/>
        <v>211.40830952429613</v>
      </c>
      <c r="L52" s="77"/>
      <c r="M52" s="2"/>
      <c r="N52" s="12">
        <f t="shared" si="4"/>
        <v>2022.25</v>
      </c>
    </row>
    <row r="53" spans="1:14" x14ac:dyDescent="0.2">
      <c r="A53" s="12" t="str">
        <f t="shared" si="1"/>
        <v>6/30/2022</v>
      </c>
      <c r="C53" s="269">
        <f>[4]CPI!H143</f>
        <v>217.2</v>
      </c>
      <c r="D53" s="77">
        <f t="shared" si="2"/>
        <v>207.404432109769</v>
      </c>
      <c r="E53" s="77">
        <f t="shared" si="3"/>
        <v>207.35369436174619</v>
      </c>
      <c r="F53" s="77">
        <f t="shared" si="5"/>
        <v>210.87781954887214</v>
      </c>
      <c r="G53" s="77">
        <f t="shared" si="6"/>
        <v>210.6512920118501</v>
      </c>
      <c r="H53" s="77">
        <f t="shared" si="7"/>
        <v>212.13269117647178</v>
      </c>
      <c r="I53" s="77">
        <f t="shared" si="8"/>
        <v>211.89532490445038</v>
      </c>
      <c r="J53" s="77">
        <f t="shared" si="9"/>
        <v>214.24597902097958</v>
      </c>
      <c r="K53" s="77">
        <f t="shared" si="10"/>
        <v>214.06206021597214</v>
      </c>
      <c r="L53"/>
      <c r="M53" s="2"/>
      <c r="N53" s="12">
        <f t="shared" si="4"/>
        <v>2022.5</v>
      </c>
    </row>
    <row r="54" spans="1:14" x14ac:dyDescent="0.2">
      <c r="A54" s="12" t="str">
        <f>TEXT(DATE(YEAR(A55+1),MONTH(A55+1)-3,1)-1,"m/d/yyyy")</f>
        <v>9/30/2022</v>
      </c>
      <c r="C54" s="269">
        <f>[4]CPI!H144</f>
        <v>220.58</v>
      </c>
      <c r="D54" s="77">
        <f t="shared" si="2"/>
        <v>208.0544142830131</v>
      </c>
      <c r="E54" s="77">
        <f t="shared" si="3"/>
        <v>208.03309777721248</v>
      </c>
      <c r="F54" s="77">
        <f t="shared" si="5"/>
        <v>212.06819548872227</v>
      </c>
      <c r="G54" s="77">
        <f t="shared" si="6"/>
        <v>211.86568021744989</v>
      </c>
      <c r="H54" s="77">
        <f t="shared" si="7"/>
        <v>213.68829411764818</v>
      </c>
      <c r="I54" s="77">
        <f t="shared" si="8"/>
        <v>213.48251073063258</v>
      </c>
      <c r="J54" s="77">
        <f t="shared" si="9"/>
        <v>216.84125874125675</v>
      </c>
      <c r="K54" s="77">
        <f t="shared" si="10"/>
        <v>216.74912271430685</v>
      </c>
      <c r="L54"/>
      <c r="M54" s="2"/>
      <c r="N54" s="12">
        <f t="shared" si="4"/>
        <v>2022.75</v>
      </c>
    </row>
    <row r="55" spans="1:14" x14ac:dyDescent="0.2">
      <c r="A55" s="12" t="str">
        <f>TEXT(N9,"m/d/yyyy")</f>
        <v>12/31/2022</v>
      </c>
      <c r="C55" s="269">
        <f>[4]CPI!H145</f>
        <v>223.01</v>
      </c>
      <c r="D55" s="77">
        <f>TREND($C$14:$C$55,$N$14:$N$55,$N55,TRUE)</f>
        <v>208.70439645625629</v>
      </c>
      <c r="E55" s="77">
        <f>GROWTH($C$14:$C$55,$N$14:$N$55,$N55,TRUE)</f>
        <v>208.71472728757601</v>
      </c>
      <c r="F55" s="77">
        <f>TREND($C$36:$C$55,$N$36:$N$55,$N55,TRUE)</f>
        <v>213.2585714285724</v>
      </c>
      <c r="G55" s="77">
        <f>GROWTH($C$36:$C$55,$N$36:$N$55,$N55,TRUE)</f>
        <v>213.08706927597649</v>
      </c>
      <c r="H55" s="77">
        <f t="shared" si="7"/>
        <v>215.24389705882459</v>
      </c>
      <c r="I55" s="77">
        <f>GROWTH($C$40:$C$55,$N$40:$N$55,$N55,TRUE)</f>
        <v>215.08158525161238</v>
      </c>
      <c r="J55" s="77">
        <f>TREND($C$44:$C$55,$N$44:$N$55,$N55,TRUE)</f>
        <v>219.43653846153757</v>
      </c>
      <c r="K55" s="77">
        <f>GROWTH($C$44:$C$55,$N$44:$N$55,$N55,TRUE)</f>
        <v>219.46991517330503</v>
      </c>
      <c r="L55" s="77"/>
      <c r="M55" s="2"/>
      <c r="N55" s="12">
        <f>YEAR(A55)+MONTH(A55)/12</f>
        <v>2023</v>
      </c>
    </row>
    <row r="56" spans="1:14" x14ac:dyDescent="0.2">
      <c r="A56" s="79"/>
      <c r="B56" s="9"/>
      <c r="C56" s="108"/>
      <c r="D56" s="78"/>
      <c r="E56" s="78"/>
      <c r="F56" s="78"/>
      <c r="G56" s="78"/>
      <c r="H56" s="78"/>
      <c r="I56" s="78"/>
      <c r="J56" s="78"/>
      <c r="K56" s="78"/>
      <c r="L56"/>
      <c r="M56" s="2"/>
    </row>
    <row r="57" spans="1:14" x14ac:dyDescent="0.2">
      <c r="A57"/>
      <c r="C57"/>
      <c r="D57"/>
      <c r="E57"/>
      <c r="F57"/>
      <c r="G57"/>
      <c r="H57"/>
      <c r="J57"/>
      <c r="K57"/>
      <c r="L57"/>
      <c r="M57" s="2"/>
    </row>
    <row r="58" spans="1:14" x14ac:dyDescent="0.2">
      <c r="A58" s="12" t="s">
        <v>288</v>
      </c>
      <c r="C58"/>
      <c r="D58" s="19">
        <f>(D55-D51)/D55</f>
        <v>1.2457469689765296E-2</v>
      </c>
      <c r="E58" s="19">
        <f>LOGEST($C$14:$C$55,$N$14:$N$55,TRUE,TRUE)-1</f>
        <v>1.3170729555324945E-2</v>
      </c>
      <c r="F58" s="19">
        <f>(F55-F51)/F55</f>
        <v>2.2327373420455848E-2</v>
      </c>
      <c r="G58" s="19">
        <f>LOGEST($C$36:$C$55,$N$36:$N$55,TRUE,TRUE)-1</f>
        <v>2.3259860233009189E-2</v>
      </c>
      <c r="H58" s="19">
        <f>(H55-H51)/H55</f>
        <v>2.8908655946723878E-2</v>
      </c>
      <c r="I58" s="19">
        <f>LOGEST($C$40:$C$55,$N$40:$N$55,TRUE,TRUE)-1</f>
        <v>3.0300018883858471E-2</v>
      </c>
      <c r="J58" s="19">
        <f>(J55-J51)/J55</f>
        <v>4.7308068901839709E-2</v>
      </c>
      <c r="K58" s="19">
        <f>LOGEST($C$44:$C$55,$N$44:$N$55,TRUE,TRUE)-1</f>
        <v>5.1164268310803118E-2</v>
      </c>
      <c r="L58" s="19"/>
      <c r="M58" s="2"/>
    </row>
    <row r="59" spans="1:14" x14ac:dyDescent="0.2">
      <c r="A59" t="s">
        <v>289</v>
      </c>
      <c r="B59"/>
      <c r="C59" s="60"/>
      <c r="D59" s="28">
        <f>INDEX(LINEST($C$14:$C$55,$N$14:$N$55,TRUE,TRUE),3,1)</f>
        <v>0.75291686471239783</v>
      </c>
      <c r="E59" s="28">
        <f>INDEX(LOGEST($C$14:$C$55,$N$14:$N$55,TRUE,TRUE),3,1)</f>
        <v>0.77412783430893017</v>
      </c>
      <c r="F59" s="28">
        <f>INDEX(LINEST($C$36:$C$55,$N$36:$N$55,TRUE,TRUE),3,1)</f>
        <v>0.59980081400716923</v>
      </c>
      <c r="G59" s="28">
        <f>INDEX(LOGEST($C$36:$C$55,$N$36:$N$55,TRUE,TRUE),3,1)</f>
        <v>0.60227652945663868</v>
      </c>
      <c r="H59" s="28">
        <f>INDEX(LINEST($C$40:$C$55,$N$40:$N$55,TRUE,TRUE),3,1)</f>
        <v>0.60581054763295228</v>
      </c>
      <c r="I59" s="28">
        <f>INDEX(LOGEST($C$40:$C$55,$N$40:$N$55,TRUE,TRUE),3,1)</f>
        <v>0.60320958611585862</v>
      </c>
      <c r="J59" s="28">
        <f>INDEX(LINEST($C$44:$C$55,$N$44:$N$55,TRUE,TRUE),3,1)</f>
        <v>0.78239017974603797</v>
      </c>
      <c r="K59" s="28">
        <f>INDEX(LOGEST($C$44:$C$55,$N$44:$N$55,TRUE,TRUE),3,1)</f>
        <v>0.78116535215399885</v>
      </c>
      <c r="L59" s="28"/>
      <c r="M59" s="2"/>
    </row>
    <row r="60" spans="1:14" ht="12" thickBo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/>
      <c r="M60" s="2"/>
    </row>
    <row r="61" spans="1:14" ht="12" thickTop="1" x14ac:dyDescent="0.2">
      <c r="A61"/>
      <c r="B61"/>
      <c r="C61"/>
      <c r="D61"/>
      <c r="E61"/>
      <c r="F61"/>
      <c r="G61"/>
      <c r="H61"/>
      <c r="I61"/>
      <c r="J61"/>
      <c r="K61"/>
      <c r="L61"/>
      <c r="M61" s="2"/>
    </row>
    <row r="62" spans="1:14" x14ac:dyDescent="0.2">
      <c r="A62" t="s">
        <v>18</v>
      </c>
      <c r="B62"/>
      <c r="F62"/>
      <c r="G62"/>
      <c r="H62"/>
      <c r="I62"/>
      <c r="J62"/>
      <c r="K62"/>
      <c r="L62"/>
      <c r="M62" s="2"/>
    </row>
    <row r="63" spans="1:14" x14ac:dyDescent="0.2">
      <c r="A63"/>
      <c r="B63" s="12" t="str">
        <f>C12&amp;" = Weighted average of CPI for Lodging, Apparel, Furnishings, and Medical Care"</f>
        <v>(2) = Weighted average of CPI for Lodging, Apparel, Furnishings, and Medical Care</v>
      </c>
      <c r="C63"/>
      <c r="D63"/>
      <c r="E63"/>
      <c r="F63"/>
      <c r="H63"/>
      <c r="J63"/>
      <c r="K63"/>
      <c r="L63"/>
      <c r="M63" s="2"/>
    </row>
    <row r="64" spans="1:14" x14ac:dyDescent="0.2">
      <c r="A64"/>
      <c r="B64" s="12" t="str">
        <f>D12&amp;" - "&amp;K12&amp;" = "&amp;C12&amp;" fitted to linear and exponential distributions"</f>
        <v>(3) - (10) = (2) fitted to linear and exponential distributions</v>
      </c>
      <c r="D64"/>
      <c r="E64"/>
      <c r="F64"/>
      <c r="H64"/>
      <c r="J64"/>
      <c r="K64"/>
      <c r="L64"/>
      <c r="M64" s="2"/>
    </row>
    <row r="65" spans="1:13" x14ac:dyDescent="0.2">
      <c r="A65"/>
      <c r="D65"/>
      <c r="E65"/>
      <c r="F65"/>
      <c r="H65"/>
      <c r="J65"/>
      <c r="K65"/>
      <c r="L65"/>
      <c r="M65" s="2"/>
    </row>
    <row r="66" spans="1:13" x14ac:dyDescent="0.2">
      <c r="A66"/>
      <c r="D66"/>
      <c r="E66"/>
      <c r="F66"/>
      <c r="H66"/>
      <c r="J66"/>
      <c r="K66"/>
      <c r="L66"/>
      <c r="M66" s="2"/>
    </row>
    <row r="67" spans="1:13" x14ac:dyDescent="0.2">
      <c r="A67"/>
      <c r="D67"/>
      <c r="E67"/>
      <c r="F67"/>
      <c r="H67"/>
      <c r="J67"/>
      <c r="K67"/>
      <c r="L67"/>
      <c r="M67" s="2"/>
    </row>
    <row r="68" spans="1:13" ht="12" thickBot="1" x14ac:dyDescent="0.25">
      <c r="A68"/>
      <c r="B68"/>
      <c r="C68" s="60"/>
      <c r="D68" s="28"/>
      <c r="E68" s="28"/>
      <c r="F68" s="28"/>
      <c r="G68" s="28"/>
      <c r="H68" s="28"/>
      <c r="I68" s="28"/>
      <c r="J68" s="28"/>
      <c r="K68" s="28"/>
      <c r="L68" s="28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rgb="FF92D050"/>
  </sheetPr>
  <dimension ref="A1:O72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6.6640625" customWidth="1"/>
    <col min="3" max="6" width="15.33203125" customWidth="1"/>
    <col min="7" max="9" width="11.33203125" customWidth="1"/>
    <col min="10" max="10" width="4" customWidth="1"/>
  </cols>
  <sheetData>
    <row r="1" spans="1:15" x14ac:dyDescent="0.2">
      <c r="A1" s="8" t="str">
        <f>'1'!$A$1</f>
        <v>Texas Windstorm Insurance Association</v>
      </c>
      <c r="B1" s="12"/>
      <c r="J1" s="7" t="s">
        <v>55</v>
      </c>
      <c r="K1" s="1"/>
      <c r="N1" t="s">
        <v>526</v>
      </c>
      <c r="O1" t="s">
        <v>555</v>
      </c>
    </row>
    <row r="2" spans="1:15" x14ac:dyDescent="0.2">
      <c r="A2" s="8" t="str">
        <f>'1'!$A$2</f>
        <v>Commercial Property - Wind &amp; Hail</v>
      </c>
      <c r="B2" s="12"/>
      <c r="J2" s="7" t="s">
        <v>21</v>
      </c>
      <c r="K2" s="2"/>
      <c r="N2" t="s">
        <v>526</v>
      </c>
      <c r="O2" t="s">
        <v>556</v>
      </c>
    </row>
    <row r="3" spans="1:15" x14ac:dyDescent="0.2">
      <c r="A3" s="8" t="str">
        <f>'1'!$A$3</f>
        <v>Rate Level Review</v>
      </c>
      <c r="B3" s="12"/>
      <c r="K3" s="2"/>
      <c r="N3" t="s">
        <v>526</v>
      </c>
      <c r="O3" t="s">
        <v>557</v>
      </c>
    </row>
    <row r="4" spans="1:15" x14ac:dyDescent="0.2">
      <c r="A4" t="s">
        <v>56</v>
      </c>
      <c r="B4" s="12"/>
      <c r="K4" s="2"/>
      <c r="N4" t="s">
        <v>526</v>
      </c>
      <c r="O4" t="s">
        <v>566</v>
      </c>
    </row>
    <row r="5" spans="1:15" x14ac:dyDescent="0.2">
      <c r="B5" s="12"/>
      <c r="K5" s="2"/>
    </row>
    <row r="6" spans="1:15" ht="12" thickBot="1" x14ac:dyDescent="0.25">
      <c r="A6" s="6"/>
      <c r="B6" s="6"/>
      <c r="C6" s="6"/>
      <c r="D6" s="6"/>
      <c r="E6" s="6"/>
      <c r="F6" s="6"/>
      <c r="K6" s="2"/>
    </row>
    <row r="7" spans="1:15" ht="12" thickTop="1" x14ac:dyDescent="0.2">
      <c r="K7" s="2"/>
    </row>
    <row r="8" spans="1:15" x14ac:dyDescent="0.2">
      <c r="C8" s="12" t="s">
        <v>33</v>
      </c>
      <c r="D8" t="s">
        <v>33</v>
      </c>
      <c r="E8" t="s">
        <v>28</v>
      </c>
      <c r="K8" s="2"/>
    </row>
    <row r="9" spans="1:15" x14ac:dyDescent="0.2">
      <c r="A9" t="s">
        <v>41</v>
      </c>
      <c r="C9" t="s">
        <v>28</v>
      </c>
      <c r="D9" t="s">
        <v>28</v>
      </c>
      <c r="E9" t="s">
        <v>57</v>
      </c>
      <c r="F9" t="s">
        <v>5</v>
      </c>
      <c r="K9" s="2"/>
    </row>
    <row r="10" spans="1:15" x14ac:dyDescent="0.2">
      <c r="A10" s="9" t="s">
        <v>42</v>
      </c>
      <c r="B10" s="9"/>
      <c r="C10" s="9" t="s">
        <v>34</v>
      </c>
      <c r="D10" s="9" t="s">
        <v>29</v>
      </c>
      <c r="E10" s="9" t="s">
        <v>58</v>
      </c>
      <c r="F10" s="9" t="s">
        <v>59</v>
      </c>
      <c r="K10" s="2"/>
    </row>
    <row r="11" spans="1:15" x14ac:dyDescent="0.2">
      <c r="A11" s="13" t="str">
        <f>TEXT(COLUMN(),"(#)")</f>
        <v>(1)</v>
      </c>
      <c r="B11" s="13"/>
      <c r="C11" s="11" t="str">
        <f>TEXT(COLUMN()-1,"(#)")</f>
        <v>(2)</v>
      </c>
      <c r="D11" s="11" t="str">
        <f>TEXT(COLUMN()-1,"(#)")</f>
        <v>(3)</v>
      </c>
      <c r="E11" s="11" t="str">
        <f>TEXT(COLUMN()-1,"(#)")</f>
        <v>(4)</v>
      </c>
      <c r="F11" s="11" t="str">
        <f>TEXT(COLUMN()-1,"(#)")</f>
        <v>(5)</v>
      </c>
      <c r="K11" s="2"/>
    </row>
    <row r="12" spans="1:15" x14ac:dyDescent="0.2">
      <c r="K12" s="2"/>
    </row>
    <row r="13" spans="1:15" x14ac:dyDescent="0.2">
      <c r="A13" s="61">
        <v>1980</v>
      </c>
      <c r="B13" s="22"/>
      <c r="C13" s="26">
        <f>'4.2'!E14</f>
        <v>12911</v>
      </c>
      <c r="D13" s="26">
        <f>'4.4'!G13</f>
        <v>1318</v>
      </c>
      <c r="E13" s="32">
        <f>ROUND(D13/C13,3)</f>
        <v>0.10199999999999999</v>
      </c>
      <c r="F13" s="31" t="s">
        <v>60</v>
      </c>
      <c r="K13" s="2"/>
    </row>
    <row r="14" spans="1:15" x14ac:dyDescent="0.2">
      <c r="A14" t="str">
        <f>TEXT(A13+1,"#")</f>
        <v>1981</v>
      </c>
      <c r="B14" s="22"/>
      <c r="C14" s="26">
        <f>'4.2'!E15</f>
        <v>2512</v>
      </c>
      <c r="D14" s="26">
        <f>'4.4'!G14</f>
        <v>543</v>
      </c>
      <c r="E14" s="32">
        <f t="shared" ref="E14:E50" si="0">ROUND(D14/C14,3)</f>
        <v>0.216</v>
      </c>
      <c r="F14" s="31"/>
      <c r="K14" s="2"/>
    </row>
    <row r="15" spans="1:15" x14ac:dyDescent="0.2">
      <c r="A15" t="str">
        <f t="shared" ref="A15:A45" si="1">TEXT(A14+1,"#")</f>
        <v>1982</v>
      </c>
      <c r="B15" s="22"/>
      <c r="C15" s="26">
        <f>'4.2'!E16</f>
        <v>796</v>
      </c>
      <c r="D15" s="26">
        <f>'4.4'!G15</f>
        <v>565</v>
      </c>
      <c r="E15" s="32">
        <f t="shared" si="0"/>
        <v>0.71</v>
      </c>
      <c r="F15" s="31"/>
      <c r="K15" s="2"/>
    </row>
    <row r="16" spans="1:15" x14ac:dyDescent="0.2">
      <c r="A16" t="str">
        <f t="shared" si="1"/>
        <v>1983</v>
      </c>
      <c r="B16" s="22"/>
      <c r="C16" s="26">
        <f>'4.2'!E17</f>
        <v>148999</v>
      </c>
      <c r="D16" s="26">
        <f>'4.4'!G16</f>
        <v>9127</v>
      </c>
      <c r="E16" s="32">
        <f t="shared" si="0"/>
        <v>6.0999999999999999E-2</v>
      </c>
      <c r="F16" s="31" t="s">
        <v>60</v>
      </c>
      <c r="K16" s="2"/>
    </row>
    <row r="17" spans="1:11" x14ac:dyDescent="0.2">
      <c r="A17" t="str">
        <f t="shared" si="1"/>
        <v>1984</v>
      </c>
      <c r="B17" s="22"/>
      <c r="C17" s="26">
        <f>'4.2'!E18</f>
        <v>999</v>
      </c>
      <c r="D17" s="26">
        <f>'4.4'!G17</f>
        <v>324</v>
      </c>
      <c r="E17" s="32">
        <f t="shared" si="0"/>
        <v>0.32400000000000001</v>
      </c>
      <c r="F17" s="31"/>
      <c r="K17" s="2"/>
    </row>
    <row r="18" spans="1:11" x14ac:dyDescent="0.2">
      <c r="A18" t="str">
        <f t="shared" si="1"/>
        <v>1985</v>
      </c>
      <c r="B18" s="22"/>
      <c r="C18" s="26">
        <f>'4.2'!E19</f>
        <v>512</v>
      </c>
      <c r="D18" s="26">
        <f>'4.4'!G18</f>
        <v>297</v>
      </c>
      <c r="E18" s="32">
        <f t="shared" si="0"/>
        <v>0.57999999999999996</v>
      </c>
      <c r="F18" s="31"/>
      <c r="K18" s="2"/>
    </row>
    <row r="19" spans="1:11" x14ac:dyDescent="0.2">
      <c r="A19" t="str">
        <f t="shared" si="1"/>
        <v>1986</v>
      </c>
      <c r="B19" s="22"/>
      <c r="C19" s="26">
        <f>'4.2'!E20</f>
        <v>881</v>
      </c>
      <c r="D19" s="26">
        <f>'4.4'!G19</f>
        <v>505</v>
      </c>
      <c r="E19" s="32">
        <f t="shared" si="0"/>
        <v>0.57299999999999995</v>
      </c>
      <c r="F19" s="31" t="s">
        <v>60</v>
      </c>
      <c r="K19" s="2"/>
    </row>
    <row r="20" spans="1:11" x14ac:dyDescent="0.2">
      <c r="A20" t="str">
        <f t="shared" si="1"/>
        <v>1987</v>
      </c>
      <c r="B20" s="22"/>
      <c r="C20" s="26">
        <f>'4.2'!E21</f>
        <v>1897</v>
      </c>
      <c r="D20" s="26">
        <f>'4.4'!G20</f>
        <v>1056</v>
      </c>
      <c r="E20" s="32">
        <f t="shared" si="0"/>
        <v>0.55700000000000005</v>
      </c>
      <c r="F20" s="31"/>
      <c r="K20" s="2"/>
    </row>
    <row r="21" spans="1:11" x14ac:dyDescent="0.2">
      <c r="A21" t="str">
        <f t="shared" si="1"/>
        <v>1988</v>
      </c>
      <c r="B21" s="22"/>
      <c r="C21" s="26">
        <f>'4.2'!E22</f>
        <v>1160</v>
      </c>
      <c r="D21" s="26">
        <f>'4.4'!G21</f>
        <v>357</v>
      </c>
      <c r="E21" s="32">
        <f t="shared" si="0"/>
        <v>0.308</v>
      </c>
      <c r="F21" s="31"/>
      <c r="K21" s="2"/>
    </row>
    <row r="22" spans="1:11" x14ac:dyDescent="0.2">
      <c r="A22" t="str">
        <f t="shared" si="1"/>
        <v>1989</v>
      </c>
      <c r="C22" s="26">
        <f>'4.2'!E23</f>
        <v>12296</v>
      </c>
      <c r="D22" s="26">
        <f>'4.4'!G22</f>
        <v>3528</v>
      </c>
      <c r="E22" s="32">
        <f t="shared" si="0"/>
        <v>0.28699999999999998</v>
      </c>
      <c r="F22" s="24" t="s">
        <v>60</v>
      </c>
      <c r="K22" s="2"/>
    </row>
    <row r="23" spans="1:11" x14ac:dyDescent="0.2">
      <c r="A23" t="str">
        <f t="shared" si="1"/>
        <v>1990</v>
      </c>
      <c r="C23" s="26">
        <f>'4.2'!E24</f>
        <v>335</v>
      </c>
      <c r="D23" s="26">
        <f>'4.4'!G23</f>
        <v>225</v>
      </c>
      <c r="E23" s="32">
        <f t="shared" si="0"/>
        <v>0.67200000000000004</v>
      </c>
      <c r="F23" s="24"/>
      <c r="K23" s="2"/>
    </row>
    <row r="24" spans="1:11" x14ac:dyDescent="0.2">
      <c r="A24" t="str">
        <f t="shared" si="1"/>
        <v>1991</v>
      </c>
      <c r="C24" s="26">
        <f>'4.2'!E25</f>
        <v>1217</v>
      </c>
      <c r="D24" s="26">
        <f>'4.4'!G24</f>
        <v>729</v>
      </c>
      <c r="E24" s="32">
        <f t="shared" si="0"/>
        <v>0.59899999999999998</v>
      </c>
      <c r="F24" s="24"/>
      <c r="K24" s="2"/>
    </row>
    <row r="25" spans="1:11" x14ac:dyDescent="0.2">
      <c r="A25" t="str">
        <f t="shared" si="1"/>
        <v>1992</v>
      </c>
      <c r="C25" s="26">
        <f>'4.2'!E26</f>
        <v>489</v>
      </c>
      <c r="D25" s="26">
        <f>'4.4'!G25</f>
        <v>554</v>
      </c>
      <c r="E25" s="32">
        <f t="shared" si="0"/>
        <v>1.133</v>
      </c>
      <c r="F25" s="24"/>
      <c r="K25" s="2"/>
    </row>
    <row r="26" spans="1:11" x14ac:dyDescent="0.2">
      <c r="A26" t="str">
        <f t="shared" si="1"/>
        <v>1993</v>
      </c>
      <c r="C26" s="26">
        <f>'4.2'!E27</f>
        <v>3375</v>
      </c>
      <c r="D26" s="26">
        <f>'4.4'!G26</f>
        <v>1375</v>
      </c>
      <c r="E26" s="32">
        <f t="shared" si="0"/>
        <v>0.40699999999999997</v>
      </c>
      <c r="F26" s="24"/>
      <c r="K26" s="2"/>
    </row>
    <row r="27" spans="1:11" x14ac:dyDescent="0.2">
      <c r="A27" t="str">
        <f t="shared" si="1"/>
        <v>1994</v>
      </c>
      <c r="C27" s="26">
        <f>'4.2'!E28</f>
        <v>679</v>
      </c>
      <c r="D27" s="26">
        <f>'4.4'!G27</f>
        <v>507</v>
      </c>
      <c r="E27" s="32">
        <f t="shared" si="0"/>
        <v>0.747</v>
      </c>
      <c r="F27" s="24"/>
      <c r="K27" s="2"/>
    </row>
    <row r="28" spans="1:11" x14ac:dyDescent="0.2">
      <c r="A28" t="str">
        <f t="shared" si="1"/>
        <v>1995</v>
      </c>
      <c r="C28" s="26">
        <f>'4.2'!E29</f>
        <v>2977</v>
      </c>
      <c r="D28" s="26">
        <f>'4.4'!G28</f>
        <v>903</v>
      </c>
      <c r="E28" s="32">
        <f t="shared" si="0"/>
        <v>0.30299999999999999</v>
      </c>
      <c r="F28" s="24"/>
      <c r="K28" s="2"/>
    </row>
    <row r="29" spans="1:11" x14ac:dyDescent="0.2">
      <c r="A29" t="str">
        <f t="shared" si="1"/>
        <v>1996</v>
      </c>
      <c r="C29" s="26">
        <f>'4.2'!E30</f>
        <v>1166</v>
      </c>
      <c r="D29" s="26">
        <f>'4.4'!G29</f>
        <v>582</v>
      </c>
      <c r="E29" s="32">
        <f t="shared" si="0"/>
        <v>0.499</v>
      </c>
      <c r="F29" s="24"/>
      <c r="K29" s="2"/>
    </row>
    <row r="30" spans="1:11" x14ac:dyDescent="0.2">
      <c r="A30" t="str">
        <f t="shared" si="1"/>
        <v>1997</v>
      </c>
      <c r="C30" s="26">
        <f>'4.2'!E31</f>
        <v>2964</v>
      </c>
      <c r="D30" s="26">
        <f>'4.4'!G30</f>
        <v>1343</v>
      </c>
      <c r="E30" s="32">
        <f t="shared" si="0"/>
        <v>0.45300000000000001</v>
      </c>
      <c r="F30" s="24"/>
      <c r="K30" s="2"/>
    </row>
    <row r="31" spans="1:11" x14ac:dyDescent="0.2">
      <c r="A31" t="str">
        <f t="shared" si="1"/>
        <v>1998</v>
      </c>
      <c r="B31" s="12"/>
      <c r="C31" s="26">
        <f>'4.2'!E32</f>
        <v>22401</v>
      </c>
      <c r="D31" s="26">
        <f>'4.4'!G31</f>
        <v>4732</v>
      </c>
      <c r="E31" s="32">
        <f t="shared" si="0"/>
        <v>0.21099999999999999</v>
      </c>
      <c r="F31" s="24"/>
      <c r="K31" s="2"/>
    </row>
    <row r="32" spans="1:11" x14ac:dyDescent="0.2">
      <c r="A32" t="str">
        <f t="shared" si="1"/>
        <v>1999</v>
      </c>
      <c r="B32" s="12"/>
      <c r="C32" s="26">
        <f>'4.2'!E33</f>
        <v>8773</v>
      </c>
      <c r="D32" s="26">
        <f>'4.4'!G32</f>
        <v>2388</v>
      </c>
      <c r="E32" s="32">
        <f t="shared" si="0"/>
        <v>0.27200000000000002</v>
      </c>
      <c r="F32" s="24" t="s">
        <v>60</v>
      </c>
      <c r="K32" s="2"/>
    </row>
    <row r="33" spans="1:11" x14ac:dyDescent="0.2">
      <c r="A33" t="str">
        <f t="shared" si="1"/>
        <v>2000</v>
      </c>
      <c r="B33" s="12"/>
      <c r="C33" s="26">
        <f>'4.2'!E34</f>
        <v>6227</v>
      </c>
      <c r="D33" s="26">
        <f>'4.4'!G33</f>
        <v>1885</v>
      </c>
      <c r="E33" s="32">
        <f t="shared" si="0"/>
        <v>0.30299999999999999</v>
      </c>
      <c r="F33" s="24"/>
      <c r="K33" s="2"/>
    </row>
    <row r="34" spans="1:11" x14ac:dyDescent="0.2">
      <c r="A34" t="str">
        <f t="shared" si="1"/>
        <v>2001</v>
      </c>
      <c r="C34" s="26">
        <f>'4.2'!E35</f>
        <v>24605</v>
      </c>
      <c r="D34" s="26">
        <f>'4.4'!G34</f>
        <v>1880</v>
      </c>
      <c r="E34" s="32">
        <f t="shared" si="0"/>
        <v>7.5999999999999998E-2</v>
      </c>
      <c r="F34" s="24"/>
      <c r="K34" s="2"/>
    </row>
    <row r="35" spans="1:11" x14ac:dyDescent="0.2">
      <c r="A35" t="str">
        <f t="shared" si="1"/>
        <v>2002</v>
      </c>
      <c r="C35" s="26">
        <f>'4.2'!E36</f>
        <v>5167</v>
      </c>
      <c r="D35" s="26">
        <f>'4.4'!G35</f>
        <v>5226</v>
      </c>
      <c r="E35" s="32">
        <f t="shared" si="0"/>
        <v>1.0109999999999999</v>
      </c>
      <c r="F35" s="24"/>
      <c r="K35" s="2"/>
    </row>
    <row r="36" spans="1:11" x14ac:dyDescent="0.2">
      <c r="A36" t="str">
        <f t="shared" si="1"/>
        <v>2003</v>
      </c>
      <c r="C36" s="26">
        <f>'4.2'!E37</f>
        <v>155001</v>
      </c>
      <c r="D36" s="26">
        <f>'4.4'!G36</f>
        <v>5122</v>
      </c>
      <c r="E36" s="32">
        <f t="shared" si="0"/>
        <v>3.3000000000000002E-2</v>
      </c>
      <c r="F36" s="24" t="s">
        <v>60</v>
      </c>
      <c r="K36" s="2"/>
    </row>
    <row r="37" spans="1:11" x14ac:dyDescent="0.2">
      <c r="A37" t="str">
        <f t="shared" si="1"/>
        <v>2004</v>
      </c>
      <c r="C37" s="26">
        <f>'4.2'!E38</f>
        <v>5167</v>
      </c>
      <c r="D37" s="26">
        <f>'4.4'!G37</f>
        <v>1471</v>
      </c>
      <c r="E37" s="32">
        <f t="shared" si="0"/>
        <v>0.28499999999999998</v>
      </c>
      <c r="F37" s="24"/>
      <c r="K37" s="2"/>
    </row>
    <row r="38" spans="1:11" x14ac:dyDescent="0.2">
      <c r="A38" t="str">
        <f t="shared" si="1"/>
        <v>2005</v>
      </c>
      <c r="C38" s="26">
        <f>'4.2'!E39</f>
        <v>154981</v>
      </c>
      <c r="D38" s="26">
        <f>'4.4'!G38</f>
        <v>20235</v>
      </c>
      <c r="E38" s="32">
        <f t="shared" si="0"/>
        <v>0.13100000000000001</v>
      </c>
      <c r="F38" s="24" t="s">
        <v>60</v>
      </c>
      <c r="K38" s="2"/>
    </row>
    <row r="39" spans="1:11" x14ac:dyDescent="0.2">
      <c r="A39" t="str">
        <f t="shared" si="1"/>
        <v>2006</v>
      </c>
      <c r="C39" s="26">
        <f>'4.2'!E40</f>
        <v>4276</v>
      </c>
      <c r="D39" s="26">
        <f>'4.4'!G39</f>
        <v>1110</v>
      </c>
      <c r="E39" s="32">
        <f t="shared" si="0"/>
        <v>0.26</v>
      </c>
      <c r="F39" s="24"/>
      <c r="K39" s="2"/>
    </row>
    <row r="40" spans="1:11" x14ac:dyDescent="0.2">
      <c r="A40" t="str">
        <f t="shared" si="1"/>
        <v>2007</v>
      </c>
      <c r="C40" s="26">
        <f>'4.2'!E41</f>
        <v>15745</v>
      </c>
      <c r="D40" s="26">
        <f>'4.4'!G40</f>
        <v>4941</v>
      </c>
      <c r="E40" s="32">
        <f t="shared" si="0"/>
        <v>0.314</v>
      </c>
      <c r="F40" s="24" t="s">
        <v>60</v>
      </c>
      <c r="K40" s="2"/>
    </row>
    <row r="41" spans="1:11" x14ac:dyDescent="0.2">
      <c r="A41" t="str">
        <f t="shared" si="1"/>
        <v>2008</v>
      </c>
      <c r="C41" s="26">
        <f>'4.2'!E42</f>
        <v>2583017</v>
      </c>
      <c r="D41" s="26">
        <f>'4.4'!G41</f>
        <v>346615</v>
      </c>
      <c r="E41" s="32">
        <f t="shared" si="0"/>
        <v>0.13400000000000001</v>
      </c>
      <c r="F41" s="24" t="s">
        <v>60</v>
      </c>
      <c r="K41" s="2"/>
    </row>
    <row r="42" spans="1:11" x14ac:dyDescent="0.2">
      <c r="A42" t="str">
        <f t="shared" si="1"/>
        <v>2009</v>
      </c>
      <c r="C42" s="26">
        <f>'4.2'!E43</f>
        <v>10407</v>
      </c>
      <c r="D42" s="26">
        <f>'4.4'!G42</f>
        <v>2219</v>
      </c>
      <c r="E42" s="32">
        <f t="shared" si="0"/>
        <v>0.21299999999999999</v>
      </c>
      <c r="F42" s="31"/>
      <c r="K42" s="2"/>
    </row>
    <row r="43" spans="1:11" x14ac:dyDescent="0.2">
      <c r="A43" t="str">
        <f t="shared" si="1"/>
        <v>2010</v>
      </c>
      <c r="B43" s="12"/>
      <c r="C43" s="26">
        <f>'4.2'!E44</f>
        <v>18005</v>
      </c>
      <c r="D43" s="26">
        <f>'4.4'!G43</f>
        <v>4274</v>
      </c>
      <c r="E43" s="32">
        <f t="shared" si="0"/>
        <v>0.23699999999999999</v>
      </c>
      <c r="F43" s="24"/>
      <c r="K43" s="2"/>
    </row>
    <row r="44" spans="1:11" x14ac:dyDescent="0.2">
      <c r="A44" t="str">
        <f t="shared" si="1"/>
        <v>2011</v>
      </c>
      <c r="B44" s="12"/>
      <c r="C44" s="26">
        <f>'4.2'!E45</f>
        <v>96073</v>
      </c>
      <c r="D44" s="26">
        <f>'4.4'!G44</f>
        <v>15108</v>
      </c>
      <c r="E44" s="32">
        <f t="shared" si="0"/>
        <v>0.157</v>
      </c>
      <c r="F44" s="24"/>
      <c r="K44" s="2"/>
    </row>
    <row r="45" spans="1:11" x14ac:dyDescent="0.2">
      <c r="A45" t="str">
        <f t="shared" si="1"/>
        <v>2012</v>
      </c>
      <c r="B45" s="12"/>
      <c r="C45" s="26">
        <f>'4.2'!E46</f>
        <v>67492</v>
      </c>
      <c r="D45" s="26">
        <f>'4.4'!G45</f>
        <v>15833</v>
      </c>
      <c r="E45" s="32">
        <f t="shared" si="0"/>
        <v>0.23499999999999999</v>
      </c>
      <c r="F45" s="24"/>
      <c r="K45" s="2"/>
    </row>
    <row r="46" spans="1:11" x14ac:dyDescent="0.2">
      <c r="A46" t="str">
        <f>TEXT(A45+1,"#")</f>
        <v>2013</v>
      </c>
      <c r="B46" s="12"/>
      <c r="C46" s="26">
        <f>'4.2'!E47</f>
        <v>70835</v>
      </c>
      <c r="D46" s="26">
        <f>'4.4'!G46</f>
        <v>13829</v>
      </c>
      <c r="E46" s="32">
        <f t="shared" si="0"/>
        <v>0.19500000000000001</v>
      </c>
      <c r="F46" s="31"/>
      <c r="K46" s="2"/>
    </row>
    <row r="47" spans="1:11" x14ac:dyDescent="0.2">
      <c r="A47" t="str">
        <f>TEXT(A46+1,"#")</f>
        <v>2014</v>
      </c>
      <c r="B47" s="12"/>
      <c r="C47" s="26">
        <f>'4.2'!E48</f>
        <v>7009</v>
      </c>
      <c r="D47" s="26">
        <f>'4.4'!G47</f>
        <v>6817</v>
      </c>
      <c r="E47" s="32">
        <f t="shared" si="0"/>
        <v>0.97299999999999998</v>
      </c>
      <c r="F47" s="24"/>
      <c r="K47" s="2"/>
    </row>
    <row r="48" spans="1:11" x14ac:dyDescent="0.2">
      <c r="A48" t="str">
        <f>TEXT(A47+1,"#")</f>
        <v>2015</v>
      </c>
      <c r="B48" s="12"/>
      <c r="C48" s="26">
        <f>'4.2'!E49</f>
        <v>138818</v>
      </c>
      <c r="D48" s="26">
        <f>'4.4'!G48</f>
        <v>40123</v>
      </c>
      <c r="E48" s="32">
        <f t="shared" si="0"/>
        <v>0.28899999999999998</v>
      </c>
      <c r="F48" s="31"/>
      <c r="K48" s="2"/>
    </row>
    <row r="49" spans="1:11" x14ac:dyDescent="0.2">
      <c r="A49" t="str">
        <f t="shared" ref="A49:A55" si="2">TEXT(A48+1,"#")</f>
        <v>2016</v>
      </c>
      <c r="B49" s="12"/>
      <c r="C49" s="26">
        <f>'4.2'!E50</f>
        <v>28442</v>
      </c>
      <c r="D49" s="26">
        <f>'4.4'!G49</f>
        <v>15396</v>
      </c>
      <c r="E49" s="32">
        <f t="shared" si="0"/>
        <v>0.54100000000000004</v>
      </c>
      <c r="F49" s="31"/>
      <c r="K49" s="2"/>
    </row>
    <row r="50" spans="1:11" x14ac:dyDescent="0.2">
      <c r="A50" t="str">
        <f t="shared" si="2"/>
        <v>2017</v>
      </c>
      <c r="B50" s="12"/>
      <c r="C50" s="26">
        <f>'4.2'!E51</f>
        <v>1410640</v>
      </c>
      <c r="D50" s="26">
        <f>'4.4'!G50</f>
        <v>281574</v>
      </c>
      <c r="E50" s="32">
        <f t="shared" si="0"/>
        <v>0.2</v>
      </c>
      <c r="F50" s="31" t="s">
        <v>60</v>
      </c>
      <c r="K50" s="2"/>
    </row>
    <row r="51" spans="1:11" x14ac:dyDescent="0.2">
      <c r="A51" t="str">
        <f t="shared" si="2"/>
        <v>2018</v>
      </c>
      <c r="C51" s="26">
        <f>'4.2'!E52</f>
        <v>12095</v>
      </c>
      <c r="D51" s="26">
        <f>'4.4'!G51</f>
        <v>6773</v>
      </c>
      <c r="E51" s="32">
        <f>ROUND(D51/C51,3)</f>
        <v>0.56000000000000005</v>
      </c>
      <c r="K51" s="2"/>
    </row>
    <row r="52" spans="1:11" x14ac:dyDescent="0.2">
      <c r="A52" t="str">
        <f t="shared" si="2"/>
        <v>2019</v>
      </c>
      <c r="C52" s="26">
        <f>'4.2'!E53</f>
        <v>17639</v>
      </c>
      <c r="D52" s="26">
        <f>'4.4'!G52</f>
        <v>9456</v>
      </c>
      <c r="E52" s="32">
        <f>ROUND(D52/C52,3)</f>
        <v>0.53600000000000003</v>
      </c>
      <c r="K52" s="2"/>
    </row>
    <row r="53" spans="1:11" x14ac:dyDescent="0.2">
      <c r="A53" t="str">
        <f t="shared" si="2"/>
        <v>2020</v>
      </c>
      <c r="C53" s="26">
        <f>'4.2'!E54</f>
        <v>64380</v>
      </c>
      <c r="D53" s="26">
        <f>'4.4'!G53</f>
        <v>29955</v>
      </c>
      <c r="E53" s="32">
        <f>ROUND(D53/C53,3)</f>
        <v>0.46500000000000002</v>
      </c>
      <c r="F53" s="143" t="s">
        <v>60</v>
      </c>
      <c r="K53" s="2"/>
    </row>
    <row r="54" spans="1:11" x14ac:dyDescent="0.2">
      <c r="A54" t="str">
        <f t="shared" si="2"/>
        <v>2021</v>
      </c>
      <c r="C54" s="26">
        <f>'4.2'!E55</f>
        <v>69196</v>
      </c>
      <c r="D54" s="26">
        <f>'4.4'!G54</f>
        <v>29966</v>
      </c>
      <c r="E54" s="32">
        <f>ROUND(D54/C54,3)</f>
        <v>0.433</v>
      </c>
      <c r="F54" s="143" t="s">
        <v>60</v>
      </c>
      <c r="K54" s="2"/>
    </row>
    <row r="55" spans="1:11" ht="12" thickBot="1" x14ac:dyDescent="0.25">
      <c r="A55" s="6" t="str">
        <f t="shared" si="2"/>
        <v>2022</v>
      </c>
      <c r="B55" s="6"/>
      <c r="C55" s="142">
        <f>'4.2'!E56</f>
        <v>28078</v>
      </c>
      <c r="D55" s="142">
        <f>'4.4'!G55</f>
        <v>12360</v>
      </c>
      <c r="E55" s="141">
        <f>ROUND(D55/C55,3)</f>
        <v>0.44</v>
      </c>
      <c r="F55" s="261"/>
      <c r="K55" s="2"/>
    </row>
    <row r="56" spans="1:11" ht="12" thickTop="1" x14ac:dyDescent="0.2">
      <c r="B56" s="12"/>
      <c r="K56" s="2"/>
    </row>
    <row r="57" spans="1:11" x14ac:dyDescent="0.2">
      <c r="A57" t="s">
        <v>62</v>
      </c>
      <c r="C57" s="18">
        <f>SUM(C13:C55)</f>
        <v>5220634</v>
      </c>
      <c r="D57" s="18">
        <f>SUM(D13:D55)</f>
        <v>903126</v>
      </c>
      <c r="E57" s="32">
        <f>ROUND(D57/C57,3)</f>
        <v>0.17299999999999999</v>
      </c>
      <c r="F57" s="18"/>
      <c r="K57" s="2"/>
    </row>
    <row r="58" spans="1:11" x14ac:dyDescent="0.2">
      <c r="K58" s="2"/>
    </row>
    <row r="59" spans="1:11" x14ac:dyDescent="0.2">
      <c r="A59" t="s">
        <v>61</v>
      </c>
      <c r="C59" s="18">
        <f>SUMIF($F$13:$F$55,"H",C$13:C$55)</f>
        <v>4636820</v>
      </c>
      <c r="D59" s="18">
        <f>SUMIF($F$13:$F$55,"H",D$13:D$55)</f>
        <v>735274</v>
      </c>
      <c r="E59" s="32">
        <f>ROUND(D59/C59,3)</f>
        <v>0.159</v>
      </c>
      <c r="K59" s="2"/>
    </row>
    <row r="60" spans="1:11" x14ac:dyDescent="0.2">
      <c r="K60" s="2"/>
    </row>
    <row r="61" spans="1:11" x14ac:dyDescent="0.2">
      <c r="A61" t="s">
        <v>63</v>
      </c>
      <c r="K61" s="2"/>
    </row>
    <row r="62" spans="1:11" x14ac:dyDescent="0.2">
      <c r="B62" t="s">
        <v>8</v>
      </c>
      <c r="C62" s="18">
        <f>C57-C59</f>
        <v>583814</v>
      </c>
      <c r="D62" s="18">
        <f>D57-D59</f>
        <v>167852</v>
      </c>
      <c r="E62" s="32">
        <f>ROUND(D62/C62,3)</f>
        <v>0.28799999999999998</v>
      </c>
      <c r="K62" s="2"/>
    </row>
    <row r="63" spans="1:11" x14ac:dyDescent="0.2">
      <c r="B63" t="s">
        <v>64</v>
      </c>
      <c r="C63" s="18">
        <f>SUMIF($F$43:$F$55,"&lt;&gt;H",C$43:C$55)</f>
        <v>484486</v>
      </c>
      <c r="D63" s="18">
        <f>SUMIF($F$43:$F$55,"&lt;&gt;H",D$43:D$55)</f>
        <v>139969</v>
      </c>
      <c r="E63" s="32">
        <f>ROUND(D63/C63,3)</f>
        <v>0.28899999999999998</v>
      </c>
      <c r="K63" s="2"/>
    </row>
    <row r="64" spans="1:11" ht="12" thickBot="1" x14ac:dyDescent="0.25">
      <c r="A64" s="6"/>
      <c r="B64" s="6"/>
      <c r="C64" s="6"/>
      <c r="D64" s="6"/>
      <c r="E64" s="6"/>
      <c r="F64" s="6"/>
      <c r="K64" s="2"/>
    </row>
    <row r="65" spans="1:11" ht="12" thickTop="1" x14ac:dyDescent="0.2">
      <c r="K65" s="2"/>
    </row>
    <row r="66" spans="1:11" x14ac:dyDescent="0.2">
      <c r="A66" t="s">
        <v>18</v>
      </c>
      <c r="K66" s="2"/>
    </row>
    <row r="67" spans="1:11" x14ac:dyDescent="0.2">
      <c r="B67" s="12" t="str">
        <f>C11&amp;" "&amp;'4.2'!$K$1&amp;", "&amp;'4.2'!$K$2</f>
        <v>(2) Exhibit 4, Sheet 2</v>
      </c>
      <c r="D67" s="12"/>
      <c r="K67" s="2"/>
    </row>
    <row r="68" spans="1:11" x14ac:dyDescent="0.2">
      <c r="B68" s="12" t="str">
        <f>D11&amp;" "&amp;'4.4'!$J$1&amp;", "&amp;'4.4'!$J$2</f>
        <v>(3) Exhibit 4, Sheet 4</v>
      </c>
      <c r="K68" s="2"/>
    </row>
    <row r="69" spans="1:11" x14ac:dyDescent="0.2">
      <c r="B69" s="12" t="str">
        <f>E11&amp;" = "&amp;D11&amp;" / "&amp;C11</f>
        <v>(4) = (3) / (2)</v>
      </c>
      <c r="K69" s="2"/>
    </row>
    <row r="70" spans="1:11" ht="12" thickBot="1" x14ac:dyDescent="0.25">
      <c r="B70" s="12" t="str">
        <f>F11&amp;" ""H"" indicates hurricane year"</f>
        <v>(5) "H" indicates hurricane year</v>
      </c>
      <c r="K70" s="2"/>
    </row>
    <row r="71" spans="1:11" ht="12" hidden="1" thickBot="1" x14ac:dyDescent="0.25">
      <c r="K71" s="2"/>
    </row>
    <row r="72" spans="1:11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92D050"/>
  </sheetPr>
  <dimension ref="A1:R72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3" width="16.83203125" customWidth="1"/>
    <col min="4" max="5" width="15.33203125" customWidth="1"/>
    <col min="6" max="6" width="13.6640625" customWidth="1"/>
    <col min="7" max="7" width="11.33203125" customWidth="1"/>
    <col min="8" max="9" width="11.33203125" hidden="1" customWidth="1"/>
    <col min="10" max="10" width="11.33203125" customWidth="1"/>
    <col min="11" max="11" width="2.33203125" customWidth="1"/>
    <col min="17" max="17" width="12.6640625" bestFit="1" customWidth="1"/>
    <col min="18" max="18" width="11.5" bestFit="1" customWidth="1"/>
  </cols>
  <sheetData>
    <row r="1" spans="1:17" x14ac:dyDescent="0.2">
      <c r="A1" s="8" t="str">
        <f>'1'!$A$1</f>
        <v>Texas Windstorm Insurance Association</v>
      </c>
      <c r="B1" s="12"/>
      <c r="K1" s="7" t="s">
        <v>55</v>
      </c>
      <c r="L1" s="1"/>
      <c r="P1" t="s">
        <v>526</v>
      </c>
      <c r="Q1" t="s">
        <v>552</v>
      </c>
    </row>
    <row r="2" spans="1:17" x14ac:dyDescent="0.2">
      <c r="A2" s="8" t="str">
        <f>'1'!$A$2</f>
        <v>Commercial Property - Wind &amp; Hail</v>
      </c>
      <c r="B2" s="12"/>
      <c r="K2" s="7" t="s">
        <v>65</v>
      </c>
      <c r="L2" s="2"/>
      <c r="P2" t="s">
        <v>526</v>
      </c>
      <c r="Q2" t="s">
        <v>553</v>
      </c>
    </row>
    <row r="3" spans="1:17" x14ac:dyDescent="0.2">
      <c r="A3" s="8" t="str">
        <f>'1'!$A$3</f>
        <v>Rate Level Review</v>
      </c>
      <c r="B3" s="12"/>
      <c r="L3" s="2"/>
      <c r="P3" t="s">
        <v>526</v>
      </c>
      <c r="Q3" t="s">
        <v>554</v>
      </c>
    </row>
    <row r="4" spans="1:17" x14ac:dyDescent="0.2">
      <c r="A4" t="s">
        <v>66</v>
      </c>
      <c r="B4" s="12"/>
      <c r="L4" s="2"/>
      <c r="P4" t="s">
        <v>526</v>
      </c>
      <c r="Q4" t="s">
        <v>566</v>
      </c>
    </row>
    <row r="5" spans="1:17" x14ac:dyDescent="0.2">
      <c r="A5" t="s">
        <v>551</v>
      </c>
      <c r="B5" s="12"/>
      <c r="L5" s="2"/>
    </row>
    <row r="6" spans="1:17" x14ac:dyDescent="0.2">
      <c r="L6" s="2"/>
    </row>
    <row r="7" spans="1:17" ht="12" thickBot="1" x14ac:dyDescent="0.25">
      <c r="A7" s="6"/>
      <c r="B7" s="6"/>
      <c r="C7" s="6"/>
      <c r="D7" s="6"/>
      <c r="E7" s="6"/>
      <c r="L7" s="2"/>
    </row>
    <row r="8" spans="1:17" ht="12" thickTop="1" x14ac:dyDescent="0.2">
      <c r="L8" s="2"/>
    </row>
    <row r="9" spans="1:17" x14ac:dyDescent="0.2">
      <c r="C9" s="12" t="s">
        <v>67</v>
      </c>
      <c r="E9" t="s">
        <v>12</v>
      </c>
      <c r="L9" s="2"/>
      <c r="M9" s="24"/>
    </row>
    <row r="10" spans="1:17" x14ac:dyDescent="0.2">
      <c r="A10" t="s">
        <v>41</v>
      </c>
      <c r="C10" t="s">
        <v>34</v>
      </c>
      <c r="D10" t="s">
        <v>44</v>
      </c>
      <c r="E10" t="s">
        <v>28</v>
      </c>
      <c r="L10" s="2"/>
      <c r="M10" t="s">
        <v>233</v>
      </c>
    </row>
    <row r="11" spans="1:17" x14ac:dyDescent="0.2">
      <c r="A11" s="9" t="s">
        <v>42</v>
      </c>
      <c r="B11" s="9"/>
      <c r="C11" s="9" t="str">
        <f>"at "&amp;TEXT(M11,"m/d/yy")</f>
        <v>at 12/31/22</v>
      </c>
      <c r="D11" s="9" t="s">
        <v>30</v>
      </c>
      <c r="E11" s="9" t="s">
        <v>34</v>
      </c>
      <c r="L11" s="2"/>
      <c r="M11" s="36">
        <f>'2.1'!$L$8</f>
        <v>44926</v>
      </c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/>
      <c r="L12" s="2"/>
    </row>
    <row r="13" spans="1:17" x14ac:dyDescent="0.2">
      <c r="L13" s="2"/>
    </row>
    <row r="14" spans="1:17" x14ac:dyDescent="0.2">
      <c r="A14" s="22">
        <v>1980</v>
      </c>
      <c r="E14" s="143">
        <v>12911</v>
      </c>
      <c r="L14" s="2"/>
    </row>
    <row r="15" spans="1:17" x14ac:dyDescent="0.2">
      <c r="A15" t="str">
        <f>TEXT(A14+1,"#")</f>
        <v>1981</v>
      </c>
      <c r="B15" s="22"/>
      <c r="C15" s="26"/>
      <c r="D15" s="26"/>
      <c r="E15" s="31">
        <v>2512</v>
      </c>
      <c r="F15" s="31"/>
      <c r="L15" s="2"/>
    </row>
    <row r="16" spans="1:17" x14ac:dyDescent="0.2">
      <c r="A16" t="str">
        <f>TEXT(A15+1,"#")</f>
        <v>1982</v>
      </c>
      <c r="B16" s="22"/>
      <c r="C16" s="26"/>
      <c r="D16" s="26"/>
      <c r="E16" s="31">
        <v>796</v>
      </c>
      <c r="F16" s="31"/>
      <c r="L16" s="2"/>
    </row>
    <row r="17" spans="1:12" x14ac:dyDescent="0.2">
      <c r="A17" t="str">
        <f t="shared" ref="A17:A51" si="0">TEXT(A16+1,"#")</f>
        <v>1983</v>
      </c>
      <c r="B17" s="22"/>
      <c r="C17" s="26"/>
      <c r="D17" s="26"/>
      <c r="E17" s="31">
        <v>148999</v>
      </c>
      <c r="F17" s="31"/>
      <c r="L17" s="2"/>
    </row>
    <row r="18" spans="1:12" x14ac:dyDescent="0.2">
      <c r="A18" t="str">
        <f t="shared" si="0"/>
        <v>1984</v>
      </c>
      <c r="B18" s="22"/>
      <c r="C18" s="26"/>
      <c r="D18" s="26"/>
      <c r="E18" s="31">
        <v>999</v>
      </c>
      <c r="F18" s="31"/>
      <c r="L18" s="2"/>
    </row>
    <row r="19" spans="1:12" x14ac:dyDescent="0.2">
      <c r="A19" t="str">
        <f t="shared" si="0"/>
        <v>1985</v>
      </c>
      <c r="B19" s="22"/>
      <c r="C19" s="26"/>
      <c r="D19" s="26"/>
      <c r="E19" s="31">
        <v>512</v>
      </c>
      <c r="F19" s="31"/>
      <c r="L19" s="2"/>
    </row>
    <row r="20" spans="1:12" x14ac:dyDescent="0.2">
      <c r="A20" t="str">
        <f t="shared" si="0"/>
        <v>1986</v>
      </c>
      <c r="B20" s="22"/>
      <c r="C20" s="26"/>
      <c r="D20" s="26"/>
      <c r="E20" s="31">
        <v>881</v>
      </c>
      <c r="F20" s="31"/>
      <c r="L20" s="2"/>
    </row>
    <row r="21" spans="1:12" x14ac:dyDescent="0.2">
      <c r="A21" t="str">
        <f t="shared" si="0"/>
        <v>1987</v>
      </c>
      <c r="B21" s="22"/>
      <c r="C21" s="26"/>
      <c r="D21" s="26"/>
      <c r="E21" s="31">
        <v>1897</v>
      </c>
      <c r="F21" s="31"/>
      <c r="L21" s="2"/>
    </row>
    <row r="22" spans="1:12" x14ac:dyDescent="0.2">
      <c r="A22" t="str">
        <f t="shared" si="0"/>
        <v>1988</v>
      </c>
      <c r="B22" s="22"/>
      <c r="C22" s="26"/>
      <c r="D22" s="26"/>
      <c r="E22" s="31">
        <v>1160</v>
      </c>
      <c r="F22" s="31"/>
      <c r="L22" s="2"/>
    </row>
    <row r="23" spans="1:12" x14ac:dyDescent="0.2">
      <c r="A23" t="str">
        <f t="shared" si="0"/>
        <v>1989</v>
      </c>
      <c r="B23" s="22"/>
      <c r="C23" s="26"/>
      <c r="D23" s="26"/>
      <c r="E23" s="31">
        <v>12296</v>
      </c>
      <c r="F23" s="31"/>
      <c r="L23" s="2"/>
    </row>
    <row r="24" spans="1:12" x14ac:dyDescent="0.2">
      <c r="A24" t="str">
        <f t="shared" si="0"/>
        <v>1990</v>
      </c>
      <c r="C24" s="26"/>
      <c r="D24" s="26"/>
      <c r="E24" s="31">
        <v>335</v>
      </c>
      <c r="F24" s="24"/>
      <c r="L24" s="2"/>
    </row>
    <row r="25" spans="1:12" x14ac:dyDescent="0.2">
      <c r="A25" t="str">
        <f t="shared" si="0"/>
        <v>1991</v>
      </c>
      <c r="C25" s="26"/>
      <c r="D25" s="26"/>
      <c r="E25" s="31">
        <v>1217</v>
      </c>
      <c r="F25" s="24"/>
      <c r="L25" s="2"/>
    </row>
    <row r="26" spans="1:12" x14ac:dyDescent="0.2">
      <c r="A26" t="str">
        <f t="shared" si="0"/>
        <v>1992</v>
      </c>
      <c r="C26" s="26"/>
      <c r="D26" s="26"/>
      <c r="E26" s="31">
        <v>489</v>
      </c>
      <c r="F26" s="24"/>
      <c r="L26" s="2"/>
    </row>
    <row r="27" spans="1:12" x14ac:dyDescent="0.2">
      <c r="A27" t="str">
        <f t="shared" si="0"/>
        <v>1993</v>
      </c>
      <c r="C27" s="26"/>
      <c r="D27" s="26"/>
      <c r="E27" s="31">
        <v>3375</v>
      </c>
      <c r="F27" s="24"/>
      <c r="L27" s="2"/>
    </row>
    <row r="28" spans="1:12" x14ac:dyDescent="0.2">
      <c r="A28" t="str">
        <f t="shared" si="0"/>
        <v>1994</v>
      </c>
      <c r="C28" s="26"/>
      <c r="D28" s="26"/>
      <c r="E28" s="31">
        <v>679</v>
      </c>
      <c r="F28" s="24"/>
      <c r="L28" s="2"/>
    </row>
    <row r="29" spans="1:12" x14ac:dyDescent="0.2">
      <c r="A29" t="str">
        <f t="shared" si="0"/>
        <v>1995</v>
      </c>
      <c r="C29" s="26"/>
      <c r="D29" s="26"/>
      <c r="E29" s="31">
        <v>2977</v>
      </c>
      <c r="F29" s="24"/>
      <c r="L29" s="2"/>
    </row>
    <row r="30" spans="1:12" x14ac:dyDescent="0.2">
      <c r="A30" t="str">
        <f t="shared" si="0"/>
        <v>1996</v>
      </c>
      <c r="C30" s="26"/>
      <c r="D30" s="26"/>
      <c r="E30" s="31">
        <v>1166</v>
      </c>
      <c r="F30" s="24"/>
      <c r="L30" s="2"/>
    </row>
    <row r="31" spans="1:12" x14ac:dyDescent="0.2">
      <c r="A31" t="str">
        <f t="shared" si="0"/>
        <v>1997</v>
      </c>
      <c r="C31" s="26"/>
      <c r="D31" s="26"/>
      <c r="E31" s="31">
        <v>2964</v>
      </c>
      <c r="F31" s="24"/>
      <c r="L31" s="2"/>
    </row>
    <row r="32" spans="1:12" x14ac:dyDescent="0.2">
      <c r="A32" t="str">
        <f t="shared" si="0"/>
        <v>1998</v>
      </c>
      <c r="C32" s="26"/>
      <c r="D32" s="26"/>
      <c r="E32" s="31">
        <v>22401</v>
      </c>
      <c r="F32" s="24"/>
      <c r="L32" s="2"/>
    </row>
    <row r="33" spans="1:18" x14ac:dyDescent="0.2">
      <c r="A33" t="str">
        <f t="shared" si="0"/>
        <v>1999</v>
      </c>
      <c r="B33" s="12"/>
      <c r="C33" s="26"/>
      <c r="D33" s="26"/>
      <c r="E33" s="31">
        <v>8773</v>
      </c>
      <c r="F33" s="24"/>
      <c r="L33" s="2"/>
    </row>
    <row r="34" spans="1:18" x14ac:dyDescent="0.2">
      <c r="A34" t="str">
        <f t="shared" si="0"/>
        <v>2000</v>
      </c>
      <c r="C34" s="18"/>
      <c r="E34" s="31">
        <v>6227</v>
      </c>
      <c r="F34" s="24"/>
      <c r="L34" s="2"/>
    </row>
    <row r="35" spans="1:18" x14ac:dyDescent="0.2">
      <c r="A35" t="str">
        <f t="shared" si="0"/>
        <v>2001</v>
      </c>
      <c r="B35" s="12"/>
      <c r="C35" s="26"/>
      <c r="D35" s="26"/>
      <c r="E35" s="31">
        <v>24605</v>
      </c>
      <c r="F35" s="24"/>
      <c r="L35" s="2"/>
    </row>
    <row r="36" spans="1:18" x14ac:dyDescent="0.2">
      <c r="A36" t="str">
        <f t="shared" si="0"/>
        <v>2002</v>
      </c>
      <c r="B36" s="12"/>
      <c r="C36" s="26"/>
      <c r="D36" s="32"/>
      <c r="E36" s="31">
        <v>5167</v>
      </c>
      <c r="F36" s="24"/>
      <c r="L36" s="2"/>
    </row>
    <row r="37" spans="1:18" x14ac:dyDescent="0.2">
      <c r="A37" t="str">
        <f t="shared" si="0"/>
        <v>2003</v>
      </c>
      <c r="C37" s="26"/>
      <c r="D37" s="32"/>
      <c r="E37" s="31">
        <v>155001</v>
      </c>
      <c r="F37" s="24"/>
      <c r="L37" s="2"/>
    </row>
    <row r="38" spans="1:18" x14ac:dyDescent="0.2">
      <c r="A38" t="str">
        <f t="shared" si="0"/>
        <v>2004</v>
      </c>
      <c r="C38" s="26"/>
      <c r="D38" s="32"/>
      <c r="E38" s="113">
        <v>5167</v>
      </c>
      <c r="F38" s="24"/>
      <c r="L38" s="2"/>
    </row>
    <row r="39" spans="1:18" x14ac:dyDescent="0.2">
      <c r="A39" t="str">
        <f t="shared" si="0"/>
        <v>2005</v>
      </c>
      <c r="C39" s="26"/>
      <c r="D39" s="32"/>
      <c r="E39" s="113">
        <v>154981</v>
      </c>
      <c r="F39" s="24"/>
      <c r="L39" s="2"/>
    </row>
    <row r="40" spans="1:18" x14ac:dyDescent="0.2">
      <c r="A40" t="str">
        <f t="shared" si="0"/>
        <v>2006</v>
      </c>
      <c r="E40" s="113">
        <v>4276</v>
      </c>
      <c r="F40" s="31"/>
      <c r="L40" s="2"/>
    </row>
    <row r="41" spans="1:18" x14ac:dyDescent="0.2">
      <c r="A41" t="str">
        <f t="shared" si="0"/>
        <v>2007</v>
      </c>
      <c r="C41" s="26"/>
      <c r="D41" s="32"/>
      <c r="E41" s="113">
        <v>15745</v>
      </c>
      <c r="L41" s="2"/>
    </row>
    <row r="42" spans="1:18" x14ac:dyDescent="0.2">
      <c r="A42" t="str">
        <f t="shared" si="0"/>
        <v>2008</v>
      </c>
      <c r="E42" s="113">
        <v>2583017</v>
      </c>
      <c r="L42" s="2"/>
    </row>
    <row r="43" spans="1:18" x14ac:dyDescent="0.2">
      <c r="A43" t="str">
        <f t="shared" si="0"/>
        <v>2009</v>
      </c>
      <c r="B43" s="22"/>
      <c r="E43" s="113">
        <v>10407</v>
      </c>
      <c r="L43" s="2"/>
      <c r="Q43" t="s">
        <v>624</v>
      </c>
    </row>
    <row r="44" spans="1:18" x14ac:dyDescent="0.2">
      <c r="A44" t="str">
        <f t="shared" si="0"/>
        <v>2010</v>
      </c>
      <c r="C44" s="18"/>
      <c r="D44" s="32"/>
      <c r="E44" s="26">
        <f>'4.3'!S14</f>
        <v>18005</v>
      </c>
      <c r="L44" s="2"/>
      <c r="Q44" s="10" t="s">
        <v>523</v>
      </c>
    </row>
    <row r="45" spans="1:18" x14ac:dyDescent="0.2">
      <c r="A45" t="str">
        <f t="shared" si="0"/>
        <v>2011</v>
      </c>
      <c r="E45" s="26">
        <f>'4.3'!S15</f>
        <v>96073</v>
      </c>
      <c r="F45" s="18"/>
      <c r="L45" s="2"/>
      <c r="Q45" s="9" t="s">
        <v>452</v>
      </c>
      <c r="R45" s="9" t="s">
        <v>455</v>
      </c>
    </row>
    <row r="46" spans="1:18" x14ac:dyDescent="0.2">
      <c r="A46" t="str">
        <f t="shared" si="0"/>
        <v>2012</v>
      </c>
      <c r="B46" s="22"/>
      <c r="C46" s="26">
        <f>'4.3'!S16</f>
        <v>67492</v>
      </c>
      <c r="D46" s="189">
        <f>D47</f>
        <v>1</v>
      </c>
      <c r="E46" s="26">
        <f>ROUND(C46*D46,0)</f>
        <v>67492</v>
      </c>
      <c r="L46" s="2"/>
      <c r="O46" t="s">
        <v>456</v>
      </c>
      <c r="Q46" s="272">
        <f>'[6]1.1'!C18</f>
        <v>23517219.419999998</v>
      </c>
      <c r="R46" s="272">
        <f>'[6]1.1'!F18</f>
        <v>58154.2</v>
      </c>
    </row>
    <row r="47" spans="1:18" x14ac:dyDescent="0.2">
      <c r="A47" t="str">
        <f t="shared" si="0"/>
        <v>2013</v>
      </c>
      <c r="C47" s="26">
        <f>'4.3'!S17</f>
        <v>70835</v>
      </c>
      <c r="D47" s="189">
        <f>'4.3'!I48</f>
        <v>1</v>
      </c>
      <c r="E47" s="26">
        <f>ROUND(C47*D47,0)</f>
        <v>70835</v>
      </c>
      <c r="L47" s="2"/>
      <c r="O47" t="s">
        <v>457</v>
      </c>
      <c r="Q47" s="272">
        <f>'[6]1.1'!C19</f>
        <v>1377711653.5900307</v>
      </c>
      <c r="R47" s="272">
        <f>'[6]1.1'!F19</f>
        <v>10725863.736670844</v>
      </c>
    </row>
    <row r="48" spans="1:18" x14ac:dyDescent="0.2">
      <c r="A48" t="str">
        <f t="shared" si="0"/>
        <v>2014</v>
      </c>
      <c r="C48" s="26">
        <f>'4.3'!S18</f>
        <v>7009</v>
      </c>
      <c r="D48" s="189">
        <f>'4.3'!I48</f>
        <v>1</v>
      </c>
      <c r="E48" s="26">
        <f t="shared" ref="E48:E56" si="1">ROUND(C48*D48,0)</f>
        <v>7009</v>
      </c>
      <c r="L48" s="2"/>
    </row>
    <row r="49" spans="1:12" x14ac:dyDescent="0.2">
      <c r="A49" t="str">
        <f t="shared" si="0"/>
        <v>2015</v>
      </c>
      <c r="C49" s="26">
        <f>'4.3'!S19</f>
        <v>138818</v>
      </c>
      <c r="D49" s="189">
        <f>'4.3'!I48</f>
        <v>1</v>
      </c>
      <c r="E49" s="26">
        <f t="shared" si="1"/>
        <v>138818</v>
      </c>
      <c r="L49" s="2"/>
    </row>
    <row r="50" spans="1:12" x14ac:dyDescent="0.2">
      <c r="A50" t="str">
        <f t="shared" si="0"/>
        <v>2016</v>
      </c>
      <c r="C50" s="26">
        <f>'4.3'!S20</f>
        <v>28442</v>
      </c>
      <c r="D50" s="189">
        <f>'4.3'!I48</f>
        <v>1</v>
      </c>
      <c r="E50" s="26">
        <f t="shared" si="1"/>
        <v>28442</v>
      </c>
      <c r="L50" s="2"/>
    </row>
    <row r="51" spans="1:12" x14ac:dyDescent="0.2">
      <c r="A51" t="str">
        <f t="shared" si="0"/>
        <v>2017</v>
      </c>
      <c r="C51" s="26">
        <f>'4.3'!S21</f>
        <v>1412052</v>
      </c>
      <c r="D51" s="189">
        <f>'4.3'!H48</f>
        <v>0.999</v>
      </c>
      <c r="E51" s="26">
        <f t="shared" si="1"/>
        <v>1410640</v>
      </c>
      <c r="L51" s="2"/>
    </row>
    <row r="52" spans="1:12" x14ac:dyDescent="0.2">
      <c r="A52" s="22">
        <v>2018</v>
      </c>
      <c r="C52" s="26">
        <f>'4.3'!S22</f>
        <v>12107</v>
      </c>
      <c r="D52" s="189">
        <f>E51/C51</f>
        <v>0.99900003682583927</v>
      </c>
      <c r="E52" s="26">
        <f t="shared" si="1"/>
        <v>12095</v>
      </c>
      <c r="L52" s="2"/>
    </row>
    <row r="53" spans="1:12" x14ac:dyDescent="0.2">
      <c r="A53" s="22">
        <v>2019</v>
      </c>
      <c r="C53" s="26">
        <f>'4.3'!S23</f>
        <v>17871</v>
      </c>
      <c r="D53" s="189">
        <f>'4.3'!F48</f>
        <v>0.98699999999999999</v>
      </c>
      <c r="E53" s="26">
        <f t="shared" si="1"/>
        <v>17639</v>
      </c>
      <c r="L53" s="2"/>
    </row>
    <row r="54" spans="1:12" x14ac:dyDescent="0.2">
      <c r="A54" s="22">
        <v>2020</v>
      </c>
      <c r="C54" s="26">
        <f>'4.3'!S24</f>
        <v>65493</v>
      </c>
      <c r="D54" s="189">
        <f>'4.3'!E48</f>
        <v>0.98299999999999998</v>
      </c>
      <c r="E54" s="26">
        <f t="shared" si="1"/>
        <v>64380</v>
      </c>
      <c r="L54" s="2"/>
    </row>
    <row r="55" spans="1:12" x14ac:dyDescent="0.2">
      <c r="A55" s="22">
        <v>2021</v>
      </c>
      <c r="C55" s="26">
        <f>'4.3'!S25</f>
        <v>70898</v>
      </c>
      <c r="D55" s="11">
        <f>'4.3'!D48</f>
        <v>0.97599999999999998</v>
      </c>
      <c r="E55" s="26">
        <f t="shared" si="1"/>
        <v>69196</v>
      </c>
      <c r="L55" s="2"/>
    </row>
    <row r="56" spans="1:12" ht="12" thickBot="1" x14ac:dyDescent="0.25">
      <c r="A56" s="176">
        <v>2022</v>
      </c>
      <c r="B56" s="6"/>
      <c r="C56" s="142">
        <f>'4.3'!S26</f>
        <v>28768</v>
      </c>
      <c r="D56" s="177">
        <f>'4.3'!C48</f>
        <v>0.97599999999999998</v>
      </c>
      <c r="E56" s="142">
        <f t="shared" si="1"/>
        <v>28078</v>
      </c>
      <c r="L56" s="2"/>
    </row>
    <row r="57" spans="1:12" ht="12" thickTop="1" x14ac:dyDescent="0.2">
      <c r="L57" s="2"/>
    </row>
    <row r="58" spans="1:12" x14ac:dyDescent="0.2">
      <c r="A58" t="s">
        <v>18</v>
      </c>
      <c r="L58" s="2"/>
    </row>
    <row r="59" spans="1:12" x14ac:dyDescent="0.2">
      <c r="B59" s="12" t="str">
        <f>C12&amp;" "&amp;'4.3'!$K$1&amp;", "&amp;'4.3'!$K$2</f>
        <v>(2) Exhibit 4, Sheet 3</v>
      </c>
      <c r="D59" s="12"/>
      <c r="L59" s="2"/>
    </row>
    <row r="60" spans="1:12" x14ac:dyDescent="0.2">
      <c r="B60" s="12" t="str">
        <f>D12&amp;" "&amp;'4.3'!$K$1&amp;", "&amp;'4.3'!$K$2</f>
        <v>(3) Exhibit 4, Sheet 3</v>
      </c>
      <c r="L60" s="2"/>
    </row>
    <row r="61" spans="1:12" x14ac:dyDescent="0.2">
      <c r="B61" s="12" t="str">
        <f>E12&amp;" "&amp;A46&amp;" - "&amp;YEAR(M11)&amp;": "&amp;C12&amp;" * "&amp;D12&amp;"; "&amp;A14&amp;" - "&amp;A45&amp;": from prior TWIA annual statements"</f>
        <v>(4) 2012 - 2022: (2) * (3); 1980 - 2011: from prior TWIA annual statements</v>
      </c>
      <c r="C61" s="12"/>
      <c r="L61" s="2"/>
    </row>
    <row r="62" spans="1:12" x14ac:dyDescent="0.2">
      <c r="B62" s="12"/>
      <c r="L62" s="2"/>
    </row>
    <row r="63" spans="1:12" x14ac:dyDescent="0.2">
      <c r="C63" s="18"/>
      <c r="D63" s="18"/>
      <c r="E63" s="32"/>
      <c r="L63" s="2"/>
    </row>
    <row r="64" spans="1:12" x14ac:dyDescent="0.2">
      <c r="C64" s="18"/>
      <c r="D64" s="18"/>
      <c r="E64" s="32"/>
      <c r="L64" s="2"/>
    </row>
    <row r="65" spans="1:12" x14ac:dyDescent="0.2">
      <c r="C65" s="18"/>
      <c r="D65" s="18"/>
      <c r="E65" s="32"/>
      <c r="L65" s="2"/>
    </row>
    <row r="66" spans="1:12" x14ac:dyDescent="0.2">
      <c r="C66" s="18"/>
      <c r="D66" s="18"/>
      <c r="E66" s="32"/>
      <c r="L66" s="2"/>
    </row>
    <row r="67" spans="1:12" x14ac:dyDescent="0.2">
      <c r="C67" s="18"/>
      <c r="D67" s="18"/>
      <c r="E67" s="32"/>
      <c r="L67" s="2"/>
    </row>
    <row r="68" spans="1:12" x14ac:dyDescent="0.2">
      <c r="C68" s="18"/>
      <c r="D68" s="18"/>
      <c r="E68" s="32"/>
      <c r="L68" s="2"/>
    </row>
    <row r="69" spans="1:12" x14ac:dyDescent="0.2">
      <c r="C69" s="18"/>
      <c r="D69" s="18"/>
      <c r="E69" s="32"/>
      <c r="L69" s="2"/>
    </row>
    <row r="70" spans="1:12" ht="12" thickBot="1" x14ac:dyDescent="0.25">
      <c r="C70" s="18"/>
      <c r="D70" s="18"/>
      <c r="E70" s="32"/>
      <c r="L70" s="2"/>
    </row>
    <row r="71" spans="1:12" ht="12" hidden="1" thickBot="1" x14ac:dyDescent="0.25">
      <c r="F71" s="5"/>
      <c r="G71" s="5"/>
      <c r="H71" s="5"/>
      <c r="I71" s="5"/>
      <c r="J71" s="5"/>
      <c r="K71" s="5"/>
      <c r="L71" s="2"/>
    </row>
    <row r="72" spans="1:12" ht="12" thickBot="1" x14ac:dyDescent="0.25">
      <c r="A72" s="4"/>
      <c r="B72" s="5"/>
      <c r="C72" s="5"/>
      <c r="D72" s="5"/>
      <c r="E72" s="5"/>
      <c r="F72" s="253"/>
      <c r="G72" s="253"/>
      <c r="H72" s="253"/>
      <c r="I72" s="253"/>
      <c r="J72" s="253"/>
      <c r="K72" s="253"/>
      <c r="L72" s="254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92D050"/>
  </sheetPr>
  <dimension ref="A1:Z68"/>
  <sheetViews>
    <sheetView showGridLines="0" zoomScaleNormal="100" workbookViewId="0"/>
  </sheetViews>
  <sheetFormatPr defaultColWidth="11.33203125" defaultRowHeight="11.25" x14ac:dyDescent="0.2"/>
  <cols>
    <col min="1" max="1" width="2.5" bestFit="1" customWidth="1"/>
    <col min="2" max="2" width="11.33203125" customWidth="1"/>
    <col min="3" max="10" width="12.6640625" customWidth="1"/>
    <col min="11" max="11" width="4.6640625" customWidth="1"/>
    <col min="12" max="13" width="11.33203125" customWidth="1"/>
    <col min="15" max="19" width="11.33203125" customWidth="1"/>
  </cols>
  <sheetData>
    <row r="1" spans="1:26" x14ac:dyDescent="0.2">
      <c r="A1" s="8" t="str">
        <f>'1'!$A$1</f>
        <v>Texas Windstorm Insurance Association</v>
      </c>
      <c r="B1" s="12"/>
      <c r="K1" s="7" t="s">
        <v>55</v>
      </c>
      <c r="L1" s="1"/>
      <c r="P1" t="s">
        <v>526</v>
      </c>
      <c r="Q1" t="s">
        <v>549</v>
      </c>
    </row>
    <row r="2" spans="1:26" x14ac:dyDescent="0.2">
      <c r="A2" s="8" t="str">
        <f>'1'!$A$2</f>
        <v>Commercial Property - Wind &amp; Hail</v>
      </c>
      <c r="B2" s="12"/>
      <c r="K2" s="7" t="s">
        <v>68</v>
      </c>
      <c r="L2" s="2"/>
      <c r="P2" t="s">
        <v>526</v>
      </c>
      <c r="Q2" t="s">
        <v>550</v>
      </c>
    </row>
    <row r="3" spans="1:26" x14ac:dyDescent="0.2">
      <c r="A3" s="8" t="str">
        <f>'1'!$A$3</f>
        <v>Rate Level Review</v>
      </c>
      <c r="B3" s="12"/>
      <c r="L3" s="2"/>
      <c r="P3" t="s">
        <v>526</v>
      </c>
      <c r="Q3" t="s">
        <v>548</v>
      </c>
    </row>
    <row r="4" spans="1:26" x14ac:dyDescent="0.2">
      <c r="A4" t="s">
        <v>69</v>
      </c>
      <c r="B4" s="12"/>
      <c r="L4" s="2"/>
    </row>
    <row r="5" spans="1:26" x14ac:dyDescent="0.2">
      <c r="A5" t="s">
        <v>70</v>
      </c>
      <c r="B5" s="12"/>
      <c r="L5" s="2"/>
    </row>
    <row r="6" spans="1:26" x14ac:dyDescent="0.2">
      <c r="L6" s="2"/>
    </row>
    <row r="7" spans="1:26" ht="12" thickBot="1" x14ac:dyDescent="0.25">
      <c r="A7" s="6"/>
      <c r="B7" s="6"/>
      <c r="C7" s="6"/>
      <c r="D7" s="6"/>
      <c r="E7" s="6"/>
      <c r="F7" s="6"/>
      <c r="G7" s="6"/>
      <c r="H7" s="6"/>
      <c r="I7" s="6"/>
      <c r="L7" s="2"/>
    </row>
    <row r="8" spans="1:26" ht="12" thickTop="1" x14ac:dyDescent="0.2">
      <c r="L8" s="2"/>
    </row>
    <row r="9" spans="1:26" x14ac:dyDescent="0.2">
      <c r="C9" s="10" t="s">
        <v>48</v>
      </c>
      <c r="L9" s="2"/>
      <c r="M9" s="24"/>
    </row>
    <row r="10" spans="1:26" x14ac:dyDescent="0.2">
      <c r="A10" t="s">
        <v>41</v>
      </c>
      <c r="L10" s="2"/>
      <c r="M10" t="s">
        <v>49</v>
      </c>
      <c r="P10" t="s">
        <v>598</v>
      </c>
    </row>
    <row r="11" spans="1:26" x14ac:dyDescent="0.2">
      <c r="A11" s="9" t="s">
        <v>42</v>
      </c>
      <c r="B11" s="9"/>
      <c r="C11" s="23">
        <f>$M$11</f>
        <v>12</v>
      </c>
      <c r="D11" s="23">
        <f t="shared" ref="D11:I11" si="0">C11+12</f>
        <v>24</v>
      </c>
      <c r="E11" s="23">
        <f t="shared" si="0"/>
        <v>36</v>
      </c>
      <c r="F11" s="23">
        <f t="shared" si="0"/>
        <v>48</v>
      </c>
      <c r="G11" s="23">
        <f t="shared" si="0"/>
        <v>60</v>
      </c>
      <c r="H11" s="23">
        <f t="shared" si="0"/>
        <v>72</v>
      </c>
      <c r="I11" s="23">
        <f t="shared" si="0"/>
        <v>84</v>
      </c>
      <c r="J11" s="22"/>
      <c r="L11" s="2"/>
      <c r="M11" s="24">
        <v>12</v>
      </c>
      <c r="P11" s="23" t="s">
        <v>293</v>
      </c>
      <c r="Q11" s="23" t="s">
        <v>295</v>
      </c>
      <c r="R11" s="23" t="s">
        <v>294</v>
      </c>
      <c r="S11" s="23" t="s">
        <v>67</v>
      </c>
    </row>
    <row r="12" spans="1:26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/>
      <c r="L12" s="2"/>
    </row>
    <row r="13" spans="1:26" ht="11.25" customHeight="1" x14ac:dyDescent="0.2">
      <c r="L13" s="2"/>
    </row>
    <row r="14" spans="1:26" ht="11.25" customHeight="1" x14ac:dyDescent="0.2">
      <c r="A14" t="str">
        <f t="shared" ref="A14:A22" si="2">TEXT(A15-1,"#")</f>
        <v>2013</v>
      </c>
      <c r="B14" s="22"/>
      <c r="C14" s="31">
        <v>77204</v>
      </c>
      <c r="D14" s="31">
        <v>75204</v>
      </c>
      <c r="E14" s="31">
        <v>72860</v>
      </c>
      <c r="F14" s="31">
        <v>71823</v>
      </c>
      <c r="G14" s="31">
        <v>71286</v>
      </c>
      <c r="H14" s="31">
        <v>71068</v>
      </c>
      <c r="I14" s="26">
        <f>S17</f>
        <v>70835</v>
      </c>
      <c r="J14" s="26"/>
      <c r="L14" s="2"/>
      <c r="O14" s="147">
        <f t="shared" ref="O14:O21" si="3">O15-1</f>
        <v>2010</v>
      </c>
      <c r="P14" s="148">
        <v>18005</v>
      </c>
      <c r="Q14" s="148">
        <v>0</v>
      </c>
      <c r="R14" s="148">
        <v>0</v>
      </c>
      <c r="S14" s="149">
        <f>SUM(P14:R14)</f>
        <v>18005</v>
      </c>
      <c r="T14" s="68"/>
    </row>
    <row r="15" spans="1:26" ht="11.25" customHeight="1" x14ac:dyDescent="0.2">
      <c r="A15" t="str">
        <f t="shared" si="2"/>
        <v>2014</v>
      </c>
      <c r="B15" s="22"/>
      <c r="C15" s="31">
        <v>6739</v>
      </c>
      <c r="D15" s="31">
        <v>7854</v>
      </c>
      <c r="E15" s="31">
        <v>7298</v>
      </c>
      <c r="F15" s="31">
        <v>7261</v>
      </c>
      <c r="G15" s="31">
        <v>7068</v>
      </c>
      <c r="H15" s="31">
        <v>7012</v>
      </c>
      <c r="I15" s="26">
        <f t="shared" ref="I15:I17" si="4">S18</f>
        <v>7009</v>
      </c>
      <c r="J15" s="26"/>
      <c r="L15" s="2"/>
      <c r="O15" s="147">
        <f t="shared" si="3"/>
        <v>2011</v>
      </c>
      <c r="P15" s="148">
        <v>96073</v>
      </c>
      <c r="Q15" s="148">
        <v>0</v>
      </c>
      <c r="R15" s="148">
        <v>0</v>
      </c>
      <c r="S15" s="149">
        <f t="shared" ref="S15:S22" si="5">SUM(P15:R15)</f>
        <v>96073</v>
      </c>
      <c r="T15" s="68"/>
    </row>
    <row r="16" spans="1:26" ht="11.25" customHeight="1" x14ac:dyDescent="0.2">
      <c r="A16" t="str">
        <f t="shared" si="2"/>
        <v>2015</v>
      </c>
      <c r="B16" s="22"/>
      <c r="C16" s="31">
        <v>147927</v>
      </c>
      <c r="D16" s="31">
        <v>139955</v>
      </c>
      <c r="E16" s="31">
        <v>140459</v>
      </c>
      <c r="F16" s="31">
        <v>139777</v>
      </c>
      <c r="G16" s="31">
        <v>138801</v>
      </c>
      <c r="H16" s="113">
        <v>138733</v>
      </c>
      <c r="I16" s="26">
        <f t="shared" si="4"/>
        <v>138818</v>
      </c>
      <c r="J16" s="26"/>
      <c r="L16" s="2"/>
      <c r="O16" s="147">
        <f t="shared" si="3"/>
        <v>2012</v>
      </c>
      <c r="P16" s="148">
        <v>66741</v>
      </c>
      <c r="Q16" s="148">
        <v>747</v>
      </c>
      <c r="R16" s="148">
        <v>4</v>
      </c>
      <c r="S16" s="149">
        <f t="shared" si="5"/>
        <v>67492</v>
      </c>
      <c r="T16" s="68"/>
      <c r="X16" s="18"/>
      <c r="Y16" s="18"/>
      <c r="Z16" s="18"/>
    </row>
    <row r="17" spans="1:26" ht="11.25" customHeight="1" x14ac:dyDescent="0.2">
      <c r="A17" t="str">
        <f t="shared" si="2"/>
        <v>2016</v>
      </c>
      <c r="B17" s="22"/>
      <c r="C17" s="31">
        <v>31292</v>
      </c>
      <c r="D17" s="31">
        <v>29612</v>
      </c>
      <c r="E17" s="31">
        <v>28908</v>
      </c>
      <c r="F17" s="31">
        <v>28523</v>
      </c>
      <c r="G17" s="113">
        <v>28457</v>
      </c>
      <c r="H17" s="113">
        <v>28456</v>
      </c>
      <c r="I17" s="26">
        <f t="shared" si="4"/>
        <v>28442</v>
      </c>
      <c r="J17" s="26"/>
      <c r="L17" s="2"/>
      <c r="O17" s="147">
        <f t="shared" si="3"/>
        <v>2013</v>
      </c>
      <c r="P17" s="148">
        <v>70826</v>
      </c>
      <c r="Q17" s="148">
        <v>0</v>
      </c>
      <c r="R17" s="148">
        <v>9</v>
      </c>
      <c r="S17" s="149">
        <f t="shared" si="5"/>
        <v>70835</v>
      </c>
      <c r="T17" s="68"/>
      <c r="X17" s="18"/>
      <c r="Y17" s="18"/>
      <c r="Z17" s="18"/>
    </row>
    <row r="18" spans="1:26" ht="11.25" customHeight="1" x14ac:dyDescent="0.2">
      <c r="A18" t="str">
        <f t="shared" si="2"/>
        <v>2017</v>
      </c>
      <c r="B18" s="22"/>
      <c r="C18" s="31">
        <v>1278467</v>
      </c>
      <c r="D18" s="31">
        <v>1373877</v>
      </c>
      <c r="E18" s="31">
        <v>1445588</v>
      </c>
      <c r="F18" s="113">
        <v>1447150</v>
      </c>
      <c r="G18" s="113">
        <v>1421854</v>
      </c>
      <c r="H18" s="26">
        <f>S21</f>
        <v>1412052</v>
      </c>
      <c r="I18" s="26"/>
      <c r="J18" s="26"/>
      <c r="L18" s="2"/>
      <c r="O18" s="147">
        <f t="shared" si="3"/>
        <v>2014</v>
      </c>
      <c r="P18" s="148">
        <v>7005</v>
      </c>
      <c r="Q18" s="148">
        <v>0</v>
      </c>
      <c r="R18" s="148">
        <v>4</v>
      </c>
      <c r="S18" s="149">
        <f t="shared" si="5"/>
        <v>7009</v>
      </c>
      <c r="T18" s="68"/>
      <c r="X18" s="18"/>
      <c r="Y18" s="18"/>
      <c r="Z18" s="18"/>
    </row>
    <row r="19" spans="1:26" ht="11.25" customHeight="1" x14ac:dyDescent="0.2">
      <c r="A19" t="str">
        <f t="shared" si="2"/>
        <v>2018</v>
      </c>
      <c r="B19" s="22"/>
      <c r="C19" s="31">
        <v>13197</v>
      </c>
      <c r="D19" s="31">
        <v>12326</v>
      </c>
      <c r="E19" s="113">
        <v>12193</v>
      </c>
      <c r="F19" s="113">
        <v>12069</v>
      </c>
      <c r="G19" s="26">
        <f>S22</f>
        <v>12107</v>
      </c>
      <c r="H19" s="31"/>
      <c r="I19" s="31"/>
      <c r="J19" s="31"/>
      <c r="L19" s="2"/>
      <c r="O19" s="147">
        <f t="shared" si="3"/>
        <v>2015</v>
      </c>
      <c r="P19" s="148">
        <v>138697</v>
      </c>
      <c r="Q19" s="148">
        <v>3</v>
      </c>
      <c r="R19" s="148">
        <v>118</v>
      </c>
      <c r="S19" s="149">
        <f t="shared" si="5"/>
        <v>138818</v>
      </c>
      <c r="T19" s="68"/>
      <c r="X19" s="18"/>
      <c r="Y19" s="18"/>
      <c r="Z19" s="18"/>
    </row>
    <row r="20" spans="1:26" ht="11.25" customHeight="1" x14ac:dyDescent="0.2">
      <c r="A20" t="str">
        <f t="shared" si="2"/>
        <v>2019</v>
      </c>
      <c r="B20" s="22"/>
      <c r="C20" s="31">
        <v>18155</v>
      </c>
      <c r="D20" s="113">
        <v>17949</v>
      </c>
      <c r="E20" s="113">
        <v>17624</v>
      </c>
      <c r="F20" s="26">
        <f>S23</f>
        <v>17871</v>
      </c>
      <c r="G20" s="31"/>
      <c r="H20" s="31"/>
      <c r="I20" s="31"/>
      <c r="J20" s="31"/>
      <c r="L20" s="2"/>
      <c r="O20" s="147">
        <f t="shared" si="3"/>
        <v>2016</v>
      </c>
      <c r="P20" s="148">
        <v>28422</v>
      </c>
      <c r="Q20" s="148">
        <v>0</v>
      </c>
      <c r="R20" s="148">
        <v>20</v>
      </c>
      <c r="S20" s="149">
        <f t="shared" si="5"/>
        <v>28442</v>
      </c>
      <c r="T20" s="68"/>
      <c r="X20" s="18"/>
      <c r="Y20" s="18"/>
      <c r="Z20" s="18"/>
    </row>
    <row r="21" spans="1:26" ht="11.25" customHeight="1" x14ac:dyDescent="0.2">
      <c r="A21" t="str">
        <f t="shared" si="2"/>
        <v>2020</v>
      </c>
      <c r="B21" s="22"/>
      <c r="C21" s="113">
        <v>87095</v>
      </c>
      <c r="D21" s="113">
        <v>64821</v>
      </c>
      <c r="E21" s="26">
        <f>S24</f>
        <v>65493</v>
      </c>
      <c r="F21" s="31"/>
      <c r="G21" s="31"/>
      <c r="H21" s="31"/>
      <c r="I21" s="31"/>
      <c r="J21" s="31"/>
      <c r="L21" s="2"/>
      <c r="O21" s="147">
        <f t="shared" si="3"/>
        <v>2017</v>
      </c>
      <c r="P21" s="148">
        <v>1400645</v>
      </c>
      <c r="Q21" s="148">
        <v>2090</v>
      </c>
      <c r="R21" s="148">
        <v>9317</v>
      </c>
      <c r="S21" s="149">
        <f t="shared" si="5"/>
        <v>1412052</v>
      </c>
      <c r="T21" s="68"/>
      <c r="X21" s="18"/>
      <c r="Y21" s="18"/>
      <c r="Z21" s="18"/>
    </row>
    <row r="22" spans="1:26" ht="11.25" customHeight="1" x14ac:dyDescent="0.2">
      <c r="A22" t="str">
        <f t="shared" si="2"/>
        <v>2021</v>
      </c>
      <c r="B22" s="22"/>
      <c r="C22" s="113">
        <v>61907</v>
      </c>
      <c r="D22" s="26">
        <f>S25</f>
        <v>70898</v>
      </c>
      <c r="E22" s="82"/>
      <c r="F22" s="31"/>
      <c r="G22" s="31"/>
      <c r="H22" s="31"/>
      <c r="I22" s="31"/>
      <c r="J22" s="31"/>
      <c r="L22" s="2"/>
      <c r="M22" t="s">
        <v>233</v>
      </c>
      <c r="O22" s="147">
        <f>O23-1</f>
        <v>2018</v>
      </c>
      <c r="P22" s="148">
        <v>12087</v>
      </c>
      <c r="Q22" s="148">
        <v>0</v>
      </c>
      <c r="R22" s="148">
        <v>20</v>
      </c>
      <c r="S22" s="149">
        <f t="shared" si="5"/>
        <v>12107</v>
      </c>
      <c r="T22" s="68"/>
      <c r="X22" s="18"/>
      <c r="Y22" s="18"/>
      <c r="Z22" s="18"/>
    </row>
    <row r="23" spans="1:26" ht="11.25" customHeight="1" x14ac:dyDescent="0.2">
      <c r="A23" t="str">
        <f>TEXT(YEAR($M$23),"#")</f>
        <v>2022</v>
      </c>
      <c r="B23" s="22"/>
      <c r="C23" s="159">
        <f>S26</f>
        <v>28768</v>
      </c>
      <c r="D23" s="26"/>
      <c r="E23" s="82"/>
      <c r="F23" s="31"/>
      <c r="G23" s="31"/>
      <c r="H23" s="31"/>
      <c r="I23" s="31"/>
      <c r="J23" s="31"/>
      <c r="L23" s="2"/>
      <c r="M23" s="65">
        <f>'4.4'!L39</f>
        <v>44926</v>
      </c>
      <c r="O23" s="147">
        <v>2019</v>
      </c>
      <c r="P23" s="148">
        <v>17588</v>
      </c>
      <c r="Q23" s="148">
        <v>152</v>
      </c>
      <c r="R23" s="148">
        <v>131</v>
      </c>
      <c r="S23" s="149">
        <f>SUM(P23:R23)</f>
        <v>17871</v>
      </c>
      <c r="X23" s="18"/>
      <c r="Y23" s="18"/>
      <c r="Z23" s="18"/>
    </row>
    <row r="24" spans="1:26" x14ac:dyDescent="0.2">
      <c r="A24" s="9"/>
      <c r="B24" s="23"/>
      <c r="C24" s="27"/>
      <c r="D24" s="81"/>
      <c r="E24" s="81"/>
      <c r="F24" s="48"/>
      <c r="G24" s="48"/>
      <c r="H24" s="48"/>
      <c r="I24" s="48"/>
      <c r="L24" s="2"/>
      <c r="O24">
        <v>2020</v>
      </c>
      <c r="P24" s="113">
        <v>62616</v>
      </c>
      <c r="Q24" s="148">
        <v>1675</v>
      </c>
      <c r="R24" s="148">
        <v>1202</v>
      </c>
      <c r="S24" s="149">
        <f>SUM(P24:R24)</f>
        <v>65493</v>
      </c>
      <c r="X24" s="18"/>
      <c r="Y24" s="18"/>
      <c r="Z24" s="18"/>
    </row>
    <row r="25" spans="1:26" ht="11.25" customHeight="1" x14ac:dyDescent="0.2">
      <c r="L25" s="2"/>
      <c r="O25">
        <v>2021</v>
      </c>
      <c r="P25" s="113">
        <v>61894</v>
      </c>
      <c r="Q25" s="113">
        <v>5986</v>
      </c>
      <c r="R25" s="113">
        <v>3018</v>
      </c>
      <c r="S25" s="149">
        <f>SUM(P25:R25)</f>
        <v>70898</v>
      </c>
      <c r="X25" s="18"/>
      <c r="Y25" s="18"/>
      <c r="Z25" s="18"/>
    </row>
    <row r="26" spans="1:26" ht="11.25" customHeight="1" x14ac:dyDescent="0.2">
      <c r="C26" s="10" t="s">
        <v>50</v>
      </c>
      <c r="L26" s="2"/>
      <c r="O26" s="147">
        <v>2022</v>
      </c>
      <c r="P26" s="148">
        <v>19961</v>
      </c>
      <c r="Q26" s="148">
        <v>3581</v>
      </c>
      <c r="R26" s="148">
        <v>5226</v>
      </c>
      <c r="S26" s="149">
        <f>SUM(P26:R26)</f>
        <v>28768</v>
      </c>
    </row>
    <row r="27" spans="1:26" ht="11.25" customHeight="1" x14ac:dyDescent="0.2">
      <c r="A27" t="s">
        <v>41</v>
      </c>
      <c r="L27" s="2"/>
    </row>
    <row r="28" spans="1:26" ht="11.25" customHeight="1" x14ac:dyDescent="0.2">
      <c r="A28" s="9" t="s">
        <v>42</v>
      </c>
      <c r="B28" s="9"/>
      <c r="C28" s="9" t="str">
        <f t="shared" ref="C28:H28" si="6">C11&amp;" - "&amp;D11</f>
        <v>12 - 24</v>
      </c>
      <c r="D28" s="9" t="str">
        <f t="shared" si="6"/>
        <v>24 - 36</v>
      </c>
      <c r="E28" s="9" t="str">
        <f t="shared" si="6"/>
        <v>36 - 48</v>
      </c>
      <c r="F28" s="9" t="str">
        <f t="shared" si="6"/>
        <v>48 - 60</v>
      </c>
      <c r="G28" s="9" t="str">
        <f t="shared" si="6"/>
        <v>60 - 72</v>
      </c>
      <c r="H28" s="9" t="str">
        <f t="shared" si="6"/>
        <v>72 - 84</v>
      </c>
      <c r="I28" s="9" t="str">
        <f>I11&amp;" - Ult"</f>
        <v>84 - Ult</v>
      </c>
      <c r="L28" s="2"/>
      <c r="O28" s="128"/>
      <c r="P28" s="18">
        <f>SUM(P14:P26)</f>
        <v>2000560</v>
      </c>
      <c r="Q28" s="18">
        <f>SUM(Q14:Q26)</f>
        <v>14234</v>
      </c>
      <c r="R28" s="18">
        <f>SUM(R14:R26)</f>
        <v>19069</v>
      </c>
      <c r="S28" s="18">
        <f>SUM(S14:S26)</f>
        <v>2033863</v>
      </c>
    </row>
    <row r="29" spans="1:26" ht="11.25" customHeight="1" x14ac:dyDescent="0.2">
      <c r="A29" s="13" t="str">
        <f>TEXT(COLUMN(),"(#)")</f>
        <v>(1)</v>
      </c>
      <c r="B29" s="13"/>
      <c r="C29" s="11" t="str">
        <f t="shared" ref="C29:I29" si="7">TEXT(COLUMN()-1,"(#)")</f>
        <v>(2)</v>
      </c>
      <c r="D29" s="11" t="str">
        <f t="shared" si="7"/>
        <v>(3)</v>
      </c>
      <c r="E29" s="11" t="str">
        <f t="shared" si="7"/>
        <v>(4)</v>
      </c>
      <c r="F29" s="11" t="str">
        <f t="shared" si="7"/>
        <v>(5)</v>
      </c>
      <c r="G29" s="11" t="str">
        <f t="shared" si="7"/>
        <v>(6)</v>
      </c>
      <c r="H29" s="11" t="str">
        <f t="shared" si="7"/>
        <v>(7)</v>
      </c>
      <c r="I29" s="11" t="str">
        <f t="shared" si="7"/>
        <v>(8)</v>
      </c>
      <c r="J29" s="11"/>
      <c r="L29" s="2"/>
      <c r="O29" s="128"/>
      <c r="P29" s="129"/>
      <c r="Q29" s="128"/>
      <c r="R29" s="128"/>
      <c r="S29" s="129"/>
    </row>
    <row r="30" spans="1:26" ht="11.25" customHeight="1" x14ac:dyDescent="0.2">
      <c r="L30" s="2"/>
      <c r="O30" s="128"/>
      <c r="P30" s="129"/>
      <c r="Q30" s="128"/>
      <c r="R30" s="128"/>
      <c r="S30" s="129"/>
    </row>
    <row r="31" spans="1:26" ht="11.25" customHeight="1" x14ac:dyDescent="0.2">
      <c r="A31" t="str">
        <f t="shared" ref="A31:A39" si="8">A14</f>
        <v>2013</v>
      </c>
      <c r="B31" s="22"/>
      <c r="C31" s="32">
        <f>IF(ISNUMBER(C14),D14/C14,"")</f>
        <v>0.97409460649707269</v>
      </c>
      <c r="D31" s="32">
        <f>IF(ISNUMBER(E14),E14/D14,"")</f>
        <v>0.96883144513589703</v>
      </c>
      <c r="E31" s="32">
        <f>IF(ISNUMBER(F14),F14/E14,"")</f>
        <v>0.98576722481471313</v>
      </c>
      <c r="F31" s="32">
        <f>IF(ISNUMBER(G14),G14/F14,"")</f>
        <v>0.99252328641243059</v>
      </c>
      <c r="G31" s="32">
        <f>IF(ISNUMBER(H14),H14/G14,"")</f>
        <v>0.99694189602446481</v>
      </c>
      <c r="H31" s="32">
        <f>IF(ISNUMBER(I14),I14/H14,"")</f>
        <v>0.99672144987898914</v>
      </c>
      <c r="I31" s="32"/>
      <c r="J31" s="32"/>
      <c r="L31" s="2"/>
      <c r="O31" s="128"/>
      <c r="P31" s="129"/>
      <c r="Q31" s="128"/>
      <c r="R31" s="128"/>
      <c r="S31" s="129"/>
    </row>
    <row r="32" spans="1:26" ht="11.25" customHeight="1" x14ac:dyDescent="0.2">
      <c r="A32" t="str">
        <f t="shared" si="8"/>
        <v>2014</v>
      </c>
      <c r="B32" s="22"/>
      <c r="C32" s="32">
        <f t="shared" ref="C32:C38" si="9">IF(ISNUMBER(C15),D15/C15,"")</f>
        <v>1.1654548152544888</v>
      </c>
      <c r="D32" s="32">
        <f t="shared" ref="D32:H39" si="10">IF(ISNUMBER(E15),E15/D15,"")</f>
        <v>0.92920804685510572</v>
      </c>
      <c r="E32" s="32">
        <f>IF(ISNUMBER(F15),F15/E15,"")</f>
        <v>0.99493011784050422</v>
      </c>
      <c r="F32" s="32">
        <f>IF(ISNUMBER(G15),G15/F15,"")</f>
        <v>0.97341963916815866</v>
      </c>
      <c r="G32" s="32">
        <f t="shared" si="10"/>
        <v>0.99207696661007361</v>
      </c>
      <c r="H32" s="32">
        <f>IF(ISNUMBER(I15),I15/H15,"")</f>
        <v>0.99957216200798626</v>
      </c>
      <c r="I32" s="32"/>
      <c r="J32" s="32"/>
      <c r="L32" s="2"/>
      <c r="O32" s="128"/>
      <c r="P32" s="129"/>
      <c r="Q32" s="128"/>
      <c r="R32" s="128"/>
      <c r="S32" s="129"/>
    </row>
    <row r="33" spans="1:19" ht="11.25" customHeight="1" x14ac:dyDescent="0.2">
      <c r="A33" t="str">
        <f t="shared" si="8"/>
        <v>2015</v>
      </c>
      <c r="B33" s="22"/>
      <c r="C33" s="32">
        <f t="shared" si="9"/>
        <v>0.94610855354330181</v>
      </c>
      <c r="D33" s="32">
        <f t="shared" si="10"/>
        <v>1.0036011575149155</v>
      </c>
      <c r="E33" s="32">
        <f>IF(ISNUMBER(F16),F16/E16,"")</f>
        <v>0.99514449056308252</v>
      </c>
      <c r="F33" s="32">
        <f t="shared" si="10"/>
        <v>0.99301744922269042</v>
      </c>
      <c r="G33" s="32">
        <f t="shared" si="10"/>
        <v>0.99951008998494251</v>
      </c>
      <c r="H33" s="32">
        <f>IF(ISNUMBER(I16),I16/H16,"")</f>
        <v>1.0006126876806527</v>
      </c>
      <c r="I33" s="32"/>
      <c r="J33" s="32"/>
      <c r="L33" s="2"/>
      <c r="O33" s="128"/>
      <c r="P33" s="129"/>
      <c r="Q33" s="128"/>
      <c r="R33" s="128"/>
      <c r="S33" s="129"/>
    </row>
    <row r="34" spans="1:19" ht="11.25" customHeight="1" x14ac:dyDescent="0.2">
      <c r="A34" t="str">
        <f t="shared" si="8"/>
        <v>2016</v>
      </c>
      <c r="B34" s="22"/>
      <c r="C34" s="32">
        <f t="shared" si="9"/>
        <v>0.9463121564617154</v>
      </c>
      <c r="D34" s="32">
        <f t="shared" si="10"/>
        <v>0.97622585438335807</v>
      </c>
      <c r="E34" s="32">
        <f t="shared" si="10"/>
        <v>0.98668188736681883</v>
      </c>
      <c r="F34" s="32">
        <f t="shared" si="10"/>
        <v>0.997686077902044</v>
      </c>
      <c r="G34" s="32">
        <f t="shared" si="10"/>
        <v>0.99996485926134171</v>
      </c>
      <c r="H34" s="32">
        <f t="shared" si="10"/>
        <v>0.99950801236997466</v>
      </c>
      <c r="I34" s="32"/>
      <c r="J34" s="32"/>
      <c r="L34" s="2"/>
      <c r="O34" s="128"/>
      <c r="P34" s="129"/>
      <c r="Q34" s="129"/>
      <c r="R34" s="129"/>
      <c r="S34" s="129"/>
    </row>
    <row r="35" spans="1:19" ht="11.25" customHeight="1" x14ac:dyDescent="0.2">
      <c r="A35" t="str">
        <f t="shared" si="8"/>
        <v>2017</v>
      </c>
      <c r="B35" s="22"/>
      <c r="C35" s="32">
        <f t="shared" si="9"/>
        <v>1.0746284417196532</v>
      </c>
      <c r="D35" s="32">
        <f t="shared" si="10"/>
        <v>1.0521960845112044</v>
      </c>
      <c r="E35" s="32">
        <f t="shared" si="10"/>
        <v>1.0010805291687535</v>
      </c>
      <c r="F35" s="32">
        <f t="shared" si="10"/>
        <v>0.98252012576443359</v>
      </c>
      <c r="G35" s="32">
        <f>IF(ISNUMBER(H18),H18/G18,"")</f>
        <v>0.99310618389792482</v>
      </c>
      <c r="H35" s="32" t="str">
        <f t="shared" si="10"/>
        <v/>
      </c>
      <c r="I35" s="32"/>
      <c r="J35" s="32"/>
      <c r="L35" s="2"/>
      <c r="O35" s="128"/>
      <c r="P35" s="129"/>
      <c r="Q35" s="128"/>
      <c r="R35" s="128"/>
      <c r="S35" s="129"/>
    </row>
    <row r="36" spans="1:19" ht="11.25" customHeight="1" x14ac:dyDescent="0.2">
      <c r="A36" t="str">
        <f t="shared" si="8"/>
        <v>2018</v>
      </c>
      <c r="B36" s="22"/>
      <c r="C36" s="32">
        <f t="shared" si="9"/>
        <v>0.93400015154959459</v>
      </c>
      <c r="D36" s="32">
        <f t="shared" si="10"/>
        <v>0.98920980042187245</v>
      </c>
      <c r="E36" s="32">
        <f t="shared" si="10"/>
        <v>0.9898302304601001</v>
      </c>
      <c r="F36" s="32">
        <f>IF(ISNUMBER(G19),G19/F19,"")</f>
        <v>1.0031485624326788</v>
      </c>
      <c r="G36" s="32" t="str">
        <f t="shared" si="10"/>
        <v/>
      </c>
      <c r="H36" s="32" t="str">
        <f t="shared" si="10"/>
        <v/>
      </c>
      <c r="I36" s="32"/>
      <c r="J36" s="32"/>
      <c r="L36" s="2"/>
      <c r="O36" s="128"/>
      <c r="P36" s="129"/>
      <c r="Q36" s="129"/>
      <c r="R36" s="128"/>
      <c r="S36" s="129"/>
    </row>
    <row r="37" spans="1:19" ht="11.25" customHeight="1" x14ac:dyDescent="0.2">
      <c r="A37" t="str">
        <f t="shared" si="8"/>
        <v>2019</v>
      </c>
      <c r="B37" s="22"/>
      <c r="C37" s="32">
        <f t="shared" si="9"/>
        <v>0.98865326356375649</v>
      </c>
      <c r="D37" s="32">
        <f t="shared" si="10"/>
        <v>0.98189314167920216</v>
      </c>
      <c r="E37" s="32">
        <f>IF(ISNUMBER(F20),F20/E20,"")</f>
        <v>1.0140149795733091</v>
      </c>
      <c r="F37" s="32" t="str">
        <f t="shared" si="10"/>
        <v/>
      </c>
      <c r="G37" s="32" t="str">
        <f t="shared" si="10"/>
        <v/>
      </c>
      <c r="H37" s="32" t="str">
        <f t="shared" si="10"/>
        <v/>
      </c>
      <c r="I37" s="32"/>
      <c r="J37" s="32"/>
      <c r="L37" s="2"/>
      <c r="O37" s="128"/>
      <c r="P37" s="129"/>
      <c r="Q37" s="129"/>
      <c r="R37" s="129"/>
      <c r="S37" s="129"/>
    </row>
    <row r="38" spans="1:19" ht="11.25" customHeight="1" x14ac:dyDescent="0.2">
      <c r="A38" t="str">
        <f t="shared" si="8"/>
        <v>2020</v>
      </c>
      <c r="B38" s="22"/>
      <c r="C38" s="32">
        <f t="shared" si="9"/>
        <v>0.74425627188701993</v>
      </c>
      <c r="D38" s="32">
        <f>IF(ISNUMBER(E21),E21/D21,"")</f>
        <v>1.0103670106909797</v>
      </c>
      <c r="E38" s="32" t="str">
        <f t="shared" si="10"/>
        <v/>
      </c>
      <c r="F38" s="32" t="str">
        <f t="shared" si="10"/>
        <v/>
      </c>
      <c r="G38" s="32" t="str">
        <f t="shared" si="10"/>
        <v/>
      </c>
      <c r="H38" s="32" t="str">
        <f t="shared" si="10"/>
        <v/>
      </c>
      <c r="I38" s="32"/>
      <c r="J38" s="32"/>
      <c r="L38" s="2"/>
    </row>
    <row r="39" spans="1:19" ht="11.25" customHeight="1" x14ac:dyDescent="0.2">
      <c r="A39" t="str">
        <f t="shared" si="8"/>
        <v>2021</v>
      </c>
      <c r="B39" s="22"/>
      <c r="C39" s="32">
        <f>IF(ISNUMBER(C22),D22/C22,"")</f>
        <v>1.1452339800022615</v>
      </c>
      <c r="D39" s="32" t="str">
        <f t="shared" si="10"/>
        <v/>
      </c>
      <c r="E39" s="32" t="str">
        <f t="shared" si="10"/>
        <v/>
      </c>
      <c r="F39" s="32" t="str">
        <f t="shared" si="10"/>
        <v/>
      </c>
      <c r="G39" s="32" t="str">
        <f t="shared" si="10"/>
        <v/>
      </c>
      <c r="H39" s="32" t="str">
        <f t="shared" si="10"/>
        <v/>
      </c>
      <c r="I39" s="32"/>
      <c r="J39" s="32"/>
      <c r="L39" s="2"/>
      <c r="P39" s="18"/>
      <c r="Q39" s="18"/>
      <c r="R39" s="18"/>
      <c r="S39" s="18"/>
    </row>
    <row r="40" spans="1:19" x14ac:dyDescent="0.2">
      <c r="A40" s="9"/>
      <c r="B40" s="23"/>
      <c r="C40" s="33"/>
      <c r="D40" s="33"/>
      <c r="E40" s="33"/>
      <c r="F40" s="33"/>
      <c r="G40" s="33"/>
      <c r="H40" s="33"/>
      <c r="I40" s="33"/>
      <c r="L40" s="2"/>
    </row>
    <row r="41" spans="1:19" ht="11.25" customHeight="1" x14ac:dyDescent="0.2">
      <c r="C41" s="18"/>
      <c r="L41" s="2"/>
    </row>
    <row r="42" spans="1:19" x14ac:dyDescent="0.2">
      <c r="A42" t="s">
        <v>51</v>
      </c>
      <c r="B42" s="22"/>
      <c r="C42" s="34">
        <f t="shared" ref="C42:H42" si="11">AVERAGE(C31:C39)</f>
        <v>0.99097136005320707</v>
      </c>
      <c r="D42" s="34">
        <f t="shared" si="11"/>
        <v>0.98894156764906693</v>
      </c>
      <c r="E42" s="34">
        <f t="shared" si="11"/>
        <v>0.9953499228267545</v>
      </c>
      <c r="F42" s="34">
        <f t="shared" si="11"/>
        <v>0.99038585681707259</v>
      </c>
      <c r="G42" s="34">
        <f t="shared" si="11"/>
        <v>0.99631999915574931</v>
      </c>
      <c r="H42" s="34">
        <f t="shared" si="11"/>
        <v>0.99910357798440064</v>
      </c>
      <c r="I42" s="34"/>
      <c r="J42" s="34"/>
      <c r="L42" s="2"/>
    </row>
    <row r="43" spans="1:19" x14ac:dyDescent="0.2">
      <c r="A43" t="s">
        <v>74</v>
      </c>
      <c r="B43" s="12"/>
      <c r="C43" s="29">
        <f t="shared" ref="C43:H43" si="12">(SUM(C31:C39)-MAX(C31:C39)-MIN(C31:C39))/(COUNT(C31:C39)-2)</f>
        <v>1.0012901647624795</v>
      </c>
      <c r="D43" s="29">
        <f t="shared" si="12"/>
        <v>0.98835473497103754</v>
      </c>
      <c r="E43" s="29">
        <f t="shared" si="12"/>
        <v>0.99353345107985191</v>
      </c>
      <c r="F43" s="29">
        <f t="shared" si="12"/>
        <v>0.99143673482539951</v>
      </c>
      <c r="G43" s="29">
        <f t="shared" si="12"/>
        <v>0.99651938996911049</v>
      </c>
      <c r="H43" s="29">
        <f t="shared" si="12"/>
        <v>0.99954008718898035</v>
      </c>
      <c r="L43" s="2"/>
    </row>
    <row r="44" spans="1:19" x14ac:dyDescent="0.2">
      <c r="A44" t="s">
        <v>75</v>
      </c>
      <c r="C44" s="34">
        <f>AVERAGE(C37:C39)</f>
        <v>0.95938117181767935</v>
      </c>
      <c r="D44" s="34">
        <f>AVERAGE(D36:D38)</f>
        <v>0.99382331759735143</v>
      </c>
      <c r="E44" s="34">
        <f>AVERAGE(E35:E37)</f>
        <v>1.0016419130673875</v>
      </c>
      <c r="F44" s="34">
        <f>AVERAGE(F34:F36)</f>
        <v>0.99445158869971884</v>
      </c>
      <c r="G44" s="34">
        <f>AVERAGE(G33:G35)</f>
        <v>0.99752704438140294</v>
      </c>
      <c r="H44" s="34">
        <f>AVERAGE(H32:H34)</f>
        <v>0.99989762068620447</v>
      </c>
      <c r="L44" s="2"/>
    </row>
    <row r="45" spans="1:19" x14ac:dyDescent="0.2">
      <c r="A45" t="s">
        <v>52</v>
      </c>
      <c r="B45" s="22"/>
      <c r="C45" s="34">
        <f>AVERAGE(C35:C39)</f>
        <v>0.97735442174445719</v>
      </c>
      <c r="D45" s="34">
        <f>AVERAGE(D34:D38)</f>
        <v>1.0019783783373233</v>
      </c>
      <c r="E45" s="34">
        <f>AVERAGE(E33:E37)</f>
        <v>0.99735042342641278</v>
      </c>
      <c r="F45" s="34">
        <f>AVERAGE(F32:F36)</f>
        <v>0.98995837089800109</v>
      </c>
      <c r="G45" s="34">
        <f>AVERAGE(G31:G35)</f>
        <v>0.99631999915574931</v>
      </c>
      <c r="H45" s="34">
        <f>AVERAGE(H31:H34)</f>
        <v>0.99910357798440064</v>
      </c>
      <c r="I45" s="34"/>
      <c r="J45" s="34"/>
      <c r="L45" s="2"/>
    </row>
    <row r="46" spans="1:19" x14ac:dyDescent="0.2">
      <c r="A46" t="s">
        <v>192</v>
      </c>
      <c r="C46" s="72">
        <v>1</v>
      </c>
      <c r="D46" s="72">
        <v>0.99299999999999999</v>
      </c>
      <c r="E46" s="72">
        <v>0.99299999999999999</v>
      </c>
      <c r="F46" s="72">
        <v>0.99</v>
      </c>
      <c r="G46" s="72">
        <v>1</v>
      </c>
      <c r="H46" s="72">
        <v>0.999</v>
      </c>
      <c r="I46" s="72">
        <v>1</v>
      </c>
      <c r="J46" s="72"/>
      <c r="L46" s="2"/>
    </row>
    <row r="47" spans="1:19" x14ac:dyDescent="0.2">
      <c r="A47" t="s">
        <v>53</v>
      </c>
      <c r="C47" s="71">
        <v>1</v>
      </c>
      <c r="D47" s="71">
        <f>ROUND(AVERAGE(D42:D46),3)</f>
        <v>0.99299999999999999</v>
      </c>
      <c r="E47" s="71">
        <f>ROUND(AVERAGE(E42:E46),3)</f>
        <v>0.996</v>
      </c>
      <c r="F47" s="71">
        <f t="shared" ref="F47:I47" si="13">ROUND(AVERAGE(F42:F46),3)</f>
        <v>0.99099999999999999</v>
      </c>
      <c r="G47" s="71">
        <f t="shared" si="13"/>
        <v>0.997</v>
      </c>
      <c r="H47" s="71">
        <f t="shared" si="13"/>
        <v>0.999</v>
      </c>
      <c r="I47" s="71">
        <f t="shared" si="13"/>
        <v>1</v>
      </c>
      <c r="J47" s="71"/>
      <c r="L47" s="2"/>
    </row>
    <row r="48" spans="1:19" x14ac:dyDescent="0.2">
      <c r="A48" t="s">
        <v>54</v>
      </c>
      <c r="C48" s="29">
        <f>ROUND(C47*D48,3)</f>
        <v>0.97599999999999998</v>
      </c>
      <c r="D48" s="29">
        <f t="shared" ref="D48:H48" si="14">ROUND(D47*E48,3)</f>
        <v>0.97599999999999998</v>
      </c>
      <c r="E48" s="29">
        <f t="shared" si="14"/>
        <v>0.98299999999999998</v>
      </c>
      <c r="F48" s="29">
        <f t="shared" si="14"/>
        <v>0.98699999999999999</v>
      </c>
      <c r="G48" s="29">
        <f>ROUND(G47*H48,3)</f>
        <v>0.996</v>
      </c>
      <c r="H48" s="29">
        <f t="shared" si="14"/>
        <v>0.999</v>
      </c>
      <c r="I48" s="29">
        <f>I47</f>
        <v>1</v>
      </c>
      <c r="J48" s="29"/>
      <c r="L48" s="2"/>
    </row>
    <row r="49" spans="1:12" ht="12" thickBot="1" x14ac:dyDescent="0.25">
      <c r="A49" s="6"/>
      <c r="B49" s="6"/>
      <c r="C49" s="6"/>
      <c r="D49" s="6"/>
      <c r="E49" s="6"/>
      <c r="F49" s="6"/>
      <c r="G49" s="6"/>
      <c r="H49" s="6"/>
      <c r="I49" s="6"/>
      <c r="L49" s="2"/>
    </row>
    <row r="50" spans="1:12" ht="12" thickTop="1" x14ac:dyDescent="0.2">
      <c r="L50" s="2"/>
    </row>
    <row r="51" spans="1:12" x14ac:dyDescent="0.2">
      <c r="L51" s="2"/>
    </row>
    <row r="52" spans="1:12" x14ac:dyDescent="0.2">
      <c r="L52" s="2"/>
    </row>
    <row r="53" spans="1:12" x14ac:dyDescent="0.2">
      <c r="L53" s="2"/>
    </row>
    <row r="54" spans="1:12" x14ac:dyDescent="0.2">
      <c r="L54" s="2"/>
    </row>
    <row r="55" spans="1:12" x14ac:dyDescent="0.2">
      <c r="L55" s="2"/>
    </row>
    <row r="56" spans="1:12" x14ac:dyDescent="0.2">
      <c r="L56" s="2"/>
    </row>
    <row r="57" spans="1:12" x14ac:dyDescent="0.2">
      <c r="L57" s="2"/>
    </row>
    <row r="58" spans="1:12" x14ac:dyDescent="0.2">
      <c r="L58" s="2"/>
    </row>
    <row r="59" spans="1:12" x14ac:dyDescent="0.2">
      <c r="L59" s="2"/>
    </row>
    <row r="60" spans="1:12" x14ac:dyDescent="0.2"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ht="12" thickBot="1" x14ac:dyDescent="0.25">
      <c r="L67" s="2"/>
    </row>
    <row r="68" spans="1:12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92D050"/>
  </sheetPr>
  <dimension ref="A1:S72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7" width="14" customWidth="1"/>
    <col min="8" max="9" width="11.33203125" customWidth="1"/>
    <col min="10" max="10" width="8.1640625" customWidth="1"/>
    <col min="13" max="13" width="12.33203125" bestFit="1" customWidth="1"/>
    <col min="14" max="14" width="15.1640625" bestFit="1" customWidth="1"/>
    <col min="15" max="15" width="14.1640625" bestFit="1" customWidth="1"/>
  </cols>
  <sheetData>
    <row r="1" spans="1:19" x14ac:dyDescent="0.2">
      <c r="A1" s="8" t="str">
        <f>'1'!$A$1</f>
        <v>Texas Windstorm Insurance Association</v>
      </c>
      <c r="B1" s="12"/>
      <c r="J1" s="7" t="s">
        <v>55</v>
      </c>
      <c r="K1" s="1"/>
      <c r="N1" t="s">
        <v>526</v>
      </c>
      <c r="O1" t="s">
        <v>546</v>
      </c>
    </row>
    <row r="2" spans="1:19" x14ac:dyDescent="0.2">
      <c r="A2" s="8" t="str">
        <f>'1'!$A$2</f>
        <v>Commercial Property - Wind &amp; Hail</v>
      </c>
      <c r="B2" s="12"/>
      <c r="J2" s="7" t="s">
        <v>71</v>
      </c>
      <c r="K2" s="2"/>
      <c r="N2" t="s">
        <v>526</v>
      </c>
      <c r="O2" t="s">
        <v>547</v>
      </c>
    </row>
    <row r="3" spans="1:19" x14ac:dyDescent="0.2">
      <c r="A3" s="8" t="str">
        <f>'1'!$A$3</f>
        <v>Rate Level Review</v>
      </c>
      <c r="B3" s="12"/>
      <c r="K3" s="2"/>
      <c r="N3" t="s">
        <v>526</v>
      </c>
      <c r="O3" t="s">
        <v>548</v>
      </c>
    </row>
    <row r="4" spans="1:19" x14ac:dyDescent="0.2">
      <c r="A4" t="s">
        <v>247</v>
      </c>
      <c r="B4" s="12"/>
      <c r="K4" s="2"/>
      <c r="N4" t="s">
        <v>526</v>
      </c>
      <c r="O4" t="s">
        <v>566</v>
      </c>
    </row>
    <row r="5" spans="1:19" x14ac:dyDescent="0.2">
      <c r="B5" s="12"/>
      <c r="K5" s="2"/>
    </row>
    <row r="6" spans="1:19" x14ac:dyDescent="0.2">
      <c r="K6" s="2"/>
    </row>
    <row r="7" spans="1:19" ht="12" thickBot="1" x14ac:dyDescent="0.25">
      <c r="A7" s="6"/>
      <c r="B7" s="6"/>
      <c r="C7" s="6"/>
      <c r="D7" s="6"/>
      <c r="E7" s="6"/>
      <c r="F7" s="6"/>
      <c r="G7" s="6"/>
      <c r="I7" s="18"/>
      <c r="K7" s="2"/>
    </row>
    <row r="8" spans="1:19" ht="12" thickTop="1" x14ac:dyDescent="0.2">
      <c r="K8" s="2"/>
    </row>
    <row r="9" spans="1:19" x14ac:dyDescent="0.2">
      <c r="C9" s="12" t="s">
        <v>67</v>
      </c>
      <c r="E9" t="s">
        <v>12</v>
      </c>
      <c r="K9" s="2"/>
      <c r="L9" s="24"/>
    </row>
    <row r="10" spans="1:19" x14ac:dyDescent="0.2">
      <c r="A10" t="s">
        <v>41</v>
      </c>
      <c r="C10" t="s">
        <v>448</v>
      </c>
      <c r="D10" t="s">
        <v>44</v>
      </c>
      <c r="E10" t="s">
        <v>28</v>
      </c>
      <c r="F10" t="s">
        <v>67</v>
      </c>
      <c r="G10" t="s">
        <v>67</v>
      </c>
      <c r="K10" s="2"/>
      <c r="L10" s="12"/>
      <c r="O10" t="s">
        <v>452</v>
      </c>
      <c r="P10" t="s">
        <v>453</v>
      </c>
    </row>
    <row r="11" spans="1:19" x14ac:dyDescent="0.2">
      <c r="A11" s="9" t="s">
        <v>42</v>
      </c>
      <c r="B11" s="9"/>
      <c r="C11" s="9" t="str">
        <f>"at "&amp;TEXT('4.2'!$M$11,"m/d/yy")</f>
        <v>at 12/31/22</v>
      </c>
      <c r="D11" s="9" t="s">
        <v>30</v>
      </c>
      <c r="E11" s="9" t="s">
        <v>448</v>
      </c>
      <c r="F11" s="9" t="s">
        <v>447</v>
      </c>
      <c r="G11" s="9" t="s">
        <v>29</v>
      </c>
      <c r="K11" s="2"/>
      <c r="L11" s="36"/>
      <c r="O11" s="9" t="s">
        <v>447</v>
      </c>
      <c r="P11" s="9" t="s">
        <v>447</v>
      </c>
    </row>
    <row r="12" spans="1:1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K12" s="2"/>
    </row>
    <row r="13" spans="1:19" x14ac:dyDescent="0.2">
      <c r="A13" s="191">
        <v>1980</v>
      </c>
      <c r="G13" s="143">
        <v>1318</v>
      </c>
      <c r="K13" s="2"/>
      <c r="N13" t="s">
        <v>397</v>
      </c>
      <c r="O13" s="277">
        <v>1995</v>
      </c>
      <c r="P13" s="277">
        <v>1</v>
      </c>
      <c r="S13" s="143"/>
    </row>
    <row r="14" spans="1:19" x14ac:dyDescent="0.2">
      <c r="A14" s="192">
        <v>1981</v>
      </c>
      <c r="B14" s="22"/>
      <c r="C14" s="26"/>
      <c r="D14" s="26"/>
      <c r="E14" s="26"/>
      <c r="F14" s="26"/>
      <c r="G14" s="31">
        <v>543</v>
      </c>
      <c r="K14" s="2"/>
      <c r="N14" t="s">
        <v>398</v>
      </c>
      <c r="O14" s="278">
        <v>3951</v>
      </c>
      <c r="P14" s="277">
        <v>0</v>
      </c>
      <c r="S14" s="143"/>
    </row>
    <row r="15" spans="1:19" x14ac:dyDescent="0.2">
      <c r="A15" t="str">
        <f>TEXT(A14+1,"#")</f>
        <v>1982</v>
      </c>
      <c r="B15" s="22"/>
      <c r="C15" s="26"/>
      <c r="D15" s="26"/>
      <c r="E15" s="26"/>
      <c r="F15" s="26"/>
      <c r="G15" s="31">
        <v>565</v>
      </c>
      <c r="K15" s="2"/>
      <c r="N15" t="s">
        <v>401</v>
      </c>
      <c r="O15" s="278">
        <v>14383</v>
      </c>
      <c r="P15" s="277">
        <v>0</v>
      </c>
      <c r="S15" s="143"/>
    </row>
    <row r="16" spans="1:19" x14ac:dyDescent="0.2">
      <c r="A16" t="str">
        <f t="shared" ref="A16:A55" si="0">TEXT(A15+1,"#")</f>
        <v>1983</v>
      </c>
      <c r="B16" s="22"/>
      <c r="C16" s="26"/>
      <c r="D16" s="26"/>
      <c r="E16" s="26"/>
      <c r="F16" s="26"/>
      <c r="G16" s="31">
        <v>9127</v>
      </c>
      <c r="K16" s="2"/>
      <c r="N16" t="s">
        <v>419</v>
      </c>
      <c r="O16" s="113">
        <v>14964</v>
      </c>
      <c r="P16" s="275">
        <v>0</v>
      </c>
      <c r="R16" s="18"/>
      <c r="S16" s="113"/>
    </row>
    <row r="17" spans="1:19" x14ac:dyDescent="0.2">
      <c r="A17" t="str">
        <f t="shared" si="0"/>
        <v>1984</v>
      </c>
      <c r="B17" s="22"/>
      <c r="C17" s="26"/>
      <c r="D17" s="26"/>
      <c r="E17" s="26"/>
      <c r="F17" s="26"/>
      <c r="G17" s="31">
        <v>324</v>
      </c>
      <c r="K17" s="2"/>
      <c r="N17" t="s">
        <v>420</v>
      </c>
      <c r="O17" s="113">
        <v>12924</v>
      </c>
      <c r="P17" s="275">
        <v>4</v>
      </c>
      <c r="R17" s="18"/>
      <c r="S17" s="113"/>
    </row>
    <row r="18" spans="1:19" x14ac:dyDescent="0.2">
      <c r="A18" t="str">
        <f t="shared" si="0"/>
        <v>1985</v>
      </c>
      <c r="B18" s="22"/>
      <c r="C18" s="26"/>
      <c r="D18" s="26"/>
      <c r="E18" s="26"/>
      <c r="F18" s="26"/>
      <c r="G18" s="31">
        <v>297</v>
      </c>
      <c r="K18" s="2"/>
      <c r="N18" t="s">
        <v>443</v>
      </c>
      <c r="O18" s="113">
        <v>5797</v>
      </c>
      <c r="P18" s="275">
        <v>2</v>
      </c>
      <c r="R18" s="18"/>
      <c r="S18" s="113"/>
    </row>
    <row r="19" spans="1:19" x14ac:dyDescent="0.2">
      <c r="A19" t="str">
        <f t="shared" si="0"/>
        <v>1986</v>
      </c>
      <c r="B19" s="22"/>
      <c r="C19" s="26"/>
      <c r="D19" s="26"/>
      <c r="E19" s="113">
        <v>270</v>
      </c>
      <c r="F19" s="113">
        <v>235</v>
      </c>
      <c r="G19" s="26">
        <f>E19+F19</f>
        <v>505</v>
      </c>
      <c r="K19" s="2"/>
      <c r="N19" t="s">
        <v>444</v>
      </c>
      <c r="O19" s="113">
        <v>37147</v>
      </c>
      <c r="P19" s="275">
        <v>3</v>
      </c>
      <c r="R19" s="18"/>
      <c r="S19" s="113"/>
    </row>
    <row r="20" spans="1:19" x14ac:dyDescent="0.2">
      <c r="A20" t="str">
        <f t="shared" si="0"/>
        <v>1987</v>
      </c>
      <c r="B20" s="22"/>
      <c r="C20" s="26"/>
      <c r="D20" s="26"/>
      <c r="E20" s="113">
        <v>652</v>
      </c>
      <c r="F20" s="113">
        <v>404</v>
      </c>
      <c r="G20" s="26">
        <f>E20+F20</f>
        <v>1056</v>
      </c>
      <c r="K20" s="2"/>
      <c r="N20" t="s">
        <v>445</v>
      </c>
      <c r="O20" s="113">
        <v>14883</v>
      </c>
      <c r="P20" s="275">
        <v>2</v>
      </c>
      <c r="R20" s="18"/>
      <c r="S20" s="113"/>
    </row>
    <row r="21" spans="1:19" x14ac:dyDescent="0.2">
      <c r="A21" t="str">
        <f t="shared" si="0"/>
        <v>1988</v>
      </c>
      <c r="B21" s="22"/>
      <c r="C21" s="26"/>
      <c r="D21" s="26"/>
      <c r="E21" s="113">
        <v>235</v>
      </c>
      <c r="F21" s="113">
        <v>122</v>
      </c>
      <c r="G21" s="26">
        <f>E21+F21</f>
        <v>357</v>
      </c>
      <c r="K21" s="2"/>
      <c r="N21" t="s">
        <v>446</v>
      </c>
      <c r="O21" s="113">
        <v>262127</v>
      </c>
      <c r="P21" s="275">
        <v>2227</v>
      </c>
      <c r="R21" s="18"/>
      <c r="S21" s="113"/>
    </row>
    <row r="22" spans="1:19" x14ac:dyDescent="0.2">
      <c r="A22" t="str">
        <f t="shared" si="0"/>
        <v>1989</v>
      </c>
      <c r="B22" s="22"/>
      <c r="C22" s="26"/>
      <c r="D22" s="26"/>
      <c r="E22" s="31">
        <v>2727</v>
      </c>
      <c r="F22" s="31">
        <v>801</v>
      </c>
      <c r="G22" s="26">
        <f>E22+F22</f>
        <v>3528</v>
      </c>
      <c r="K22" s="2"/>
      <c r="N22" t="s">
        <v>454</v>
      </c>
      <c r="O22" s="113">
        <v>6402</v>
      </c>
      <c r="P22" s="276">
        <v>2</v>
      </c>
      <c r="R22" s="18"/>
      <c r="S22" s="113"/>
    </row>
    <row r="23" spans="1:19" x14ac:dyDescent="0.2">
      <c r="A23" t="str">
        <f t="shared" si="0"/>
        <v>1990</v>
      </c>
      <c r="C23" s="26"/>
      <c r="D23" s="26"/>
      <c r="E23" s="31">
        <v>119</v>
      </c>
      <c r="F23" s="31">
        <v>106</v>
      </c>
      <c r="G23" s="26">
        <f>E23+F23</f>
        <v>225</v>
      </c>
      <c r="K23" s="2"/>
      <c r="N23" s="22">
        <v>2019</v>
      </c>
      <c r="O23" s="113">
        <v>8804</v>
      </c>
      <c r="P23" s="113">
        <v>19</v>
      </c>
      <c r="R23" s="18"/>
      <c r="S23" s="113"/>
    </row>
    <row r="24" spans="1:19" x14ac:dyDescent="0.2">
      <c r="A24" t="str">
        <f t="shared" si="0"/>
        <v>1991</v>
      </c>
      <c r="C24" s="26"/>
      <c r="D24" s="26"/>
      <c r="E24" s="31">
        <v>403</v>
      </c>
      <c r="F24" s="31">
        <v>326</v>
      </c>
      <c r="G24" s="26">
        <f t="shared" ref="G24:G44" si="1">E24+F24</f>
        <v>729</v>
      </c>
      <c r="K24" s="2"/>
      <c r="N24" s="22">
        <v>2020</v>
      </c>
      <c r="O24" s="113">
        <v>27080</v>
      </c>
      <c r="P24" s="113">
        <v>369</v>
      </c>
      <c r="R24" s="18"/>
      <c r="S24" s="113"/>
    </row>
    <row r="25" spans="1:19" x14ac:dyDescent="0.2">
      <c r="A25" t="str">
        <f t="shared" si="0"/>
        <v>1992</v>
      </c>
      <c r="C25" s="26"/>
      <c r="D25" s="26"/>
      <c r="E25" s="31">
        <v>270</v>
      </c>
      <c r="F25" s="31">
        <v>284</v>
      </c>
      <c r="G25" s="26">
        <f t="shared" si="1"/>
        <v>554</v>
      </c>
      <c r="K25" s="2"/>
      <c r="N25" s="22">
        <v>2021</v>
      </c>
      <c r="O25" s="143">
        <v>25942</v>
      </c>
      <c r="P25" s="143">
        <v>1275</v>
      </c>
      <c r="R25" s="18"/>
      <c r="S25" s="113"/>
    </row>
    <row r="26" spans="1:19" x14ac:dyDescent="0.2">
      <c r="A26" t="str">
        <f t="shared" si="0"/>
        <v>1993</v>
      </c>
      <c r="C26" s="26"/>
      <c r="D26" s="26"/>
      <c r="E26" s="31">
        <v>806</v>
      </c>
      <c r="F26" s="31">
        <v>569</v>
      </c>
      <c r="G26" s="26">
        <f>E26+F26</f>
        <v>1375</v>
      </c>
      <c r="K26" s="2"/>
      <c r="N26" s="22">
        <v>2022</v>
      </c>
      <c r="O26" s="113">
        <v>8924</v>
      </c>
      <c r="P26" s="113">
        <v>2363</v>
      </c>
    </row>
    <row r="27" spans="1:19" x14ac:dyDescent="0.2">
      <c r="A27" t="str">
        <f t="shared" si="0"/>
        <v>1994</v>
      </c>
      <c r="C27" s="26"/>
      <c r="D27" s="26"/>
      <c r="E27" s="31">
        <v>192</v>
      </c>
      <c r="F27" s="31">
        <v>315</v>
      </c>
      <c r="G27" s="26">
        <f t="shared" si="1"/>
        <v>507</v>
      </c>
      <c r="K27" s="2"/>
      <c r="N27" s="243" t="s">
        <v>8</v>
      </c>
      <c r="O27" s="260">
        <f>SUM(O13:O26)</f>
        <v>445323</v>
      </c>
      <c r="P27" s="260">
        <f>SUM(P13:P26)</f>
        <v>6267</v>
      </c>
    </row>
    <row r="28" spans="1:19" x14ac:dyDescent="0.2">
      <c r="A28" t="str">
        <f t="shared" si="0"/>
        <v>1995</v>
      </c>
      <c r="C28" s="26"/>
      <c r="D28" s="26"/>
      <c r="E28" s="31">
        <v>698</v>
      </c>
      <c r="F28" s="31">
        <v>205</v>
      </c>
      <c r="G28" s="26">
        <f t="shared" si="1"/>
        <v>903</v>
      </c>
      <c r="K28" s="2"/>
      <c r="N28" s="10"/>
    </row>
    <row r="29" spans="1:19" x14ac:dyDescent="0.2">
      <c r="A29" t="str">
        <f t="shared" si="0"/>
        <v>1996</v>
      </c>
      <c r="C29" s="26"/>
      <c r="D29" s="26"/>
      <c r="E29" s="31">
        <v>355</v>
      </c>
      <c r="F29" s="31">
        <v>227</v>
      </c>
      <c r="G29" s="26">
        <f t="shared" si="1"/>
        <v>582</v>
      </c>
      <c r="K29" s="2"/>
    </row>
    <row r="30" spans="1:19" x14ac:dyDescent="0.2">
      <c r="A30" t="str">
        <f t="shared" si="0"/>
        <v>1997</v>
      </c>
      <c r="C30" s="26"/>
      <c r="D30" s="26"/>
      <c r="E30" s="31">
        <v>892</v>
      </c>
      <c r="F30" s="31">
        <v>451</v>
      </c>
      <c r="G30" s="26">
        <f t="shared" si="1"/>
        <v>1343</v>
      </c>
      <c r="K30" s="2"/>
      <c r="M30" s="22"/>
      <c r="N30" s="301"/>
      <c r="O30" s="301"/>
    </row>
    <row r="31" spans="1:19" x14ac:dyDescent="0.2">
      <c r="A31" t="str">
        <f t="shared" si="0"/>
        <v>1998</v>
      </c>
      <c r="C31" s="26"/>
      <c r="D31" s="26"/>
      <c r="E31" s="31">
        <v>3920</v>
      </c>
      <c r="F31" s="31">
        <v>812</v>
      </c>
      <c r="G31" s="26">
        <f t="shared" si="1"/>
        <v>4732</v>
      </c>
      <c r="K31" s="2"/>
      <c r="M31" s="22"/>
      <c r="N31" s="301"/>
      <c r="O31" s="301"/>
    </row>
    <row r="32" spans="1:19" x14ac:dyDescent="0.2">
      <c r="A32" t="str">
        <f t="shared" si="0"/>
        <v>1999</v>
      </c>
      <c r="B32" s="12"/>
      <c r="C32" s="26"/>
      <c r="D32" s="26"/>
      <c r="E32" s="31">
        <v>1757</v>
      </c>
      <c r="F32" s="31">
        <v>631</v>
      </c>
      <c r="G32" s="26">
        <f t="shared" si="1"/>
        <v>2388</v>
      </c>
      <c r="K32" s="2"/>
    </row>
    <row r="33" spans="1:12" x14ac:dyDescent="0.2">
      <c r="A33" t="str">
        <f t="shared" si="0"/>
        <v>2000</v>
      </c>
      <c r="E33" s="31">
        <v>1209</v>
      </c>
      <c r="F33" s="31">
        <v>676</v>
      </c>
      <c r="G33" s="26">
        <f>E33+F33</f>
        <v>1885</v>
      </c>
      <c r="K33" s="2"/>
    </row>
    <row r="34" spans="1:12" x14ac:dyDescent="0.2">
      <c r="A34" t="str">
        <f t="shared" si="0"/>
        <v>2001</v>
      </c>
      <c r="B34" s="12"/>
      <c r="C34" s="26"/>
      <c r="D34" s="26"/>
      <c r="E34" s="31">
        <v>1207</v>
      </c>
      <c r="F34" s="31">
        <v>673</v>
      </c>
      <c r="G34" s="26">
        <f t="shared" si="1"/>
        <v>1880</v>
      </c>
      <c r="K34" s="2"/>
    </row>
    <row r="35" spans="1:12" x14ac:dyDescent="0.2">
      <c r="A35" t="str">
        <f t="shared" si="0"/>
        <v>2002</v>
      </c>
      <c r="B35" s="12"/>
      <c r="C35" s="26"/>
      <c r="D35" s="32"/>
      <c r="E35" s="31">
        <v>3643</v>
      </c>
      <c r="F35" s="31">
        <v>1583</v>
      </c>
      <c r="G35" s="26">
        <f t="shared" si="1"/>
        <v>5226</v>
      </c>
      <c r="K35" s="2"/>
    </row>
    <row r="36" spans="1:12" x14ac:dyDescent="0.2">
      <c r="A36" t="str">
        <f t="shared" si="0"/>
        <v>2003</v>
      </c>
      <c r="C36" s="26"/>
      <c r="D36" s="32"/>
      <c r="E36" s="31">
        <v>3239</v>
      </c>
      <c r="F36" s="31">
        <v>1883</v>
      </c>
      <c r="G36" s="26">
        <f t="shared" si="1"/>
        <v>5122</v>
      </c>
      <c r="K36" s="2"/>
    </row>
    <row r="37" spans="1:12" x14ac:dyDescent="0.2">
      <c r="A37" t="str">
        <f t="shared" si="0"/>
        <v>2004</v>
      </c>
      <c r="C37" s="26"/>
      <c r="D37" s="32"/>
      <c r="E37" s="31">
        <v>844</v>
      </c>
      <c r="F37" s="31">
        <v>627</v>
      </c>
      <c r="G37" s="26">
        <f t="shared" si="1"/>
        <v>1471</v>
      </c>
      <c r="K37" s="2"/>
    </row>
    <row r="38" spans="1:12" x14ac:dyDescent="0.2">
      <c r="A38" t="str">
        <f t="shared" si="0"/>
        <v>2005</v>
      </c>
      <c r="C38" s="26"/>
      <c r="D38" s="32"/>
      <c r="E38" s="113">
        <v>15229</v>
      </c>
      <c r="F38" s="31">
        <v>5006</v>
      </c>
      <c r="G38" s="26">
        <f t="shared" si="1"/>
        <v>20235</v>
      </c>
      <c r="K38" s="2"/>
      <c r="L38" t="s">
        <v>233</v>
      </c>
    </row>
    <row r="39" spans="1:12" x14ac:dyDescent="0.2">
      <c r="A39" t="str">
        <f t="shared" si="0"/>
        <v>2006</v>
      </c>
      <c r="C39" s="26"/>
      <c r="D39" s="32"/>
      <c r="E39" s="113">
        <v>860</v>
      </c>
      <c r="F39" s="31">
        <v>250</v>
      </c>
      <c r="G39" s="26">
        <f t="shared" si="1"/>
        <v>1110</v>
      </c>
      <c r="K39" s="2"/>
      <c r="L39" s="36">
        <f>'2.1'!$L$8</f>
        <v>44926</v>
      </c>
    </row>
    <row r="40" spans="1:12" x14ac:dyDescent="0.2">
      <c r="A40" t="str">
        <f t="shared" si="0"/>
        <v>2007</v>
      </c>
      <c r="C40" s="26"/>
      <c r="D40" s="32"/>
      <c r="E40" s="113">
        <v>2489</v>
      </c>
      <c r="F40" s="113">
        <v>2452</v>
      </c>
      <c r="G40" s="26">
        <f>E40+F40</f>
        <v>4941</v>
      </c>
      <c r="K40" s="2"/>
    </row>
    <row r="41" spans="1:12" x14ac:dyDescent="0.2">
      <c r="A41" t="str">
        <f t="shared" si="0"/>
        <v>2008</v>
      </c>
      <c r="C41" s="26">
        <f>'4.5'!R13</f>
        <v>99668</v>
      </c>
      <c r="D41" s="279">
        <f>D43</f>
        <v>1</v>
      </c>
      <c r="E41" s="26">
        <f>ROUND(C41*D41,0)</f>
        <v>99668</v>
      </c>
      <c r="F41" s="113">
        <v>246947</v>
      </c>
      <c r="G41" s="26">
        <f>E41+F41</f>
        <v>346615</v>
      </c>
      <c r="K41" s="2"/>
    </row>
    <row r="42" spans="1:12" x14ac:dyDescent="0.2">
      <c r="A42" t="str">
        <f t="shared" si="0"/>
        <v>2009</v>
      </c>
      <c r="B42" s="22"/>
      <c r="C42" s="26">
        <f>'4.5'!R14</f>
        <v>223</v>
      </c>
      <c r="D42" s="279">
        <f>D44</f>
        <v>1</v>
      </c>
      <c r="E42" s="26">
        <f t="shared" ref="E42:E55" si="2">ROUND(C42*D42,0)</f>
        <v>223</v>
      </c>
      <c r="F42" s="18">
        <f>O13+P13</f>
        <v>1996</v>
      </c>
      <c r="G42" s="26">
        <f t="shared" si="1"/>
        <v>2219</v>
      </c>
      <c r="K42" s="2"/>
    </row>
    <row r="43" spans="1:12" x14ac:dyDescent="0.2">
      <c r="A43" t="str">
        <f t="shared" si="0"/>
        <v>2010</v>
      </c>
      <c r="C43" s="26">
        <f>'4.5'!R15</f>
        <v>323</v>
      </c>
      <c r="D43" s="279">
        <f>D45</f>
        <v>1</v>
      </c>
      <c r="E43" s="26">
        <f t="shared" si="2"/>
        <v>323</v>
      </c>
      <c r="F43" s="18">
        <f t="shared" ref="F43:F51" si="3">O14+P14</f>
        <v>3951</v>
      </c>
      <c r="G43" s="26">
        <f>E43+F43</f>
        <v>4274</v>
      </c>
      <c r="K43" s="2"/>
    </row>
    <row r="44" spans="1:12" x14ac:dyDescent="0.2">
      <c r="A44" t="str">
        <f t="shared" si="0"/>
        <v>2011</v>
      </c>
      <c r="C44" s="26">
        <f>'4.5'!R16</f>
        <v>725</v>
      </c>
      <c r="D44" s="279">
        <f>'4.5'!I$49</f>
        <v>1</v>
      </c>
      <c r="E44" s="26">
        <f t="shared" si="2"/>
        <v>725</v>
      </c>
      <c r="F44" s="18">
        <f t="shared" si="3"/>
        <v>14383</v>
      </c>
      <c r="G44" s="26">
        <f t="shared" si="1"/>
        <v>15108</v>
      </c>
      <c r="K44" s="2"/>
    </row>
    <row r="45" spans="1:12" x14ac:dyDescent="0.2">
      <c r="A45" t="str">
        <f t="shared" si="0"/>
        <v>2012</v>
      </c>
      <c r="B45" s="22"/>
      <c r="C45" s="26">
        <f>'4.5'!R17</f>
        <v>869</v>
      </c>
      <c r="D45" s="279">
        <f>'4.5'!I$49</f>
        <v>1</v>
      </c>
      <c r="E45" s="26">
        <f t="shared" si="2"/>
        <v>869</v>
      </c>
      <c r="F45" s="18">
        <f t="shared" si="3"/>
        <v>14964</v>
      </c>
      <c r="G45" s="26">
        <f t="shared" ref="G45:G49" si="4">E45+F45</f>
        <v>15833</v>
      </c>
      <c r="K45" s="2"/>
    </row>
    <row r="46" spans="1:12" x14ac:dyDescent="0.2">
      <c r="A46" t="str">
        <f t="shared" si="0"/>
        <v>2013</v>
      </c>
      <c r="C46" s="26">
        <f>'4.5'!R18</f>
        <v>901</v>
      </c>
      <c r="D46" s="279">
        <f>'4.5'!I$49</f>
        <v>1</v>
      </c>
      <c r="E46" s="26">
        <f t="shared" si="2"/>
        <v>901</v>
      </c>
      <c r="F46" s="18">
        <f t="shared" si="3"/>
        <v>12928</v>
      </c>
      <c r="G46" s="26">
        <f t="shared" si="4"/>
        <v>13829</v>
      </c>
      <c r="K46" s="2"/>
    </row>
    <row r="47" spans="1:12" x14ac:dyDescent="0.2">
      <c r="A47" t="str">
        <f t="shared" si="0"/>
        <v>2014</v>
      </c>
      <c r="C47" s="26">
        <f>'4.5'!R19</f>
        <v>1018</v>
      </c>
      <c r="D47" s="279">
        <f>'4.5'!I$49</f>
        <v>1</v>
      </c>
      <c r="E47" s="26">
        <f t="shared" si="2"/>
        <v>1018</v>
      </c>
      <c r="F47" s="18">
        <f t="shared" si="3"/>
        <v>5799</v>
      </c>
      <c r="G47" s="26">
        <f t="shared" si="4"/>
        <v>6817</v>
      </c>
      <c r="K47" s="2"/>
    </row>
    <row r="48" spans="1:12" x14ac:dyDescent="0.2">
      <c r="A48" t="str">
        <f t="shared" si="0"/>
        <v>2015</v>
      </c>
      <c r="C48" s="26">
        <f>'4.5'!R20</f>
        <v>2973</v>
      </c>
      <c r="D48" s="279">
        <f>'4.5'!I$49</f>
        <v>1</v>
      </c>
      <c r="E48" s="26">
        <f t="shared" si="2"/>
        <v>2973</v>
      </c>
      <c r="F48" s="18">
        <f t="shared" si="3"/>
        <v>37150</v>
      </c>
      <c r="G48" s="26">
        <f t="shared" si="4"/>
        <v>40123</v>
      </c>
      <c r="K48" s="2"/>
    </row>
    <row r="49" spans="1:11" x14ac:dyDescent="0.2">
      <c r="A49" t="str">
        <f t="shared" si="0"/>
        <v>2016</v>
      </c>
      <c r="C49" s="26">
        <f>'4.5'!R21</f>
        <v>511</v>
      </c>
      <c r="D49" s="279">
        <f>'4.5'!I$49</f>
        <v>1</v>
      </c>
      <c r="E49" s="26">
        <f t="shared" si="2"/>
        <v>511</v>
      </c>
      <c r="F49" s="18">
        <f>O20+P20</f>
        <v>14885</v>
      </c>
      <c r="G49" s="26">
        <f t="shared" si="4"/>
        <v>15396</v>
      </c>
      <c r="K49" s="2"/>
    </row>
    <row r="50" spans="1:11" x14ac:dyDescent="0.2">
      <c r="A50" t="str">
        <f t="shared" si="0"/>
        <v>2017</v>
      </c>
      <c r="C50" s="26">
        <f>'4.5'!R22</f>
        <v>17429</v>
      </c>
      <c r="D50" s="279">
        <f>'4.5'!H$49</f>
        <v>0.98799999999999999</v>
      </c>
      <c r="E50" s="26">
        <f t="shared" si="2"/>
        <v>17220</v>
      </c>
      <c r="F50" s="18">
        <f>O21+P21</f>
        <v>264354</v>
      </c>
      <c r="G50" s="26">
        <f t="shared" ref="G50:G55" si="5">E50+F50</f>
        <v>281574</v>
      </c>
      <c r="K50" s="2"/>
    </row>
    <row r="51" spans="1:11" x14ac:dyDescent="0.2">
      <c r="A51" t="str">
        <f t="shared" si="0"/>
        <v>2018</v>
      </c>
      <c r="C51" s="26">
        <f>'4.5'!R23</f>
        <v>385</v>
      </c>
      <c r="D51" s="279">
        <f>'4.5'!G$49</f>
        <v>0.95899999999999996</v>
      </c>
      <c r="E51" s="26">
        <f t="shared" si="2"/>
        <v>369</v>
      </c>
      <c r="F51" s="18">
        <f t="shared" si="3"/>
        <v>6404</v>
      </c>
      <c r="G51" s="26">
        <f t="shared" si="5"/>
        <v>6773</v>
      </c>
      <c r="K51" s="2"/>
    </row>
    <row r="52" spans="1:11" x14ac:dyDescent="0.2">
      <c r="A52" t="str">
        <f t="shared" si="0"/>
        <v>2019</v>
      </c>
      <c r="C52" s="26">
        <f>'4.5'!R24</f>
        <v>665</v>
      </c>
      <c r="D52" s="279">
        <f>'4.5'!F$49</f>
        <v>0.95199999999999996</v>
      </c>
      <c r="E52" s="26">
        <f t="shared" si="2"/>
        <v>633</v>
      </c>
      <c r="F52" s="18">
        <f t="shared" ref="F52" si="6">O23+P23</f>
        <v>8823</v>
      </c>
      <c r="G52" s="26">
        <f t="shared" si="5"/>
        <v>9456</v>
      </c>
      <c r="K52" s="2"/>
    </row>
    <row r="53" spans="1:11" x14ac:dyDescent="0.2">
      <c r="A53" t="str">
        <f t="shared" si="0"/>
        <v>2020</v>
      </c>
      <c r="C53" s="26">
        <f>'4.5'!R25</f>
        <v>2652</v>
      </c>
      <c r="D53" s="279">
        <f>'4.5'!E$49</f>
        <v>0.94499999999999995</v>
      </c>
      <c r="E53" s="26">
        <f t="shared" si="2"/>
        <v>2506</v>
      </c>
      <c r="F53" s="18">
        <f>O24+P24</f>
        <v>27449</v>
      </c>
      <c r="G53" s="26">
        <f t="shared" si="5"/>
        <v>29955</v>
      </c>
      <c r="K53" s="2"/>
    </row>
    <row r="54" spans="1:11" x14ac:dyDescent="0.2">
      <c r="A54" t="str">
        <f t="shared" si="0"/>
        <v>2021</v>
      </c>
      <c r="C54" s="26">
        <f>'4.5'!R26</f>
        <v>2244</v>
      </c>
      <c r="D54" s="279">
        <f>'4.5'!D$49</f>
        <v>1.2250000000000001</v>
      </c>
      <c r="E54" s="26">
        <f t="shared" si="2"/>
        <v>2749</v>
      </c>
      <c r="F54" s="18">
        <f>O25+P25</f>
        <v>27217</v>
      </c>
      <c r="G54" s="26">
        <f t="shared" si="5"/>
        <v>29966</v>
      </c>
      <c r="K54" s="2"/>
    </row>
    <row r="55" spans="1:11" x14ac:dyDescent="0.2">
      <c r="A55" t="str">
        <f t="shared" si="0"/>
        <v>2022</v>
      </c>
      <c r="C55" s="26">
        <f>'4.5'!R27</f>
        <v>584</v>
      </c>
      <c r="D55" s="279">
        <f>'4.5'!C$49</f>
        <v>1.8380000000000001</v>
      </c>
      <c r="E55" s="26">
        <f t="shared" si="2"/>
        <v>1073</v>
      </c>
      <c r="F55" s="18">
        <f>O26+P26</f>
        <v>11287</v>
      </c>
      <c r="G55" s="26">
        <f t="shared" si="5"/>
        <v>12360</v>
      </c>
      <c r="K55" s="2"/>
    </row>
    <row r="56" spans="1:11" x14ac:dyDescent="0.2">
      <c r="A56" s="243"/>
      <c r="B56" s="243"/>
      <c r="C56" s="248"/>
      <c r="D56" s="243"/>
      <c r="E56" s="243"/>
      <c r="F56" s="243"/>
      <c r="G56" s="243"/>
      <c r="K56" s="2"/>
    </row>
    <row r="57" spans="1:11" x14ac:dyDescent="0.2">
      <c r="A57" t="s">
        <v>18</v>
      </c>
      <c r="K57" s="2"/>
    </row>
    <row r="58" spans="1:11" x14ac:dyDescent="0.2">
      <c r="B58" s="12" t="str">
        <f>C12&amp;" "&amp;'4.5'!$J$1&amp;", "&amp;'4.5'!$J$2</f>
        <v>(2) Exhibit 4, Sheet 5</v>
      </c>
      <c r="D58" s="12"/>
      <c r="K58" s="2"/>
    </row>
    <row r="59" spans="1:11" x14ac:dyDescent="0.2">
      <c r="B59" s="12" t="str">
        <f>D12&amp;" "&amp;'4.5'!$J$1&amp;", "&amp;'4.5'!$J$2</f>
        <v>(3) Exhibit 4, Sheet 5</v>
      </c>
      <c r="K59" s="2"/>
    </row>
    <row r="60" spans="1:11" x14ac:dyDescent="0.2">
      <c r="B60" s="12" t="str">
        <f>E12&amp;" "&amp;A41&amp;" - "&amp;YEAR(L39)&amp;": "&amp;C12&amp;" * "&amp;D12&amp;"; "&amp;A19&amp;" - "&amp;A40&amp;": from TWIA's annual statements"</f>
        <v>(4) 2008 - 2022: (2) * (3); 1986 - 2007: from TWIA's annual statements</v>
      </c>
      <c r="K60" s="2"/>
    </row>
    <row r="61" spans="1:11" x14ac:dyDescent="0.2">
      <c r="B61" s="12" t="str">
        <f>F12&amp;" From TWIA's annual statements"</f>
        <v>(5) From TWIA's annual statements</v>
      </c>
      <c r="K61" s="2"/>
    </row>
    <row r="62" spans="1:11" x14ac:dyDescent="0.2">
      <c r="B62" t="str">
        <f>G12&amp;" "&amp;A19&amp;" - "&amp;YEAR(L39)&amp;": "&amp;E12&amp;" + "&amp;F12&amp;"; prior years from prior TWIA annual statements"</f>
        <v>(6) 1986 - 2022: (4) + (5); prior years from prior TWIA annual statements</v>
      </c>
      <c r="K62" s="2"/>
    </row>
    <row r="63" spans="1:11" x14ac:dyDescent="0.2">
      <c r="C63" s="18"/>
      <c r="K63" s="2"/>
    </row>
    <row r="64" spans="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idden="1" x14ac:dyDescent="0.2">
      <c r="K71" s="2"/>
    </row>
    <row r="72" spans="1:11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92D050"/>
  </sheetPr>
  <dimension ref="A1:U71"/>
  <sheetViews>
    <sheetView showGridLines="0" zoomScaleNormal="100" workbookViewId="0"/>
  </sheetViews>
  <sheetFormatPr defaultColWidth="11.33203125" defaultRowHeight="11.25" x14ac:dyDescent="0.2"/>
  <cols>
    <col min="1" max="1" width="9.5" bestFit="1" customWidth="1"/>
    <col min="2" max="2" width="11.33203125" customWidth="1"/>
    <col min="3" max="9" width="12.6640625" customWidth="1"/>
    <col min="10" max="10" width="10.6640625" customWidth="1"/>
    <col min="11" max="12" width="11.33203125" customWidth="1"/>
    <col min="13" max="13" width="13.6640625" customWidth="1"/>
    <col min="14" max="14" width="13.33203125" customWidth="1"/>
    <col min="15" max="15" width="25.83203125" customWidth="1"/>
  </cols>
  <sheetData>
    <row r="1" spans="1:21" x14ac:dyDescent="0.2">
      <c r="A1" s="8" t="str">
        <f>'1'!$A$1</f>
        <v>Texas Windstorm Insurance Association</v>
      </c>
      <c r="B1" s="12"/>
      <c r="J1" s="7" t="s">
        <v>55</v>
      </c>
      <c r="K1" s="1"/>
      <c r="N1" s="7" t="s">
        <v>526</v>
      </c>
      <c r="O1" t="s">
        <v>530</v>
      </c>
    </row>
    <row r="2" spans="1:21" x14ac:dyDescent="0.2">
      <c r="A2" s="8" t="str">
        <f>'1'!$A$2</f>
        <v>Commercial Property - Wind &amp; Hail</v>
      </c>
      <c r="B2" s="12"/>
      <c r="J2" s="7" t="s">
        <v>72</v>
      </c>
      <c r="K2" s="2"/>
      <c r="N2" s="7" t="s">
        <v>526</v>
      </c>
      <c r="O2" t="s">
        <v>543</v>
      </c>
    </row>
    <row r="3" spans="1:21" x14ac:dyDescent="0.2">
      <c r="A3" s="8" t="str">
        <f>'1'!$A$3</f>
        <v>Rate Level Review</v>
      </c>
      <c r="B3" s="12"/>
      <c r="K3" s="2"/>
      <c r="N3" s="7" t="s">
        <v>526</v>
      </c>
      <c r="O3" t="s">
        <v>544</v>
      </c>
    </row>
    <row r="4" spans="1:21" x14ac:dyDescent="0.2">
      <c r="A4" t="s">
        <v>73</v>
      </c>
      <c r="B4" s="12"/>
      <c r="K4" s="2"/>
      <c r="N4" s="7" t="s">
        <v>526</v>
      </c>
      <c r="O4" t="s">
        <v>545</v>
      </c>
    </row>
    <row r="5" spans="1:21" x14ac:dyDescent="0.2">
      <c r="A5" t="s">
        <v>449</v>
      </c>
      <c r="B5" s="12"/>
      <c r="K5" s="2"/>
    </row>
    <row r="6" spans="1:21" x14ac:dyDescent="0.2">
      <c r="K6" s="2"/>
    </row>
    <row r="7" spans="1:21" ht="12" thickBot="1" x14ac:dyDescent="0.25">
      <c r="A7" s="6"/>
      <c r="B7" s="6"/>
      <c r="C7" s="6"/>
      <c r="D7" s="6"/>
      <c r="E7" s="6"/>
      <c r="F7" s="6"/>
      <c r="G7" s="6"/>
      <c r="H7" s="6"/>
      <c r="I7" s="6"/>
      <c r="K7" s="2"/>
    </row>
    <row r="8" spans="1:21" ht="11.1" customHeight="1" thickTop="1" x14ac:dyDescent="0.2">
      <c r="K8" s="2"/>
    </row>
    <row r="9" spans="1:21" x14ac:dyDescent="0.2">
      <c r="C9" s="10" t="s">
        <v>48</v>
      </c>
      <c r="K9" s="2"/>
      <c r="L9" s="24"/>
      <c r="O9" t="s">
        <v>394</v>
      </c>
    </row>
    <row r="10" spans="1:21" x14ac:dyDescent="0.2">
      <c r="A10" t="s">
        <v>41</v>
      </c>
      <c r="K10" s="2"/>
      <c r="L10" t="s">
        <v>49</v>
      </c>
      <c r="O10" t="s">
        <v>597</v>
      </c>
    </row>
    <row r="11" spans="1:21" x14ac:dyDescent="0.2">
      <c r="A11" s="9" t="s">
        <v>42</v>
      </c>
      <c r="B11" s="9"/>
      <c r="C11" s="23">
        <f>$L$11</f>
        <v>12</v>
      </c>
      <c r="D11" s="23">
        <f t="shared" ref="D11:I11" si="0">C11+12</f>
        <v>24</v>
      </c>
      <c r="E11" s="23">
        <f t="shared" si="0"/>
        <v>36</v>
      </c>
      <c r="F11" s="23">
        <f t="shared" si="0"/>
        <v>48</v>
      </c>
      <c r="G11" s="23">
        <f t="shared" si="0"/>
        <v>60</v>
      </c>
      <c r="H11" s="23">
        <f t="shared" si="0"/>
        <v>72</v>
      </c>
      <c r="I11" s="23">
        <f t="shared" si="0"/>
        <v>84</v>
      </c>
      <c r="K11" s="2"/>
      <c r="L11" s="24">
        <v>12</v>
      </c>
      <c r="O11" s="23" t="s">
        <v>293</v>
      </c>
      <c r="P11" s="23" t="s">
        <v>295</v>
      </c>
      <c r="Q11" s="23" t="s">
        <v>294</v>
      </c>
      <c r="R11" s="23" t="s">
        <v>67</v>
      </c>
    </row>
    <row r="12" spans="1:21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K12" s="2"/>
      <c r="O12" t="s">
        <v>458</v>
      </c>
      <c r="P12" t="s">
        <v>459</v>
      </c>
      <c r="Q12" t="s">
        <v>460</v>
      </c>
    </row>
    <row r="13" spans="1:21" x14ac:dyDescent="0.2">
      <c r="K13" s="2"/>
      <c r="N13">
        <v>2008</v>
      </c>
      <c r="O13" s="31">
        <v>96405</v>
      </c>
      <c r="P13" s="31">
        <v>1055</v>
      </c>
      <c r="Q13" s="31">
        <v>2208</v>
      </c>
      <c r="R13" s="18">
        <f>SUM(O13:Q13)</f>
        <v>99668</v>
      </c>
    </row>
    <row r="14" spans="1:21" x14ac:dyDescent="0.2">
      <c r="A14" t="str">
        <f>TEXT(A15-1,"#")</f>
        <v>2012</v>
      </c>
      <c r="B14" s="22"/>
      <c r="C14" s="31">
        <v>516</v>
      </c>
      <c r="D14" s="31">
        <v>679</v>
      </c>
      <c r="E14" s="31">
        <v>719</v>
      </c>
      <c r="F14" s="31">
        <v>632</v>
      </c>
      <c r="G14" s="31">
        <v>917</v>
      </c>
      <c r="H14" s="31">
        <v>880</v>
      </c>
      <c r="I14" s="26">
        <f>$R17</f>
        <v>869</v>
      </c>
      <c r="K14" s="2"/>
      <c r="N14" s="139">
        <v>2009</v>
      </c>
      <c r="O14" s="31">
        <v>223</v>
      </c>
      <c r="P14" s="31">
        <v>0</v>
      </c>
      <c r="Q14" s="31">
        <v>0</v>
      </c>
      <c r="R14" s="18">
        <f t="shared" ref="R14" si="2">SUM(O14:Q14)</f>
        <v>223</v>
      </c>
      <c r="T14" s="113"/>
      <c r="U14" s="150"/>
    </row>
    <row r="15" spans="1:21" x14ac:dyDescent="0.2">
      <c r="A15" t="str">
        <f t="shared" ref="A15:A22" si="3">TEXT(A16-1,"#")</f>
        <v>2013</v>
      </c>
      <c r="B15" s="22"/>
      <c r="C15" s="31">
        <v>802</v>
      </c>
      <c r="D15" s="31">
        <v>806</v>
      </c>
      <c r="E15" s="31">
        <v>715</v>
      </c>
      <c r="F15" s="31">
        <v>1089</v>
      </c>
      <c r="G15" s="31">
        <v>991</v>
      </c>
      <c r="H15" s="31">
        <v>971</v>
      </c>
      <c r="I15" s="26">
        <f>$R18</f>
        <v>901</v>
      </c>
      <c r="K15" s="2"/>
      <c r="N15" s="139">
        <f t="shared" ref="N15" si="4">N16-1</f>
        <v>2010</v>
      </c>
      <c r="O15" s="18">
        <v>323</v>
      </c>
      <c r="P15" s="18">
        <v>0</v>
      </c>
      <c r="Q15" s="18">
        <v>0</v>
      </c>
      <c r="R15" s="18">
        <f t="shared" ref="R15:R22" si="5">SUM(O15:Q15)</f>
        <v>323</v>
      </c>
      <c r="T15" s="113"/>
      <c r="U15" s="150"/>
    </row>
    <row r="16" spans="1:21" x14ac:dyDescent="0.2">
      <c r="A16" t="str">
        <f t="shared" si="3"/>
        <v>2014</v>
      </c>
      <c r="B16" s="22"/>
      <c r="C16" s="31">
        <v>516</v>
      </c>
      <c r="D16" s="31">
        <v>493</v>
      </c>
      <c r="E16" s="31">
        <v>1085</v>
      </c>
      <c r="F16" s="31">
        <v>1266</v>
      </c>
      <c r="G16" s="31">
        <v>1077</v>
      </c>
      <c r="H16" s="113">
        <v>1028</v>
      </c>
      <c r="I16" s="26">
        <f>$R19</f>
        <v>1018</v>
      </c>
      <c r="K16" s="2"/>
      <c r="N16" s="139">
        <v>2011</v>
      </c>
      <c r="O16" s="18">
        <v>725</v>
      </c>
      <c r="P16">
        <v>0</v>
      </c>
      <c r="Q16">
        <v>0</v>
      </c>
      <c r="R16" s="18">
        <f t="shared" si="5"/>
        <v>725</v>
      </c>
      <c r="T16" s="113"/>
      <c r="U16" s="150"/>
    </row>
    <row r="17" spans="1:21" x14ac:dyDescent="0.2">
      <c r="A17" t="str">
        <f t="shared" si="3"/>
        <v>2015</v>
      </c>
      <c r="B17" s="22"/>
      <c r="C17" s="31">
        <v>973</v>
      </c>
      <c r="D17" s="31">
        <v>1818</v>
      </c>
      <c r="E17" s="31">
        <v>2355</v>
      </c>
      <c r="F17" s="31">
        <v>2749</v>
      </c>
      <c r="G17" s="113">
        <v>2944</v>
      </c>
      <c r="H17" s="113">
        <v>2838</v>
      </c>
      <c r="I17" s="26">
        <f>$R20</f>
        <v>2973</v>
      </c>
      <c r="K17" s="2"/>
      <c r="N17" s="139">
        <v>2012</v>
      </c>
      <c r="O17" s="143">
        <v>851</v>
      </c>
      <c r="P17" s="143">
        <v>17</v>
      </c>
      <c r="Q17" s="143">
        <v>1</v>
      </c>
      <c r="R17" s="18">
        <f t="shared" si="5"/>
        <v>869</v>
      </c>
      <c r="T17" s="113"/>
      <c r="U17" s="150"/>
    </row>
    <row r="18" spans="1:21" x14ac:dyDescent="0.2">
      <c r="A18" t="str">
        <f t="shared" si="3"/>
        <v>2016</v>
      </c>
      <c r="B18" s="22"/>
      <c r="C18" s="31">
        <v>412</v>
      </c>
      <c r="D18" s="31">
        <v>678</v>
      </c>
      <c r="E18" s="31">
        <v>746</v>
      </c>
      <c r="F18" s="113">
        <v>571</v>
      </c>
      <c r="G18" s="113">
        <v>542</v>
      </c>
      <c r="H18" s="140">
        <v>524</v>
      </c>
      <c r="I18" s="26">
        <f>$R21</f>
        <v>511</v>
      </c>
      <c r="K18" s="2"/>
      <c r="N18" s="139">
        <v>2013</v>
      </c>
      <c r="O18" s="143">
        <v>901</v>
      </c>
      <c r="P18" s="143">
        <v>0</v>
      </c>
      <c r="Q18" s="143">
        <v>0</v>
      </c>
      <c r="R18" s="18">
        <f t="shared" si="5"/>
        <v>901</v>
      </c>
      <c r="T18" s="113"/>
      <c r="U18" s="150"/>
    </row>
    <row r="19" spans="1:21" x14ac:dyDescent="0.2">
      <c r="A19" t="str">
        <f t="shared" si="3"/>
        <v>2017</v>
      </c>
      <c r="B19" s="22"/>
      <c r="C19" s="31">
        <v>891</v>
      </c>
      <c r="D19" s="31">
        <v>16490</v>
      </c>
      <c r="E19" s="113">
        <v>21865</v>
      </c>
      <c r="F19" s="113">
        <v>21700</v>
      </c>
      <c r="G19" s="140">
        <v>17745</v>
      </c>
      <c r="H19" s="26">
        <f>R22</f>
        <v>17429</v>
      </c>
      <c r="I19" s="31"/>
      <c r="K19" s="2"/>
      <c r="N19" s="139">
        <v>2014</v>
      </c>
      <c r="O19" s="143">
        <v>1018</v>
      </c>
      <c r="P19" s="143">
        <v>0</v>
      </c>
      <c r="Q19" s="143">
        <v>0</v>
      </c>
      <c r="R19" s="18">
        <f t="shared" si="5"/>
        <v>1018</v>
      </c>
      <c r="T19" s="113"/>
      <c r="U19" s="150"/>
    </row>
    <row r="20" spans="1:21" x14ac:dyDescent="0.2">
      <c r="A20" t="str">
        <f t="shared" si="3"/>
        <v>2018</v>
      </c>
      <c r="B20" s="22"/>
      <c r="C20" s="31">
        <v>301</v>
      </c>
      <c r="D20" s="113">
        <v>361</v>
      </c>
      <c r="E20" s="113">
        <v>352</v>
      </c>
      <c r="F20" s="140">
        <v>319</v>
      </c>
      <c r="G20" s="26">
        <f>R23</f>
        <v>385</v>
      </c>
      <c r="H20" s="31"/>
      <c r="I20" s="31"/>
      <c r="K20" s="2"/>
      <c r="N20" s="139">
        <v>2015</v>
      </c>
      <c r="O20" s="143">
        <v>2826</v>
      </c>
      <c r="P20" s="143">
        <v>99</v>
      </c>
      <c r="Q20" s="143">
        <v>48</v>
      </c>
      <c r="R20" s="18">
        <f t="shared" si="5"/>
        <v>2973</v>
      </c>
      <c r="T20" s="113"/>
      <c r="U20" s="150"/>
    </row>
    <row r="21" spans="1:21" x14ac:dyDescent="0.2">
      <c r="A21" t="str">
        <f t="shared" si="3"/>
        <v>2019</v>
      </c>
      <c r="B21" s="22"/>
      <c r="C21" s="113">
        <v>48</v>
      </c>
      <c r="D21" s="113">
        <v>471</v>
      </c>
      <c r="E21" s="140">
        <v>706</v>
      </c>
      <c r="F21" s="26">
        <f>R24</f>
        <v>665</v>
      </c>
      <c r="G21" s="31"/>
      <c r="H21" s="31"/>
      <c r="I21" s="31"/>
      <c r="K21" s="2"/>
      <c r="N21" s="139">
        <v>2016</v>
      </c>
      <c r="O21" s="143">
        <v>504</v>
      </c>
      <c r="P21" s="143">
        <v>0</v>
      </c>
      <c r="Q21" s="143">
        <v>7</v>
      </c>
      <c r="R21" s="18">
        <f t="shared" si="5"/>
        <v>511</v>
      </c>
      <c r="T21" s="113"/>
      <c r="U21" s="150"/>
    </row>
    <row r="22" spans="1:21" x14ac:dyDescent="0.2">
      <c r="A22" t="str">
        <f t="shared" si="3"/>
        <v>2020</v>
      </c>
      <c r="B22" s="22"/>
      <c r="C22" s="113">
        <v>295</v>
      </c>
      <c r="D22" s="140">
        <v>1654</v>
      </c>
      <c r="E22" s="26">
        <f>R25</f>
        <v>2652</v>
      </c>
      <c r="F22" s="31"/>
      <c r="G22" s="31"/>
      <c r="H22" s="31"/>
      <c r="I22" s="31"/>
      <c r="K22" s="2"/>
      <c r="L22" t="s">
        <v>233</v>
      </c>
      <c r="N22" s="139">
        <v>2017</v>
      </c>
      <c r="O22" s="143">
        <v>13026</v>
      </c>
      <c r="P22" s="143">
        <v>1273</v>
      </c>
      <c r="Q22" s="143">
        <v>3130</v>
      </c>
      <c r="R22" s="18">
        <f t="shared" si="5"/>
        <v>17429</v>
      </c>
      <c r="T22" s="113"/>
      <c r="U22" s="150"/>
    </row>
    <row r="23" spans="1:21" x14ac:dyDescent="0.2">
      <c r="A23" t="str">
        <f>TEXT(A24-1,"#")</f>
        <v>2021</v>
      </c>
      <c r="B23" s="22"/>
      <c r="C23" s="140">
        <v>776</v>
      </c>
      <c r="D23" s="26">
        <f>R26</f>
        <v>2244</v>
      </c>
      <c r="E23" s="31"/>
      <c r="F23" s="31"/>
      <c r="G23" s="31"/>
      <c r="H23" s="31"/>
      <c r="I23" s="31"/>
      <c r="K23" s="2"/>
      <c r="L23" s="89">
        <v>44926</v>
      </c>
      <c r="N23" s="139">
        <v>2018</v>
      </c>
      <c r="O23" s="143">
        <v>371</v>
      </c>
      <c r="P23" s="143">
        <v>8</v>
      </c>
      <c r="Q23" s="143">
        <v>6</v>
      </c>
      <c r="R23" s="18">
        <f>SUM(O23:Q23)</f>
        <v>385</v>
      </c>
      <c r="T23" s="113"/>
      <c r="U23" s="150"/>
    </row>
    <row r="24" spans="1:21" s="115" customFormat="1" x14ac:dyDescent="0.2">
      <c r="A24" t="str">
        <f>TEXT(YEAR($L$23),"#")</f>
        <v>2022</v>
      </c>
      <c r="B24" s="22"/>
      <c r="C24" s="158">
        <f>R27</f>
        <v>584</v>
      </c>
      <c r="D24" s="26"/>
      <c r="E24" s="31"/>
      <c r="F24" s="31"/>
      <c r="G24" s="31"/>
      <c r="H24" s="31"/>
      <c r="I24" s="31"/>
      <c r="K24" s="117"/>
      <c r="N24" s="139">
        <v>2019</v>
      </c>
      <c r="O24" s="143">
        <v>516</v>
      </c>
      <c r="P24" s="143">
        <v>112</v>
      </c>
      <c r="Q24" s="143">
        <v>37</v>
      </c>
      <c r="R24" s="18">
        <f>SUM(O24:Q24)</f>
        <v>665</v>
      </c>
      <c r="U24" s="150"/>
    </row>
    <row r="25" spans="1:21" x14ac:dyDescent="0.2">
      <c r="A25" s="9"/>
      <c r="B25" s="119"/>
      <c r="C25" s="27"/>
      <c r="D25" s="27"/>
      <c r="E25" s="27"/>
      <c r="F25" s="27"/>
      <c r="G25" s="27"/>
      <c r="H25" s="27"/>
      <c r="I25" s="27"/>
      <c r="K25" s="2"/>
      <c r="N25">
        <v>2020</v>
      </c>
      <c r="O25" s="143">
        <v>1279</v>
      </c>
      <c r="P25" s="143">
        <v>1087</v>
      </c>
      <c r="Q25" s="143">
        <v>286</v>
      </c>
      <c r="R25" s="18">
        <f>SUM(O25:Q25)</f>
        <v>2652</v>
      </c>
      <c r="U25" s="150"/>
    </row>
    <row r="26" spans="1:21" s="115" customFormat="1" x14ac:dyDescent="0.2">
      <c r="K26" s="117"/>
      <c r="M26"/>
      <c r="N26" s="259">
        <v>2021</v>
      </c>
      <c r="O26" s="143">
        <v>945</v>
      </c>
      <c r="P26" s="143">
        <v>1062</v>
      </c>
      <c r="Q26" s="143">
        <v>237</v>
      </c>
      <c r="R26" s="18">
        <f>SUM(O26:Q26)</f>
        <v>2244</v>
      </c>
      <c r="S26"/>
      <c r="T26"/>
      <c r="U26" s="150"/>
    </row>
    <row r="27" spans="1:21" s="115" customFormat="1" x14ac:dyDescent="0.2">
      <c r="C27" s="118" t="s">
        <v>50</v>
      </c>
      <c r="K27" s="117"/>
      <c r="N27" s="259">
        <v>2022</v>
      </c>
      <c r="O27" s="143">
        <v>53</v>
      </c>
      <c r="P27" s="143">
        <v>421</v>
      </c>
      <c r="Q27" s="143">
        <v>110</v>
      </c>
      <c r="R27" s="18">
        <f>SUM(O27:Q27)</f>
        <v>584</v>
      </c>
    </row>
    <row r="28" spans="1:21" s="115" customFormat="1" x14ac:dyDescent="0.2">
      <c r="A28" s="115" t="s">
        <v>41</v>
      </c>
      <c r="K28" s="117"/>
    </row>
    <row r="29" spans="1:21" s="115" customFormat="1" x14ac:dyDescent="0.2">
      <c r="A29" s="119" t="s">
        <v>42</v>
      </c>
      <c r="B29" s="119"/>
      <c r="C29" s="119" t="str">
        <f t="shared" ref="C29:H29" si="6">C11&amp;" - "&amp;D11</f>
        <v>12 - 24</v>
      </c>
      <c r="D29" s="119" t="str">
        <f t="shared" si="6"/>
        <v>24 - 36</v>
      </c>
      <c r="E29" s="119" t="str">
        <f t="shared" si="6"/>
        <v>36 - 48</v>
      </c>
      <c r="F29" s="119" t="str">
        <f t="shared" si="6"/>
        <v>48 - 60</v>
      </c>
      <c r="G29" s="119" t="str">
        <f t="shared" si="6"/>
        <v>60 - 72</v>
      </c>
      <c r="H29" s="119" t="str">
        <f t="shared" si="6"/>
        <v>72 - 84</v>
      </c>
      <c r="I29" s="119" t="str">
        <f>I11&amp;" - Ult"</f>
        <v>84 - Ult</v>
      </c>
      <c r="K29" s="117"/>
      <c r="N29" s="122" t="s">
        <v>395</v>
      </c>
      <c r="O29" s="127">
        <f>SUM(O13:O27)</f>
        <v>119966</v>
      </c>
      <c r="P29" s="127">
        <f>SUM(P13:P27)</f>
        <v>5134</v>
      </c>
      <c r="Q29" s="127">
        <f>SUM(Q13:Q27)</f>
        <v>6070</v>
      </c>
      <c r="R29" s="127">
        <f>SUM(R13:R27)</f>
        <v>131170</v>
      </c>
    </row>
    <row r="30" spans="1:21" s="115" customFormat="1" x14ac:dyDescent="0.2">
      <c r="A30" s="120" t="str">
        <f>TEXT(COLUMN(),"(#)")</f>
        <v>(1)</v>
      </c>
      <c r="B30" s="120"/>
      <c r="C30" s="121" t="str">
        <f t="shared" ref="C30:I30" si="7">TEXT(COLUMN()-1,"(#)")</f>
        <v>(2)</v>
      </c>
      <c r="D30" s="121" t="str">
        <f t="shared" si="7"/>
        <v>(3)</v>
      </c>
      <c r="E30" s="121" t="str">
        <f t="shared" si="7"/>
        <v>(4)</v>
      </c>
      <c r="F30" s="121" t="str">
        <f t="shared" si="7"/>
        <v>(5)</v>
      </c>
      <c r="G30" s="121" t="str">
        <f t="shared" si="7"/>
        <v>(6)</v>
      </c>
      <c r="H30" s="121" t="str">
        <f t="shared" si="7"/>
        <v>(7)</v>
      </c>
      <c r="I30" s="121" t="str">
        <f t="shared" si="7"/>
        <v>(8)</v>
      </c>
      <c r="K30" s="117"/>
    </row>
    <row r="31" spans="1:21" s="115" customFormat="1" x14ac:dyDescent="0.2">
      <c r="K31" s="117"/>
      <c r="N31" s="127"/>
      <c r="O31" s="127"/>
      <c r="P31" s="127"/>
      <c r="Q31" s="127"/>
      <c r="R31" s="127"/>
    </row>
    <row r="32" spans="1:21" s="115" customFormat="1" x14ac:dyDescent="0.2">
      <c r="A32" s="116" t="str">
        <f t="shared" ref="A32:A41" si="8">A14</f>
        <v>2012</v>
      </c>
      <c r="B32" s="122"/>
      <c r="C32" s="32">
        <f t="shared" ref="C32:H32" si="9">IF(ISNUMBER(D14),D14/C14,"")</f>
        <v>1.3158914728682169</v>
      </c>
      <c r="D32" s="32">
        <f t="shared" si="9"/>
        <v>1.0589101620029455</v>
      </c>
      <c r="E32" s="32">
        <f t="shared" si="9"/>
        <v>0.87899860917941586</v>
      </c>
      <c r="F32" s="32">
        <f t="shared" si="9"/>
        <v>1.4509493670886076</v>
      </c>
      <c r="G32" s="32">
        <f t="shared" si="9"/>
        <v>0.95965103598691381</v>
      </c>
      <c r="H32" s="32">
        <f t="shared" si="9"/>
        <v>0.98750000000000004</v>
      </c>
      <c r="I32" s="32"/>
      <c r="K32" s="117"/>
      <c r="M32" s="127"/>
      <c r="N32" s="127"/>
      <c r="O32" s="127"/>
      <c r="P32" s="127"/>
      <c r="Q32" s="127"/>
      <c r="R32" s="127"/>
    </row>
    <row r="33" spans="1:19" s="115" customFormat="1" x14ac:dyDescent="0.2">
      <c r="A33" s="116" t="str">
        <f t="shared" si="8"/>
        <v>2013</v>
      </c>
      <c r="B33" s="122"/>
      <c r="C33" s="32">
        <f t="shared" ref="C33:H36" si="10">IF(ISNUMBER(D15),D15/C15,"")</f>
        <v>1.0049875311720697</v>
      </c>
      <c r="D33" s="32">
        <f t="shared" si="10"/>
        <v>0.88709677419354838</v>
      </c>
      <c r="E33" s="32">
        <f t="shared" si="10"/>
        <v>1.523076923076923</v>
      </c>
      <c r="F33" s="32">
        <f t="shared" si="10"/>
        <v>0.91000918273645548</v>
      </c>
      <c r="G33" s="32">
        <f t="shared" si="10"/>
        <v>0.97981836528758826</v>
      </c>
      <c r="H33" s="32">
        <f t="shared" si="10"/>
        <v>0.92790937178166844</v>
      </c>
      <c r="I33" s="32"/>
      <c r="K33" s="117"/>
      <c r="M33" s="127"/>
      <c r="N33" s="127"/>
      <c r="O33" s="127"/>
      <c r="P33" s="127"/>
      <c r="Q33" s="127"/>
      <c r="R33" s="127"/>
    </row>
    <row r="34" spans="1:19" s="115" customFormat="1" x14ac:dyDescent="0.2">
      <c r="A34" s="116" t="str">
        <f t="shared" si="8"/>
        <v>2014</v>
      </c>
      <c r="B34" s="122"/>
      <c r="C34" s="32">
        <f t="shared" si="10"/>
        <v>0.95542635658914732</v>
      </c>
      <c r="D34" s="32">
        <f t="shared" si="10"/>
        <v>2.2008113590263694</v>
      </c>
      <c r="E34" s="32">
        <f t="shared" si="10"/>
        <v>1.1668202764976958</v>
      </c>
      <c r="F34" s="32">
        <f t="shared" si="10"/>
        <v>0.85071090047393361</v>
      </c>
      <c r="G34" s="32">
        <f t="shared" si="10"/>
        <v>0.95450324976787371</v>
      </c>
      <c r="H34" s="32">
        <f t="shared" si="10"/>
        <v>0.99027237354085607</v>
      </c>
      <c r="I34" s="32"/>
      <c r="K34" s="117"/>
      <c r="M34" s="127"/>
      <c r="N34" s="127"/>
      <c r="O34" s="127"/>
      <c r="P34" s="127"/>
      <c r="Q34" s="127"/>
      <c r="R34" s="127"/>
    </row>
    <row r="35" spans="1:19" s="115" customFormat="1" x14ac:dyDescent="0.2">
      <c r="A35" s="116" t="str">
        <f t="shared" si="8"/>
        <v>2015</v>
      </c>
      <c r="B35" s="122"/>
      <c r="C35" s="32">
        <f t="shared" si="10"/>
        <v>1.868448098663926</v>
      </c>
      <c r="D35" s="32">
        <f t="shared" si="10"/>
        <v>1.2953795379537953</v>
      </c>
      <c r="E35" s="32">
        <f t="shared" si="10"/>
        <v>1.1673036093418259</v>
      </c>
      <c r="F35" s="32">
        <f t="shared" si="10"/>
        <v>1.0709348854128775</v>
      </c>
      <c r="G35" s="32">
        <f t="shared" si="10"/>
        <v>0.96399456521739135</v>
      </c>
      <c r="H35" s="32">
        <f>IF(ISNUMBER(I17),I17/H17,"")</f>
        <v>1.047568710359408</v>
      </c>
      <c r="I35" s="32"/>
      <c r="K35" s="117"/>
      <c r="M35" s="127"/>
      <c r="N35" s="127"/>
      <c r="O35" s="127"/>
      <c r="P35" s="127"/>
      <c r="Q35" s="127"/>
      <c r="R35" s="127"/>
    </row>
    <row r="36" spans="1:19" s="115" customFormat="1" x14ac:dyDescent="0.2">
      <c r="A36" s="116" t="str">
        <f t="shared" si="8"/>
        <v>2016</v>
      </c>
      <c r="B36" s="122"/>
      <c r="C36" s="32">
        <f t="shared" ref="C36:C39" si="11">IF(ISNUMBER(D18),D18/C18,"")</f>
        <v>1.645631067961165</v>
      </c>
      <c r="D36" s="32">
        <f t="shared" si="10"/>
        <v>1.1002949852507375</v>
      </c>
      <c r="E36" s="32">
        <f t="shared" si="10"/>
        <v>0.76541554959785518</v>
      </c>
      <c r="F36" s="32">
        <f t="shared" si="10"/>
        <v>0.94921190893169882</v>
      </c>
      <c r="G36" s="32">
        <f t="shared" si="10"/>
        <v>0.96678966789667897</v>
      </c>
      <c r="H36" s="32">
        <f>IF(ISNUMBER(I18),I18/H18,"")</f>
        <v>0.97519083969465647</v>
      </c>
      <c r="I36" s="32"/>
      <c r="K36" s="117"/>
      <c r="M36" s="127"/>
      <c r="N36" s="127"/>
      <c r="O36" s="127"/>
      <c r="P36" s="127"/>
      <c r="Q36" s="127"/>
      <c r="R36" s="127"/>
    </row>
    <row r="37" spans="1:19" s="115" customFormat="1" x14ac:dyDescent="0.2">
      <c r="A37" s="116" t="str">
        <f t="shared" si="8"/>
        <v>2017</v>
      </c>
      <c r="B37" s="122"/>
      <c r="C37" s="32">
        <f t="shared" si="11"/>
        <v>18.50729517396184</v>
      </c>
      <c r="D37" s="32">
        <f>IF(ISNUMBER(E19),E19/D19,"")</f>
        <v>1.3259551243177683</v>
      </c>
      <c r="E37" s="32">
        <f>IF(ISNUMBER(F19),F19/E19,"")</f>
        <v>0.99245369311685339</v>
      </c>
      <c r="F37" s="32">
        <f>IF(ISNUMBER(G19),G19/F19,"")</f>
        <v>0.81774193548387097</v>
      </c>
      <c r="G37" s="32">
        <f>IF(ISNUMBER(H19),H19/G19,"")</f>
        <v>0.98219216680755139</v>
      </c>
      <c r="H37" s="32" t="str">
        <f>IF(ISNUMBER(I19),I19/#REF!,"")</f>
        <v/>
      </c>
      <c r="I37" s="32"/>
      <c r="K37" s="117"/>
      <c r="M37" s="127"/>
      <c r="N37" s="127"/>
      <c r="O37" s="127"/>
      <c r="P37" s="127"/>
      <c r="Q37" s="127"/>
      <c r="R37" s="127"/>
    </row>
    <row r="38" spans="1:19" s="115" customFormat="1" x14ac:dyDescent="0.2">
      <c r="A38" s="116" t="str">
        <f t="shared" si="8"/>
        <v>2018</v>
      </c>
      <c r="B38" s="122"/>
      <c r="C38" s="32">
        <f t="shared" si="11"/>
        <v>1.1993355481727574</v>
      </c>
      <c r="D38" s="32">
        <f>IF(ISNUMBER(E20),E20/D20,"")</f>
        <v>0.97506925207756234</v>
      </c>
      <c r="E38" s="32">
        <f>IF(ISNUMBER(F20),F20/E20,"")</f>
        <v>0.90625</v>
      </c>
      <c r="F38" s="32">
        <f>IF(ISNUMBER(G20),G20/F20,"")</f>
        <v>1.2068965517241379</v>
      </c>
      <c r="G38" s="32" t="str">
        <f>IF(ISNUMBER(H20),H20/#REF!,"")</f>
        <v/>
      </c>
      <c r="H38" s="32" t="str">
        <f>IF(ISNUMBER(I20),I20/H20,"")</f>
        <v/>
      </c>
      <c r="I38" s="32"/>
      <c r="K38" s="117"/>
      <c r="M38" s="127"/>
      <c r="N38" s="127"/>
      <c r="O38" s="127"/>
      <c r="P38" s="127"/>
      <c r="Q38" s="127"/>
      <c r="R38" s="127"/>
    </row>
    <row r="39" spans="1:19" s="115" customFormat="1" x14ac:dyDescent="0.2">
      <c r="A39" s="116" t="str">
        <f t="shared" si="8"/>
        <v>2019</v>
      </c>
      <c r="B39" s="138"/>
      <c r="C39" s="32">
        <f t="shared" si="11"/>
        <v>9.8125</v>
      </c>
      <c r="D39" s="32">
        <f>IF(ISNUMBER(E21),E21/D21,"")</f>
        <v>1.4989384288747345</v>
      </c>
      <c r="E39" s="32">
        <f>IF(ISNUMBER(F21),F21/E21,"")</f>
        <v>0.94192634560906519</v>
      </c>
      <c r="F39" s="32" t="str">
        <f>IF(ISNUMBER(G21),G21/#REF!,"")</f>
        <v/>
      </c>
      <c r="G39" s="32" t="str">
        <f>IF(ISNUMBER(H21),H21/G21,"")</f>
        <v/>
      </c>
      <c r="H39" s="32" t="str">
        <f>IF(ISNUMBER(I21),I21/H21,"")</f>
        <v/>
      </c>
      <c r="I39" s="32"/>
      <c r="K39" s="117"/>
      <c r="M39" s="127"/>
      <c r="N39" s="127"/>
      <c r="O39" s="127"/>
      <c r="P39" s="127"/>
      <c r="Q39" s="127"/>
      <c r="R39" s="127"/>
    </row>
    <row r="40" spans="1:19" s="115" customFormat="1" x14ac:dyDescent="0.2">
      <c r="A40" s="116" t="str">
        <f t="shared" si="8"/>
        <v>2020</v>
      </c>
      <c r="B40" s="138"/>
      <c r="C40" s="32">
        <f>IF(ISNUMBER(D22),D22/C22,"")</f>
        <v>5.6067796610169491</v>
      </c>
      <c r="D40" s="32">
        <f>IF(ISNUMBER(E22),E22/D22,"")</f>
        <v>1.603385731559855</v>
      </c>
      <c r="E40" s="32" t="str">
        <f>IF(ISNUMBER(F22),F22/#REF!,"")</f>
        <v/>
      </c>
      <c r="F40" s="32" t="str">
        <f>IF(ISNUMBER(G22),G22/F22,"")</f>
        <v/>
      </c>
      <c r="G40" s="32" t="str">
        <f>IF(ISNUMBER(H22),H22/G22,"")</f>
        <v/>
      </c>
      <c r="H40" s="32" t="str">
        <f>IF(ISNUMBER(I22),I22/H22,"")</f>
        <v/>
      </c>
      <c r="I40" s="32"/>
      <c r="K40" s="117"/>
      <c r="M40" s="127"/>
      <c r="N40" s="127"/>
      <c r="O40" s="127"/>
      <c r="P40" s="127"/>
      <c r="Q40" s="127"/>
      <c r="R40" s="127"/>
      <c r="S40" s="127"/>
    </row>
    <row r="41" spans="1:19" s="115" customFormat="1" x14ac:dyDescent="0.2">
      <c r="A41" s="119" t="str">
        <f t="shared" si="8"/>
        <v>2021</v>
      </c>
      <c r="B41" s="124"/>
      <c r="C41" s="33">
        <f>IF(ISNUMBER(D23),D23/C23,"")</f>
        <v>2.8917525773195876</v>
      </c>
      <c r="D41" s="33"/>
      <c r="E41" s="33"/>
      <c r="F41" s="33"/>
      <c r="G41" s="33"/>
      <c r="H41" s="33"/>
      <c r="I41" s="33"/>
      <c r="K41" s="117"/>
      <c r="M41" s="127"/>
      <c r="N41" s="127"/>
      <c r="O41" s="127"/>
      <c r="P41" s="127"/>
      <c r="Q41" s="127"/>
      <c r="R41" s="127"/>
      <c r="S41" s="127"/>
    </row>
    <row r="42" spans="1:19" s="115" customFormat="1" x14ac:dyDescent="0.2">
      <c r="A42" s="116"/>
      <c r="B42" s="138"/>
      <c r="C42" s="32"/>
      <c r="D42" s="32"/>
      <c r="E42" s="32"/>
      <c r="F42" s="32"/>
      <c r="G42" s="32"/>
      <c r="H42" s="32"/>
      <c r="I42" s="32"/>
      <c r="K42" s="117"/>
      <c r="M42" s="127"/>
      <c r="S42" s="127"/>
    </row>
    <row r="43" spans="1:19" s="115" customFormat="1" x14ac:dyDescent="0.2">
      <c r="A43" s="115" t="s">
        <v>51</v>
      </c>
      <c r="B43" s="122"/>
      <c r="C43" s="115">
        <f>AVERAGE(C32:C41)</f>
        <v>4.4808047487725657</v>
      </c>
      <c r="D43" s="115">
        <f>AVERAGE(D32:D40)</f>
        <v>1.3273157061397018</v>
      </c>
      <c r="E43" s="115">
        <f>AVERAGE(E32:E40)</f>
        <v>1.0427806258024543</v>
      </c>
      <c r="F43" s="115">
        <f>AVERAGE(F32:F40)</f>
        <v>1.0366363902645115</v>
      </c>
      <c r="G43" s="115">
        <f>AVERAGE(G32:G40)</f>
        <v>0.96782484182733286</v>
      </c>
      <c r="H43" s="115">
        <f>AVERAGE(H32:H40)</f>
        <v>0.98568825907531787</v>
      </c>
      <c r="K43" s="117"/>
    </row>
    <row r="44" spans="1:19" s="115" customFormat="1" x14ac:dyDescent="0.2">
      <c r="A44" s="115" t="s">
        <v>74</v>
      </c>
      <c r="B44" s="123"/>
      <c r="C44" s="115">
        <f>(SUM(C32:C41)-MAX(C32:C41)-MIN(C32:C41))/(COUNT(C32:C41)-2)</f>
        <v>3.1681657446468341</v>
      </c>
      <c r="D44" s="115">
        <f>(SUM(D32:D41)-MAX(D32:D41)-MIN(D32:D41))/(COUNT(D32:D41)-2)</f>
        <v>1.2654190317196286</v>
      </c>
      <c r="E44" s="115">
        <f t="shared" ref="E44:H44" si="12">(SUM(E32:E41)-MAX(E32:E41)-MIN(E32:E41))/(COUNT(E32:E41)-2)</f>
        <v>1.0089587556241428</v>
      </c>
      <c r="F44" s="115">
        <f t="shared" si="12"/>
        <v>0.99755268585582058</v>
      </c>
      <c r="G44" s="115">
        <f t="shared" si="12"/>
        <v>0.96756340859714296</v>
      </c>
      <c r="H44" s="115">
        <f t="shared" si="12"/>
        <v>0.98432107107850442</v>
      </c>
      <c r="K44" s="117"/>
    </row>
    <row r="45" spans="1:19" s="115" customFormat="1" x14ac:dyDescent="0.2">
      <c r="A45" s="115" t="s">
        <v>75</v>
      </c>
      <c r="C45" s="115">
        <f>AVERAGE(C39:C41)</f>
        <v>6.103677412778846</v>
      </c>
      <c r="D45" s="115">
        <f>AVERAGE(D38:D40)</f>
        <v>1.3591311375040505</v>
      </c>
      <c r="E45" s="115">
        <f>AVERAGE(E37:E39)</f>
        <v>0.94687667957530619</v>
      </c>
      <c r="F45" s="115">
        <f>AVERAGE(F36:F38)</f>
        <v>0.99128346537990264</v>
      </c>
      <c r="G45" s="115">
        <f>AVERAGE(G35:G37)</f>
        <v>0.97099213330720724</v>
      </c>
      <c r="H45" s="115">
        <f>AVERAGE(H34:H36)</f>
        <v>1.00434397453164</v>
      </c>
      <c r="K45" s="117"/>
    </row>
    <row r="46" spans="1:19" s="115" customFormat="1" x14ac:dyDescent="0.2">
      <c r="A46" s="115" t="s">
        <v>52</v>
      </c>
      <c r="B46" s="122"/>
      <c r="C46" s="115">
        <f>AVERAGE(C37:C41)</f>
        <v>7.6035325920942274</v>
      </c>
      <c r="D46" s="115">
        <f>AVERAGE(D36:D40)</f>
        <v>1.3007287044161315</v>
      </c>
      <c r="E46" s="115">
        <f>AVERAGE(E35:E39)</f>
        <v>0.95466983953312001</v>
      </c>
      <c r="F46" s="115">
        <f>AVERAGE(F34:F38)</f>
        <v>0.97909923640530372</v>
      </c>
      <c r="G46" s="115">
        <f>AVERAGE(G33:G37)</f>
        <v>0.96945960299541656</v>
      </c>
      <c r="H46" s="115">
        <f>AVERAGE(H33:H36)</f>
        <v>0.98523532384414725</v>
      </c>
      <c r="K46" s="117"/>
    </row>
    <row r="47" spans="1:19" s="115" customFormat="1" x14ac:dyDescent="0.2">
      <c r="A47" s="115" t="s">
        <v>192</v>
      </c>
      <c r="B47" s="123"/>
      <c r="C47" s="125">
        <v>1.5</v>
      </c>
      <c r="D47" s="125">
        <v>1.228</v>
      </c>
      <c r="E47" s="125">
        <v>1.0109999999999999</v>
      </c>
      <c r="F47" s="125">
        <v>0.96099999999999997</v>
      </c>
      <c r="G47" s="125">
        <v>0.97699999999999998</v>
      </c>
      <c r="H47" s="125">
        <v>0.98</v>
      </c>
      <c r="I47" s="125">
        <v>1</v>
      </c>
      <c r="K47" s="117"/>
    </row>
    <row r="48" spans="1:19" s="115" customFormat="1" x14ac:dyDescent="0.2">
      <c r="A48" s="115" t="s">
        <v>53</v>
      </c>
      <c r="C48" s="265">
        <v>1.5</v>
      </c>
      <c r="D48" s="265">
        <f>ROUND(AVERAGE(D43:D47),3)</f>
        <v>1.296</v>
      </c>
      <c r="E48" s="265">
        <f t="shared" ref="E48:I48" si="13">ROUND(AVERAGE(E43:E47),3)</f>
        <v>0.99299999999999999</v>
      </c>
      <c r="F48" s="265">
        <f t="shared" si="13"/>
        <v>0.99299999999999999</v>
      </c>
      <c r="G48" s="265">
        <f t="shared" si="13"/>
        <v>0.97099999999999997</v>
      </c>
      <c r="H48" s="265">
        <f t="shared" si="13"/>
        <v>0.98799999999999999</v>
      </c>
      <c r="I48" s="265">
        <f t="shared" si="13"/>
        <v>1</v>
      </c>
      <c r="K48" s="117"/>
      <c r="L48" s="125"/>
    </row>
    <row r="49" spans="1:20" s="115" customFormat="1" x14ac:dyDescent="0.2">
      <c r="A49" s="115" t="s">
        <v>54</v>
      </c>
      <c r="C49" s="115">
        <f>ROUND(C48*D49,3)</f>
        <v>1.8380000000000001</v>
      </c>
      <c r="D49" s="115">
        <f t="shared" ref="D49:H49" si="14">ROUND(D48*E49,3)</f>
        <v>1.2250000000000001</v>
      </c>
      <c r="E49" s="115">
        <f t="shared" si="14"/>
        <v>0.94499999999999995</v>
      </c>
      <c r="F49" s="115">
        <f t="shared" si="14"/>
        <v>0.95199999999999996</v>
      </c>
      <c r="G49" s="115">
        <f t="shared" si="14"/>
        <v>0.95899999999999996</v>
      </c>
      <c r="H49" s="115">
        <f t="shared" si="14"/>
        <v>0.98799999999999999</v>
      </c>
      <c r="I49" s="115">
        <f>I48</f>
        <v>1</v>
      </c>
      <c r="K49" s="117"/>
    </row>
    <row r="50" spans="1:20" s="115" customFormat="1" ht="12" thickBot="1" x14ac:dyDescent="0.25">
      <c r="A50" s="126"/>
      <c r="B50" s="126"/>
      <c r="C50" s="126"/>
      <c r="D50" s="126"/>
      <c r="E50" s="126"/>
      <c r="F50" s="126"/>
      <c r="G50" s="126"/>
      <c r="H50" s="126"/>
      <c r="I50" s="126"/>
      <c r="K50" s="117"/>
    </row>
    <row r="51" spans="1:20" ht="12" thickTop="1" x14ac:dyDescent="0.2">
      <c r="K51" s="2"/>
      <c r="M51" s="115"/>
      <c r="S51" s="115"/>
      <c r="T51" s="115"/>
    </row>
    <row r="52" spans="1:20" x14ac:dyDescent="0.2">
      <c r="K52" s="2"/>
    </row>
    <row r="53" spans="1:20" s="115" customFormat="1" x14ac:dyDescent="0.2">
      <c r="K53" s="117"/>
      <c r="M53"/>
      <c r="S53"/>
      <c r="T53"/>
    </row>
    <row r="54" spans="1:20" x14ac:dyDescent="0.2">
      <c r="K54" s="2"/>
      <c r="M54" s="127">
        <v>250000</v>
      </c>
      <c r="S54" s="115"/>
      <c r="T54" s="115"/>
    </row>
    <row r="55" spans="1:20" x14ac:dyDescent="0.2">
      <c r="K55" s="2"/>
    </row>
    <row r="56" spans="1:20" x14ac:dyDescent="0.2">
      <c r="K56" s="2"/>
    </row>
    <row r="57" spans="1:20" x14ac:dyDescent="0.2">
      <c r="K57" s="2"/>
    </row>
    <row r="58" spans="1:20" x14ac:dyDescent="0.2">
      <c r="K58" s="2"/>
    </row>
    <row r="59" spans="1:20" x14ac:dyDescent="0.2">
      <c r="K59" s="2"/>
    </row>
    <row r="60" spans="1:20" x14ac:dyDescent="0.2">
      <c r="K60" s="2"/>
    </row>
    <row r="61" spans="1:20" x14ac:dyDescent="0.2">
      <c r="K61" s="2"/>
    </row>
    <row r="62" spans="1:20" x14ac:dyDescent="0.2">
      <c r="K62" s="2"/>
    </row>
    <row r="63" spans="1:20" x14ac:dyDescent="0.2">
      <c r="K63" s="2"/>
    </row>
    <row r="64" spans="1:20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E40 F39 G38 H37" formula="1"/>
  </ignoredError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tabColor rgb="FF92D050"/>
  </sheetPr>
  <dimension ref="A1:I35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2.5" bestFit="1" customWidth="1"/>
    <col min="2" max="2" width="50.33203125" customWidth="1"/>
    <col min="3" max="5" width="12.6640625" customWidth="1"/>
    <col min="6" max="7" width="11.33203125" customWidth="1"/>
    <col min="8" max="8" width="7.6640625" customWidth="1"/>
  </cols>
  <sheetData>
    <row r="1" spans="1:9" x14ac:dyDescent="0.2">
      <c r="A1" s="8" t="str">
        <f>'1'!$A$1</f>
        <v>Texas Windstorm Insurance Association</v>
      </c>
      <c r="B1" s="12"/>
      <c r="H1" s="7" t="s">
        <v>77</v>
      </c>
      <c r="I1" s="1"/>
    </row>
    <row r="2" spans="1:9" x14ac:dyDescent="0.2">
      <c r="A2" s="8" t="str">
        <f>'1'!$A$2</f>
        <v>Commercial Property - Wind &amp; Hail</v>
      </c>
      <c r="B2" s="12"/>
      <c r="H2" s="7"/>
      <c r="I2" s="2"/>
    </row>
    <row r="3" spans="1:9" x14ac:dyDescent="0.2">
      <c r="A3" s="8" t="str">
        <f>'1'!$A$3</f>
        <v>Rate Level Review</v>
      </c>
      <c r="B3" s="12"/>
      <c r="I3" s="2"/>
    </row>
    <row r="4" spans="1:9" x14ac:dyDescent="0.2">
      <c r="A4" t="s">
        <v>76</v>
      </c>
      <c r="B4" s="12"/>
      <c r="I4" s="2"/>
    </row>
    <row r="5" spans="1:9" x14ac:dyDescent="0.2">
      <c r="B5" s="12"/>
      <c r="I5" s="2"/>
    </row>
    <row r="6" spans="1:9" x14ac:dyDescent="0.2">
      <c r="I6" s="2"/>
    </row>
    <row r="7" spans="1:9" ht="12" thickBot="1" x14ac:dyDescent="0.25">
      <c r="A7" s="6"/>
      <c r="B7" s="6"/>
      <c r="C7" s="6"/>
      <c r="D7" s="6"/>
      <c r="E7" s="6"/>
      <c r="I7" s="2"/>
    </row>
    <row r="8" spans="1:9" ht="12" thickTop="1" x14ac:dyDescent="0.2">
      <c r="I8" s="2"/>
    </row>
    <row r="9" spans="1:9" x14ac:dyDescent="0.2">
      <c r="C9" s="12" t="s">
        <v>12</v>
      </c>
      <c r="E9" t="s">
        <v>12</v>
      </c>
      <c r="I9" s="2"/>
    </row>
    <row r="10" spans="1:9" x14ac:dyDescent="0.2">
      <c r="C10" t="s">
        <v>34</v>
      </c>
      <c r="D10" t="s">
        <v>29</v>
      </c>
      <c r="E10" t="s">
        <v>10</v>
      </c>
      <c r="I10" s="2"/>
    </row>
    <row r="11" spans="1:9" x14ac:dyDescent="0.2">
      <c r="A11" s="9" t="s">
        <v>78</v>
      </c>
      <c r="B11" s="9"/>
      <c r="C11" s="9" t="s">
        <v>11</v>
      </c>
      <c r="D11" s="9" t="s">
        <v>30</v>
      </c>
      <c r="E11" s="9" t="s">
        <v>11</v>
      </c>
      <c r="I11" s="2"/>
    </row>
    <row r="12" spans="1: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/>
      <c r="G12" s="11"/>
      <c r="H12" s="11"/>
      <c r="I12" s="2"/>
    </row>
    <row r="13" spans="1:9" x14ac:dyDescent="0.2">
      <c r="I13" s="2"/>
    </row>
    <row r="14" spans="1:9" x14ac:dyDescent="0.2">
      <c r="A14" t="s">
        <v>313</v>
      </c>
      <c r="C14" s="21">
        <f>'6.1'!E45</f>
        <v>0.41475000000000006</v>
      </c>
      <c r="D14" s="39">
        <f>'4.1'!$E$59</f>
        <v>0.159</v>
      </c>
      <c r="E14" s="17">
        <f>ROUND(C14*(1+D14),3)</f>
        <v>0.48099999999999998</v>
      </c>
      <c r="F14" s="37"/>
      <c r="G14" s="37"/>
      <c r="H14" s="38"/>
      <c r="I14" s="2"/>
    </row>
    <row r="15" spans="1:9" x14ac:dyDescent="0.2">
      <c r="C15" s="21"/>
      <c r="D15" s="21"/>
      <c r="E15" s="21"/>
      <c r="F15" s="37"/>
      <c r="G15" s="37"/>
      <c r="H15" s="38"/>
      <c r="I15" s="2"/>
    </row>
    <row r="16" spans="1:9" x14ac:dyDescent="0.2">
      <c r="A16" s="10" t="s">
        <v>79</v>
      </c>
      <c r="C16" s="21"/>
      <c r="D16" s="21"/>
      <c r="E16" s="21"/>
      <c r="F16" s="37"/>
      <c r="G16" s="37"/>
      <c r="H16" s="38"/>
      <c r="I16" s="2"/>
    </row>
    <row r="17" spans="1:9" x14ac:dyDescent="0.2">
      <c r="B17" t="s">
        <v>614</v>
      </c>
      <c r="C17" s="21">
        <f>'7.1'!$E$34</f>
        <v>0.71099999999999997</v>
      </c>
      <c r="D17" s="39">
        <f>D$14</f>
        <v>0.159</v>
      </c>
      <c r="E17" s="17">
        <f>ROUND(C17*(1+D17),3)</f>
        <v>0.82399999999999995</v>
      </c>
      <c r="I17" s="2"/>
    </row>
    <row r="18" spans="1:9" x14ac:dyDescent="0.2">
      <c r="B18" t="s">
        <v>80</v>
      </c>
      <c r="C18" s="21">
        <f>'7.2'!$E$34</f>
        <v>0.58299999999999996</v>
      </c>
      <c r="D18" s="39">
        <f>D$14</f>
        <v>0.159</v>
      </c>
      <c r="E18" s="17">
        <f>ROUND(C18*(1+D18),3)</f>
        <v>0.67600000000000005</v>
      </c>
      <c r="I18" s="2"/>
    </row>
    <row r="19" spans="1:9" x14ac:dyDescent="0.2">
      <c r="B19" t="s">
        <v>563</v>
      </c>
      <c r="C19" s="21">
        <f>'7.3'!$E$34</f>
        <v>0.38300000000000001</v>
      </c>
      <c r="D19" s="39">
        <f t="shared" ref="D19:D20" si="0">D$14</f>
        <v>0.159</v>
      </c>
      <c r="E19" s="17">
        <f t="shared" ref="E19:E20" si="1">ROUND(C19*(1+D19),3)</f>
        <v>0.44400000000000001</v>
      </c>
      <c r="I19" s="2"/>
    </row>
    <row r="20" spans="1:9" x14ac:dyDescent="0.2">
      <c r="B20" t="s">
        <v>591</v>
      </c>
      <c r="C20" s="21">
        <f>'7.4'!$E$34</f>
        <v>0.42899999999999999</v>
      </c>
      <c r="D20" s="39">
        <f t="shared" si="0"/>
        <v>0.159</v>
      </c>
      <c r="E20" s="17">
        <f t="shared" si="1"/>
        <v>0.497</v>
      </c>
      <c r="I20" s="2"/>
    </row>
    <row r="21" spans="1:9" x14ac:dyDescent="0.2">
      <c r="I21" s="2"/>
    </row>
    <row r="22" spans="1:9" x14ac:dyDescent="0.2">
      <c r="B22" t="s">
        <v>81</v>
      </c>
      <c r="C22" s="19">
        <f>ROUND(AVERAGE(C17:C20),3)</f>
        <v>0.52700000000000002</v>
      </c>
      <c r="D22" s="39">
        <f>D$14</f>
        <v>0.159</v>
      </c>
      <c r="E22" s="17">
        <f>ROUND(C22*(1+D22),3)</f>
        <v>0.61099999999999999</v>
      </c>
      <c r="I22" s="2"/>
    </row>
    <row r="23" spans="1:9" ht="12" thickBot="1" x14ac:dyDescent="0.25">
      <c r="A23" s="6"/>
      <c r="B23" s="6"/>
      <c r="C23" s="6"/>
      <c r="D23" s="6"/>
      <c r="E23" s="6"/>
      <c r="I23" s="2"/>
    </row>
    <row r="24" spans="1:9" ht="12" thickTop="1" x14ac:dyDescent="0.2">
      <c r="I24" s="2"/>
    </row>
    <row r="25" spans="1:9" x14ac:dyDescent="0.2">
      <c r="A25" t="s">
        <v>18</v>
      </c>
      <c r="I25" s="2"/>
    </row>
    <row r="26" spans="1:9" x14ac:dyDescent="0.2">
      <c r="B26" s="12" t="str">
        <f>C12&amp;" "&amp;'6.1'!$J$1&amp;", "&amp;'6.1'!J2&amp;" &amp; "&amp;'7.2'!$J$1&amp;", "&amp;'7.1'!J2&amp; " - "&amp;'7.4'!J2</f>
        <v>(2) Exhibit 6, Sheet 1 &amp; Exhibit 7, Sheet 1 - Sheet 4</v>
      </c>
      <c r="I26" s="2"/>
    </row>
    <row r="27" spans="1:9" x14ac:dyDescent="0.2">
      <c r="B27" s="12" t="str">
        <f>D12&amp;" "&amp;'4.1'!$J$1&amp;", "&amp;'4.1'!$J$2</f>
        <v>(3) Exhibit 4, Sheet 1</v>
      </c>
      <c r="I27" s="2"/>
    </row>
    <row r="28" spans="1:9" x14ac:dyDescent="0.2">
      <c r="B28" s="12" t="str">
        <f>E12&amp;" = "&amp;C12&amp;" * [1 + "&amp;D12&amp;"]"</f>
        <v>(4) = (2) * [1 + (3)]</v>
      </c>
      <c r="I28" s="2"/>
    </row>
    <row r="29" spans="1:9" x14ac:dyDescent="0.2">
      <c r="B29" s="12"/>
      <c r="I29" s="2"/>
    </row>
    <row r="30" spans="1:9" x14ac:dyDescent="0.2">
      <c r="B30" s="12"/>
      <c r="I30" s="2"/>
    </row>
    <row r="31" spans="1:9" x14ac:dyDescent="0.2">
      <c r="I31" s="2"/>
    </row>
    <row r="32" spans="1:9" x14ac:dyDescent="0.2">
      <c r="I32" s="2"/>
    </row>
    <row r="33" spans="1:9" x14ac:dyDescent="0.2">
      <c r="I33" s="2"/>
    </row>
    <row r="34" spans="1:9" ht="12" thickBot="1" x14ac:dyDescent="0.25">
      <c r="I34" s="2"/>
    </row>
    <row r="35" spans="1:9" ht="12" thickBot="1" x14ac:dyDescent="0.25">
      <c r="A35" s="4"/>
      <c r="B35" s="5"/>
      <c r="C35" s="5"/>
      <c r="D35" s="5"/>
      <c r="E35" s="5"/>
      <c r="F35" s="5"/>
      <c r="G35" s="5"/>
      <c r="H35" s="5"/>
      <c r="I35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0FC5C-1C50-4FF6-B781-81D5BE9493CF}">
  <dimension ref="A1:I47"/>
  <sheetViews>
    <sheetView showGridLines="0" workbookViewId="0"/>
  </sheetViews>
  <sheetFormatPr defaultRowHeight="11.25" x14ac:dyDescent="0.2"/>
  <cols>
    <col min="1" max="1" width="15" style="11" customWidth="1"/>
    <col min="2" max="2" width="62.83203125" customWidth="1"/>
    <col min="3" max="3" width="1.83203125" customWidth="1"/>
    <col min="4" max="4" width="53.1640625" bestFit="1" customWidth="1"/>
    <col min="5" max="5" width="2.6640625" customWidth="1"/>
    <col min="7" max="7" width="1.1640625" customWidth="1"/>
    <col min="8" max="8" width="8.33203125" bestFit="1" customWidth="1"/>
    <col min="9" max="9" width="15.6640625" style="22" bestFit="1" customWidth="1"/>
  </cols>
  <sheetData>
    <row r="1" spans="1:9" ht="12" thickBot="1" x14ac:dyDescent="0.25"/>
    <row r="2" spans="1:9" x14ac:dyDescent="0.2">
      <c r="A2" s="224" t="s">
        <v>0</v>
      </c>
      <c r="B2" s="225"/>
      <c r="C2" s="225"/>
      <c r="D2" s="225"/>
      <c r="E2" s="225"/>
      <c r="F2" s="225"/>
      <c r="G2" s="225"/>
      <c r="H2" s="226"/>
    </row>
    <row r="3" spans="1:9" x14ac:dyDescent="0.2">
      <c r="A3" s="227" t="s">
        <v>496</v>
      </c>
      <c r="H3" s="228"/>
    </row>
    <row r="4" spans="1:9" x14ac:dyDescent="0.2">
      <c r="A4" s="227" t="s">
        <v>1</v>
      </c>
      <c r="H4" s="228"/>
    </row>
    <row r="5" spans="1:9" x14ac:dyDescent="0.2">
      <c r="A5" s="229"/>
      <c r="H5" s="228"/>
    </row>
    <row r="6" spans="1:9" x14ac:dyDescent="0.2">
      <c r="A6" s="310" t="s">
        <v>497</v>
      </c>
      <c r="B6" s="311"/>
      <c r="C6" s="311"/>
      <c r="D6" s="311"/>
      <c r="E6" s="311"/>
      <c r="F6" s="311"/>
      <c r="G6" s="311"/>
      <c r="H6" s="312"/>
      <c r="I6" s="8"/>
    </row>
    <row r="7" spans="1:9" x14ac:dyDescent="0.2">
      <c r="A7" s="229"/>
      <c r="H7" s="228"/>
    </row>
    <row r="8" spans="1:9" x14ac:dyDescent="0.2">
      <c r="A8" s="230"/>
      <c r="H8" s="228"/>
    </row>
    <row r="9" spans="1:9" x14ac:dyDescent="0.2">
      <c r="A9" s="231" t="s">
        <v>498</v>
      </c>
      <c r="B9" s="222" t="s">
        <v>499</v>
      </c>
      <c r="D9" s="222" t="s">
        <v>500</v>
      </c>
      <c r="F9" s="222" t="s">
        <v>501</v>
      </c>
      <c r="G9" s="8"/>
      <c r="H9" s="232" t="s">
        <v>502</v>
      </c>
      <c r="I9" s="8"/>
    </row>
    <row r="10" spans="1:9" x14ac:dyDescent="0.2">
      <c r="A10" s="233">
        <v>1</v>
      </c>
      <c r="B10" t="s">
        <v>2</v>
      </c>
      <c r="D10" t="str">
        <f>'[1]1'!$A$5</f>
        <v>By Method for Projecting Hurricane Loss &amp; LAE</v>
      </c>
      <c r="F10" t="s">
        <v>4</v>
      </c>
      <c r="H10" s="234"/>
      <c r="I10" s="223"/>
    </row>
    <row r="11" spans="1:9" x14ac:dyDescent="0.2">
      <c r="A11" s="233">
        <v>2.1</v>
      </c>
      <c r="B11" t="s">
        <v>19</v>
      </c>
      <c r="F11" t="s">
        <v>20</v>
      </c>
      <c r="H11" s="228" t="s">
        <v>21</v>
      </c>
      <c r="I11"/>
    </row>
    <row r="12" spans="1:9" x14ac:dyDescent="0.2">
      <c r="A12" s="233">
        <v>2.2000000000000002</v>
      </c>
      <c r="B12" t="s">
        <v>40</v>
      </c>
      <c r="F12" t="s">
        <v>20</v>
      </c>
      <c r="H12" s="228" t="s">
        <v>65</v>
      </c>
      <c r="I12"/>
    </row>
    <row r="13" spans="1:9" x14ac:dyDescent="0.2">
      <c r="A13" s="233">
        <v>2.2999999999999998</v>
      </c>
      <c r="B13" t="str">
        <f>'2.3'!A4</f>
        <v>Summary of TWIA Historical Paid Loss as of 12/31/22</v>
      </c>
      <c r="F13" t="s">
        <v>20</v>
      </c>
      <c r="H13" s="228" t="s">
        <v>68</v>
      </c>
      <c r="I13"/>
    </row>
    <row r="14" spans="1:9" x14ac:dyDescent="0.2">
      <c r="A14" s="233">
        <v>2.4</v>
      </c>
      <c r="B14" t="s">
        <v>297</v>
      </c>
      <c r="F14" t="s">
        <v>20</v>
      </c>
      <c r="H14" s="228" t="s">
        <v>71</v>
      </c>
      <c r="I14"/>
    </row>
    <row r="15" spans="1:9" x14ac:dyDescent="0.2">
      <c r="A15" s="233">
        <v>3.1</v>
      </c>
      <c r="B15" t="s">
        <v>46</v>
      </c>
      <c r="D15" t="s">
        <v>231</v>
      </c>
      <c r="F15" t="s">
        <v>47</v>
      </c>
      <c r="H15" s="235" t="s">
        <v>21</v>
      </c>
      <c r="I15"/>
    </row>
    <row r="16" spans="1:9" x14ac:dyDescent="0.2">
      <c r="A16" s="233" t="s">
        <v>503</v>
      </c>
      <c r="B16" t="s">
        <v>257</v>
      </c>
      <c r="D16" t="str">
        <f>'[1]3.2 premium trend'!$A$5</f>
        <v>TWIA Commercial Earned Premium at Present Rates</v>
      </c>
      <c r="F16" t="s">
        <v>47</v>
      </c>
      <c r="H16" s="235" t="s">
        <v>21</v>
      </c>
      <c r="I16"/>
    </row>
    <row r="17" spans="1:9" x14ac:dyDescent="0.2">
      <c r="A17" s="233" t="s">
        <v>504</v>
      </c>
      <c r="B17" t="s">
        <v>264</v>
      </c>
      <c r="D17" t="str">
        <f>'[1]3.3a'!$A$5</f>
        <v>Summary of Indices and Calculation of Prospective Loss Costs</v>
      </c>
      <c r="F17" t="s">
        <v>47</v>
      </c>
      <c r="H17" s="228" t="s">
        <v>263</v>
      </c>
      <c r="I17"/>
    </row>
    <row r="18" spans="1:9" x14ac:dyDescent="0.2">
      <c r="A18" s="233" t="s">
        <v>505</v>
      </c>
      <c r="B18" t="s">
        <v>264</v>
      </c>
      <c r="D18" t="str">
        <f>'[1]3.3b'!$A$5</f>
        <v>Boeckh Commercial Construction Index Trend (Statewide)</v>
      </c>
      <c r="F18" t="s">
        <v>47</v>
      </c>
      <c r="H18" s="228" t="s">
        <v>278</v>
      </c>
      <c r="I18"/>
    </row>
    <row r="19" spans="1:9" x14ac:dyDescent="0.2">
      <c r="A19" s="233" t="s">
        <v>506</v>
      </c>
      <c r="B19" t="s">
        <v>264</v>
      </c>
      <c r="D19" t="str">
        <f>'[1]3.3c'!$A$5</f>
        <v>Boeckh Commercial Construction Index Trend (Coastal)</v>
      </c>
      <c r="F19" t="s">
        <v>47</v>
      </c>
      <c r="H19" s="228" t="s">
        <v>290</v>
      </c>
      <c r="I19"/>
    </row>
    <row r="20" spans="1:9" x14ac:dyDescent="0.2">
      <c r="A20" s="233" t="s">
        <v>507</v>
      </c>
      <c r="B20" t="s">
        <v>264</v>
      </c>
      <c r="D20" t="str">
        <f>'[1]3.3d'!$A$5</f>
        <v>Modified Consumer Price Index - External Trend</v>
      </c>
      <c r="F20" t="s">
        <v>47</v>
      </c>
      <c r="H20" s="228" t="s">
        <v>291</v>
      </c>
      <c r="I20"/>
    </row>
    <row r="21" spans="1:9" x14ac:dyDescent="0.2">
      <c r="A21" s="233">
        <v>4.0999999999999996</v>
      </c>
      <c r="B21" t="s">
        <v>56</v>
      </c>
      <c r="D21" s="236"/>
      <c r="F21" t="s">
        <v>55</v>
      </c>
      <c r="H21" s="228" t="s">
        <v>21</v>
      </c>
      <c r="I21"/>
    </row>
    <row r="22" spans="1:9" x14ac:dyDescent="0.2">
      <c r="A22" s="233">
        <v>4.2</v>
      </c>
      <c r="B22" t="s">
        <v>66</v>
      </c>
      <c r="D22" s="236"/>
      <c r="F22" t="s">
        <v>55</v>
      </c>
      <c r="H22" s="228" t="s">
        <v>65</v>
      </c>
      <c r="I22"/>
    </row>
    <row r="23" spans="1:9" x14ac:dyDescent="0.2">
      <c r="A23" s="233">
        <v>4.3</v>
      </c>
      <c r="B23" t="s">
        <v>69</v>
      </c>
      <c r="D23" t="s">
        <v>70</v>
      </c>
      <c r="F23" t="s">
        <v>55</v>
      </c>
      <c r="H23" s="228" t="s">
        <v>68</v>
      </c>
      <c r="I23"/>
    </row>
    <row r="24" spans="1:9" x14ac:dyDescent="0.2">
      <c r="A24" s="233">
        <v>4.4000000000000004</v>
      </c>
      <c r="B24" t="s">
        <v>247</v>
      </c>
      <c r="D24" s="236"/>
      <c r="F24" t="s">
        <v>55</v>
      </c>
      <c r="H24" s="228" t="s">
        <v>71</v>
      </c>
      <c r="I24"/>
    </row>
    <row r="25" spans="1:9" x14ac:dyDescent="0.2">
      <c r="A25" s="233">
        <v>4.5</v>
      </c>
      <c r="B25" t="s">
        <v>73</v>
      </c>
      <c r="D25" t="s">
        <v>449</v>
      </c>
      <c r="F25" t="s">
        <v>55</v>
      </c>
      <c r="H25" s="228" t="s">
        <v>72</v>
      </c>
      <c r="I25"/>
    </row>
    <row r="26" spans="1:9" x14ac:dyDescent="0.2">
      <c r="A26" s="233">
        <v>5</v>
      </c>
      <c r="B26" t="s">
        <v>76</v>
      </c>
      <c r="D26" s="236"/>
      <c r="F26" t="s">
        <v>77</v>
      </c>
      <c r="H26" s="234"/>
      <c r="I26" s="223"/>
    </row>
    <row r="27" spans="1:9" x14ac:dyDescent="0.2">
      <c r="A27" s="233">
        <v>6.1</v>
      </c>
      <c r="B27" t="s">
        <v>223</v>
      </c>
      <c r="D27" t="str">
        <f>'6.1'!A5</f>
        <v>1970 - 2022 -- Hurricane Years Only</v>
      </c>
      <c r="F27" t="s">
        <v>82</v>
      </c>
      <c r="H27" s="228" t="s">
        <v>21</v>
      </c>
      <c r="I27"/>
    </row>
    <row r="28" spans="1:9" x14ac:dyDescent="0.2">
      <c r="A28" s="233" t="s">
        <v>508</v>
      </c>
      <c r="B28" t="s">
        <v>223</v>
      </c>
      <c r="D28" t="str">
        <f>'6.2 - industry'!A5</f>
        <v>1970 - 2022</v>
      </c>
      <c r="F28" t="s">
        <v>82</v>
      </c>
      <c r="H28" s="228" t="s">
        <v>65</v>
      </c>
      <c r="I28"/>
    </row>
    <row r="29" spans="1:9" x14ac:dyDescent="0.2">
      <c r="A29" s="233">
        <v>6.3</v>
      </c>
      <c r="B29" t="s">
        <v>223</v>
      </c>
      <c r="F29" t="s">
        <v>82</v>
      </c>
      <c r="H29" s="228" t="s">
        <v>68</v>
      </c>
      <c r="I29"/>
    </row>
    <row r="30" spans="1:9" x14ac:dyDescent="0.2">
      <c r="A30" s="233">
        <v>6.4</v>
      </c>
      <c r="B30" t="s">
        <v>223</v>
      </c>
      <c r="D30" t="str">
        <f>+'[1]6.4'!A5</f>
        <v>Tier 1 -- Territory 8 (Galveston County)</v>
      </c>
      <c r="F30" t="s">
        <v>82</v>
      </c>
      <c r="H30" s="228" t="s">
        <v>71</v>
      </c>
      <c r="I30"/>
    </row>
    <row r="31" spans="1:9" x14ac:dyDescent="0.2">
      <c r="A31" s="233">
        <v>6.5</v>
      </c>
      <c r="B31" t="s">
        <v>223</v>
      </c>
      <c r="D31" t="str">
        <f>+'[1]6.5'!A5</f>
        <v>Tier 1 -- Territory 9 (Nueces County)</v>
      </c>
      <c r="F31" t="s">
        <v>82</v>
      </c>
      <c r="H31" s="228" t="s">
        <v>72</v>
      </c>
      <c r="I31"/>
    </row>
    <row r="32" spans="1:9" x14ac:dyDescent="0.2">
      <c r="A32" s="233">
        <v>6.6</v>
      </c>
      <c r="B32" t="s">
        <v>223</v>
      </c>
      <c r="D32" t="str">
        <f>+'[1]6.6'!A5</f>
        <v>Tier 1 -- Territory 10 (Other Tier 1)</v>
      </c>
      <c r="F32" t="s">
        <v>82</v>
      </c>
      <c r="H32" s="228" t="s">
        <v>105</v>
      </c>
      <c r="I32"/>
    </row>
    <row r="33" spans="1:9" x14ac:dyDescent="0.2">
      <c r="A33" s="233">
        <v>6.7</v>
      </c>
      <c r="B33" t="s">
        <v>223</v>
      </c>
      <c r="D33" t="str">
        <f>+'[1]6.7'!A5</f>
        <v>Tier 2 (Territories 1 and 11)</v>
      </c>
      <c r="F33" t="s">
        <v>82</v>
      </c>
      <c r="H33" s="228" t="s">
        <v>106</v>
      </c>
      <c r="I33"/>
    </row>
    <row r="34" spans="1:9" x14ac:dyDescent="0.2">
      <c r="A34" s="233">
        <v>7.1</v>
      </c>
      <c r="B34" t="str">
        <f>'7.1'!A4</f>
        <v>Hurricane Loss Ratio -- Verisk (AIR) Model</v>
      </c>
      <c r="F34" t="s">
        <v>360</v>
      </c>
      <c r="H34" s="228" t="s">
        <v>21</v>
      </c>
      <c r="I34"/>
    </row>
    <row r="35" spans="1:9" x14ac:dyDescent="0.2">
      <c r="A35" s="233">
        <v>7.2</v>
      </c>
      <c r="B35" t="str">
        <f>'7.2'!A4</f>
        <v>Hurricane Loss Ratio -- RMS Model</v>
      </c>
      <c r="F35" t="s">
        <v>360</v>
      </c>
      <c r="H35" s="228" t="s">
        <v>65</v>
      </c>
      <c r="I35"/>
    </row>
    <row r="36" spans="1:9" x14ac:dyDescent="0.2">
      <c r="A36" s="233">
        <v>7.3</v>
      </c>
      <c r="B36" t="str">
        <f>'7.3'!A4</f>
        <v>Hurricane Loss Ratio -- Impact Forecasting Model</v>
      </c>
      <c r="F36" t="s">
        <v>360</v>
      </c>
      <c r="H36" s="228" t="s">
        <v>68</v>
      </c>
      <c r="I36"/>
    </row>
    <row r="37" spans="1:9" x14ac:dyDescent="0.2">
      <c r="A37" s="233">
        <v>7.4</v>
      </c>
      <c r="B37" t="str">
        <f>'7.4'!A4</f>
        <v>Hurricane Loss Ratio -- CoreLogic RQE Model</v>
      </c>
      <c r="F37" t="s">
        <v>360</v>
      </c>
      <c r="H37" s="228" t="s">
        <v>71</v>
      </c>
      <c r="I37"/>
    </row>
    <row r="38" spans="1:9" x14ac:dyDescent="0.2">
      <c r="A38" s="233">
        <v>8.1</v>
      </c>
      <c r="B38" t="str">
        <f>'8.1'!A4</f>
        <v>Verisk (AIR) Simulated Hurricane Results</v>
      </c>
      <c r="F38" t="s">
        <v>134</v>
      </c>
      <c r="H38" s="228" t="s">
        <v>21</v>
      </c>
      <c r="I38"/>
    </row>
    <row r="39" spans="1:9" x14ac:dyDescent="0.2">
      <c r="A39" s="233">
        <v>8.1999999999999993</v>
      </c>
      <c r="B39" t="str">
        <f>'8.2'!A4</f>
        <v>RMS Simulated Hurricane Results</v>
      </c>
      <c r="F39" t="s">
        <v>134</v>
      </c>
      <c r="H39" s="228" t="s">
        <v>65</v>
      </c>
      <c r="I39"/>
    </row>
    <row r="40" spans="1:9" x14ac:dyDescent="0.2">
      <c r="A40" s="233">
        <v>8.3000000000000007</v>
      </c>
      <c r="B40" t="str">
        <f>'8.3'!A4</f>
        <v>Impact Forecasting Simulated Hurricane Results</v>
      </c>
      <c r="F40" t="s">
        <v>134</v>
      </c>
      <c r="H40" s="228" t="s">
        <v>68</v>
      </c>
      <c r="I40"/>
    </row>
    <row r="41" spans="1:9" x14ac:dyDescent="0.2">
      <c r="A41" s="233">
        <v>8.4</v>
      </c>
      <c r="B41" t="str">
        <f>'8.4'!A4</f>
        <v>CoreLogic RQE Simulated Hurricane Results</v>
      </c>
      <c r="F41" t="s">
        <v>134</v>
      </c>
      <c r="H41" s="228" t="s">
        <v>71</v>
      </c>
      <c r="I41"/>
    </row>
    <row r="42" spans="1:9" x14ac:dyDescent="0.2">
      <c r="A42" s="233">
        <v>9</v>
      </c>
      <c r="B42" t="str">
        <f>'9'!A4</f>
        <v>Texas Hurricanes 1850 - 2022</v>
      </c>
      <c r="F42" t="s">
        <v>135</v>
      </c>
      <c r="H42" s="234"/>
      <c r="I42" s="223"/>
    </row>
    <row r="43" spans="1:9" x14ac:dyDescent="0.2">
      <c r="A43" s="233">
        <v>10.1</v>
      </c>
      <c r="B43" t="s">
        <v>509</v>
      </c>
      <c r="D43" t="str">
        <f>+'[2]10.1a'!A5</f>
        <v>Tier 1 -- Territory 8 (Galveston County)</v>
      </c>
      <c r="F43" t="s">
        <v>138</v>
      </c>
      <c r="H43" s="228" t="s">
        <v>21</v>
      </c>
      <c r="I43"/>
    </row>
    <row r="44" spans="1:9" x14ac:dyDescent="0.2">
      <c r="A44" s="233">
        <v>10.199999999999999</v>
      </c>
      <c r="B44" t="s">
        <v>210</v>
      </c>
      <c r="F44" t="s">
        <v>138</v>
      </c>
      <c r="H44" s="228" t="s">
        <v>65</v>
      </c>
      <c r="I44"/>
    </row>
    <row r="45" spans="1:9" x14ac:dyDescent="0.2">
      <c r="A45" s="233">
        <v>11.1</v>
      </c>
      <c r="B45" t="s">
        <v>436</v>
      </c>
      <c r="F45" t="s">
        <v>156</v>
      </c>
      <c r="H45" s="228" t="s">
        <v>21</v>
      </c>
      <c r="I45"/>
    </row>
    <row r="46" spans="1:9" x14ac:dyDescent="0.2">
      <c r="A46" s="233">
        <v>11.2</v>
      </c>
      <c r="B46" t="s">
        <v>375</v>
      </c>
      <c r="D46" t="str">
        <f>'11.2'!A5</f>
        <v>Using Average of Verisk and  RMS Hurricane Models</v>
      </c>
      <c r="F46" t="s">
        <v>156</v>
      </c>
      <c r="H46" s="228" t="s">
        <v>65</v>
      </c>
      <c r="I46"/>
    </row>
    <row r="47" spans="1:9" ht="12" thickBot="1" x14ac:dyDescent="0.25">
      <c r="A47" s="237">
        <v>12</v>
      </c>
      <c r="B47" s="238" t="s">
        <v>176</v>
      </c>
      <c r="C47" s="238"/>
      <c r="D47" s="238"/>
      <c r="E47" s="238"/>
      <c r="F47" s="238" t="s">
        <v>157</v>
      </c>
      <c r="G47" s="238"/>
      <c r="H47" s="239"/>
      <c r="I47" s="223"/>
    </row>
  </sheetData>
  <mergeCells count="1">
    <mergeCell ref="A6:H6"/>
  </mergeCells>
  <pageMargins left="0.5" right="0.5" top="0.5" bottom="0.5" header="0.5" footer="0.5"/>
  <pageSetup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tabColor rgb="FF92D050"/>
  </sheetPr>
  <dimension ref="A1:P60"/>
  <sheetViews>
    <sheetView showGridLines="0" topLeftCell="A4" zoomScaleNormal="100" workbookViewId="0">
      <selection activeCell="A71" sqref="A71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3" width="15.33203125" customWidth="1"/>
    <col min="4" max="4" width="19.1640625" style="11" customWidth="1"/>
    <col min="5" max="5" width="17" customWidth="1"/>
    <col min="6" max="6" width="13.83203125" customWidth="1"/>
    <col min="7" max="7" width="3.83203125" customWidth="1"/>
    <col min="8" max="8" width="10.1640625" customWidth="1"/>
    <col min="9" max="9" width="11.33203125" customWidth="1"/>
    <col min="10" max="10" width="2.66406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82</v>
      </c>
      <c r="K1" s="1"/>
      <c r="O1" t="s">
        <v>526</v>
      </c>
      <c r="P1" t="s">
        <v>581</v>
      </c>
    </row>
    <row r="2" spans="1:16" x14ac:dyDescent="0.2">
      <c r="A2" s="8" t="str">
        <f>'1'!$A$2</f>
        <v>Commercial Property - Wind &amp; Hail</v>
      </c>
      <c r="B2" s="12"/>
      <c r="J2" s="7" t="s">
        <v>21</v>
      </c>
      <c r="K2" s="2"/>
      <c r="O2" t="s">
        <v>526</v>
      </c>
      <c r="P2" t="s">
        <v>609</v>
      </c>
    </row>
    <row r="3" spans="1:16" x14ac:dyDescent="0.2">
      <c r="A3" s="8" t="str">
        <f>'1'!$A$3</f>
        <v>Rate Level Review</v>
      </c>
      <c r="B3" s="12"/>
      <c r="K3" s="2"/>
      <c r="O3" t="s">
        <v>526</v>
      </c>
      <c r="P3" t="s">
        <v>584</v>
      </c>
    </row>
    <row r="4" spans="1:16" x14ac:dyDescent="0.2">
      <c r="A4" t="s">
        <v>223</v>
      </c>
      <c r="B4" s="12"/>
      <c r="K4" s="2"/>
      <c r="L4" s="11" t="s">
        <v>84</v>
      </c>
      <c r="M4" s="11" t="s">
        <v>85</v>
      </c>
      <c r="N4" s="11" t="s">
        <v>87</v>
      </c>
    </row>
    <row r="5" spans="1:16" x14ac:dyDescent="0.2">
      <c r="A5" t="str">
        <f>YEAR($L$5)&amp;" - "&amp;YEAR($M$5)&amp;" -- Hurricane Years Only"</f>
        <v>1970 - 2022 -- Hurricane Years Only</v>
      </c>
      <c r="B5" s="12"/>
      <c r="K5" s="2"/>
      <c r="L5" s="65">
        <v>25569</v>
      </c>
      <c r="M5" s="65">
        <v>44926</v>
      </c>
      <c r="N5" s="57">
        <f>ROUND(YEAR(M5)-YEAR(L5)+(MONTH(M5)-MONTH(L5)+1)/12,1)</f>
        <v>53</v>
      </c>
    </row>
    <row r="6" spans="1:16" x14ac:dyDescent="0.2">
      <c r="K6" s="2"/>
    </row>
    <row r="7" spans="1:16" ht="12" thickBot="1" x14ac:dyDescent="0.25">
      <c r="A7" s="6"/>
      <c r="B7" s="6"/>
      <c r="C7" s="6"/>
      <c r="D7" s="177"/>
      <c r="E7" s="6"/>
      <c r="F7" s="6"/>
      <c r="G7" s="6"/>
      <c r="H7" s="6"/>
      <c r="K7" s="2"/>
    </row>
    <row r="8" spans="1:16" ht="12" thickTop="1" x14ac:dyDescent="0.2">
      <c r="K8" s="2"/>
    </row>
    <row r="9" spans="1:16" x14ac:dyDescent="0.2">
      <c r="C9" s="12" t="s">
        <v>37</v>
      </c>
      <c r="D9"/>
      <c r="E9" t="s">
        <v>472</v>
      </c>
      <c r="K9" s="2"/>
      <c r="L9" s="24"/>
    </row>
    <row r="10" spans="1:16" x14ac:dyDescent="0.2">
      <c r="A10" t="s">
        <v>41</v>
      </c>
      <c r="C10" t="s">
        <v>35</v>
      </c>
      <c r="D10" t="s">
        <v>469</v>
      </c>
      <c r="E10" t="s">
        <v>67</v>
      </c>
      <c r="F10" t="s">
        <v>473</v>
      </c>
      <c r="H10" t="s">
        <v>608</v>
      </c>
      <c r="K10" s="2"/>
    </row>
    <row r="11" spans="1:16" x14ac:dyDescent="0.2">
      <c r="A11" s="9" t="s">
        <v>42</v>
      </c>
      <c r="B11" s="9"/>
      <c r="C11" s="9" t="s">
        <v>36</v>
      </c>
      <c r="D11" s="9" t="s">
        <v>470</v>
      </c>
      <c r="E11" s="9" t="s">
        <v>58</v>
      </c>
      <c r="F11" s="9" t="s">
        <v>58</v>
      </c>
      <c r="G11" s="9"/>
      <c r="H11" s="9" t="s">
        <v>30</v>
      </c>
      <c r="K11" s="2"/>
    </row>
    <row r="12" spans="1:16" x14ac:dyDescent="0.2">
      <c r="C12" s="13" t="str">
        <f>TEXT(COLUMN()-2,"(#)")</f>
        <v>(1)</v>
      </c>
      <c r="D12" s="11" t="str">
        <f>TEXT(COLUMN()-2,"(#)")</f>
        <v>(2)</v>
      </c>
      <c r="E12" s="11" t="str">
        <f>TEXT(COLUMN()-2,"(#)")</f>
        <v>(3)</v>
      </c>
      <c r="F12" s="11" t="str">
        <f>TEXT(COLUMN()-2,"(#)")</f>
        <v>(4)</v>
      </c>
      <c r="G12" s="11"/>
      <c r="H12" s="11" t="s">
        <v>88</v>
      </c>
      <c r="K12" s="2"/>
    </row>
    <row r="13" spans="1:16" x14ac:dyDescent="0.2">
      <c r="C13" s="13"/>
      <c r="E13" s="7"/>
      <c r="F13" s="7"/>
      <c r="K13" s="2"/>
    </row>
    <row r="14" spans="1:16" x14ac:dyDescent="0.2">
      <c r="A14" s="61">
        <v>1970</v>
      </c>
      <c r="C14" s="26">
        <f>VLOOKUP($A14,'6.2 - industry'!$A$12:$G$66,5,0)</f>
        <v>53332058</v>
      </c>
      <c r="D14" s="11">
        <v>1</v>
      </c>
      <c r="E14" s="41">
        <f>VLOOKUP($A14,'6.2 - industry'!$A$12:$G$66,7,0)</f>
        <v>0.433</v>
      </c>
      <c r="F14" s="42">
        <f>MAX((E14-$E$31),0)/D14</f>
        <v>0.33899999999999997</v>
      </c>
      <c r="K14" s="2"/>
    </row>
    <row r="15" spans="1:16" x14ac:dyDescent="0.2">
      <c r="A15" s="61">
        <v>1971</v>
      </c>
      <c r="C15" s="26">
        <f>VLOOKUP($A15,'6.2 - industry'!$A$12:$G$66,5,0)</f>
        <v>57612751</v>
      </c>
      <c r="D15" s="11">
        <v>1</v>
      </c>
      <c r="E15" s="41">
        <f>VLOOKUP($A15,'6.2 - industry'!$A$12:$G$66,7,0)</f>
        <v>0.97</v>
      </c>
      <c r="F15" s="42">
        <f t="shared" ref="F15:F26" si="0">MAX((E15-$E$31),0)/D15</f>
        <v>0.876</v>
      </c>
      <c r="K15" s="2"/>
    </row>
    <row r="16" spans="1:16" ht="9.9499999999999993" customHeight="1" x14ac:dyDescent="0.2">
      <c r="A16" s="61">
        <v>1980</v>
      </c>
      <c r="B16" s="22"/>
      <c r="C16" s="26">
        <f>VLOOKUP($A16,'6.2 - industry'!$A$12:$G$66,5,0)</f>
        <v>64012158</v>
      </c>
      <c r="D16" s="186">
        <v>1</v>
      </c>
      <c r="E16" s="41">
        <f>VLOOKUP($A16,'6.2 - industry'!$A$12:$G$66,7,0)</f>
        <v>0.6</v>
      </c>
      <c r="F16" s="42">
        <f t="shared" si="0"/>
        <v>0.50600000000000001</v>
      </c>
      <c r="K16" s="2"/>
    </row>
    <row r="17" spans="1:11" x14ac:dyDescent="0.2">
      <c r="A17" s="61">
        <v>1983</v>
      </c>
      <c r="B17" s="22"/>
      <c r="C17" s="26">
        <f>VLOOKUP($A17,'6.2 - industry'!$A$12:$G$66,5,0)</f>
        <v>37553181.514445186</v>
      </c>
      <c r="D17" s="186">
        <v>1</v>
      </c>
      <c r="E17" s="41">
        <f>VLOOKUP($A17,'6.2 - industry'!$A$12:$G$66,7,0)</f>
        <v>3.843</v>
      </c>
      <c r="F17" s="42">
        <f t="shared" si="0"/>
        <v>3.7490000000000001</v>
      </c>
      <c r="K17" s="2"/>
    </row>
    <row r="18" spans="1:11" x14ac:dyDescent="0.2">
      <c r="A18" s="61">
        <v>1986</v>
      </c>
      <c r="B18" s="22"/>
      <c r="C18" s="26">
        <f>VLOOKUP($A18,'6.2 - industry'!$A$12:$G$66,5,0)</f>
        <v>48392652.539828144</v>
      </c>
      <c r="D18" s="186">
        <v>1</v>
      </c>
      <c r="E18" s="41">
        <f>VLOOKUP($A18,'6.2 - industry'!$A$12:$G$66,7,0)</f>
        <v>7.9000000000000001E-2</v>
      </c>
      <c r="F18" s="42">
        <f t="shared" si="0"/>
        <v>0</v>
      </c>
      <c r="K18" s="2"/>
    </row>
    <row r="19" spans="1:11" x14ac:dyDescent="0.2">
      <c r="A19" s="61">
        <v>1989</v>
      </c>
      <c r="C19" s="26">
        <f>VLOOKUP($A19,'6.2 - industry'!$A$12:$G$66,5,0)</f>
        <v>76691719.673919111</v>
      </c>
      <c r="D19" s="168">
        <v>2</v>
      </c>
      <c r="E19" s="41">
        <f>VLOOKUP($A19,'6.2 - industry'!$A$12:$G$66,7,0)</f>
        <v>6.9000000000000006E-2</v>
      </c>
      <c r="F19" s="42">
        <f t="shared" si="0"/>
        <v>0</v>
      </c>
      <c r="K19" s="2"/>
    </row>
    <row r="20" spans="1:11" x14ac:dyDescent="0.2">
      <c r="A20" s="61">
        <v>1999</v>
      </c>
      <c r="B20" s="22"/>
      <c r="C20" s="26">
        <f>VLOOKUP($A20,'6.2 - industry'!$A$12:$G$66,5,0)</f>
        <v>175855163.70733914</v>
      </c>
      <c r="D20" s="186">
        <v>1</v>
      </c>
      <c r="E20" s="41">
        <f>VLOOKUP($A20,'6.2 - industry'!$A$12:$G$66,7,0)</f>
        <v>8.1000000000000003E-2</v>
      </c>
      <c r="F20" s="42">
        <f t="shared" si="0"/>
        <v>0</v>
      </c>
      <c r="K20" s="2"/>
    </row>
    <row r="21" spans="1:11" x14ac:dyDescent="0.2">
      <c r="A21" s="61">
        <v>2003</v>
      </c>
      <c r="B21" s="22"/>
      <c r="C21" s="26">
        <f>VLOOKUP($A21,'6.2 - industry'!$A$12:$G$66,5,0)</f>
        <v>200738406.98027319</v>
      </c>
      <c r="D21" s="186">
        <v>1</v>
      </c>
      <c r="E21" s="41">
        <f>VLOOKUP($A21,'6.2 - industry'!$A$12:$G$66,7,0)</f>
        <v>0.20899999999999999</v>
      </c>
      <c r="F21" s="42">
        <f t="shared" si="0"/>
        <v>0.11499999999999999</v>
      </c>
      <c r="H21" s="150"/>
      <c r="K21" s="2"/>
    </row>
    <row r="22" spans="1:11" x14ac:dyDescent="0.2">
      <c r="A22" s="61">
        <v>2005</v>
      </c>
      <c r="B22" s="22"/>
      <c r="C22" s="26">
        <f>VLOOKUP($A22,'6.2 - industry'!$A$12:$G$66,5,0)</f>
        <v>265866745.07309026</v>
      </c>
      <c r="D22" s="186">
        <v>1</v>
      </c>
      <c r="E22" s="41">
        <f>VLOOKUP($A22,'6.2 - industry'!$A$12:$G$66,7,0)</f>
        <v>1.5349999999999999</v>
      </c>
      <c r="F22" s="42">
        <f t="shared" si="0"/>
        <v>1.4409999999999998</v>
      </c>
      <c r="H22" s="150"/>
      <c r="K22" s="2"/>
    </row>
    <row r="23" spans="1:11" x14ac:dyDescent="0.2">
      <c r="A23" s="61">
        <v>2007</v>
      </c>
      <c r="C23" s="26">
        <f>VLOOKUP($A23,'6.2 - industry'!$A$12:$G$66,5,0)</f>
        <v>345796967.65694141</v>
      </c>
      <c r="D23" s="186">
        <v>1</v>
      </c>
      <c r="E23" s="41">
        <f>VLOOKUP($A23,'6.2 - industry'!$A$12:$G$66,7,0)</f>
        <v>0.161</v>
      </c>
      <c r="F23" s="42">
        <f t="shared" si="0"/>
        <v>6.7000000000000004E-2</v>
      </c>
      <c r="H23" s="308">
        <f>H25*'[7]2.4'!$D$30/'[7]2.4'!$C$30</f>
        <v>1.5920900938150646</v>
      </c>
      <c r="K23" s="2"/>
    </row>
    <row r="24" spans="1:11" x14ac:dyDescent="0.2">
      <c r="A24" s="61">
        <v>2008</v>
      </c>
      <c r="C24" s="26">
        <f>VLOOKUP($A24,'6.2 - industry'!$A$12:$G$66,5,0)</f>
        <v>313442674.91535729</v>
      </c>
      <c r="D24" s="186">
        <v>2</v>
      </c>
      <c r="E24" s="41">
        <f>VLOOKUP($A24,'6.2 - industry'!$A$12:$G$66,7,0)</f>
        <v>4.3179999999999996</v>
      </c>
      <c r="F24" s="42">
        <f t="shared" si="0"/>
        <v>2.1119999999999997</v>
      </c>
      <c r="H24" s="308">
        <f>H25*'[7]2.4'!$D$31/'[7]2.4'!$C$31</f>
        <v>1.5406887144055723</v>
      </c>
      <c r="K24" s="2"/>
    </row>
    <row r="25" spans="1:11" x14ac:dyDescent="0.2">
      <c r="A25" s="61">
        <v>2017</v>
      </c>
      <c r="B25" s="22"/>
      <c r="C25" s="26">
        <f>VLOOKUP($A25,'6.2 - industry'!$A$12:$G$66,5,0)</f>
        <v>202697789.64499947</v>
      </c>
      <c r="D25" s="186">
        <v>1</v>
      </c>
      <c r="E25" s="41">
        <f>VLOOKUP($A25,'6.2 - industry'!$A$12:$G$66,7,0)</f>
        <v>4.8499999999999996</v>
      </c>
      <c r="F25" s="42">
        <f t="shared" si="0"/>
        <v>4.7559999999999993</v>
      </c>
      <c r="H25" s="308">
        <f>'2.4'!G40</f>
        <v>1.0940000000000001</v>
      </c>
      <c r="K25" s="2"/>
    </row>
    <row r="26" spans="1:11" x14ac:dyDescent="0.2">
      <c r="A26" s="61">
        <v>2020</v>
      </c>
      <c r="B26" s="22"/>
      <c r="C26" s="26">
        <f>VLOOKUP($A26,'6.2 - industry'!$A$12:$G$66,5,0)</f>
        <v>188971059.24999976</v>
      </c>
      <c r="D26" s="186">
        <v>3</v>
      </c>
      <c r="E26" s="41">
        <f>VLOOKUP($A26,'6.2 - industry'!$A$12:$G$66,7,0)</f>
        <v>8.8999999999999996E-2</v>
      </c>
      <c r="F26" s="42">
        <f t="shared" si="0"/>
        <v>0</v>
      </c>
      <c r="H26" s="308">
        <f>'2.4'!G43</f>
        <v>1.1519999999999999</v>
      </c>
      <c r="K26" s="2"/>
    </row>
    <row r="27" spans="1:11" x14ac:dyDescent="0.2">
      <c r="A27" s="61">
        <v>2021</v>
      </c>
      <c r="B27" s="22"/>
      <c r="C27" s="26">
        <f>VLOOKUP($A27,'6.2 - industry'!$A$12:$G$66,5,0)</f>
        <v>196394417.14999986</v>
      </c>
      <c r="D27" s="186">
        <v>1</v>
      </c>
      <c r="E27" s="41">
        <f>VLOOKUP($A27,'6.2 - industry'!$A$12:$G$66,7,0)</f>
        <v>0.125</v>
      </c>
      <c r="F27" s="42">
        <f>MAX((E27-$E$31),0)/D27</f>
        <v>3.1E-2</v>
      </c>
      <c r="H27" s="308">
        <f>'2.4'!G44</f>
        <v>1.05</v>
      </c>
      <c r="K27" s="2"/>
    </row>
    <row r="28" spans="1:11" x14ac:dyDescent="0.2">
      <c r="A28" s="175"/>
      <c r="B28" s="9"/>
      <c r="C28" s="27"/>
      <c r="D28" s="178"/>
      <c r="E28" s="45"/>
      <c r="F28" s="45"/>
      <c r="G28" s="9"/>
      <c r="H28" s="9"/>
      <c r="K28" s="2"/>
    </row>
    <row r="29" spans="1:11" x14ac:dyDescent="0.2">
      <c r="A29" t="s">
        <v>474</v>
      </c>
      <c r="E29" s="19">
        <f>AVERAGE(E14:E27)</f>
        <v>1.2401428571428568</v>
      </c>
      <c r="F29" s="19">
        <f>AVERAGE(F14:F27)</f>
        <v>0.99942857142857133</v>
      </c>
      <c r="K29" s="2"/>
    </row>
    <row r="30" spans="1:11" x14ac:dyDescent="0.2">
      <c r="A30" s="43"/>
      <c r="C30" s="31"/>
      <c r="D30" s="194"/>
      <c r="E30" s="31"/>
      <c r="F30" s="31"/>
      <c r="K30" s="2"/>
    </row>
    <row r="31" spans="1:11" x14ac:dyDescent="0.2">
      <c r="A31" s="43" t="s">
        <v>92</v>
      </c>
      <c r="B31" t="s">
        <v>93</v>
      </c>
      <c r="C31" s="31"/>
      <c r="D31" s="194"/>
      <c r="E31" s="41">
        <f>'6.2 - industry'!$G$70</f>
        <v>9.4E-2</v>
      </c>
      <c r="K31" s="2"/>
    </row>
    <row r="32" spans="1:11" x14ac:dyDescent="0.2">
      <c r="K32" s="2"/>
    </row>
    <row r="33" spans="1:12" x14ac:dyDescent="0.2">
      <c r="A33" s="43" t="s">
        <v>611</v>
      </c>
      <c r="B33" t="s">
        <v>471</v>
      </c>
      <c r="E33" s="19">
        <f>AVERAGE(F14:F27)</f>
        <v>0.99942857142857133</v>
      </c>
      <c r="K33" s="2"/>
    </row>
    <row r="34" spans="1:12" x14ac:dyDescent="0.2">
      <c r="A34" s="43" t="s">
        <v>612</v>
      </c>
      <c r="B34" t="s">
        <v>467</v>
      </c>
      <c r="E34" s="19">
        <f>E33</f>
        <v>0.99942857142857133</v>
      </c>
      <c r="K34" s="2"/>
    </row>
    <row r="35" spans="1:12" x14ac:dyDescent="0.2">
      <c r="K35" s="2"/>
      <c r="L35" s="68"/>
    </row>
    <row r="36" spans="1:12" x14ac:dyDescent="0.2">
      <c r="A36" s="43" t="s">
        <v>90</v>
      </c>
      <c r="B36" t="s">
        <v>312</v>
      </c>
      <c r="K36" s="2"/>
    </row>
    <row r="37" spans="1:12" x14ac:dyDescent="0.2">
      <c r="B37" t="str">
        <f>'9'!A53&amp;" ("&amp;'9'!C53&amp;")"</f>
        <v>53.0-Year (1/1/1970 - 12/31/2022)</v>
      </c>
      <c r="E37" s="29">
        <f>'9'!G53</f>
        <v>0.34</v>
      </c>
      <c r="F37" t="str">
        <f>"(1 Hurricane Every "&amp;TEXT(1/E37,"0.0")&amp;" years)"</f>
        <v>(1 Hurricane Every 2.9 years)</v>
      </c>
      <c r="K37" s="2"/>
    </row>
    <row r="38" spans="1:12" x14ac:dyDescent="0.2">
      <c r="B38" t="str">
        <f>'9'!A54&amp;" ("&amp;'9'!C54&amp;")"</f>
        <v>172-Year (1/1/1851 - 12/31/2022)</v>
      </c>
      <c r="E38" s="29">
        <f>'9'!G54</f>
        <v>0.39500000000000002</v>
      </c>
      <c r="F38" t="str">
        <f>"(1 Hurricane Every "&amp;TEXT(1/E38,"0.0")&amp;" years)"</f>
        <v>(1 Hurricane Every 2.5 years)</v>
      </c>
      <c r="K38" s="2"/>
    </row>
    <row r="39" spans="1:12" x14ac:dyDescent="0.2">
      <c r="K39" s="2"/>
    </row>
    <row r="40" spans="1:12" x14ac:dyDescent="0.2">
      <c r="A40" s="43"/>
      <c r="B40" t="s">
        <v>311</v>
      </c>
      <c r="E40" s="96">
        <f>ROUND(E38,3)</f>
        <v>0.39500000000000002</v>
      </c>
      <c r="F40" t="str">
        <f>"(1 Hurricane Every "&amp;TEXT(1/E40,"0.0")&amp;" years)"</f>
        <v>(1 Hurricane Every 2.5 years)</v>
      </c>
      <c r="K40" s="2"/>
    </row>
    <row r="41" spans="1:12" x14ac:dyDescent="0.2">
      <c r="A41" s="43"/>
      <c r="E41" s="96"/>
      <c r="K41" s="2"/>
    </row>
    <row r="42" spans="1:12" x14ac:dyDescent="0.2">
      <c r="A42" s="43" t="s">
        <v>89</v>
      </c>
      <c r="B42" t="s">
        <v>613</v>
      </c>
      <c r="E42" s="96">
        <v>1.05</v>
      </c>
      <c r="K42" s="2"/>
    </row>
    <row r="43" spans="1:12" x14ac:dyDescent="0.2">
      <c r="K43" s="2"/>
    </row>
    <row r="44" spans="1:12" x14ac:dyDescent="0.2">
      <c r="A44" s="43" t="s">
        <v>83</v>
      </c>
      <c r="B44" t="s">
        <v>115</v>
      </c>
      <c r="E44" s="19">
        <f>ROUND(E40*E33,3)</f>
        <v>0.39500000000000002</v>
      </c>
      <c r="K44" s="2"/>
    </row>
    <row r="45" spans="1:12" ht="12" thickBot="1" x14ac:dyDescent="0.25">
      <c r="A45" s="298" t="s">
        <v>175</v>
      </c>
      <c r="B45" s="6" t="s">
        <v>589</v>
      </c>
      <c r="C45" s="6"/>
      <c r="D45" s="177"/>
      <c r="E45" s="240">
        <f>E44*E42</f>
        <v>0.41475000000000006</v>
      </c>
      <c r="K45" s="2"/>
    </row>
    <row r="46" spans="1:12" ht="12" thickTop="1" x14ac:dyDescent="0.2">
      <c r="K46" s="2"/>
    </row>
    <row r="47" spans="1:12" x14ac:dyDescent="0.2">
      <c r="A47" t="s">
        <v>18</v>
      </c>
      <c r="E47" s="18"/>
      <c r="K47" s="2"/>
    </row>
    <row r="48" spans="1:12" x14ac:dyDescent="0.2">
      <c r="B48" s="12" t="str">
        <f>C12&amp;" "&amp;'6.2 - industry'!$J$1&amp;", "&amp;'6.2 - industry'!$J$2&amp;". 1999 year ending "&amp;TEXT('6.2 - industry'!$L$40,"m/d/""99""")&amp;"; all other accident years ending "&amp;TEXT('6.2 - industry'!$L$39,"m/d/xx")</f>
        <v>(1) Exhibit 6, Sheet 2. 1999 year ending 12/31/99; all other accident years ending 9/30/xx</v>
      </c>
      <c r="K48" s="2"/>
    </row>
    <row r="49" spans="1:11" x14ac:dyDescent="0.2">
      <c r="B49" s="12" t="str">
        <f>E12&amp;" "&amp;'6.2 - industry'!$J$1&amp;", "&amp;'6.2 - industry'!$J$2&amp;". 1999 year ending "&amp;TEXT('6.2 - industry'!$L$40,"m/d/""99""")&amp;"; all other accident years ending "&amp;TEXT('6.2 - industry'!$L$39,"m/d/xx")</f>
        <v>(3) Exhibit 6, Sheet 2. 1999 year ending 12/31/99; all other accident years ending 9/30/xx</v>
      </c>
      <c r="K49" s="2"/>
    </row>
    <row r="50" spans="1:11" x14ac:dyDescent="0.2">
      <c r="B50" t="s">
        <v>494</v>
      </c>
      <c r="K50" s="2"/>
    </row>
    <row r="51" spans="1:11" x14ac:dyDescent="0.2">
      <c r="B51" t="s">
        <v>610</v>
      </c>
      <c r="K51" s="2"/>
    </row>
    <row r="52" spans="1:11" x14ac:dyDescent="0.2">
      <c r="B52" s="12" t="str">
        <f>A31&amp;" "&amp;'6.2 - industry'!$J$1&amp;", "&amp;'6.2 - industry'!$J$2</f>
        <v>(6) Exhibit 6, Sheet 2</v>
      </c>
      <c r="K52" s="2"/>
    </row>
    <row r="53" spans="1:11" x14ac:dyDescent="0.2">
      <c r="B53" s="12" t="str">
        <f>A33&amp;" = "&amp;"Average of "&amp;F12</f>
        <v>(7a) = Average of (4)</v>
      </c>
      <c r="K53" s="2"/>
    </row>
    <row r="54" spans="1:11" x14ac:dyDescent="0.2">
      <c r="B54" s="12" t="str">
        <f>A34&amp;" Selected"</f>
        <v>(7b) Selected</v>
      </c>
      <c r="K54" s="2"/>
    </row>
    <row r="55" spans="1:11" x14ac:dyDescent="0.2">
      <c r="B55" s="12" t="str">
        <f>A36&amp;" "&amp;'9'!$J$1</f>
        <v>(8) Exhibit 9</v>
      </c>
      <c r="K55" s="2"/>
    </row>
    <row r="56" spans="1:11" x14ac:dyDescent="0.2">
      <c r="B56" s="12" t="str">
        <f>A42&amp;" Selected Net Trend Factor based on "&amp;H12</f>
        <v>(9) Selected Net Trend Factor based on (5)</v>
      </c>
      <c r="K56" s="2"/>
    </row>
    <row r="57" spans="1:11" x14ac:dyDescent="0.2">
      <c r="B57" s="12" t="str">
        <f>A44&amp;" = "&amp;A34&amp;" * "&amp;A36&amp;" Selected"</f>
        <v>(10) = (7b) * (8) Selected</v>
      </c>
      <c r="K57" s="2"/>
    </row>
    <row r="58" spans="1:11" x14ac:dyDescent="0.2">
      <c r="B58" s="12" t="str">
        <f>A45&amp;" = "&amp;A42&amp;" * "&amp;A44</f>
        <v>(11) = (9) * (10)</v>
      </c>
      <c r="K58" s="2"/>
    </row>
    <row r="59" spans="1:11" ht="12" thickBot="1" x14ac:dyDescent="0.25">
      <c r="K59" s="2"/>
    </row>
    <row r="60" spans="1:11" ht="12" thickBot="1" x14ac:dyDescent="0.25">
      <c r="A60" s="4"/>
      <c r="B60" s="5"/>
      <c r="C60" s="5"/>
      <c r="D60" s="181"/>
      <c r="E60" s="5"/>
      <c r="F60" s="5"/>
      <c r="G60" s="5"/>
      <c r="H60" s="5"/>
      <c r="I60" s="5"/>
      <c r="J60" s="5"/>
      <c r="K60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tabColor rgb="FF92D050"/>
    <pageSetUpPr fitToPage="1"/>
  </sheetPr>
  <dimension ref="A1:O79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5" customWidth="1"/>
  </cols>
  <sheetData>
    <row r="1" spans="1:15" x14ac:dyDescent="0.2">
      <c r="A1" s="8" t="str">
        <f>'1'!$A$1</f>
        <v>Texas Windstorm Insurance Association</v>
      </c>
      <c r="B1" s="12"/>
      <c r="J1" s="7" t="s">
        <v>82</v>
      </c>
      <c r="K1" s="1"/>
      <c r="N1" t="s">
        <v>526</v>
      </c>
      <c r="O1" t="s">
        <v>566</v>
      </c>
    </row>
    <row r="2" spans="1:15" x14ac:dyDescent="0.2">
      <c r="A2" s="8" t="str">
        <f>'1'!$A$2</f>
        <v>Commercial Property - Wind &amp; Hail</v>
      </c>
      <c r="B2" s="12"/>
      <c r="J2" s="7" t="s">
        <v>65</v>
      </c>
      <c r="K2" s="2"/>
      <c r="N2" t="s">
        <v>526</v>
      </c>
      <c r="O2" t="s">
        <v>570</v>
      </c>
    </row>
    <row r="3" spans="1:15" x14ac:dyDescent="0.2">
      <c r="A3" s="8" t="str">
        <f>'1'!$A$3</f>
        <v>Rate Level Review</v>
      </c>
      <c r="B3" s="12"/>
      <c r="K3" s="2"/>
      <c r="N3" t="s">
        <v>526</v>
      </c>
      <c r="O3" t="s">
        <v>580</v>
      </c>
    </row>
    <row r="4" spans="1:15" x14ac:dyDescent="0.2">
      <c r="A4" t="s">
        <v>223</v>
      </c>
      <c r="B4" s="12"/>
      <c r="K4" s="2"/>
      <c r="N4" t="s">
        <v>526</v>
      </c>
      <c r="O4" t="s">
        <v>582</v>
      </c>
    </row>
    <row r="5" spans="1:15" x14ac:dyDescent="0.2">
      <c r="A5" t="str">
        <f>YEAR('6.1'!$L$5)&amp;" - "&amp;YEAR('6.1'!$M$5)</f>
        <v>1970 - 2022</v>
      </c>
      <c r="B5" s="12"/>
      <c r="K5" s="2"/>
      <c r="N5" t="s">
        <v>526</v>
      </c>
      <c r="O5" t="s">
        <v>583</v>
      </c>
    </row>
    <row r="6" spans="1:15" ht="7.5" customHeight="1" thickBot="1" x14ac:dyDescent="0.25">
      <c r="A6" s="6"/>
      <c r="B6" s="6"/>
      <c r="C6" s="6"/>
      <c r="D6" s="6"/>
      <c r="E6" s="6"/>
      <c r="F6" s="6"/>
      <c r="G6" s="6"/>
      <c r="H6" s="6"/>
      <c r="K6" s="2"/>
    </row>
    <row r="7" spans="1:15" ht="12" thickTop="1" x14ac:dyDescent="0.2">
      <c r="C7" s="12"/>
      <c r="D7" t="s">
        <v>94</v>
      </c>
      <c r="E7" t="s">
        <v>94</v>
      </c>
      <c r="K7" s="2"/>
      <c r="L7" s="24"/>
    </row>
    <row r="8" spans="1:15" x14ac:dyDescent="0.2">
      <c r="A8" t="s">
        <v>41</v>
      </c>
      <c r="C8" t="s">
        <v>94</v>
      </c>
      <c r="D8" t="s">
        <v>95</v>
      </c>
      <c r="E8" t="s">
        <v>228</v>
      </c>
      <c r="F8" t="s">
        <v>67</v>
      </c>
      <c r="G8" t="s">
        <v>67</v>
      </c>
      <c r="H8" t="s">
        <v>5</v>
      </c>
      <c r="K8" s="2"/>
      <c r="L8" s="12"/>
    </row>
    <row r="9" spans="1:15" x14ac:dyDescent="0.2">
      <c r="A9" s="9" t="s">
        <v>42</v>
      </c>
      <c r="B9" s="9"/>
      <c r="C9" s="9" t="s">
        <v>95</v>
      </c>
      <c r="D9" s="9" t="s">
        <v>238</v>
      </c>
      <c r="E9" s="9" t="s">
        <v>229</v>
      </c>
      <c r="F9" s="9" t="s">
        <v>86</v>
      </c>
      <c r="G9" s="9" t="s">
        <v>58</v>
      </c>
      <c r="H9" s="9" t="s">
        <v>59</v>
      </c>
      <c r="K9" s="2"/>
      <c r="L9" s="36"/>
    </row>
    <row r="10" spans="1:15" x14ac:dyDescent="0.2">
      <c r="A10" s="13" t="str">
        <f>TEXT(COLUMN(),"(#)")</f>
        <v>(1)</v>
      </c>
      <c r="B10" s="13"/>
      <c r="C10" s="11" t="str">
        <f t="shared" ref="C10:H10" si="0">TEXT(COLUMN()-1,"(#)")</f>
        <v>(2)</v>
      </c>
      <c r="D10" s="11" t="str">
        <f t="shared" si="0"/>
        <v>(3)</v>
      </c>
      <c r="E10" s="11" t="str">
        <f t="shared" si="0"/>
        <v>(4)</v>
      </c>
      <c r="F10" s="11" t="str">
        <f t="shared" si="0"/>
        <v>(5)</v>
      </c>
      <c r="G10" s="11" t="str">
        <f t="shared" si="0"/>
        <v>(6)</v>
      </c>
      <c r="H10" s="11" t="str">
        <f t="shared" si="0"/>
        <v>(7)</v>
      </c>
      <c r="I10" s="11"/>
      <c r="K10" s="2"/>
    </row>
    <row r="11" spans="1:15" ht="6" customHeight="1" x14ac:dyDescent="0.2">
      <c r="K11" s="2"/>
    </row>
    <row r="12" spans="1:15" x14ac:dyDescent="0.2">
      <c r="A12" s="61">
        <v>1970</v>
      </c>
      <c r="B12" s="22"/>
      <c r="C12" s="31">
        <v>10874210</v>
      </c>
      <c r="D12" s="31">
        <v>18835352</v>
      </c>
      <c r="E12" s="26">
        <f>ROUND(D12*'6.4'!$E$23,0)</f>
        <v>53332058</v>
      </c>
      <c r="F12" s="31">
        <v>23092142</v>
      </c>
      <c r="G12" s="21">
        <f>ROUND(F12/E12,3)</f>
        <v>0.433</v>
      </c>
      <c r="H12" s="194" t="s">
        <v>60</v>
      </c>
      <c r="I12" s="42"/>
      <c r="K12" s="2"/>
    </row>
    <row r="13" spans="1:15" x14ac:dyDescent="0.2">
      <c r="A13" s="22">
        <v>1971</v>
      </c>
      <c r="B13" s="22"/>
      <c r="C13" s="31">
        <v>13340143</v>
      </c>
      <c r="D13" s="31">
        <v>20347170</v>
      </c>
      <c r="E13" s="26">
        <f>ROUND(D13*'6.4'!$E$23,0)</f>
        <v>57612751</v>
      </c>
      <c r="F13" s="31">
        <v>55893676</v>
      </c>
      <c r="G13" s="21">
        <f t="shared" ref="G13:G21" si="1">ROUND(F13/E13,3)</f>
        <v>0.97</v>
      </c>
      <c r="H13" s="194" t="s">
        <v>60</v>
      </c>
      <c r="I13" s="42"/>
      <c r="K13" s="2"/>
    </row>
    <row r="14" spans="1:15" x14ac:dyDescent="0.2">
      <c r="A14" s="22">
        <v>1972</v>
      </c>
      <c r="B14" s="22"/>
      <c r="C14" s="31">
        <v>18906678</v>
      </c>
      <c r="D14" s="31">
        <v>24314307</v>
      </c>
      <c r="E14" s="26">
        <f>ROUND(D14*'6.4'!$E$23,0)</f>
        <v>68845649</v>
      </c>
      <c r="F14" s="31">
        <v>8704522</v>
      </c>
      <c r="G14" s="21">
        <f t="shared" si="1"/>
        <v>0.126</v>
      </c>
      <c r="H14" s="194"/>
      <c r="I14" s="42"/>
      <c r="K14" s="2"/>
    </row>
    <row r="15" spans="1:15" x14ac:dyDescent="0.2">
      <c r="A15" s="22">
        <v>1973</v>
      </c>
      <c r="B15" s="22"/>
      <c r="C15" s="31">
        <v>21737541</v>
      </c>
      <c r="D15" s="31">
        <v>23257532</v>
      </c>
      <c r="E15" s="26">
        <f>ROUND(D15*'6.4'!$E$23,0)</f>
        <v>65853404</v>
      </c>
      <c r="F15" s="31">
        <v>3837493</v>
      </c>
      <c r="G15" s="21">
        <f t="shared" si="1"/>
        <v>5.8000000000000003E-2</v>
      </c>
      <c r="H15" s="194"/>
      <c r="I15" s="42"/>
      <c r="K15" s="2"/>
    </row>
    <row r="16" spans="1:15" x14ac:dyDescent="0.2">
      <c r="A16" s="22">
        <v>1974</v>
      </c>
      <c r="B16" s="22"/>
      <c r="C16" s="31">
        <v>22348193</v>
      </c>
      <c r="D16" s="31">
        <v>22844661</v>
      </c>
      <c r="E16" s="26">
        <f>ROUND(D16*'6.4'!$E$23,0)</f>
        <v>64684365</v>
      </c>
      <c r="F16" s="31">
        <v>2193087</v>
      </c>
      <c r="G16" s="21">
        <f t="shared" si="1"/>
        <v>3.4000000000000002E-2</v>
      </c>
      <c r="H16" s="194"/>
      <c r="I16" s="42"/>
      <c r="K16" s="2"/>
    </row>
    <row r="17" spans="1:11" x14ac:dyDescent="0.2">
      <c r="A17" s="22">
        <v>1975</v>
      </c>
      <c r="B17" s="22"/>
      <c r="C17" s="31">
        <v>24396629</v>
      </c>
      <c r="D17" s="31">
        <v>24958305</v>
      </c>
      <c r="E17" s="26">
        <f>ROUND(D17*'6.4'!$E$23,0)</f>
        <v>70669121</v>
      </c>
      <c r="F17" s="31">
        <v>3943412</v>
      </c>
      <c r="G17" s="21">
        <f t="shared" si="1"/>
        <v>5.6000000000000001E-2</v>
      </c>
      <c r="H17" s="194"/>
      <c r="I17" s="42"/>
      <c r="K17" s="2"/>
    </row>
    <row r="18" spans="1:11" x14ac:dyDescent="0.2">
      <c r="A18" s="22">
        <v>1976</v>
      </c>
      <c r="B18" s="22"/>
      <c r="C18" s="31">
        <v>26795934</v>
      </c>
      <c r="D18" s="31">
        <v>24109943</v>
      </c>
      <c r="E18" s="26">
        <f>ROUND(D18*'6.4'!$E$23,0)</f>
        <v>68266995</v>
      </c>
      <c r="F18" s="31">
        <v>2218115</v>
      </c>
      <c r="G18" s="21">
        <f>ROUND(F18/E18,3)</f>
        <v>3.2000000000000001E-2</v>
      </c>
      <c r="H18" s="194"/>
      <c r="I18" s="42"/>
      <c r="K18" s="2"/>
    </row>
    <row r="19" spans="1:11" x14ac:dyDescent="0.2">
      <c r="A19" s="22">
        <v>1977</v>
      </c>
      <c r="B19" s="22"/>
      <c r="C19" s="31">
        <v>30910821</v>
      </c>
      <c r="D19" s="31">
        <v>27119226</v>
      </c>
      <c r="E19" s="26">
        <f>ROUND(D19*'6.4'!$E$23,0)</f>
        <v>76787741</v>
      </c>
      <c r="F19" s="31">
        <v>1898346</v>
      </c>
      <c r="G19" s="21">
        <f>ROUND(F19/E19,3)</f>
        <v>2.5000000000000001E-2</v>
      </c>
      <c r="H19" s="194"/>
      <c r="I19" s="42"/>
      <c r="K19" s="2"/>
    </row>
    <row r="20" spans="1:11" x14ac:dyDescent="0.2">
      <c r="A20" s="22">
        <v>1978</v>
      </c>
      <c r="B20" s="22"/>
      <c r="C20" s="31">
        <v>32709599</v>
      </c>
      <c r="D20" s="31">
        <v>26415338</v>
      </c>
      <c r="E20" s="26">
        <f>ROUND(D20*'6.4'!$E$23,0)</f>
        <v>74794691</v>
      </c>
      <c r="F20" s="31">
        <v>2535872</v>
      </c>
      <c r="G20" s="21">
        <f t="shared" si="1"/>
        <v>3.4000000000000002E-2</v>
      </c>
      <c r="H20" s="194"/>
      <c r="I20" s="42"/>
      <c r="K20" s="2"/>
    </row>
    <row r="21" spans="1:11" x14ac:dyDescent="0.2">
      <c r="A21" s="22">
        <v>1979</v>
      </c>
      <c r="C21" s="31">
        <v>31306685</v>
      </c>
      <c r="D21" s="31">
        <v>24514306</v>
      </c>
      <c r="E21" s="26">
        <f>ROUND(D21*'6.4'!$E$23,0)</f>
        <v>69411943</v>
      </c>
      <c r="F21" s="31">
        <v>4535147</v>
      </c>
      <c r="G21" s="37">
        <f t="shared" si="1"/>
        <v>6.5000000000000002E-2</v>
      </c>
      <c r="H21" s="194"/>
      <c r="I21" s="42"/>
      <c r="K21" s="2"/>
    </row>
    <row r="22" spans="1:11" x14ac:dyDescent="0.2">
      <c r="A22" s="22">
        <v>1980</v>
      </c>
      <c r="C22" s="31">
        <v>28751765</v>
      </c>
      <c r="D22" s="31">
        <v>22607257</v>
      </c>
      <c r="E22" s="26">
        <f>ROUND(D22*'6.4'!$E$23,0)</f>
        <v>64012158</v>
      </c>
      <c r="F22" s="31">
        <v>38431070.960000001</v>
      </c>
      <c r="G22" s="37">
        <f>ROUND(F22/E22,3)</f>
        <v>0.6</v>
      </c>
      <c r="H22" s="194" t="s">
        <v>60</v>
      </c>
      <c r="I22" s="42"/>
      <c r="K22" s="2"/>
    </row>
    <row r="23" spans="1:11" x14ac:dyDescent="0.2">
      <c r="A23" s="22">
        <v>1981</v>
      </c>
      <c r="C23" s="31">
        <v>24129384</v>
      </c>
      <c r="D23" s="31">
        <v>21398588</v>
      </c>
      <c r="E23" s="26">
        <f>ROUND(D23*'6.4'!$E$23,0)</f>
        <v>60589828</v>
      </c>
      <c r="F23" s="31">
        <v>4272728</v>
      </c>
      <c r="G23" s="37">
        <f>ROUND(F23/E23,3)</f>
        <v>7.0999999999999994E-2</v>
      </c>
      <c r="H23" s="194"/>
      <c r="I23" s="42"/>
      <c r="K23" s="2"/>
    </row>
    <row r="24" spans="1:11" x14ac:dyDescent="0.2">
      <c r="A24" s="23">
        <v>1982</v>
      </c>
      <c r="B24" s="9"/>
      <c r="C24" s="48">
        <v>18505004</v>
      </c>
      <c r="D24" s="48">
        <v>17523231</v>
      </c>
      <c r="E24" s="27">
        <f>ROUND(D24*'6.4'!$E$23,0)</f>
        <v>49616804</v>
      </c>
      <c r="F24" s="27"/>
      <c r="G24" s="170">
        <v>3.4000000000000002E-2</v>
      </c>
      <c r="H24" s="195"/>
      <c r="I24" s="42"/>
      <c r="K24" s="2"/>
    </row>
    <row r="25" spans="1:11" x14ac:dyDescent="0.2">
      <c r="A25" s="22">
        <v>1983</v>
      </c>
      <c r="C25" s="31">
        <v>12680397</v>
      </c>
      <c r="D25" s="31">
        <v>13262706</v>
      </c>
      <c r="E25" s="26">
        <f>'6.4'!F14+'6.5'!F14+'6.6'!F14+'6.7'!F14</f>
        <v>37553181.514445186</v>
      </c>
      <c r="F25" s="26"/>
      <c r="G25" s="37">
        <f>ROUND('6.3'!H13,3)</f>
        <v>3.843</v>
      </c>
      <c r="H25" s="194" t="s">
        <v>60</v>
      </c>
      <c r="I25" s="42"/>
      <c r="K25" s="2"/>
    </row>
    <row r="26" spans="1:11" x14ac:dyDescent="0.2">
      <c r="A26" s="22">
        <v>1984</v>
      </c>
      <c r="C26" s="31">
        <v>12736031</v>
      </c>
      <c r="D26" s="31">
        <v>14992627</v>
      </c>
      <c r="E26" s="26">
        <f>'6.4'!F15+'6.5'!F15+'6.6'!F15+'6.7'!F15</f>
        <v>42451430.74114944</v>
      </c>
      <c r="F26" s="26"/>
      <c r="G26" s="37">
        <f>ROUND('6.3'!H14,3)</f>
        <v>8.1000000000000003E-2</v>
      </c>
      <c r="H26" s="194"/>
      <c r="I26" s="42"/>
      <c r="K26" s="2"/>
    </row>
    <row r="27" spans="1:11" x14ac:dyDescent="0.2">
      <c r="A27" s="22">
        <v>1985</v>
      </c>
      <c r="C27" s="31">
        <v>15169575</v>
      </c>
      <c r="D27" s="31">
        <v>16422895</v>
      </c>
      <c r="E27" s="26">
        <f>'6.4'!F16+'6.5'!F16+'6.6'!F16+'6.7'!F16</f>
        <v>46501216.294885054</v>
      </c>
      <c r="F27" s="26"/>
      <c r="G27" s="37">
        <f>ROUND('6.3'!H15,3)</f>
        <v>0.04</v>
      </c>
      <c r="H27" s="194"/>
      <c r="I27" s="42"/>
      <c r="K27" s="2"/>
    </row>
    <row r="28" spans="1:11" x14ac:dyDescent="0.2">
      <c r="A28" s="22">
        <v>1986</v>
      </c>
      <c r="C28" s="31">
        <v>21130682</v>
      </c>
      <c r="D28" s="31">
        <v>17090896</v>
      </c>
      <c r="E28" s="26">
        <f>'6.4'!F17+'6.5'!F17+'6.6'!F17+'6.7'!F17</f>
        <v>48392652.539828144</v>
      </c>
      <c r="F28" s="26"/>
      <c r="G28" s="37">
        <f>ROUND('6.3'!H16,3)</f>
        <v>7.9000000000000001E-2</v>
      </c>
      <c r="H28" s="194" t="s">
        <v>60</v>
      </c>
      <c r="I28" s="42"/>
      <c r="K28" s="2"/>
    </row>
    <row r="29" spans="1:11" x14ac:dyDescent="0.2">
      <c r="A29" s="22">
        <v>1987</v>
      </c>
      <c r="C29" s="31">
        <v>31114529</v>
      </c>
      <c r="D29" s="31">
        <v>26771157</v>
      </c>
      <c r="E29" s="26">
        <f>'6.4'!F18+'6.5'!F18+'6.6'!F18+'6.7'!F18</f>
        <v>75802188.164321676</v>
      </c>
      <c r="F29" s="26"/>
      <c r="G29" s="37">
        <f>ROUND('6.3'!H17,3)</f>
        <v>1.4999999999999999E-2</v>
      </c>
      <c r="H29" s="194"/>
      <c r="I29" s="42"/>
      <c r="K29" s="2"/>
    </row>
    <row r="30" spans="1:11" x14ac:dyDescent="0.2">
      <c r="A30" s="22">
        <v>1988</v>
      </c>
      <c r="B30" s="12"/>
      <c r="C30" s="31">
        <v>25065531</v>
      </c>
      <c r="D30" s="31">
        <v>24117319</v>
      </c>
      <c r="E30" s="26">
        <f>'6.4'!F19+'6.5'!F19+'6.6'!F19+'6.7'!F19</f>
        <v>68287879.041659117</v>
      </c>
      <c r="F30" s="26"/>
      <c r="G30" s="37">
        <f>ROUND('6.3'!H18,3)</f>
        <v>8.8999999999999996E-2</v>
      </c>
      <c r="H30" s="194"/>
      <c r="I30" s="42"/>
      <c r="K30" s="2"/>
    </row>
    <row r="31" spans="1:11" x14ac:dyDescent="0.2">
      <c r="A31" s="22">
        <v>1989</v>
      </c>
      <c r="B31" s="12"/>
      <c r="C31" s="31">
        <v>24167085</v>
      </c>
      <c r="D31" s="31">
        <v>27085314</v>
      </c>
      <c r="E31" s="26">
        <f>'6.4'!F20+'6.5'!F20+'6.6'!F20+'6.7'!F20</f>
        <v>76691719.673919111</v>
      </c>
      <c r="F31" s="26"/>
      <c r="G31" s="37">
        <f>ROUND('6.3'!H19,3)</f>
        <v>6.9000000000000006E-2</v>
      </c>
      <c r="H31" s="194" t="s">
        <v>60</v>
      </c>
      <c r="I31" s="42"/>
      <c r="K31" s="2"/>
    </row>
    <row r="32" spans="1:11" x14ac:dyDescent="0.2">
      <c r="A32" s="22">
        <v>1990</v>
      </c>
      <c r="B32" s="12"/>
      <c r="C32" s="31">
        <v>19677404</v>
      </c>
      <c r="D32" s="31">
        <v>23041233</v>
      </c>
      <c r="E32" s="26">
        <f>'6.4'!F21+'6.5'!F21+'6.6'!F21+'6.7'!F21</f>
        <v>65240956.221764706</v>
      </c>
      <c r="F32" s="26"/>
      <c r="G32" s="37">
        <f>ROUND('6.3'!H20,3)</f>
        <v>1.0209999999999999</v>
      </c>
      <c r="H32" s="194"/>
      <c r="I32" s="42"/>
      <c r="K32" s="2"/>
    </row>
    <row r="33" spans="1:14" x14ac:dyDescent="0.2">
      <c r="A33" s="22">
        <v>1991</v>
      </c>
      <c r="C33" s="31">
        <v>21794680</v>
      </c>
      <c r="D33" s="31">
        <v>25534881</v>
      </c>
      <c r="E33" s="26">
        <f>'6.4'!F22+'6.5'!F22+'6.6'!F22+'6.7'!F22</f>
        <v>72301687.51969257</v>
      </c>
      <c r="F33" s="26"/>
      <c r="G33" s="37">
        <f>ROUND('6.3'!H21,3)</f>
        <v>0.53600000000000003</v>
      </c>
      <c r="H33" s="194"/>
      <c r="I33" s="42"/>
      <c r="K33" s="2"/>
    </row>
    <row r="34" spans="1:14" x14ac:dyDescent="0.2">
      <c r="A34" s="22">
        <v>1992</v>
      </c>
      <c r="C34" s="31">
        <v>23737753</v>
      </c>
      <c r="D34" s="31">
        <v>26950473</v>
      </c>
      <c r="E34" s="26">
        <f>'6.4'!F23+'6.5'!F23+'6.6'!F23+'6.7'!F23</f>
        <v>76309918.990604445</v>
      </c>
      <c r="F34" s="26"/>
      <c r="G34" s="37">
        <f>ROUND('6.3'!H22,3)</f>
        <v>1.4999999999999999E-2</v>
      </c>
      <c r="H34" s="194"/>
      <c r="I34" s="42"/>
      <c r="K34" s="2"/>
    </row>
    <row r="35" spans="1:14" x14ac:dyDescent="0.2">
      <c r="A35" s="22">
        <v>1993</v>
      </c>
      <c r="C35" s="31">
        <v>21990182</v>
      </c>
      <c r="D35" s="31"/>
      <c r="E35" s="26">
        <f>'6.4'!F24+'6.5'!F24+'6.6'!F24+'6.7'!F24</f>
        <v>71537275.906790525</v>
      </c>
      <c r="F35" s="26"/>
      <c r="G35" s="37">
        <f>ROUND('6.3'!H23,3)</f>
        <v>0.06</v>
      </c>
      <c r="H35" s="194"/>
      <c r="I35" s="42"/>
      <c r="K35" s="2"/>
    </row>
    <row r="36" spans="1:14" x14ac:dyDescent="0.2">
      <c r="A36" s="22">
        <v>1994</v>
      </c>
      <c r="C36" s="31">
        <v>16604950</v>
      </c>
      <c r="D36" s="31"/>
      <c r="E36" s="26">
        <f>'6.4'!F25+'6.5'!F25+'6.6'!F25+'6.7'!F25</f>
        <v>54018329.282033436</v>
      </c>
      <c r="F36" s="26"/>
      <c r="G36" s="37">
        <f>ROUND('6.3'!H24,3)</f>
        <v>7.8E-2</v>
      </c>
      <c r="H36" s="174"/>
      <c r="I36" s="42"/>
      <c r="K36" s="2"/>
    </row>
    <row r="37" spans="1:14" x14ac:dyDescent="0.2">
      <c r="A37" s="22">
        <v>1995</v>
      </c>
      <c r="C37" s="31">
        <v>32374229</v>
      </c>
      <c r="D37" s="31"/>
      <c r="E37" s="26">
        <f>'6.4'!F26+'6.5'!F26+'6.6'!F26+'6.7'!F26</f>
        <v>105318098.02875242</v>
      </c>
      <c r="F37" s="26"/>
      <c r="G37" s="37">
        <f>ROUND('6.3'!H25,3)</f>
        <v>0.183</v>
      </c>
      <c r="H37" s="174"/>
      <c r="I37" s="42"/>
      <c r="K37" s="2"/>
    </row>
    <row r="38" spans="1:14" x14ac:dyDescent="0.2">
      <c r="A38" s="22">
        <v>1996</v>
      </c>
      <c r="C38" s="31">
        <v>55367089</v>
      </c>
      <c r="D38" s="31"/>
      <c r="E38" s="26">
        <f>'6.4'!F27+'6.5'!F27+'6.6'!F27+'6.7'!F27</f>
        <v>180117233.20103532</v>
      </c>
      <c r="F38" s="26"/>
      <c r="G38" s="37">
        <f>ROUND('6.3'!H26,3)</f>
        <v>2.4E-2</v>
      </c>
      <c r="H38" s="174"/>
      <c r="I38" s="42"/>
      <c r="K38" s="2"/>
      <c r="L38" t="s">
        <v>234</v>
      </c>
      <c r="M38" t="s">
        <v>235</v>
      </c>
    </row>
    <row r="39" spans="1:14" x14ac:dyDescent="0.2">
      <c r="A39" s="22">
        <v>1997</v>
      </c>
      <c r="C39" s="31">
        <v>53196024</v>
      </c>
      <c r="D39" s="31"/>
      <c r="E39" s="26">
        <f>'6.4'!F28+'6.5'!F28+'6.6'!F28+'6.7'!F28</f>
        <v>173054440.76133877</v>
      </c>
      <c r="F39" s="26"/>
      <c r="G39" s="37">
        <f>ROUND('6.3'!H27,3)</f>
        <v>3.6999999999999998E-2</v>
      </c>
      <c r="H39" s="174"/>
      <c r="I39" s="42"/>
      <c r="K39" s="2"/>
      <c r="L39" s="65">
        <v>34607</v>
      </c>
      <c r="M39" s="65">
        <v>36525</v>
      </c>
      <c r="N39" t="s">
        <v>236</v>
      </c>
    </row>
    <row r="40" spans="1:14" x14ac:dyDescent="0.2">
      <c r="A40" s="22">
        <v>1998</v>
      </c>
      <c r="C40" s="31">
        <v>53986058</v>
      </c>
      <c r="D40" s="31"/>
      <c r="E40" s="26">
        <f>'6.4'!F29+'6.5'!F29+'6.6'!F29+'6.7'!F29</f>
        <v>178299022.04184353</v>
      </c>
      <c r="F40" s="26"/>
      <c r="G40" s="37">
        <f>ROUND('6.3'!H28,3)</f>
        <v>0.14799999999999999</v>
      </c>
      <c r="H40" s="174"/>
      <c r="I40" s="42"/>
      <c r="K40" s="2"/>
      <c r="L40" s="65">
        <v>44926</v>
      </c>
      <c r="M40" s="65">
        <v>44926</v>
      </c>
      <c r="N40" t="s">
        <v>237</v>
      </c>
    </row>
    <row r="41" spans="1:14" x14ac:dyDescent="0.2">
      <c r="A41" s="22">
        <v>1999</v>
      </c>
      <c r="C41" s="31">
        <v>52435243</v>
      </c>
      <c r="D41" s="31"/>
      <c r="E41" s="26">
        <f>'6.4'!F30+'6.5'!F30+'6.6'!F30+'6.7'!F30</f>
        <v>175855163.70733914</v>
      </c>
      <c r="F41" s="26"/>
      <c r="G41" s="37">
        <f>ROUND('6.3'!H29,3)</f>
        <v>8.1000000000000003E-2</v>
      </c>
      <c r="H41" s="194" t="s">
        <v>60</v>
      </c>
      <c r="I41" s="42"/>
      <c r="K41" s="2"/>
    </row>
    <row r="42" spans="1:14" x14ac:dyDescent="0.2">
      <c r="A42" s="22">
        <v>2000</v>
      </c>
      <c r="C42" s="31">
        <v>41739697</v>
      </c>
      <c r="E42" s="26">
        <f>'6.4'!F31+'6.5'!F31+'6.6'!F31+'6.7'!F31</f>
        <v>133956823.07838032</v>
      </c>
      <c r="G42" s="37">
        <f>ROUND('6.3'!H30,3)</f>
        <v>6.7000000000000004E-2</v>
      </c>
      <c r="H42" s="174"/>
      <c r="I42" s="42"/>
      <c r="K42" s="2"/>
    </row>
    <row r="43" spans="1:14" x14ac:dyDescent="0.2">
      <c r="A43" s="22">
        <v>2001</v>
      </c>
      <c r="C43" s="113">
        <v>42330042</v>
      </c>
      <c r="E43" s="26">
        <f>'6.4'!F32+'6.5'!F32+'6.6'!F32+'6.7'!F32</f>
        <v>127689113.02348927</v>
      </c>
      <c r="G43" s="37">
        <f>ROUND('6.3'!H31,3)</f>
        <v>5.6000000000000001E-2</v>
      </c>
      <c r="H43" s="11"/>
      <c r="I43" s="19"/>
      <c r="K43" s="2"/>
    </row>
    <row r="44" spans="1:14" x14ac:dyDescent="0.2">
      <c r="A44" s="22">
        <v>2002</v>
      </c>
      <c r="C44" s="113">
        <v>69156402</v>
      </c>
      <c r="D44" s="18"/>
      <c r="E44" s="26">
        <f>'6.4'!F33+'6.5'!F33+'6.6'!F33+'6.7'!F33</f>
        <v>199609188.23395401</v>
      </c>
      <c r="G44" s="37">
        <f>ROUND('6.3'!H32,3)</f>
        <v>0.14199999999999999</v>
      </c>
      <c r="H44" s="11"/>
      <c r="I44" s="19"/>
      <c r="K44" s="2"/>
    </row>
    <row r="45" spans="1:14" x14ac:dyDescent="0.2">
      <c r="A45" s="22">
        <v>2003</v>
      </c>
      <c r="C45" s="113">
        <v>78368305</v>
      </c>
      <c r="D45" s="18"/>
      <c r="E45" s="26">
        <f>'6.4'!F34+'6.5'!F34+'6.6'!F34+'6.7'!F34</f>
        <v>200738406.98027319</v>
      </c>
      <c r="G45" s="37">
        <f>ROUND('6.3'!H33,3)</f>
        <v>0.20899999999999999</v>
      </c>
      <c r="H45" s="194" t="s">
        <v>60</v>
      </c>
      <c r="I45" s="42"/>
      <c r="K45" s="2"/>
    </row>
    <row r="46" spans="1:14" x14ac:dyDescent="0.2">
      <c r="A46" s="22">
        <v>2004</v>
      </c>
      <c r="C46" s="113">
        <v>112957791</v>
      </c>
      <c r="D46" s="18"/>
      <c r="E46" s="26">
        <f>'6.4'!F35+'6.5'!F35+'6.6'!F35+'6.7'!F35</f>
        <v>276540371.25977802</v>
      </c>
      <c r="G46" s="37">
        <f>ROUND('6.3'!H34,3)</f>
        <v>1.9E-2</v>
      </c>
      <c r="H46" s="194"/>
      <c r="I46" s="42"/>
      <c r="K46" s="2"/>
    </row>
    <row r="47" spans="1:14" x14ac:dyDescent="0.2">
      <c r="A47" s="22">
        <v>2005</v>
      </c>
      <c r="C47" s="113">
        <v>119598806</v>
      </c>
      <c r="D47" s="18"/>
      <c r="E47" s="26">
        <f>'6.4'!F36+'6.5'!F36+'6.6'!F36+'6.7'!F36</f>
        <v>265866745.07309026</v>
      </c>
      <c r="G47" s="37">
        <f>ROUND('6.3'!H35,3)</f>
        <v>1.5349999999999999</v>
      </c>
      <c r="H47" s="174" t="s">
        <v>60</v>
      </c>
      <c r="I47" s="19"/>
      <c r="K47" s="2"/>
    </row>
    <row r="48" spans="1:14" x14ac:dyDescent="0.2">
      <c r="A48" s="22">
        <v>2006</v>
      </c>
      <c r="C48" s="113">
        <v>148019940</v>
      </c>
      <c r="D48" s="18"/>
      <c r="E48" s="26">
        <f>'6.4'!F37+'6.5'!F37+'6.6'!F37+'6.7'!F37</f>
        <v>299356477.41137737</v>
      </c>
      <c r="G48" s="37">
        <f>ROUND('6.3'!H36,3)</f>
        <v>2.1000000000000001E-2</v>
      </c>
      <c r="H48" s="11"/>
      <c r="I48" s="19"/>
      <c r="K48" s="2"/>
    </row>
    <row r="49" spans="1:11" x14ac:dyDescent="0.2">
      <c r="A49" s="22">
        <v>2007</v>
      </c>
      <c r="C49" s="159">
        <f>'6.4'!C38+'6.5'!C38+'6.6'!C38+'6.7'!C38</f>
        <v>186207969</v>
      </c>
      <c r="D49" s="34"/>
      <c r="E49" s="26">
        <f>'6.4'!F38+'6.5'!F38+'6.6'!F38+'6.7'!F38</f>
        <v>345796967.65694141</v>
      </c>
      <c r="G49" s="37">
        <f>ROUND('6.3'!H37,3)</f>
        <v>0.161</v>
      </c>
      <c r="H49" s="194" t="s">
        <v>60</v>
      </c>
      <c r="I49" s="19"/>
      <c r="K49" s="2"/>
    </row>
    <row r="50" spans="1:11" x14ac:dyDescent="0.2">
      <c r="A50" s="22">
        <v>2008</v>
      </c>
      <c r="C50" s="159">
        <f>'6.4'!C39+'6.5'!C39+'6.6'!C39+'6.7'!C39</f>
        <v>177673659</v>
      </c>
      <c r="D50" s="34"/>
      <c r="E50" s="26">
        <f>'6.4'!F39+'6.5'!F39+'6.6'!F39+'6.7'!F39</f>
        <v>313442674.91535729</v>
      </c>
      <c r="G50" s="37">
        <f>ROUND('6.3'!H38,3)</f>
        <v>4.3179999999999996</v>
      </c>
      <c r="H50" s="194" t="s">
        <v>60</v>
      </c>
      <c r="I50" s="42"/>
      <c r="K50" s="2"/>
    </row>
    <row r="51" spans="1:11" x14ac:dyDescent="0.2">
      <c r="A51" s="22">
        <v>2009</v>
      </c>
      <c r="C51" s="159">
        <f>'6.4'!C40+'6.5'!C40+'6.6'!C40+'6.7'!C40</f>
        <v>185204697</v>
      </c>
      <c r="D51" s="34"/>
      <c r="E51" s="26">
        <f>'6.4'!F40+'6.5'!F40+'6.6'!F40+'6.7'!F40</f>
        <v>296283945.09458524</v>
      </c>
      <c r="G51" s="37">
        <f>ROUND('6.3'!H39,3)</f>
        <v>2.7E-2</v>
      </c>
      <c r="H51" s="194"/>
      <c r="I51" s="19"/>
      <c r="K51" s="2"/>
    </row>
    <row r="52" spans="1:11" x14ac:dyDescent="0.2">
      <c r="A52" s="22">
        <v>2010</v>
      </c>
      <c r="C52" s="159">
        <f>'6.4'!C41+'6.5'!C41+'6.6'!C41+'6.7'!C41</f>
        <v>193721394</v>
      </c>
      <c r="D52" s="34"/>
      <c r="E52" s="26">
        <f>'6.4'!F41+'6.5'!F41+'6.6'!F41+'6.7'!F41</f>
        <v>286320340.30286205</v>
      </c>
      <c r="G52" s="37">
        <f>ROUND('6.3'!H40,3)</f>
        <v>3.6999999999999998E-2</v>
      </c>
      <c r="H52" s="194"/>
      <c r="I52" s="19"/>
      <c r="K52" s="2"/>
    </row>
    <row r="53" spans="1:11" x14ac:dyDescent="0.2">
      <c r="A53" s="22">
        <v>2011</v>
      </c>
      <c r="C53" s="159">
        <f>'6.4'!C42+'6.5'!C42+'6.6'!C42+'6.7'!C42</f>
        <v>192278480</v>
      </c>
      <c r="D53" s="34"/>
      <c r="E53" s="26">
        <f>'6.4'!F42+'6.5'!F42+'6.6'!F42+'6.7'!F42</f>
        <v>277463924.1799885</v>
      </c>
      <c r="F53" s="29"/>
      <c r="G53" s="37">
        <f>ROUND('6.3'!H41,3)</f>
        <v>0.152</v>
      </c>
      <c r="H53" s="194"/>
      <c r="I53" s="19"/>
      <c r="K53" s="2"/>
    </row>
    <row r="54" spans="1:11" x14ac:dyDescent="0.2">
      <c r="A54" s="22">
        <v>2012</v>
      </c>
      <c r="C54" s="159">
        <f>'6.4'!C43+'6.5'!C43+'6.6'!C43+'6.7'!C43</f>
        <v>209676871</v>
      </c>
      <c r="D54" s="34"/>
      <c r="E54" s="26">
        <f>'6.4'!F43+'6.5'!F43+'6.6'!F43+'6.7'!F43</f>
        <v>287748652.35734773</v>
      </c>
      <c r="F54" s="29"/>
      <c r="G54" s="37">
        <f>ROUND('6.3'!H42,3)</f>
        <v>0.17899999999999999</v>
      </c>
      <c r="H54" s="194"/>
      <c r="I54" s="19"/>
      <c r="K54" s="2"/>
    </row>
    <row r="55" spans="1:11" x14ac:dyDescent="0.2">
      <c r="A55" s="22">
        <v>2013</v>
      </c>
      <c r="C55" s="159">
        <f>'6.4'!C44+'6.5'!C44+'6.6'!C44+'6.7'!C44</f>
        <v>224380012</v>
      </c>
      <c r="D55" s="34"/>
      <c r="E55" s="26">
        <f>'6.4'!F44+'6.5'!F44+'6.6'!F44+'6.7'!F44</f>
        <v>293394750.82044667</v>
      </c>
      <c r="F55" s="29"/>
      <c r="G55" s="37">
        <f>ROUND('6.3'!H43,3)</f>
        <v>6.6000000000000003E-2</v>
      </c>
      <c r="H55" s="194"/>
      <c r="I55" s="19"/>
      <c r="K55" s="2"/>
    </row>
    <row r="56" spans="1:11" x14ac:dyDescent="0.2">
      <c r="A56" s="22">
        <v>2014</v>
      </c>
      <c r="C56" s="159">
        <f>'6.4'!C45+'6.5'!C45+'6.6'!C45+'6.7'!C45</f>
        <v>234738939</v>
      </c>
      <c r="D56" s="34"/>
      <c r="E56" s="26">
        <f>'6.4'!F45+'6.5'!F45+'6.6'!F45+'6.7'!F45</f>
        <v>292656251.92047679</v>
      </c>
      <c r="F56" s="29"/>
      <c r="G56" s="37">
        <f>ROUND('6.3'!H44,3)</f>
        <v>1.4E-2</v>
      </c>
      <c r="H56" s="194"/>
      <c r="I56" s="19"/>
      <c r="K56" s="2"/>
    </row>
    <row r="57" spans="1:11" x14ac:dyDescent="0.2">
      <c r="A57" s="22">
        <v>2015</v>
      </c>
      <c r="C57" s="159">
        <f>'6.4'!C46+'6.5'!C46+'6.6'!C46+'6.7'!C46</f>
        <v>227620879</v>
      </c>
      <c r="D57" s="34"/>
      <c r="E57" s="26">
        <f>'6.4'!F46+'6.5'!F46+'6.6'!F46+'6.7'!F46</f>
        <v>270032426.35027379</v>
      </c>
      <c r="F57" s="29"/>
      <c r="G57" s="37">
        <f>ROUND('6.3'!H45,3)</f>
        <v>0.13300000000000001</v>
      </c>
      <c r="H57" s="194"/>
      <c r="I57" s="19"/>
      <c r="K57" s="2"/>
    </row>
    <row r="58" spans="1:11" x14ac:dyDescent="0.2">
      <c r="A58" s="22">
        <v>2016</v>
      </c>
      <c r="C58" s="159">
        <f>'6.4'!C47+'6.5'!C47+'6.6'!C47+'6.7'!C47</f>
        <v>211042655</v>
      </c>
      <c r="D58" s="34"/>
      <c r="E58" s="26">
        <f>'6.4'!F47+'6.5'!F47+'6.6'!F47+'6.7'!F47</f>
        <v>238412000.7198877</v>
      </c>
      <c r="F58" s="29"/>
      <c r="G58" s="37">
        <f>ROUND('6.3'!H46,3)</f>
        <v>3.9E-2</v>
      </c>
      <c r="H58" s="194"/>
      <c r="K58" s="2"/>
    </row>
    <row r="59" spans="1:11" x14ac:dyDescent="0.2">
      <c r="A59" s="22">
        <v>2017</v>
      </c>
      <c r="C59" s="159">
        <f>'6.4'!C48+'6.5'!C48+'6.6'!C48+'6.7'!C48</f>
        <v>183852871</v>
      </c>
      <c r="D59" s="34"/>
      <c r="E59" s="26">
        <f>'6.4'!F48+'6.5'!F48+'6.6'!F48+'6.7'!F48</f>
        <v>202697789.64499947</v>
      </c>
      <c r="F59" s="29"/>
      <c r="G59" s="37">
        <f>ROUND('6.3'!H47,3)</f>
        <v>4.8499999999999996</v>
      </c>
      <c r="H59" s="196" t="s">
        <v>60</v>
      </c>
      <c r="K59" s="2"/>
    </row>
    <row r="60" spans="1:11" x14ac:dyDescent="0.2">
      <c r="A60" s="22">
        <v>2018</v>
      </c>
      <c r="C60" s="159">
        <f>'6.4'!C49+'6.5'!C49+'6.6'!C49+'6.7'!C49</f>
        <v>181465223</v>
      </c>
      <c r="D60" s="34"/>
      <c r="E60" s="26">
        <f>'6.4'!F49+'6.5'!F49+'6.6'!F49+'6.7'!F49</f>
        <v>195175143.56381595</v>
      </c>
      <c r="F60" s="29"/>
      <c r="G60" s="37">
        <f>ROUND('6.3'!H48,3)</f>
        <v>1.4E-2</v>
      </c>
      <c r="H60" s="196"/>
      <c r="K60" s="2"/>
    </row>
    <row r="61" spans="1:11" x14ac:dyDescent="0.2">
      <c r="A61" s="22">
        <v>2019</v>
      </c>
      <c r="C61" s="159">
        <f>'6.4'!C50+'6.5'!C50+'6.6'!C50+'6.7'!C50</f>
        <v>176440243</v>
      </c>
      <c r="D61" s="34"/>
      <c r="E61" s="26">
        <f>'6.4'!F50+'6.5'!F50+'6.6'!F50+'6.7'!F50</f>
        <v>185262254.79999983</v>
      </c>
      <c r="F61" s="29"/>
      <c r="G61" s="37">
        <f>ROUND('6.3'!H49,3)</f>
        <v>2.5000000000000001E-2</v>
      </c>
      <c r="H61" s="196"/>
      <c r="K61" s="2"/>
    </row>
    <row r="62" spans="1:11" x14ac:dyDescent="0.2">
      <c r="A62" s="22">
        <v>2020</v>
      </c>
      <c r="C62" s="159">
        <f>'6.4'!C51+'6.5'!C51+'6.6'!C51+'6.7'!C51</f>
        <v>179972437</v>
      </c>
      <c r="E62" s="26">
        <f>'6.4'!F51+'6.5'!F51+'6.6'!F51+'6.7'!F51</f>
        <v>188971059.24999976</v>
      </c>
      <c r="G62" s="37">
        <f>ROUND('6.3'!H50,3)</f>
        <v>8.8999999999999996E-2</v>
      </c>
      <c r="H62" s="196" t="s">
        <v>60</v>
      </c>
      <c r="K62" s="2"/>
    </row>
    <row r="63" spans="1:11" x14ac:dyDescent="0.2">
      <c r="A63" s="22">
        <v>2021</v>
      </c>
      <c r="C63" s="159">
        <f>'6.4'!C52+'6.5'!C52+'6.6'!C52+'6.7'!C52</f>
        <v>187042302</v>
      </c>
      <c r="E63" s="26">
        <f>'6.4'!F52+'6.5'!F52+'6.6'!F52+'6.7'!F52</f>
        <v>196394417.14999986</v>
      </c>
      <c r="G63" s="37">
        <f>ROUND('6.3'!H51,3)</f>
        <v>0.125</v>
      </c>
      <c r="H63" s="196" t="s">
        <v>60</v>
      </c>
      <c r="K63" s="2"/>
    </row>
    <row r="64" spans="1:11" x14ac:dyDescent="0.2">
      <c r="A64" s="22">
        <v>2022</v>
      </c>
      <c r="C64" s="159">
        <f>'6.4'!C53+'6.5'!C53+'6.6'!C53+'6.7'!C53</f>
        <v>203882757</v>
      </c>
      <c r="E64" s="26">
        <f>'6.4'!F53+'6.5'!F53+'6.6'!F53+'6.7'!F53</f>
        <v>208459431.02231732</v>
      </c>
      <c r="G64" s="37">
        <f>ROUND('6.3'!H52,3)</f>
        <v>2.3E-2</v>
      </c>
      <c r="H64" s="196"/>
      <c r="K64" s="2"/>
    </row>
    <row r="65" spans="1:12" ht="6" customHeight="1" x14ac:dyDescent="0.2">
      <c r="K65" s="2"/>
    </row>
    <row r="66" spans="1:12" x14ac:dyDescent="0.2">
      <c r="A66" s="22" t="s">
        <v>25</v>
      </c>
      <c r="C66" s="26">
        <f>SUM(C12:C64)</f>
        <v>4565312399</v>
      </c>
      <c r="D66" s="26"/>
      <c r="E66" s="26">
        <f>SUM(E12:E64)</f>
        <v>7974479056.4410458</v>
      </c>
      <c r="G66" s="19">
        <f>ROUND(AVERAGE(G12:G64),3)</f>
        <v>0.40100000000000002</v>
      </c>
      <c r="K66" s="2"/>
    </row>
    <row r="67" spans="1:12" x14ac:dyDescent="0.2">
      <c r="K67" s="2"/>
    </row>
    <row r="68" spans="1:12" x14ac:dyDescent="0.2">
      <c r="A68" t="s">
        <v>96</v>
      </c>
      <c r="G68" s="19">
        <f>ROUND(SUMIF(H12:H64,"&lt;&gt;H",G12:G64)/COUNTIF(H12:H64,"&lt;&gt;H"),3)</f>
        <v>9.9000000000000005E-2</v>
      </c>
      <c r="K68" s="2"/>
    </row>
    <row r="69" spans="1:12" x14ac:dyDescent="0.2">
      <c r="A69" t="s">
        <v>97</v>
      </c>
      <c r="G69" s="19">
        <f>ROUND((SUMIF(H12:H64,"&lt;&gt;H",G12:G64)-VLOOKUP(1991,$A$12:$G$64,7,0))/(COUNTIF(H12:H64,"&lt;&gt;H")-1),3)</f>
        <v>8.7999999999999995E-2</v>
      </c>
      <c r="K69" s="2"/>
      <c r="L69" s="24"/>
    </row>
    <row r="70" spans="1:12" x14ac:dyDescent="0.2">
      <c r="A70" t="s">
        <v>53</v>
      </c>
      <c r="G70" s="44">
        <f>ROUND(AVERAGE(G68:G69),3)</f>
        <v>9.4E-2</v>
      </c>
      <c r="K70" s="2"/>
    </row>
    <row r="71" spans="1:12" ht="4.5" customHeight="1" thickBot="1" x14ac:dyDescent="0.25">
      <c r="A71" s="6"/>
      <c r="B71" s="6"/>
      <c r="C71" s="6"/>
      <c r="D71" s="6"/>
      <c r="E71" s="6"/>
      <c r="F71" s="6"/>
      <c r="G71" s="6"/>
      <c r="H71" s="6"/>
      <c r="K71" s="2"/>
    </row>
    <row r="72" spans="1:12" ht="12" thickTop="1" x14ac:dyDescent="0.2">
      <c r="K72" s="2"/>
    </row>
    <row r="73" spans="1:12" x14ac:dyDescent="0.2">
      <c r="A73" t="s">
        <v>18</v>
      </c>
      <c r="B73" s="12" t="str">
        <f>C10&amp;" Provided by TDI. "&amp;A25&amp;" - "&amp;A37&amp;" are year ending "&amp;TEXT($L$39,"m/d/xx")&amp;" as of "&amp;TEXT($M$39,"m/d/yy")&amp;"; "&amp;A38&amp;" - "&amp;A63&amp;" are year ending "&amp;TEXT($L$40,"m/d/xx")&amp;" as of "&amp;TEXT($M$40,"m/d/yy")</f>
        <v>(2) Provided by TDI. 1983 - 1995 are year ending 9/30/xx as of 12/31/99; 1996 - 2021 are year ending 12/31/xx as of 12/31/22</v>
      </c>
      <c r="K73" s="2"/>
    </row>
    <row r="74" spans="1:12" x14ac:dyDescent="0.2">
      <c r="B74" s="12" t="str">
        <f>D10&amp;" Provided by TDI (1992 MR = 1992 manual rates)"</f>
        <v>(3) Provided by TDI (1992 MR = 1992 manual rates)</v>
      </c>
      <c r="D74" s="12"/>
      <c r="K74" s="2"/>
    </row>
    <row r="75" spans="1:12" x14ac:dyDescent="0.2">
      <c r="B75" s="12" t="str">
        <f>E10&amp;" "&amp;A35&amp;" - "&amp;YEAR(L40)&amp;": Sum of "&amp;'6.4'!$J$1&amp;", "&amp;'6.4'!$J$2&amp;" - 7"&amp;", "&amp;'6.4'!F12&amp;"; "&amp;A12&amp;" - "&amp;A34&amp;": "&amp;D10&amp;" * "&amp;TEXT('6.4'!$L$14,"2.831")&amp;",1992 on-level factor to bring industry premium to TWIA currrent rate level"</f>
        <v>(4) 1993 - 2022: Sum of Exhibit 6, Sheet 4 - 7, (5); 1970 - 1992: (3) * 2.831,1992 on-level factor to bring industry premium to TWIA currrent rate level</v>
      </c>
      <c r="K75" s="2"/>
    </row>
    <row r="76" spans="1:12" x14ac:dyDescent="0.2">
      <c r="B76" s="12" t="str">
        <f>F10&amp;" Provided by TDI. "&amp;A12&amp;" - "&amp;A24&amp;" are year ending "&amp;TEXT($L$39,"m/d/xx")&amp;" as of "&amp;TEXT($M$39,"m/d/yy")&amp;"; "&amp;A25&amp;" - "&amp;YEAR(L40)&amp;" are year ending "&amp;TEXT($L$40,"m/d/xx")&amp;" as of "&amp;TEXT($M$40,"m/d/yy")</f>
        <v>(5) Provided by TDI. 1970 - 1982 are year ending 9/30/xx as of 12/31/99; 1983 - 2022 are year ending 12/31/xx as of 12/31/22</v>
      </c>
      <c r="K76" s="2"/>
    </row>
    <row r="77" spans="1:12" x14ac:dyDescent="0.2">
      <c r="B77" s="12" t="str">
        <f>G10&amp;" "&amp;A25&amp;" - "&amp;YEAR(L40)&amp;": "&amp;'6.3'!$I$1&amp;", "&amp;'6.3'!$I$2&amp;"; "&amp;A12&amp;" - "&amp;A24&amp;": "&amp;F10&amp;" / "&amp;E10</f>
        <v>(6) 1983 - 2022: Exhibit 6, Sheet 3; 1970 - 1982: (5) / (4)</v>
      </c>
      <c r="K77" s="2"/>
    </row>
    <row r="78" spans="1:12" ht="12" thickBot="1" x14ac:dyDescent="0.25">
      <c r="B78" s="12" t="str">
        <f>H10&amp;" ""H"" indicates occurrence of hurricane(s) during the time period (years ending "&amp;TEXT($L$40,"m/d/xx")&amp;")"</f>
        <v>(7) "H" indicates occurrence of hurricane(s) during the time period (years ending 12/31/xx)</v>
      </c>
      <c r="K78" s="2"/>
    </row>
    <row r="79" spans="1:12" ht="12" thickBot="1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3"/>
    </row>
  </sheetData>
  <phoneticPr fontId="0" type="noConversion"/>
  <pageMargins left="0.5" right="0.5" top="0.5" bottom="0.5" header="0.5" footer="0.5"/>
  <pageSetup scale="92" fitToWidth="0"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92D050"/>
  </sheetPr>
  <dimension ref="A1:O70"/>
  <sheetViews>
    <sheetView showGridLines="0" topLeftCell="A40" zoomScaleNormal="100" workbookViewId="0">
      <selection activeCell="A69" sqref="A69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7" width="14" customWidth="1"/>
    <col min="8" max="8" width="11.33203125" customWidth="1"/>
    <col min="9" max="9" width="7" customWidth="1"/>
  </cols>
  <sheetData>
    <row r="1" spans="1:15" x14ac:dyDescent="0.2">
      <c r="A1" s="8" t="str">
        <f>'1'!$A$1</f>
        <v>Texas Windstorm Insurance Association</v>
      </c>
      <c r="B1" s="12"/>
      <c r="I1" s="7" t="s">
        <v>82</v>
      </c>
      <c r="J1" s="1"/>
      <c r="N1" t="s">
        <v>526</v>
      </c>
      <c r="O1" t="s">
        <v>566</v>
      </c>
    </row>
    <row r="2" spans="1:15" x14ac:dyDescent="0.2">
      <c r="A2" s="8" t="str">
        <f>'1'!$A$2</f>
        <v>Commercial Property - Wind &amp; Hail</v>
      </c>
      <c r="B2" s="12"/>
      <c r="I2" s="7" t="s">
        <v>68</v>
      </c>
      <c r="J2" s="2"/>
      <c r="N2" t="s">
        <v>526</v>
      </c>
      <c r="O2" t="s">
        <v>573</v>
      </c>
    </row>
    <row r="3" spans="1:15" x14ac:dyDescent="0.2">
      <c r="A3" s="8" t="str">
        <f>'1'!$A$3</f>
        <v>Rate Level Review</v>
      </c>
      <c r="B3" s="12"/>
      <c r="J3" s="2"/>
      <c r="N3" t="s">
        <v>526</v>
      </c>
      <c r="O3" t="s">
        <v>577</v>
      </c>
    </row>
    <row r="4" spans="1:15" x14ac:dyDescent="0.2">
      <c r="A4" t="s">
        <v>223</v>
      </c>
      <c r="B4" s="12"/>
      <c r="J4" s="2"/>
      <c r="N4" t="s">
        <v>526</v>
      </c>
      <c r="O4" t="s">
        <v>578</v>
      </c>
    </row>
    <row r="5" spans="1:15" x14ac:dyDescent="0.2">
      <c r="J5" s="2"/>
      <c r="N5" t="s">
        <v>526</v>
      </c>
      <c r="O5" t="s">
        <v>579</v>
      </c>
    </row>
    <row r="6" spans="1:15" ht="12" thickBot="1" x14ac:dyDescent="0.25">
      <c r="A6" s="6"/>
      <c r="B6" s="6"/>
      <c r="C6" s="6"/>
      <c r="D6" s="6"/>
      <c r="E6" s="6"/>
      <c r="F6" s="6"/>
      <c r="G6" s="6"/>
      <c r="H6" s="6"/>
      <c r="I6" s="6"/>
      <c r="J6" s="2"/>
    </row>
    <row r="7" spans="1:15" ht="12" thickTop="1" x14ac:dyDescent="0.2">
      <c r="J7" s="2"/>
    </row>
    <row r="8" spans="1:15" x14ac:dyDescent="0.2">
      <c r="C8" s="10" t="s">
        <v>102</v>
      </c>
      <c r="J8" s="2"/>
    </row>
    <row r="9" spans="1:15" x14ac:dyDescent="0.2">
      <c r="A9" t="s">
        <v>41</v>
      </c>
      <c r="G9" t="s">
        <v>101</v>
      </c>
      <c r="H9" t="s">
        <v>607</v>
      </c>
      <c r="J9" s="2"/>
      <c r="K9" s="24"/>
    </row>
    <row r="10" spans="1:15" x14ac:dyDescent="0.2">
      <c r="A10" s="9" t="s">
        <v>42</v>
      </c>
      <c r="B10" s="9"/>
      <c r="C10" s="9" t="s">
        <v>98</v>
      </c>
      <c r="D10" s="9" t="s">
        <v>99</v>
      </c>
      <c r="E10" s="9" t="s">
        <v>100</v>
      </c>
      <c r="F10" s="9" t="s">
        <v>22</v>
      </c>
      <c r="G10" s="9" t="s">
        <v>58</v>
      </c>
      <c r="H10" s="9" t="s">
        <v>58</v>
      </c>
      <c r="I10" s="9"/>
      <c r="J10" s="2"/>
      <c r="K10" s="12"/>
    </row>
    <row r="11" spans="1:15" x14ac:dyDescent="0.2">
      <c r="A11" s="11" t="str">
        <f>TEXT(COLUMN(),"(#)")</f>
        <v>(1)</v>
      </c>
      <c r="B11" s="11"/>
      <c r="C11" s="11" t="str">
        <f>TEXT(COLUMN()-1,"(#)")</f>
        <v>(2)</v>
      </c>
      <c r="D11" s="11" t="str">
        <f>TEXT(COLUMN()-1,"(#)")</f>
        <v>(3)</v>
      </c>
      <c r="E11" s="11" t="str">
        <f>TEXT(COLUMN()-1,"(#)")</f>
        <v>(4)</v>
      </c>
      <c r="F11" s="11" t="str">
        <f>TEXT(COLUMN()-1,"(#)")</f>
        <v>(5)</v>
      </c>
      <c r="G11" s="11" t="str">
        <f>TEXT(COLUMN()-1,"(#)")</f>
        <v>(6)</v>
      </c>
      <c r="H11" s="40" t="s">
        <v>91</v>
      </c>
      <c r="J11" s="2"/>
      <c r="K11" s="36"/>
    </row>
    <row r="12" spans="1:15" x14ac:dyDescent="0.2">
      <c r="J12" s="2"/>
    </row>
    <row r="13" spans="1:15" x14ac:dyDescent="0.2">
      <c r="A13" s="61">
        <v>1983</v>
      </c>
      <c r="C13" s="41">
        <f>'6.4'!H14</f>
        <v>9.6140000000000008</v>
      </c>
      <c r="D13" s="41">
        <f>'6.5'!H14</f>
        <v>4.1000000000000002E-2</v>
      </c>
      <c r="E13" s="41">
        <f>'6.6'!H14</f>
        <v>0.44700000000000001</v>
      </c>
      <c r="F13" s="41">
        <f>'6.7'!H14</f>
        <v>1.611</v>
      </c>
      <c r="G13" s="21">
        <f t="shared" ref="G13:G19" si="0">ROUND(SUMPRODUCT(C13:F13,$C$60:$F$60)/$G$60,3)</f>
        <v>3.843</v>
      </c>
      <c r="H13" s="19">
        <f>G13</f>
        <v>3.843</v>
      </c>
      <c r="J13" s="2"/>
    </row>
    <row r="14" spans="1:15" x14ac:dyDescent="0.2">
      <c r="A14" t="str">
        <f>TEXT(A13+1,"#")</f>
        <v>1984</v>
      </c>
      <c r="C14" s="41">
        <f>'6.4'!H15</f>
        <v>8.2000000000000003E-2</v>
      </c>
      <c r="D14" s="41">
        <f>'6.5'!H15</f>
        <v>4.1000000000000002E-2</v>
      </c>
      <c r="E14" s="41">
        <f>'6.6'!H15</f>
        <v>0.106</v>
      </c>
      <c r="F14" s="41">
        <f>'6.7'!H15</f>
        <v>0.154</v>
      </c>
      <c r="G14" s="21">
        <f t="shared" si="0"/>
        <v>8.1000000000000003E-2</v>
      </c>
      <c r="H14" s="19">
        <f t="shared" ref="H14:H38" si="1">G14</f>
        <v>8.1000000000000003E-2</v>
      </c>
      <c r="J14" s="2"/>
    </row>
    <row r="15" spans="1:15" x14ac:dyDescent="0.2">
      <c r="A15" t="str">
        <f t="shared" ref="A15:A45" si="2">TEXT(A14+1,"#")</f>
        <v>1985</v>
      </c>
      <c r="C15" s="41">
        <f>'6.4'!H16</f>
        <v>0.04</v>
      </c>
      <c r="D15" s="41">
        <f>'6.5'!H16</f>
        <v>2.7E-2</v>
      </c>
      <c r="E15" s="41">
        <f>'6.6'!H16</f>
        <v>4.7E-2</v>
      </c>
      <c r="F15" s="41">
        <f>'6.7'!H16</f>
        <v>8.5999999999999993E-2</v>
      </c>
      <c r="G15" s="21">
        <f t="shared" si="0"/>
        <v>0.04</v>
      </c>
      <c r="H15" s="19">
        <f t="shared" si="1"/>
        <v>0.04</v>
      </c>
      <c r="J15" s="2"/>
    </row>
    <row r="16" spans="1:15" x14ac:dyDescent="0.2">
      <c r="A16" t="str">
        <f t="shared" si="2"/>
        <v>1986</v>
      </c>
      <c r="C16" s="41">
        <f>'6.4'!H17</f>
        <v>3.2000000000000001E-2</v>
      </c>
      <c r="D16" s="41">
        <f>'6.5'!H17</f>
        <v>1.0999999999999999E-2</v>
      </c>
      <c r="E16" s="41">
        <f>'6.6'!H17</f>
        <v>0.17399999999999999</v>
      </c>
      <c r="F16" s="41">
        <f>'6.7'!H17</f>
        <v>0.13600000000000001</v>
      </c>
      <c r="G16" s="21">
        <f t="shared" si="0"/>
        <v>7.9000000000000001E-2</v>
      </c>
      <c r="H16" s="19">
        <f t="shared" si="1"/>
        <v>7.9000000000000001E-2</v>
      </c>
      <c r="J16" s="2"/>
    </row>
    <row r="17" spans="1:12" x14ac:dyDescent="0.2">
      <c r="A17" t="str">
        <f t="shared" si="2"/>
        <v>1987</v>
      </c>
      <c r="C17" s="41">
        <f>'6.4'!H18</f>
        <v>5.0000000000000001E-3</v>
      </c>
      <c r="D17" s="41">
        <f>'6.5'!H18</f>
        <v>1.7999999999999999E-2</v>
      </c>
      <c r="E17" s="41">
        <f>'6.6'!H18</f>
        <v>2.1999999999999999E-2</v>
      </c>
      <c r="F17" s="41">
        <f>'6.7'!H18</f>
        <v>3.3000000000000002E-2</v>
      </c>
      <c r="G17" s="21">
        <f t="shared" si="0"/>
        <v>1.4999999999999999E-2</v>
      </c>
      <c r="H17" s="19">
        <f t="shared" si="1"/>
        <v>1.4999999999999999E-2</v>
      </c>
      <c r="J17" s="2"/>
    </row>
    <row r="18" spans="1:12" ht="12.75" x14ac:dyDescent="0.2">
      <c r="A18" t="str">
        <f t="shared" si="2"/>
        <v>1988</v>
      </c>
      <c r="C18" s="41">
        <f>'6.4'!H19</f>
        <v>0.126</v>
      </c>
      <c r="D18" s="41">
        <f>'6.5'!H19</f>
        <v>3.6999999999999998E-2</v>
      </c>
      <c r="E18" s="41">
        <f>'6.6'!H19</f>
        <v>8.7999999999999995E-2</v>
      </c>
      <c r="F18" s="41">
        <f>'6.7'!H19</f>
        <v>5.1999999999999998E-2</v>
      </c>
      <c r="G18" s="21">
        <f t="shared" si="0"/>
        <v>8.8999999999999996E-2</v>
      </c>
      <c r="H18" s="19">
        <f t="shared" si="1"/>
        <v>8.8999999999999996E-2</v>
      </c>
      <c r="J18" s="2"/>
      <c r="L18" s="197"/>
    </row>
    <row r="19" spans="1:12" x14ac:dyDescent="0.2">
      <c r="A19" t="str">
        <f t="shared" si="2"/>
        <v>1989</v>
      </c>
      <c r="C19" s="41">
        <f>'6.4'!H20</f>
        <v>0.14599999999999999</v>
      </c>
      <c r="D19" s="41">
        <f>'6.5'!H20</f>
        <v>1.9E-2</v>
      </c>
      <c r="E19" s="41">
        <f>'6.6'!H20</f>
        <v>2.1000000000000001E-2</v>
      </c>
      <c r="F19" s="41">
        <f>'6.7'!H20</f>
        <v>5.8999999999999997E-2</v>
      </c>
      <c r="G19" s="21">
        <f t="shared" si="0"/>
        <v>6.9000000000000006E-2</v>
      </c>
      <c r="H19" s="19">
        <f t="shared" si="1"/>
        <v>6.9000000000000006E-2</v>
      </c>
      <c r="J19" s="2"/>
    </row>
    <row r="20" spans="1:12" x14ac:dyDescent="0.2">
      <c r="A20" t="str">
        <f t="shared" si="2"/>
        <v>1990</v>
      </c>
      <c r="C20" s="41">
        <f>'6.4'!H21</f>
        <v>2.577</v>
      </c>
      <c r="D20" s="41">
        <f>'6.5'!H21</f>
        <v>2.7E-2</v>
      </c>
      <c r="E20" s="41">
        <f>'6.6'!H21</f>
        <v>9.7000000000000003E-2</v>
      </c>
      <c r="F20" s="41">
        <f>'6.7'!H21</f>
        <v>7.3999999999999996E-2</v>
      </c>
      <c r="G20" s="21">
        <f t="shared" ref="G20" si="3">ROUND(SUMPRODUCT(C20:F20,$C$60:$F$60)/$G$60,3)</f>
        <v>1.0209999999999999</v>
      </c>
      <c r="H20" s="19">
        <f t="shared" si="1"/>
        <v>1.0209999999999999</v>
      </c>
      <c r="J20" s="2"/>
    </row>
    <row r="21" spans="1:12" x14ac:dyDescent="0.2">
      <c r="A21" t="str">
        <f>TEXT(A20+1,"#")</f>
        <v>1991</v>
      </c>
      <c r="C21" s="41">
        <f>'6.4'!H22</f>
        <v>0.23300000000000001</v>
      </c>
      <c r="D21" s="41">
        <f>'6.5'!H22</f>
        <v>0.23</v>
      </c>
      <c r="E21" s="41">
        <f>'6.6'!H22</f>
        <v>1.093</v>
      </c>
      <c r="F21" s="41">
        <f>'6.7'!H22</f>
        <v>0.05</v>
      </c>
      <c r="G21" s="21">
        <f t="shared" ref="G21:G49" si="4">ROUND(SUMPRODUCT(C21:F21,$C$60:$F$60)/$G$60,3)</f>
        <v>0.53600000000000003</v>
      </c>
      <c r="H21" s="19">
        <f t="shared" si="1"/>
        <v>0.53600000000000003</v>
      </c>
      <c r="J21" s="2"/>
    </row>
    <row r="22" spans="1:12" x14ac:dyDescent="0.2">
      <c r="A22" t="str">
        <f t="shared" si="2"/>
        <v>1992</v>
      </c>
      <c r="B22" s="12"/>
      <c r="C22" s="41">
        <f>'6.4'!H23</f>
        <v>8.0000000000000002E-3</v>
      </c>
      <c r="D22" s="41">
        <f>'6.5'!H23</f>
        <v>1.0999999999999999E-2</v>
      </c>
      <c r="E22" s="41">
        <f>'6.6'!H23</f>
        <v>2.3E-2</v>
      </c>
      <c r="F22" s="41">
        <f>'6.7'!H23</f>
        <v>4.1000000000000002E-2</v>
      </c>
      <c r="G22" s="21">
        <f t="shared" si="4"/>
        <v>1.4999999999999999E-2</v>
      </c>
      <c r="H22" s="19">
        <f t="shared" si="1"/>
        <v>1.4999999999999999E-2</v>
      </c>
      <c r="J22" s="2"/>
    </row>
    <row r="23" spans="1:12" x14ac:dyDescent="0.2">
      <c r="A23" t="str">
        <f t="shared" si="2"/>
        <v>1993</v>
      </c>
      <c r="B23" s="12"/>
      <c r="C23" s="41">
        <f>'6.4'!H24</f>
        <v>0.129</v>
      </c>
      <c r="D23" s="41">
        <f>'6.5'!H24</f>
        <v>1.7000000000000001E-2</v>
      </c>
      <c r="E23" s="41">
        <f>'6.6'!H24</f>
        <v>1.7000000000000001E-2</v>
      </c>
      <c r="F23" s="41">
        <f>'6.7'!H24</f>
        <v>5.3999999999999999E-2</v>
      </c>
      <c r="G23" s="21">
        <f t="shared" si="4"/>
        <v>0.06</v>
      </c>
      <c r="H23" s="19">
        <f t="shared" si="1"/>
        <v>0.06</v>
      </c>
      <c r="J23" s="2"/>
    </row>
    <row r="24" spans="1:12" x14ac:dyDescent="0.2">
      <c r="A24" t="str">
        <f t="shared" si="2"/>
        <v>1994</v>
      </c>
      <c r="B24" s="12"/>
      <c r="C24" s="41">
        <f>'6.4'!H25</f>
        <v>3.0000000000000001E-3</v>
      </c>
      <c r="D24" s="41">
        <f>'6.5'!H25</f>
        <v>3.5000000000000003E-2</v>
      </c>
      <c r="E24" s="41">
        <f>'6.6'!H25</f>
        <v>0.187</v>
      </c>
      <c r="F24" s="41">
        <f>'6.7'!H25</f>
        <v>7.4999999999999997E-2</v>
      </c>
      <c r="G24" s="21">
        <f t="shared" si="4"/>
        <v>7.8E-2</v>
      </c>
      <c r="H24" s="19">
        <f t="shared" si="1"/>
        <v>7.8E-2</v>
      </c>
      <c r="J24" s="2"/>
    </row>
    <row r="25" spans="1:12" x14ac:dyDescent="0.2">
      <c r="A25" t="str">
        <f t="shared" si="2"/>
        <v>1995</v>
      </c>
      <c r="C25" s="41">
        <f>'6.4'!H26</f>
        <v>7.3999999999999996E-2</v>
      </c>
      <c r="D25" s="41">
        <f>'6.5'!H26</f>
        <v>9.8000000000000004E-2</v>
      </c>
      <c r="E25" s="41">
        <f>'6.6'!H26</f>
        <v>0.35799999999999998</v>
      </c>
      <c r="F25" s="41">
        <f>'6.7'!H26</f>
        <v>0.19600000000000001</v>
      </c>
      <c r="G25" s="21">
        <f t="shared" si="4"/>
        <v>0.183</v>
      </c>
      <c r="H25" s="19">
        <f t="shared" si="1"/>
        <v>0.183</v>
      </c>
      <c r="J25" s="2"/>
    </row>
    <row r="26" spans="1:12" x14ac:dyDescent="0.2">
      <c r="A26" t="str">
        <f t="shared" si="2"/>
        <v>1996</v>
      </c>
      <c r="C26" s="41">
        <f>'6.4'!H27</f>
        <v>1.4E-2</v>
      </c>
      <c r="D26" s="41">
        <f>'6.5'!H27</f>
        <v>2.7E-2</v>
      </c>
      <c r="E26" s="41">
        <f>'6.6'!H27</f>
        <v>0.03</v>
      </c>
      <c r="F26" s="41">
        <f>'6.7'!H27</f>
        <v>6.3E-2</v>
      </c>
      <c r="G26" s="21">
        <f t="shared" si="4"/>
        <v>2.4E-2</v>
      </c>
      <c r="H26" s="19">
        <f t="shared" si="1"/>
        <v>2.4E-2</v>
      </c>
      <c r="J26" s="2"/>
    </row>
    <row r="27" spans="1:12" x14ac:dyDescent="0.2">
      <c r="A27" t="str">
        <f t="shared" si="2"/>
        <v>1997</v>
      </c>
      <c r="C27" s="41">
        <f>'6.4'!H28</f>
        <v>0.05</v>
      </c>
      <c r="D27" s="41">
        <f>'6.5'!H28</f>
        <v>1.9E-2</v>
      </c>
      <c r="E27" s="41">
        <f>'6.6'!H28</f>
        <v>3.4000000000000002E-2</v>
      </c>
      <c r="F27" s="41">
        <f>'6.7'!H28</f>
        <v>8.5999999999999993E-2</v>
      </c>
      <c r="G27" s="21">
        <f t="shared" si="4"/>
        <v>3.6999999999999998E-2</v>
      </c>
      <c r="H27" s="19">
        <f t="shared" si="1"/>
        <v>3.6999999999999998E-2</v>
      </c>
      <c r="J27" s="2"/>
    </row>
    <row r="28" spans="1:12" x14ac:dyDescent="0.2">
      <c r="A28" t="str">
        <f t="shared" si="2"/>
        <v>1998</v>
      </c>
      <c r="C28" s="41">
        <f>'6.4'!H29</f>
        <v>0.19700000000000001</v>
      </c>
      <c r="D28" s="41">
        <f>'6.5'!H29</f>
        <v>0.13100000000000001</v>
      </c>
      <c r="E28" s="41">
        <f>'6.6'!H29</f>
        <v>0.109</v>
      </c>
      <c r="F28" s="41">
        <f>'6.7'!H29</f>
        <v>8.5999999999999993E-2</v>
      </c>
      <c r="G28" s="21">
        <f t="shared" si="4"/>
        <v>0.14799999999999999</v>
      </c>
      <c r="H28" s="19">
        <f t="shared" si="1"/>
        <v>0.14799999999999999</v>
      </c>
      <c r="J28" s="2"/>
    </row>
    <row r="29" spans="1:12" x14ac:dyDescent="0.2">
      <c r="A29" t="str">
        <f t="shared" si="2"/>
        <v>1999</v>
      </c>
      <c r="C29" s="41">
        <f>'6.4'!H30</f>
        <v>2.5999999999999999E-2</v>
      </c>
      <c r="D29" s="41">
        <f>'6.5'!H30</f>
        <v>0.12</v>
      </c>
      <c r="E29" s="41">
        <f>'6.6'!H30</f>
        <v>0.111</v>
      </c>
      <c r="F29" s="41">
        <f>'6.7'!H30</f>
        <v>8.5000000000000006E-2</v>
      </c>
      <c r="G29" s="21">
        <f t="shared" si="4"/>
        <v>8.1000000000000003E-2</v>
      </c>
      <c r="H29" s="19">
        <f t="shared" si="1"/>
        <v>8.1000000000000003E-2</v>
      </c>
      <c r="J29" s="2"/>
    </row>
    <row r="30" spans="1:12" x14ac:dyDescent="0.2">
      <c r="A30" t="str">
        <f t="shared" si="2"/>
        <v>2000</v>
      </c>
      <c r="C30" s="41">
        <f>'6.4'!H31</f>
        <v>0.02</v>
      </c>
      <c r="D30" s="41">
        <f>'6.5'!H31</f>
        <v>1.9E-2</v>
      </c>
      <c r="E30" s="41">
        <f>'6.6'!H31</f>
        <v>0.13200000000000001</v>
      </c>
      <c r="F30" s="41">
        <f>'6.7'!H31</f>
        <v>0.56100000000000005</v>
      </c>
      <c r="G30" s="21">
        <f t="shared" si="4"/>
        <v>6.7000000000000004E-2</v>
      </c>
      <c r="H30" s="19">
        <f t="shared" si="1"/>
        <v>6.7000000000000004E-2</v>
      </c>
      <c r="J30" s="2"/>
    </row>
    <row r="31" spans="1:12" x14ac:dyDescent="0.2">
      <c r="A31" t="str">
        <f t="shared" si="2"/>
        <v>2001</v>
      </c>
      <c r="C31" s="41">
        <f>'6.4'!H32</f>
        <v>6.7000000000000004E-2</v>
      </c>
      <c r="D31" s="41">
        <f>'6.5'!H32</f>
        <v>0.03</v>
      </c>
      <c r="E31" s="41">
        <f>'6.6'!H32</f>
        <v>5.3999999999999999E-2</v>
      </c>
      <c r="F31" s="41">
        <f>'6.7'!H32</f>
        <v>0.27300000000000002</v>
      </c>
      <c r="G31" s="21">
        <f t="shared" si="4"/>
        <v>5.6000000000000001E-2</v>
      </c>
      <c r="H31" s="19">
        <f t="shared" si="1"/>
        <v>5.6000000000000001E-2</v>
      </c>
      <c r="J31" s="2"/>
    </row>
    <row r="32" spans="1:12" x14ac:dyDescent="0.2">
      <c r="A32" t="str">
        <f t="shared" si="2"/>
        <v>2002</v>
      </c>
      <c r="C32" s="41">
        <f>'6.4'!H33</f>
        <v>0.111</v>
      </c>
      <c r="D32" s="41">
        <f>'6.5'!H33</f>
        <v>0.29799999999999999</v>
      </c>
      <c r="E32" s="41">
        <f>'6.6'!H33</f>
        <v>6.8000000000000005E-2</v>
      </c>
      <c r="F32" s="41">
        <f>'6.7'!H33</f>
        <v>9.1999999999999998E-2</v>
      </c>
      <c r="G32" s="21">
        <f t="shared" si="4"/>
        <v>0.14199999999999999</v>
      </c>
      <c r="H32" s="19">
        <f t="shared" si="1"/>
        <v>0.14199999999999999</v>
      </c>
      <c r="J32" s="2"/>
    </row>
    <row r="33" spans="1:11" x14ac:dyDescent="0.2">
      <c r="A33" t="str">
        <f t="shared" si="2"/>
        <v>2003</v>
      </c>
      <c r="B33" s="22"/>
      <c r="C33" s="41">
        <f>'6.4'!H34</f>
        <v>2.4E-2</v>
      </c>
      <c r="D33" s="41">
        <f>'6.5'!H34</f>
        <v>8.3000000000000004E-2</v>
      </c>
      <c r="E33" s="41">
        <f>'6.6'!H34</f>
        <v>0.48899999999999999</v>
      </c>
      <c r="F33" s="41">
        <f>'6.7'!H34</f>
        <v>0.31</v>
      </c>
      <c r="G33" s="21">
        <f t="shared" si="4"/>
        <v>0.20899999999999999</v>
      </c>
      <c r="H33" s="19">
        <f t="shared" si="1"/>
        <v>0.20899999999999999</v>
      </c>
      <c r="J33" s="2"/>
      <c r="K33" t="s">
        <v>234</v>
      </c>
    </row>
    <row r="34" spans="1:11" x14ac:dyDescent="0.2">
      <c r="A34" t="str">
        <f t="shared" si="2"/>
        <v>2004</v>
      </c>
      <c r="B34" s="22"/>
      <c r="C34" s="41">
        <f>'6.4'!H35</f>
        <v>2.7E-2</v>
      </c>
      <c r="D34" s="41">
        <f>'6.5'!H35</f>
        <v>6.0000000000000001E-3</v>
      </c>
      <c r="E34" s="41">
        <f>'6.6'!H35</f>
        <v>1.9E-2</v>
      </c>
      <c r="F34" s="41">
        <f>'6.7'!H35</f>
        <v>0.03</v>
      </c>
      <c r="G34" s="21">
        <f t="shared" si="4"/>
        <v>1.9E-2</v>
      </c>
      <c r="H34" s="19">
        <f t="shared" si="1"/>
        <v>1.9E-2</v>
      </c>
      <c r="J34" s="2"/>
      <c r="K34" s="164">
        <f>'6.4'!L50</f>
        <v>44926</v>
      </c>
    </row>
    <row r="35" spans="1:11" x14ac:dyDescent="0.2">
      <c r="A35" t="str">
        <f t="shared" si="2"/>
        <v>2005</v>
      </c>
      <c r="B35" s="22"/>
      <c r="C35" s="41">
        <f>'6.4'!H36</f>
        <v>0.63400000000000001</v>
      </c>
      <c r="D35" s="41">
        <f>'6.5'!H36</f>
        <v>1.6E-2</v>
      </c>
      <c r="E35" s="41">
        <f>'6.6'!H36</f>
        <v>3.5990000000000002</v>
      </c>
      <c r="F35" s="41">
        <f>'6.7'!H36</f>
        <v>0.48399999999999999</v>
      </c>
      <c r="G35" s="21">
        <f t="shared" si="4"/>
        <v>1.5349999999999999</v>
      </c>
      <c r="H35" s="19">
        <f t="shared" si="1"/>
        <v>1.5349999999999999</v>
      </c>
      <c r="J35" s="2"/>
    </row>
    <row r="36" spans="1:11" x14ac:dyDescent="0.2">
      <c r="A36" t="str">
        <f t="shared" si="2"/>
        <v>2006</v>
      </c>
      <c r="B36" s="22"/>
      <c r="C36" s="41">
        <f>'6.4'!H37</f>
        <v>2.1999999999999999E-2</v>
      </c>
      <c r="D36" s="41">
        <f>'6.5'!H37</f>
        <v>0.01</v>
      </c>
      <c r="E36" s="41">
        <f>'6.6'!H37</f>
        <v>2.5000000000000001E-2</v>
      </c>
      <c r="F36" s="41">
        <f>'6.7'!H37</f>
        <v>5.6000000000000001E-2</v>
      </c>
      <c r="G36" s="21">
        <f t="shared" si="4"/>
        <v>2.1000000000000001E-2</v>
      </c>
      <c r="H36" s="19">
        <f t="shared" si="1"/>
        <v>2.1000000000000001E-2</v>
      </c>
      <c r="J36" s="2"/>
    </row>
    <row r="37" spans="1:11" x14ac:dyDescent="0.2">
      <c r="A37" t="str">
        <f t="shared" si="2"/>
        <v>2007</v>
      </c>
      <c r="B37" s="22"/>
      <c r="C37" s="41">
        <f>'6.4'!H38</f>
        <v>1.4999999999999999E-2</v>
      </c>
      <c r="D37" s="41">
        <f>'6.5'!H38</f>
        <v>0.53800000000000003</v>
      </c>
      <c r="E37" s="41">
        <f>'6.6'!H38</f>
        <v>5.6000000000000001E-2</v>
      </c>
      <c r="F37" s="41">
        <f>'6.7'!H38</f>
        <v>9.4E-2</v>
      </c>
      <c r="G37" s="21">
        <f t="shared" si="4"/>
        <v>0.161</v>
      </c>
      <c r="H37" s="19">
        <f t="shared" si="1"/>
        <v>0.161</v>
      </c>
      <c r="J37" s="2"/>
    </row>
    <row r="38" spans="1:11" x14ac:dyDescent="0.2">
      <c r="A38" t="str">
        <f t="shared" si="2"/>
        <v>2008</v>
      </c>
      <c r="B38" s="22"/>
      <c r="C38" s="41">
        <f>'6.4'!H39</f>
        <v>6.6580000000000004</v>
      </c>
      <c r="D38" s="41">
        <f>'6.5'!H39</f>
        <v>0.34599999999999997</v>
      </c>
      <c r="E38" s="41">
        <f>'6.6'!H39</f>
        <v>4.5880000000000001</v>
      </c>
      <c r="F38" s="41">
        <f>'6.7'!H39</f>
        <v>4.657</v>
      </c>
      <c r="G38" s="21">
        <f t="shared" si="4"/>
        <v>4.3179999999999996</v>
      </c>
      <c r="H38" s="19">
        <f t="shared" si="1"/>
        <v>4.3179999999999996</v>
      </c>
      <c r="J38" s="2"/>
    </row>
    <row r="39" spans="1:11" x14ac:dyDescent="0.2">
      <c r="A39" t="str">
        <f t="shared" si="2"/>
        <v>2009</v>
      </c>
      <c r="C39" s="41">
        <f>'6.4'!H40</f>
        <v>2.4E-2</v>
      </c>
      <c r="D39" s="41">
        <f>'6.5'!H40</f>
        <v>4.4999999999999998E-2</v>
      </c>
      <c r="E39" s="41">
        <f>'6.6'!H40</f>
        <v>1.4999999999999999E-2</v>
      </c>
      <c r="F39" s="41">
        <f>'6.7'!H40</f>
        <v>9.1999999999999998E-2</v>
      </c>
      <c r="G39" s="21">
        <f t="shared" si="4"/>
        <v>2.7E-2</v>
      </c>
      <c r="H39" s="19">
        <f>G39</f>
        <v>2.7E-2</v>
      </c>
      <c r="J39" s="2"/>
    </row>
    <row r="40" spans="1:11" x14ac:dyDescent="0.2">
      <c r="A40" t="str">
        <f t="shared" si="2"/>
        <v>2010</v>
      </c>
      <c r="C40" s="41">
        <f>'6.4'!H41</f>
        <v>1.4E-2</v>
      </c>
      <c r="D40" s="41">
        <f>'6.5'!H41</f>
        <v>4.3999999999999997E-2</v>
      </c>
      <c r="E40" s="41">
        <f>'6.6'!H41</f>
        <v>5.8000000000000003E-2</v>
      </c>
      <c r="F40" s="41">
        <f>'6.7'!H41</f>
        <v>3.2000000000000001E-2</v>
      </c>
      <c r="G40" s="21">
        <f t="shared" si="4"/>
        <v>3.6999999999999998E-2</v>
      </c>
      <c r="H40" s="19">
        <f>G40</f>
        <v>3.6999999999999998E-2</v>
      </c>
      <c r="J40" s="2"/>
    </row>
    <row r="41" spans="1:11" x14ac:dyDescent="0.2">
      <c r="A41" t="str">
        <f t="shared" si="2"/>
        <v>2011</v>
      </c>
      <c r="C41" s="41">
        <f>'6.4'!H42</f>
        <v>3.6999999999999998E-2</v>
      </c>
      <c r="D41" s="41">
        <f>'6.5'!H42</f>
        <v>0.28799999999999998</v>
      </c>
      <c r="E41" s="41">
        <f>'6.6'!H42</f>
        <v>0.17699999999999999</v>
      </c>
      <c r="F41" s="41">
        <f>'6.7'!H42</f>
        <v>0.184</v>
      </c>
      <c r="G41" s="21">
        <f t="shared" si="4"/>
        <v>0.152</v>
      </c>
      <c r="H41" s="19">
        <f>G41</f>
        <v>0.152</v>
      </c>
      <c r="J41" s="2"/>
    </row>
    <row r="42" spans="1:11" x14ac:dyDescent="0.2">
      <c r="A42" t="str">
        <f t="shared" si="2"/>
        <v>2012</v>
      </c>
      <c r="C42" s="41">
        <f>'6.4'!H43</f>
        <v>0.18</v>
      </c>
      <c r="D42" s="41">
        <f>'6.5'!H43</f>
        <v>0.22900000000000001</v>
      </c>
      <c r="E42" s="41">
        <f>'6.6'!H43</f>
        <v>0.14499999999999999</v>
      </c>
      <c r="F42" s="41">
        <f>'6.7'!H43</f>
        <v>0.1</v>
      </c>
      <c r="G42" s="21">
        <f t="shared" si="4"/>
        <v>0.17899999999999999</v>
      </c>
      <c r="H42" s="19">
        <f>G42</f>
        <v>0.17899999999999999</v>
      </c>
      <c r="J42" s="2"/>
    </row>
    <row r="43" spans="1:11" x14ac:dyDescent="0.2">
      <c r="A43" t="str">
        <f t="shared" si="2"/>
        <v>2013</v>
      </c>
      <c r="C43" s="41">
        <f>'6.4'!H44</f>
        <v>0.13600000000000001</v>
      </c>
      <c r="D43" s="41">
        <f>'6.5'!H44</f>
        <v>0.04</v>
      </c>
      <c r="E43" s="41">
        <f>'6.6'!H44</f>
        <v>8.9999999999999993E-3</v>
      </c>
      <c r="F43" s="41">
        <f>'6.7'!H44</f>
        <v>6.8000000000000005E-2</v>
      </c>
      <c r="G43" s="21">
        <f t="shared" si="4"/>
        <v>6.6000000000000003E-2</v>
      </c>
      <c r="H43" s="307">
        <f>G43*'2.2'!D14</f>
        <v>6.6000000000000003E-2</v>
      </c>
      <c r="J43" s="2"/>
      <c r="K43" t="s">
        <v>233</v>
      </c>
    </row>
    <row r="44" spans="1:11" x14ac:dyDescent="0.2">
      <c r="A44" t="str">
        <f t="shared" si="2"/>
        <v>2014</v>
      </c>
      <c r="C44" s="41">
        <f>'6.4'!H45</f>
        <v>5.0000000000000001E-3</v>
      </c>
      <c r="D44" s="41">
        <f>'6.5'!H45</f>
        <v>3.2000000000000001E-2</v>
      </c>
      <c r="E44" s="41">
        <f>'6.6'!H45</f>
        <v>1.0999999999999999E-2</v>
      </c>
      <c r="F44" s="41">
        <f>'6.7'!H45</f>
        <v>4.2999999999999997E-2</v>
      </c>
      <c r="G44" s="37">
        <f t="shared" si="4"/>
        <v>1.4E-2</v>
      </c>
      <c r="H44" s="307">
        <f>G44*'2.2'!D15</f>
        <v>1.4E-2</v>
      </c>
      <c r="J44" s="2"/>
      <c r="K44" s="62">
        <f>'6.4'!L50</f>
        <v>44926</v>
      </c>
    </row>
    <row r="45" spans="1:11" x14ac:dyDescent="0.2">
      <c r="A45" t="str">
        <f t="shared" si="2"/>
        <v>2015</v>
      </c>
      <c r="C45" s="41">
        <f>'6.4'!H46</f>
        <v>0.115</v>
      </c>
      <c r="D45" s="41">
        <f>'6.5'!H46</f>
        <v>3.6999999999999998E-2</v>
      </c>
      <c r="E45" s="41">
        <f>'6.6'!H46</f>
        <v>0.219</v>
      </c>
      <c r="F45" s="41">
        <f>'6.7'!H46</f>
        <v>0.13600000000000001</v>
      </c>
      <c r="G45" s="37">
        <f t="shared" si="4"/>
        <v>0.13300000000000001</v>
      </c>
      <c r="H45" s="307">
        <f>G45*'2.2'!D16</f>
        <v>0.13300000000000001</v>
      </c>
      <c r="J45" s="2"/>
      <c r="K45" s="65"/>
    </row>
    <row r="46" spans="1:11" x14ac:dyDescent="0.2">
      <c r="A46" s="22">
        <v>2016</v>
      </c>
      <c r="C46" s="41">
        <f>'6.4'!H47</f>
        <v>8.0000000000000002E-3</v>
      </c>
      <c r="D46" s="41">
        <f>'6.5'!H47</f>
        <v>7.3999999999999996E-2</v>
      </c>
      <c r="E46" s="41">
        <f>'6.6'!H47</f>
        <v>3.5999999999999997E-2</v>
      </c>
      <c r="F46" s="41">
        <f>'6.7'!H47</f>
        <v>0.311</v>
      </c>
      <c r="G46" s="37">
        <f t="shared" si="4"/>
        <v>3.9E-2</v>
      </c>
      <c r="H46" s="307">
        <f>G46*'2.2'!D17</f>
        <v>3.9E-2</v>
      </c>
      <c r="J46" s="2"/>
      <c r="K46" s="65"/>
    </row>
    <row r="47" spans="1:11" x14ac:dyDescent="0.2">
      <c r="A47" s="22">
        <v>2017</v>
      </c>
      <c r="C47" s="41">
        <f>'6.4'!H48</f>
        <v>0.77</v>
      </c>
      <c r="D47" s="41">
        <f>'6.5'!H48</f>
        <v>11.91</v>
      </c>
      <c r="E47" s="41">
        <f>'6.6'!H48</f>
        <v>4.4189999999999996</v>
      </c>
      <c r="F47" s="41">
        <f>'6.7'!H48</f>
        <v>1.25</v>
      </c>
      <c r="G47" s="37">
        <f>ROUND(SUMPRODUCT(C47:F47,$C$60:$F$60)/$G$60,3)</f>
        <v>4.8550000000000004</v>
      </c>
      <c r="H47" s="307">
        <f>G47*'2.2'!D18</f>
        <v>4.8501450000000004</v>
      </c>
      <c r="J47" s="2"/>
    </row>
    <row r="48" spans="1:11" x14ac:dyDescent="0.2">
      <c r="A48" s="22">
        <v>2018</v>
      </c>
      <c r="C48" s="41">
        <f>'6.4'!H49</f>
        <v>3.0000000000000001E-3</v>
      </c>
      <c r="D48" s="41">
        <f>'6.5'!H49</f>
        <v>0.02</v>
      </c>
      <c r="E48" s="41">
        <f>'6.6'!H49</f>
        <v>1.7000000000000001E-2</v>
      </c>
      <c r="F48" s="41">
        <f>'6.7'!H49</f>
        <v>0.14499999999999999</v>
      </c>
      <c r="G48" s="37">
        <f t="shared" si="4"/>
        <v>1.4E-2</v>
      </c>
      <c r="H48" s="307">
        <f>G48*'2.2'!D19</f>
        <v>1.4112E-2</v>
      </c>
      <c r="J48" s="2"/>
    </row>
    <row r="49" spans="1:10" x14ac:dyDescent="0.2">
      <c r="A49" s="22">
        <v>2019</v>
      </c>
      <c r="C49" s="41">
        <f>'6.4'!H50</f>
        <v>1.0999999999999999E-2</v>
      </c>
      <c r="D49" s="41">
        <f>'6.5'!H50</f>
        <v>8.0000000000000002E-3</v>
      </c>
      <c r="E49" s="41">
        <f>'6.6'!H50</f>
        <v>4.7E-2</v>
      </c>
      <c r="F49" s="41">
        <f>'6.7'!H50</f>
        <v>0.17399999999999999</v>
      </c>
      <c r="G49" s="37">
        <f t="shared" si="4"/>
        <v>2.5000000000000001E-2</v>
      </c>
      <c r="H49" s="307">
        <f>G49*'2.2'!D20</f>
        <v>2.5224999999999997E-2</v>
      </c>
      <c r="J49" s="2"/>
    </row>
    <row r="50" spans="1:10" x14ac:dyDescent="0.2">
      <c r="A50" s="22">
        <v>2020</v>
      </c>
      <c r="C50" s="41">
        <f>'6.4'!H51</f>
        <v>2.5000000000000001E-2</v>
      </c>
      <c r="D50" s="41">
        <f>'6.5'!H51</f>
        <v>7.6999999999999999E-2</v>
      </c>
      <c r="E50" s="41">
        <f>'6.6'!H51</f>
        <v>0.151</v>
      </c>
      <c r="F50" s="41">
        <f>'6.7'!H51</f>
        <v>0.21099999999999999</v>
      </c>
      <c r="G50" s="37">
        <f>ROUND(SUMPRODUCT(C50:F50,$C$60:$F$60)/$G$60,3)</f>
        <v>8.5999999999999993E-2</v>
      </c>
      <c r="H50" s="307">
        <f>G50*'2.2'!D21</f>
        <v>8.9181999999999984E-2</v>
      </c>
      <c r="J50" s="2"/>
    </row>
    <row r="51" spans="1:10" x14ac:dyDescent="0.2">
      <c r="A51" s="22">
        <v>2021</v>
      </c>
      <c r="C51" s="41">
        <f>'6.4'!H52</f>
        <v>0.21299999999999999</v>
      </c>
      <c r="D51" s="41">
        <f>'6.5'!H52</f>
        <v>3.0000000000000001E-3</v>
      </c>
      <c r="E51" s="41">
        <f>'6.6'!H52</f>
        <v>7.6999999999999999E-2</v>
      </c>
      <c r="F51" s="41">
        <f>'6.7'!H52</f>
        <v>0.22900000000000001</v>
      </c>
      <c r="G51" s="37">
        <f>ROUND(SUMPRODUCT(C51:F51,$C$60:$F$60)/$G$60,3)</f>
        <v>0.112</v>
      </c>
      <c r="H51" s="307">
        <f>G51*'2.2'!D22</f>
        <v>0.12499200000000002</v>
      </c>
      <c r="J51" s="2"/>
    </row>
    <row r="52" spans="1:10" x14ac:dyDescent="0.2">
      <c r="A52" s="22">
        <v>2022</v>
      </c>
      <c r="C52" s="41">
        <f>'6.4'!H53</f>
        <v>2.1999999999999999E-2</v>
      </c>
      <c r="D52" s="41">
        <f>'6.5'!H53</f>
        <v>0.01</v>
      </c>
      <c r="E52" s="41">
        <f>'6.6'!H53</f>
        <v>1.2E-2</v>
      </c>
      <c r="F52" s="41">
        <f>'6.7'!H53</f>
        <v>9.8000000000000004E-2</v>
      </c>
      <c r="G52" s="37">
        <f>ROUND(SUMPRODUCT(C52:F52,$C$60:$F$60)/$G$60,3)</f>
        <v>1.7000000000000001E-2</v>
      </c>
      <c r="H52" s="307">
        <f>G52*'2.2'!D23</f>
        <v>2.2763000000000002E-2</v>
      </c>
      <c r="J52" s="2"/>
    </row>
    <row r="53" spans="1:10" x14ac:dyDescent="0.2">
      <c r="A53" t="s">
        <v>51</v>
      </c>
      <c r="C53" s="21">
        <f t="shared" ref="C53:H53" si="5">ROUND(AVERAGE(C13:C52),3)</f>
        <v>0.56200000000000006</v>
      </c>
      <c r="D53" s="21">
        <f t="shared" si="5"/>
        <v>0.377</v>
      </c>
      <c r="E53" s="21">
        <f t="shared" si="5"/>
        <v>0.435</v>
      </c>
      <c r="F53" s="21">
        <f t="shared" si="5"/>
        <v>0.314</v>
      </c>
      <c r="G53" s="21">
        <f t="shared" si="5"/>
        <v>0.46700000000000003</v>
      </c>
      <c r="H53" s="21">
        <f t="shared" si="5"/>
        <v>0.46800000000000003</v>
      </c>
      <c r="J53" s="2"/>
    </row>
    <row r="54" spans="1:10" x14ac:dyDescent="0.2">
      <c r="C54" s="21"/>
      <c r="D54" s="21"/>
      <c r="E54" s="21"/>
      <c r="F54" s="21"/>
      <c r="G54" s="21"/>
      <c r="J54" s="2"/>
    </row>
    <row r="55" spans="1:10" x14ac:dyDescent="0.2">
      <c r="C55" s="10" t="str">
        <f>"TWIA "&amp;YEAR($K$44)&amp;" Written Premium by Territory / Tier"</f>
        <v>TWIA 2022 Written Premium by Territory / Tier</v>
      </c>
      <c r="J55" s="2"/>
    </row>
    <row r="56" spans="1:10" x14ac:dyDescent="0.2">
      <c r="J56" s="2"/>
    </row>
    <row r="57" spans="1:10" x14ac:dyDescent="0.2">
      <c r="A57" s="9"/>
      <c r="B57" s="9"/>
      <c r="C57" s="9" t="s">
        <v>98</v>
      </c>
      <c r="D57" s="9" t="s">
        <v>99</v>
      </c>
      <c r="E57" s="9" t="s">
        <v>100</v>
      </c>
      <c r="F57" s="9" t="s">
        <v>22</v>
      </c>
      <c r="G57" s="9" t="s">
        <v>8</v>
      </c>
      <c r="J57" s="2"/>
    </row>
    <row r="58" spans="1:10" x14ac:dyDescent="0.2">
      <c r="J58" s="2"/>
    </row>
    <row r="59" spans="1:10" x14ac:dyDescent="0.2">
      <c r="A59" s="40" t="s">
        <v>90</v>
      </c>
      <c r="B59" t="s">
        <v>23</v>
      </c>
      <c r="C59" s="272">
        <f>'[4]TWIA 5'!$X$23</f>
        <v>34021878</v>
      </c>
      <c r="D59" s="272">
        <f>'[4]TWIA 5'!$X$24</f>
        <v>22336222</v>
      </c>
      <c r="E59" s="272">
        <f>'[4]TWIA 5'!$X$25</f>
        <v>31966858</v>
      </c>
      <c r="F59" s="272">
        <f>'[4]TWIA 5'!$X$26</f>
        <v>1288623</v>
      </c>
      <c r="G59" s="26">
        <f>SUM(C59:F59)</f>
        <v>89613581</v>
      </c>
      <c r="J59" s="2"/>
    </row>
    <row r="60" spans="1:10" x14ac:dyDescent="0.2">
      <c r="A60" s="40" t="s">
        <v>89</v>
      </c>
      <c r="B60" t="s">
        <v>103</v>
      </c>
      <c r="C60" s="80">
        <f>C59/$G59</f>
        <v>0.37965091474248752</v>
      </c>
      <c r="D60" s="80">
        <f>D59/$G59</f>
        <v>0.24925041216687904</v>
      </c>
      <c r="E60" s="80">
        <f>E59/$G59</f>
        <v>0.35671889956054764</v>
      </c>
      <c r="F60" s="80">
        <f>F59/$G59</f>
        <v>1.4379773530085802E-2</v>
      </c>
      <c r="G60" s="80">
        <f>SUM(C60:F60)</f>
        <v>1.0000000000000002</v>
      </c>
      <c r="J60" s="2"/>
    </row>
    <row r="61" spans="1:10" ht="12" thickBot="1" x14ac:dyDescent="0.25">
      <c r="A61" s="6"/>
      <c r="B61" s="6"/>
      <c r="C61" s="6"/>
      <c r="D61" s="6"/>
      <c r="E61" s="6"/>
      <c r="F61" s="6"/>
      <c r="G61" s="6"/>
      <c r="J61" s="2"/>
    </row>
    <row r="62" spans="1:10" ht="12" thickTop="1" x14ac:dyDescent="0.2">
      <c r="J62" s="2"/>
    </row>
    <row r="63" spans="1:10" x14ac:dyDescent="0.2">
      <c r="A63" t="s">
        <v>18</v>
      </c>
      <c r="J63" s="2"/>
    </row>
    <row r="64" spans="1:10" x14ac:dyDescent="0.2">
      <c r="B64" s="12" t="str">
        <f>C11&amp;" "&amp;'6.4'!$J$1&amp;", "&amp;'6.4'!$J$2</f>
        <v>(2) Exhibit 6, Sheet 4</v>
      </c>
      <c r="E64" s="12" t="str">
        <f>G11&amp;" = Weighted average of "&amp;C11&amp;" to "&amp;F11&amp;", using "&amp;A60</f>
        <v>(6) = Weighted average of (2) to (5), using (9)</v>
      </c>
      <c r="J64" s="2"/>
    </row>
    <row r="65" spans="1:10" x14ac:dyDescent="0.2">
      <c r="B65" s="12" t="str">
        <f>D11&amp;" "&amp;'6.5'!$J$1&amp;", "&amp;'6.5'!$J$2</f>
        <v>(3) Exhibit 6, Sheet 5</v>
      </c>
      <c r="E65" t="s">
        <v>495</v>
      </c>
      <c r="J65" s="2"/>
    </row>
    <row r="66" spans="1:10" x14ac:dyDescent="0.2">
      <c r="B66" s="12" t="str">
        <f>E11&amp;" "&amp;'6.6'!$J$1&amp;", "&amp;'6.6'!$J$2</f>
        <v>(4) Exhibit 6, Sheet 6</v>
      </c>
      <c r="E66" s="22" t="str">
        <f>A59&amp;" Provided by TWIA"</f>
        <v>(8) Provided by TWIA</v>
      </c>
      <c r="J66" s="2"/>
    </row>
    <row r="67" spans="1:10" x14ac:dyDescent="0.2">
      <c r="B67" s="12" t="str">
        <f>F11&amp;" "&amp;'6.7'!$J$1&amp;", "&amp;'6.7'!$J$2</f>
        <v>(5) Exhibit 6, Sheet 7</v>
      </c>
      <c r="E67" s="22" t="str">
        <f>A60&amp;" = "&amp;A59&amp;" / "&amp;A59&amp;" Total"</f>
        <v>(9) = (8) / (8) Total</v>
      </c>
      <c r="J67" s="2"/>
    </row>
    <row r="68" spans="1:10" x14ac:dyDescent="0.2">
      <c r="J68" s="2"/>
    </row>
    <row r="69" spans="1:10" ht="12" thickBot="1" x14ac:dyDescent="0.25">
      <c r="D69" s="41"/>
      <c r="E69" s="41"/>
      <c r="F69" s="41"/>
      <c r="G69" s="21"/>
      <c r="J69" s="2"/>
    </row>
    <row r="70" spans="1:10" ht="12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92D050"/>
  </sheetPr>
  <dimension ref="A1:IH91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  <col min="11" max="19" width="11.33203125" customWidth="1"/>
    <col min="20" max="59" width="5.5" bestFit="1" customWidth="1"/>
    <col min="60" max="62" width="5.6640625" bestFit="1" customWidth="1"/>
    <col min="63" max="63" width="5.6640625" customWidth="1"/>
    <col min="64" max="220" width="2.1640625" customWidth="1"/>
    <col min="221" max="242" width="2.33203125" customWidth="1"/>
  </cols>
  <sheetData>
    <row r="1" spans="1:63" x14ac:dyDescent="0.2">
      <c r="A1" s="8" t="str">
        <f>'1'!$A$1</f>
        <v>Texas Windstorm Insurance Association</v>
      </c>
      <c r="B1" s="12"/>
      <c r="J1" s="7" t="s">
        <v>82</v>
      </c>
      <c r="K1" s="1"/>
      <c r="L1" s="49">
        <v>44742</v>
      </c>
      <c r="N1" t="s">
        <v>526</v>
      </c>
      <c r="O1" t="s">
        <v>566</v>
      </c>
      <c r="R1" t="s">
        <v>526</v>
      </c>
      <c r="S1" t="s">
        <v>575</v>
      </c>
    </row>
    <row r="2" spans="1:63" x14ac:dyDescent="0.2">
      <c r="A2" s="8" t="str">
        <f>'1'!$A$2</f>
        <v>Commercial Property - Wind &amp; Hail</v>
      </c>
      <c r="B2" s="12"/>
      <c r="J2" s="7" t="s">
        <v>71</v>
      </c>
      <c r="K2" s="2"/>
      <c r="N2" t="s">
        <v>526</v>
      </c>
      <c r="O2" t="s">
        <v>573</v>
      </c>
      <c r="R2" t="s">
        <v>526</v>
      </c>
      <c r="S2" t="s">
        <v>585</v>
      </c>
    </row>
    <row r="3" spans="1:63" x14ac:dyDescent="0.2">
      <c r="A3" s="8" t="str">
        <f>'1'!$A$3</f>
        <v>Rate Level Review</v>
      </c>
      <c r="B3" s="12"/>
      <c r="K3" s="2"/>
      <c r="N3" t="s">
        <v>526</v>
      </c>
      <c r="O3" t="s">
        <v>574</v>
      </c>
    </row>
    <row r="4" spans="1:63" x14ac:dyDescent="0.2">
      <c r="A4" t="s">
        <v>223</v>
      </c>
      <c r="B4" s="12"/>
      <c r="K4" s="2"/>
    </row>
    <row r="5" spans="1:63" x14ac:dyDescent="0.2">
      <c r="A5" t="s">
        <v>26</v>
      </c>
      <c r="B5" s="12"/>
      <c r="E5" s="314"/>
      <c r="F5" s="314"/>
      <c r="G5" s="314"/>
      <c r="H5" s="314"/>
      <c r="K5" s="2"/>
      <c r="P5" s="10" t="s">
        <v>240</v>
      </c>
    </row>
    <row r="6" spans="1:63" x14ac:dyDescent="0.2">
      <c r="K6" s="2"/>
      <c r="P6" t="s">
        <v>191</v>
      </c>
      <c r="Q6" t="s">
        <v>241</v>
      </c>
      <c r="R6" s="11" t="s">
        <v>242</v>
      </c>
      <c r="S6" t="s">
        <v>54</v>
      </c>
      <c r="T6">
        <v>1980</v>
      </c>
      <c r="U6">
        <f>T6+1</f>
        <v>1981</v>
      </c>
      <c r="V6">
        <f t="shared" ref="V6:BB6" si="0">U6+1</f>
        <v>1982</v>
      </c>
      <c r="W6">
        <f t="shared" si="0"/>
        <v>1983</v>
      </c>
      <c r="X6">
        <f t="shared" si="0"/>
        <v>1984</v>
      </c>
      <c r="Y6">
        <f t="shared" si="0"/>
        <v>1985</v>
      </c>
      <c r="Z6">
        <f t="shared" si="0"/>
        <v>1986</v>
      </c>
      <c r="AA6">
        <f t="shared" si="0"/>
        <v>1987</v>
      </c>
      <c r="AB6">
        <f t="shared" si="0"/>
        <v>1988</v>
      </c>
      <c r="AC6">
        <f t="shared" si="0"/>
        <v>1989</v>
      </c>
      <c r="AD6">
        <f t="shared" si="0"/>
        <v>1990</v>
      </c>
      <c r="AE6">
        <f t="shared" si="0"/>
        <v>1991</v>
      </c>
      <c r="AF6">
        <f t="shared" si="0"/>
        <v>1992</v>
      </c>
      <c r="AG6">
        <f t="shared" si="0"/>
        <v>1993</v>
      </c>
      <c r="AH6">
        <f t="shared" si="0"/>
        <v>1994</v>
      </c>
      <c r="AI6">
        <f t="shared" si="0"/>
        <v>1995</v>
      </c>
      <c r="AJ6">
        <f t="shared" si="0"/>
        <v>1996</v>
      </c>
      <c r="AK6">
        <f t="shared" si="0"/>
        <v>1997</v>
      </c>
      <c r="AL6">
        <f t="shared" si="0"/>
        <v>1998</v>
      </c>
      <c r="AM6">
        <f t="shared" si="0"/>
        <v>1999</v>
      </c>
      <c r="AN6">
        <f t="shared" si="0"/>
        <v>2000</v>
      </c>
      <c r="AO6">
        <f t="shared" si="0"/>
        <v>2001</v>
      </c>
      <c r="AP6">
        <f t="shared" si="0"/>
        <v>2002</v>
      </c>
      <c r="AQ6">
        <f t="shared" si="0"/>
        <v>2003</v>
      </c>
      <c r="AR6">
        <f t="shared" si="0"/>
        <v>2004</v>
      </c>
      <c r="AS6">
        <f t="shared" si="0"/>
        <v>2005</v>
      </c>
      <c r="AT6">
        <f t="shared" si="0"/>
        <v>2006</v>
      </c>
      <c r="AU6">
        <f t="shared" si="0"/>
        <v>2007</v>
      </c>
      <c r="AV6">
        <f t="shared" si="0"/>
        <v>2008</v>
      </c>
      <c r="AW6">
        <f t="shared" si="0"/>
        <v>2009</v>
      </c>
      <c r="AX6">
        <f t="shared" si="0"/>
        <v>2010</v>
      </c>
      <c r="AY6">
        <f t="shared" si="0"/>
        <v>2011</v>
      </c>
      <c r="AZ6">
        <f t="shared" si="0"/>
        <v>2012</v>
      </c>
      <c r="BA6">
        <f t="shared" si="0"/>
        <v>2013</v>
      </c>
      <c r="BB6">
        <f t="shared" si="0"/>
        <v>2014</v>
      </c>
      <c r="BC6">
        <f t="shared" ref="BC6" si="1">BB6+1</f>
        <v>2015</v>
      </c>
      <c r="BD6">
        <f t="shared" ref="BD6" si="2">BC6+1</f>
        <v>2016</v>
      </c>
      <c r="BE6">
        <f t="shared" ref="BE6" si="3">BD6+1</f>
        <v>2017</v>
      </c>
      <c r="BF6">
        <f t="shared" ref="BF6" si="4">BE6+1</f>
        <v>2018</v>
      </c>
      <c r="BG6">
        <f t="shared" ref="BG6" si="5">BF6+1</f>
        <v>2019</v>
      </c>
      <c r="BH6">
        <v>2020</v>
      </c>
      <c r="BI6">
        <v>2021</v>
      </c>
      <c r="BJ6">
        <v>2022</v>
      </c>
      <c r="BK6">
        <v>2023</v>
      </c>
    </row>
    <row r="7" spans="1:63" ht="12" thickBot="1" x14ac:dyDescent="0.25">
      <c r="A7" s="6"/>
      <c r="B7" s="6"/>
      <c r="C7" s="6"/>
      <c r="D7" s="6"/>
      <c r="E7" s="6"/>
      <c r="F7" s="6"/>
      <c r="G7" s="6"/>
      <c r="H7" s="6"/>
      <c r="K7" s="2"/>
      <c r="O7" t="s">
        <v>15</v>
      </c>
      <c r="P7" t="str">
        <f>'10.3'!A14</f>
        <v>Prior</v>
      </c>
      <c r="R7">
        <v>1</v>
      </c>
      <c r="S7" s="68">
        <f>'10.3'!D14</f>
        <v>1</v>
      </c>
      <c r="T7" s="68">
        <f>1-T8</f>
        <v>0.91319444444444442</v>
      </c>
      <c r="U7" s="68">
        <f>0.5*(7/12)^2</f>
        <v>0.17013888888888892</v>
      </c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</row>
    <row r="8" spans="1:63" ht="12" thickTop="1" x14ac:dyDescent="0.2">
      <c r="K8" s="2"/>
      <c r="O8" t="s">
        <v>16</v>
      </c>
      <c r="P8" t="str">
        <f>'10.3'!A15</f>
        <v>8/1/80</v>
      </c>
      <c r="Q8" s="205">
        <f>'10.3'!C15</f>
        <v>0.17499999999999999</v>
      </c>
      <c r="R8">
        <f>R7+Q8</f>
        <v>1.175</v>
      </c>
      <c r="S8" s="68">
        <f>'10.3'!D15</f>
        <v>1.175</v>
      </c>
      <c r="T8" s="68">
        <f>0.5*(5/12)^2</f>
        <v>8.6805555555555566E-2</v>
      </c>
      <c r="U8" s="68">
        <f>1-U7-U9</f>
        <v>0.77430555555555547</v>
      </c>
      <c r="V8" s="68">
        <f>0.5*(8/12)^2</f>
        <v>0.22222222222222221</v>
      </c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</row>
    <row r="9" spans="1:63" x14ac:dyDescent="0.2">
      <c r="C9" s="12"/>
      <c r="D9" t="s">
        <v>94</v>
      </c>
      <c r="E9" t="s">
        <v>226</v>
      </c>
      <c r="F9" t="s">
        <v>94</v>
      </c>
      <c r="K9" s="2"/>
      <c r="L9" s="24"/>
      <c r="O9" t="s">
        <v>333</v>
      </c>
      <c r="P9" t="str">
        <f>'10.3'!A16</f>
        <v>9/1/81</v>
      </c>
      <c r="Q9" s="205">
        <f>'10.3'!C16</f>
        <v>-3.6999999999999998E-2</v>
      </c>
      <c r="R9" s="19">
        <f>1+Q9</f>
        <v>0.96299999999999997</v>
      </c>
      <c r="S9" s="68">
        <f>'10.3'!D16</f>
        <v>1.1315250000000001</v>
      </c>
      <c r="T9" s="68"/>
      <c r="U9" s="68">
        <f>0.5*(4/12)^2</f>
        <v>5.5555555555555552E-2</v>
      </c>
      <c r="V9" s="68">
        <f>1-V8-V10</f>
        <v>0.72222222222222221</v>
      </c>
      <c r="W9" s="68">
        <f>0.5*(8/12)^2</f>
        <v>0.22222222222222221</v>
      </c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</row>
    <row r="10" spans="1:63" x14ac:dyDescent="0.2">
      <c r="A10" t="s">
        <v>41</v>
      </c>
      <c r="C10" t="s">
        <v>94</v>
      </c>
      <c r="D10" t="s">
        <v>95</v>
      </c>
      <c r="E10" t="s">
        <v>227</v>
      </c>
      <c r="F10" t="s">
        <v>228</v>
      </c>
      <c r="G10" t="s">
        <v>67</v>
      </c>
      <c r="H10" t="s">
        <v>67</v>
      </c>
      <c r="K10" s="2"/>
      <c r="L10" s="12"/>
      <c r="O10" t="s">
        <v>334</v>
      </c>
      <c r="P10" t="str">
        <f>'10.3'!A17</f>
        <v>9/1/82</v>
      </c>
      <c r="Q10" s="305">
        <f>'10.3'!C17</f>
        <v>0.26200000000000001</v>
      </c>
      <c r="R10" s="19">
        <f t="shared" ref="R10:R45" si="6">1+Q10</f>
        <v>1.262</v>
      </c>
      <c r="S10" s="68">
        <f>'10.3'!D17</f>
        <v>1.4279845500000001</v>
      </c>
      <c r="T10" s="68"/>
      <c r="U10" s="68"/>
      <c r="V10" s="68">
        <f>0.5*(4/12)^2</f>
        <v>5.5555555555555552E-2</v>
      </c>
      <c r="W10" s="68">
        <f>1-W9-W11</f>
        <v>0.75288689443866341</v>
      </c>
      <c r="X10" s="68">
        <f>0.5*((9/12)+(10/(31*12)))^2</f>
        <v>0.30177260376922188</v>
      </c>
      <c r="Y10" s="68"/>
      <c r="Z10" s="68"/>
      <c r="AA10" s="68"/>
      <c r="AB10" s="68"/>
      <c r="AC10" s="68"/>
      <c r="AD10" s="68"/>
      <c r="AE10" s="68"/>
      <c r="AF10" s="68"/>
      <c r="AG10" s="68"/>
      <c r="AH10" s="68"/>
    </row>
    <row r="11" spans="1:63" x14ac:dyDescent="0.2">
      <c r="A11" s="9" t="s">
        <v>42</v>
      </c>
      <c r="B11" s="9"/>
      <c r="C11" s="9" t="s">
        <v>95</v>
      </c>
      <c r="D11" s="9" t="s">
        <v>225</v>
      </c>
      <c r="E11" s="9" t="s">
        <v>104</v>
      </c>
      <c r="F11" s="9" t="s">
        <v>229</v>
      </c>
      <c r="G11" s="9" t="s">
        <v>34</v>
      </c>
      <c r="H11" s="9" t="s">
        <v>58</v>
      </c>
      <c r="K11" s="2"/>
      <c r="L11" s="36"/>
      <c r="O11" t="s">
        <v>335</v>
      </c>
      <c r="P11" t="str">
        <f>'10.3'!A18</f>
        <v>10/10/83</v>
      </c>
      <c r="Q11" s="305">
        <f>'10.3'!C18</f>
        <v>0.06</v>
      </c>
      <c r="R11" s="19">
        <f t="shared" si="6"/>
        <v>1.06</v>
      </c>
      <c r="S11" s="68">
        <f>'10.3'!D18</f>
        <v>1.5136636230000002</v>
      </c>
      <c r="T11" s="68"/>
      <c r="U11" s="68"/>
      <c r="V11" s="68"/>
      <c r="W11" s="68">
        <f>0.5*((21/31)/12+(2/12))^2</f>
        <v>2.4890883339114347E-2</v>
      </c>
      <c r="X11" s="68">
        <f>1-X10</f>
        <v>0.69822739623077812</v>
      </c>
      <c r="Y11" s="68">
        <f>1-SUM(Y12:Y14)</f>
        <v>0.65277777777777768</v>
      </c>
      <c r="Z11" s="68">
        <f>0.5*(2/12)^2</f>
        <v>1.3888888888888888E-2</v>
      </c>
      <c r="AA11" s="68"/>
      <c r="AB11" s="68"/>
      <c r="AC11" s="68"/>
      <c r="AD11" s="68"/>
      <c r="AE11" s="68"/>
      <c r="AF11" s="68"/>
      <c r="AG11" s="68"/>
      <c r="AH11" s="68"/>
    </row>
    <row r="12" spans="1:63" x14ac:dyDescent="0.2">
      <c r="A12" s="13" t="str">
        <f>TEXT(COLUMN(),"(#)")</f>
        <v>(1)</v>
      </c>
      <c r="B12" s="13"/>
      <c r="C12" s="11" t="str">
        <f t="shared" ref="C12:H12" si="7">TEXT(COLUMN()-1,"(#)")</f>
        <v>(2)</v>
      </c>
      <c r="D12" s="11" t="str">
        <f t="shared" si="7"/>
        <v>(3)</v>
      </c>
      <c r="E12" s="11" t="str">
        <f t="shared" si="7"/>
        <v>(4)</v>
      </c>
      <c r="F12" s="11" t="str">
        <f t="shared" si="7"/>
        <v>(5)</v>
      </c>
      <c r="G12" s="11" t="str">
        <f t="shared" si="7"/>
        <v>(6)</v>
      </c>
      <c r="H12" s="11" t="str">
        <f t="shared" si="7"/>
        <v>(7)</v>
      </c>
      <c r="I12" s="11"/>
      <c r="K12" s="2"/>
      <c r="O12" t="s">
        <v>336</v>
      </c>
      <c r="P12" t="str">
        <f>'10.3'!A19</f>
        <v>3/1/85</v>
      </c>
      <c r="Q12" s="305">
        <f>'10.3'!C19</f>
        <v>0.25</v>
      </c>
      <c r="R12" s="19">
        <f t="shared" si="6"/>
        <v>1.25</v>
      </c>
      <c r="S12" s="68">
        <f>'10.3'!D19</f>
        <v>1.8920795287500003</v>
      </c>
      <c r="T12" s="68"/>
      <c r="U12" s="68"/>
      <c r="V12" s="68"/>
      <c r="W12" s="68"/>
      <c r="X12" s="68"/>
      <c r="Y12" s="68">
        <f>0.5*((10/12)^2)-Y13-Y14</f>
        <v>3.3854166666666741E-2</v>
      </c>
      <c r="Z12" s="68">
        <f>0.5*((2.5/12)^2)-Z11</f>
        <v>7.8125000000000035E-3</v>
      </c>
      <c r="AA12" s="68"/>
      <c r="AB12" s="68"/>
      <c r="AC12" s="68"/>
      <c r="AD12" s="68"/>
      <c r="AE12" s="68"/>
      <c r="AF12" s="68"/>
      <c r="AG12" s="68"/>
      <c r="AH12" s="68"/>
    </row>
    <row r="13" spans="1:63" x14ac:dyDescent="0.2">
      <c r="K13" s="2"/>
      <c r="O13" t="s">
        <v>337</v>
      </c>
      <c r="P13" t="str">
        <f>'10.3'!A20</f>
        <v>3/15/85</v>
      </c>
      <c r="Q13" s="305">
        <f>'10.3'!C20</f>
        <v>0.28299999999999997</v>
      </c>
      <c r="R13" s="19">
        <f t="shared" si="6"/>
        <v>1.2829999999999999</v>
      </c>
      <c r="S13" s="68">
        <f>'10.3'!D20</f>
        <v>2.4275380353862501</v>
      </c>
      <c r="T13" s="68"/>
      <c r="U13" s="68"/>
      <c r="V13" s="68"/>
      <c r="W13" s="68"/>
      <c r="X13" s="68"/>
      <c r="Y13" s="68">
        <f>(0.5*(9.5/12)^2)-Y14</f>
        <v>0.30555555555555552</v>
      </c>
      <c r="Z13" s="68">
        <f>0.5*((10.5/12)^2)-Z12-Z11</f>
        <v>0.3611111111111111</v>
      </c>
      <c r="AA13" s="68"/>
      <c r="AB13" s="68"/>
      <c r="AC13" s="68"/>
      <c r="AD13" s="68"/>
      <c r="AE13" s="68"/>
      <c r="AF13" s="68"/>
      <c r="AG13" s="68"/>
      <c r="AH13" s="68"/>
    </row>
    <row r="14" spans="1:63" x14ac:dyDescent="0.2">
      <c r="A14" s="61" t="s">
        <v>421</v>
      </c>
      <c r="C14" s="31">
        <v>913865</v>
      </c>
      <c r="D14" s="31">
        <v>968224</v>
      </c>
      <c r="E14" s="103">
        <f t="shared" ref="E14:E33" si="8">Q51</f>
        <v>3.8293316891072973</v>
      </c>
      <c r="F14" s="26">
        <f>D14*$E$23</f>
        <v>2741513.8488982213</v>
      </c>
      <c r="G14" s="31">
        <v>26357425</v>
      </c>
      <c r="H14" s="21">
        <f>ROUND(G14/F14,3)</f>
        <v>9.6140000000000008</v>
      </c>
      <c r="I14" s="37"/>
      <c r="K14" s="2"/>
      <c r="L14" s="28"/>
      <c r="O14" t="s">
        <v>60</v>
      </c>
      <c r="P14" t="str">
        <f>'10.3'!A21</f>
        <v>11/15/85</v>
      </c>
      <c r="Q14" s="305">
        <f>'10.3'!C21</f>
        <v>9.1999999999999998E-2</v>
      </c>
      <c r="R14" s="19">
        <f t="shared" si="6"/>
        <v>1.0920000000000001</v>
      </c>
      <c r="S14" s="68">
        <f>'10.3'!D21</f>
        <v>2.6508715346417855</v>
      </c>
      <c r="T14" s="68"/>
      <c r="U14" s="68"/>
      <c r="V14" s="68"/>
      <c r="W14" s="68"/>
      <c r="X14" s="68"/>
      <c r="Y14" s="68">
        <f>0.5*(1.5/12)^2</f>
        <v>7.8125E-3</v>
      </c>
      <c r="Z14" s="68">
        <f>1-SUM(Z11:Z13)</f>
        <v>0.6171875</v>
      </c>
      <c r="AA14" s="68">
        <f>1-AA15</f>
        <v>0.875</v>
      </c>
      <c r="AB14" s="68">
        <v>0.125</v>
      </c>
      <c r="AC14" s="68"/>
      <c r="AD14" s="68"/>
      <c r="AE14" s="68"/>
      <c r="AF14" s="68"/>
      <c r="AG14" s="68"/>
      <c r="AH14" s="68"/>
    </row>
    <row r="15" spans="1:63" x14ac:dyDescent="0.2">
      <c r="A15" s="22" t="s">
        <v>422</v>
      </c>
      <c r="C15" s="31">
        <v>1195339</v>
      </c>
      <c r="D15" s="31">
        <v>1366667</v>
      </c>
      <c r="E15" s="103">
        <f t="shared" si="8"/>
        <v>3.5112843511426886</v>
      </c>
      <c r="F15" s="26">
        <f>D15*$E$23</f>
        <v>3869700.0976346233</v>
      </c>
      <c r="G15" s="31">
        <v>318455</v>
      </c>
      <c r="H15" s="21">
        <f t="shared" ref="H15:H47" si="9">ROUND(G15/F15,3)</f>
        <v>8.2000000000000003E-2</v>
      </c>
      <c r="I15" s="37"/>
      <c r="K15" s="2"/>
      <c r="O15" t="s">
        <v>338</v>
      </c>
      <c r="P15" t="str">
        <f>'10.3'!A22</f>
        <v>7/1/87</v>
      </c>
      <c r="Q15" s="305">
        <f>'10.3'!C22</f>
        <v>-9.1999999999999998E-2</v>
      </c>
      <c r="R15" s="19">
        <f t="shared" si="6"/>
        <v>0.90800000000000003</v>
      </c>
      <c r="S15" s="68">
        <f>'10.3'!D22</f>
        <v>2.4069913534547411</v>
      </c>
      <c r="T15" s="68"/>
      <c r="U15" s="68"/>
      <c r="V15" s="68"/>
      <c r="W15" s="68"/>
      <c r="X15" s="68"/>
      <c r="Y15" s="68"/>
      <c r="Z15" s="68"/>
      <c r="AA15" s="68">
        <v>0.125</v>
      </c>
      <c r="AB15" s="68">
        <f>1-AB14-AB16</f>
        <v>0.86111111111111116</v>
      </c>
      <c r="AC15" s="68">
        <f>0.5*(10/12)^2</f>
        <v>0.34722222222222227</v>
      </c>
      <c r="AD15" s="68"/>
      <c r="AE15" s="68"/>
      <c r="AF15" s="68"/>
      <c r="AG15" s="68"/>
      <c r="AH15" s="68"/>
    </row>
    <row r="16" spans="1:63" x14ac:dyDescent="0.2">
      <c r="A16" s="22" t="s">
        <v>423</v>
      </c>
      <c r="C16" s="31">
        <v>2581481</v>
      </c>
      <c r="D16" s="31">
        <v>2777593</v>
      </c>
      <c r="E16" s="103">
        <f t="shared" si="8"/>
        <v>2.8789383840739684</v>
      </c>
      <c r="F16" s="26">
        <f>D16*$E$23</f>
        <v>7864718.9866216471</v>
      </c>
      <c r="G16" s="31">
        <v>314878</v>
      </c>
      <c r="H16" s="21">
        <f t="shared" si="9"/>
        <v>0.04</v>
      </c>
      <c r="I16" s="37"/>
      <c r="K16" s="2"/>
      <c r="O16" t="s">
        <v>339</v>
      </c>
      <c r="P16" t="str">
        <f>'10.3'!A23</f>
        <v>11/1/88</v>
      </c>
      <c r="Q16" s="205">
        <f>'10.3'!C23</f>
        <v>-0.13800000000000001</v>
      </c>
      <c r="R16" s="19">
        <f t="shared" si="6"/>
        <v>0.86199999999999999</v>
      </c>
      <c r="S16" s="68">
        <f>'10.3'!D23</f>
        <v>2.0748265466779867</v>
      </c>
      <c r="T16" s="68"/>
      <c r="U16" s="68"/>
      <c r="V16" s="68"/>
      <c r="W16" s="68"/>
      <c r="X16" s="68"/>
      <c r="Y16" s="68"/>
      <c r="Z16" s="68"/>
      <c r="AA16" s="68"/>
      <c r="AB16" s="68">
        <f>0.5*(2/12)^2</f>
        <v>1.3888888888888888E-2</v>
      </c>
      <c r="AC16" s="68">
        <f>1-AC15</f>
        <v>0.65277777777777768</v>
      </c>
      <c r="AD16" s="68">
        <f>1-AD17</f>
        <v>0.65277777777777768</v>
      </c>
      <c r="AE16" s="68">
        <f>0.5*(2/12)^2</f>
        <v>1.3888888888888888E-2</v>
      </c>
      <c r="AF16" s="68"/>
      <c r="AG16" s="68"/>
      <c r="AH16" s="68"/>
    </row>
    <row r="17" spans="1:51" x14ac:dyDescent="0.2">
      <c r="A17" s="22" t="s">
        <v>424</v>
      </c>
      <c r="C17" s="31">
        <v>3013362</v>
      </c>
      <c r="D17" s="31">
        <v>2349181</v>
      </c>
      <c r="E17" s="103">
        <f t="shared" si="8"/>
        <v>2.0498785892003166</v>
      </c>
      <c r="F17" s="26">
        <f t="shared" ref="F17:F21" si="10">D17*$E$23</f>
        <v>6651675.8984166607</v>
      </c>
      <c r="G17" s="31">
        <v>211282</v>
      </c>
      <c r="H17" s="21">
        <f t="shared" si="9"/>
        <v>3.2000000000000001E-2</v>
      </c>
      <c r="I17" s="37"/>
      <c r="K17" s="2"/>
      <c r="O17" t="s">
        <v>340</v>
      </c>
      <c r="P17" t="str">
        <f>'10.3'!A24</f>
        <v>3/1/90</v>
      </c>
      <c r="Q17" s="205">
        <f>'10.3'!C24</f>
        <v>1.4E-2</v>
      </c>
      <c r="R17" s="19">
        <f t="shared" si="6"/>
        <v>1.014</v>
      </c>
      <c r="S17" s="68">
        <f>'10.3'!D24</f>
        <v>2.1038741183314786</v>
      </c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>
        <f>0.5*(10/12)^2</f>
        <v>0.34722222222222227</v>
      </c>
      <c r="AE17" s="68">
        <f>1-AE18-AE16</f>
        <v>0.70486111111111116</v>
      </c>
      <c r="AF17" s="68">
        <v>3.125E-2</v>
      </c>
      <c r="AG17" s="68"/>
      <c r="AH17" s="68"/>
    </row>
    <row r="18" spans="1:51" x14ac:dyDescent="0.2">
      <c r="A18" s="22" t="s">
        <v>425</v>
      </c>
      <c r="C18" s="31">
        <v>3004153</v>
      </c>
      <c r="D18" s="31">
        <v>2585122</v>
      </c>
      <c r="E18" s="103">
        <f t="shared" si="8"/>
        <v>1.9936436916734259</v>
      </c>
      <c r="F18" s="26">
        <f t="shared" si="10"/>
        <v>7319739.8165005902</v>
      </c>
      <c r="G18" s="31">
        <v>37480</v>
      </c>
      <c r="H18" s="21">
        <f t="shared" si="9"/>
        <v>5.0000000000000001E-3</v>
      </c>
      <c r="I18" s="37"/>
      <c r="K18" s="2"/>
      <c r="O18" t="s">
        <v>367</v>
      </c>
      <c r="P18" t="str">
        <f>'10.3'!A25</f>
        <v>4/1/91</v>
      </c>
      <c r="Q18" s="205">
        <f>'10.3'!C25</f>
        <v>-0.01</v>
      </c>
      <c r="R18" s="19">
        <f t="shared" si="6"/>
        <v>0.99</v>
      </c>
      <c r="S18" s="68">
        <f>'10.3'!D25</f>
        <v>2.082835377148164</v>
      </c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>
        <v>0.28125</v>
      </c>
      <c r="AF18" s="68">
        <f>1-AF17-AF19</f>
        <v>0.46875</v>
      </c>
      <c r="AG18" s="68"/>
      <c r="AH18" s="68"/>
    </row>
    <row r="19" spans="1:51" x14ac:dyDescent="0.2">
      <c r="A19" s="22" t="s">
        <v>426</v>
      </c>
      <c r="C19" s="31">
        <v>2905355</v>
      </c>
      <c r="D19" s="31">
        <v>2728206</v>
      </c>
      <c r="E19" s="103">
        <f t="shared" si="8"/>
        <v>2.1473124836449715</v>
      </c>
      <c r="F19" s="26">
        <f t="shared" si="10"/>
        <v>7724880.328980919</v>
      </c>
      <c r="G19" s="31">
        <v>969836</v>
      </c>
      <c r="H19" s="21">
        <f t="shared" si="9"/>
        <v>0.126</v>
      </c>
      <c r="I19" s="37"/>
      <c r="K19" s="2"/>
      <c r="O19" t="s">
        <v>372</v>
      </c>
      <c r="P19" t="str">
        <f>'10.3'!A26</f>
        <v>1/1/92</v>
      </c>
      <c r="Q19" s="205">
        <f>'10.3'!C26</f>
        <v>-0.22900000000000001</v>
      </c>
      <c r="R19" s="19">
        <f t="shared" si="6"/>
        <v>0.77100000000000002</v>
      </c>
      <c r="S19" s="68">
        <f>'10.3'!D26</f>
        <v>1.6058660757812344</v>
      </c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>
        <v>0.5</v>
      </c>
      <c r="AG19" s="68">
        <f>1-AG20</f>
        <v>0.96875</v>
      </c>
      <c r="AH19" s="68">
        <v>0.28125</v>
      </c>
    </row>
    <row r="20" spans="1:51" x14ac:dyDescent="0.2">
      <c r="A20" s="22" t="s">
        <v>427</v>
      </c>
      <c r="C20" s="31">
        <v>2825114</v>
      </c>
      <c r="D20" s="31">
        <v>3015974</v>
      </c>
      <c r="E20" s="103">
        <f t="shared" si="8"/>
        <v>2.385265617366465</v>
      </c>
      <c r="F20" s="26">
        <f t="shared" si="10"/>
        <v>8539691.7334387135</v>
      </c>
      <c r="G20" s="31">
        <v>1244199</v>
      </c>
      <c r="H20" s="21">
        <f t="shared" si="9"/>
        <v>0.14599999999999999</v>
      </c>
      <c r="I20" s="37"/>
      <c r="K20" s="2"/>
      <c r="O20" t="s">
        <v>391</v>
      </c>
      <c r="P20" t="str">
        <f>'10.3'!A27</f>
        <v>10/1/93</v>
      </c>
      <c r="Q20" s="205">
        <f>'10.3'!C27</f>
        <v>0</v>
      </c>
      <c r="R20" s="19">
        <f t="shared" si="6"/>
        <v>1</v>
      </c>
      <c r="S20" s="68">
        <f>'10.3'!D27</f>
        <v>1.6058660757812344</v>
      </c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>
        <v>3.125E-2</v>
      </c>
      <c r="AH20" s="68">
        <f>1-AH19</f>
        <v>0.71875</v>
      </c>
      <c r="AI20">
        <v>1</v>
      </c>
      <c r="AJ20">
        <v>1</v>
      </c>
      <c r="AK20">
        <v>1</v>
      </c>
      <c r="AL20">
        <v>0.5</v>
      </c>
    </row>
    <row r="21" spans="1:51" x14ac:dyDescent="0.2">
      <c r="A21" s="22" t="s">
        <v>428</v>
      </c>
      <c r="C21" s="31">
        <v>2303321</v>
      </c>
      <c r="D21" s="31">
        <v>2474141</v>
      </c>
      <c r="E21" s="103">
        <f t="shared" si="8"/>
        <v>2.5056768649457406</v>
      </c>
      <c r="F21" s="26">
        <f t="shared" si="10"/>
        <v>7005498.537143155</v>
      </c>
      <c r="G21" s="31">
        <v>18053460</v>
      </c>
      <c r="H21" s="21">
        <f t="shared" si="9"/>
        <v>2.577</v>
      </c>
      <c r="I21" s="37"/>
      <c r="K21" s="2"/>
      <c r="O21" t="s">
        <v>399</v>
      </c>
      <c r="P21" t="str">
        <f>'10.3'!A28</f>
        <v>1/1/98</v>
      </c>
      <c r="Q21" s="205">
        <f>'10.3'!C28</f>
        <v>-0.03</v>
      </c>
      <c r="R21" s="19">
        <f t="shared" si="6"/>
        <v>0.97</v>
      </c>
      <c r="S21" s="68">
        <f>'10.3'!D28</f>
        <v>1.5576900935077973</v>
      </c>
      <c r="AL21">
        <v>0.5</v>
      </c>
      <c r="AM21">
        <v>1</v>
      </c>
      <c r="AN21">
        <v>0.5</v>
      </c>
    </row>
    <row r="22" spans="1:51" x14ac:dyDescent="0.2">
      <c r="A22" s="22" t="s">
        <v>429</v>
      </c>
      <c r="C22" s="31">
        <v>2203500</v>
      </c>
      <c r="D22" s="31">
        <v>2080579</v>
      </c>
      <c r="E22" s="103">
        <f t="shared" si="8"/>
        <v>2.4905762618235174</v>
      </c>
      <c r="F22" s="26">
        <f>D22*$E$23</f>
        <v>5891132.7773602102</v>
      </c>
      <c r="G22" s="31">
        <v>1371244</v>
      </c>
      <c r="H22" s="21">
        <f t="shared" si="9"/>
        <v>0.23300000000000001</v>
      </c>
      <c r="I22" s="37"/>
      <c r="K22" s="2"/>
      <c r="O22" t="s">
        <v>400</v>
      </c>
      <c r="P22" t="str">
        <f>'10.3'!A29</f>
        <v>1/1/00</v>
      </c>
      <c r="Q22" s="205">
        <f>'10.3'!C29</f>
        <v>0.09</v>
      </c>
      <c r="R22" s="19">
        <f t="shared" si="6"/>
        <v>1.0900000000000001</v>
      </c>
      <c r="S22" s="68">
        <f>'10.3'!D29</f>
        <v>1.6978822019234991</v>
      </c>
      <c r="AN22">
        <v>0.5</v>
      </c>
      <c r="AO22">
        <v>0.5</v>
      </c>
    </row>
    <row r="23" spans="1:51" x14ac:dyDescent="0.2">
      <c r="A23" s="22" t="s">
        <v>430</v>
      </c>
      <c r="B23" s="12"/>
      <c r="C23" s="31">
        <v>2352391</v>
      </c>
      <c r="D23" s="31">
        <v>2012473</v>
      </c>
      <c r="E23" s="103">
        <f t="shared" si="8"/>
        <v>2.8314871857113864</v>
      </c>
      <c r="F23" s="26">
        <f>ROUND(D23*E23,0)</f>
        <v>5698292</v>
      </c>
      <c r="G23" s="31">
        <v>46331</v>
      </c>
      <c r="H23" s="21">
        <f t="shared" si="9"/>
        <v>8.0000000000000002E-3</v>
      </c>
      <c r="I23" s="37"/>
      <c r="K23" s="2"/>
      <c r="O23" t="s">
        <v>403</v>
      </c>
      <c r="P23" t="str">
        <f>'10.3'!A30</f>
        <v>1/1/01</v>
      </c>
      <c r="Q23" s="205">
        <f>'10.3'!C30</f>
        <v>0.04</v>
      </c>
      <c r="R23" s="19">
        <f t="shared" si="6"/>
        <v>1.04</v>
      </c>
      <c r="S23" s="68">
        <f>'10.3'!D30</f>
        <v>1.7657974900004392</v>
      </c>
      <c r="AO23">
        <v>0.5</v>
      </c>
      <c r="AP23">
        <v>0.5</v>
      </c>
    </row>
    <row r="24" spans="1:51" x14ac:dyDescent="0.2">
      <c r="A24" s="22" t="s">
        <v>407</v>
      </c>
      <c r="B24" s="12"/>
      <c r="C24" s="31">
        <v>2406016</v>
      </c>
      <c r="D24" s="31"/>
      <c r="E24" s="103">
        <f t="shared" si="8"/>
        <v>3.2531461484671529</v>
      </c>
      <c r="F24" s="26">
        <f>ROUND(C24*E24,0)</f>
        <v>7827122</v>
      </c>
      <c r="G24" s="31">
        <v>1005945</v>
      </c>
      <c r="H24" s="21">
        <f t="shared" si="9"/>
        <v>0.129</v>
      </c>
      <c r="I24" s="37"/>
      <c r="K24" s="2"/>
      <c r="O24" t="s">
        <v>404</v>
      </c>
      <c r="P24" t="str">
        <f>'10.3'!A31</f>
        <v>1/1/02</v>
      </c>
      <c r="Q24" s="205">
        <f>'10.3'!C31</f>
        <v>0.05</v>
      </c>
      <c r="R24" s="19">
        <f t="shared" si="6"/>
        <v>1.05</v>
      </c>
      <c r="S24" s="68">
        <f>'10.3'!D31</f>
        <v>1.8540873645004612</v>
      </c>
      <c r="AP24">
        <v>0.5</v>
      </c>
      <c r="AQ24">
        <v>0.5</v>
      </c>
    </row>
    <row r="25" spans="1:51" x14ac:dyDescent="0.2">
      <c r="A25" s="22" t="s">
        <v>408</v>
      </c>
      <c r="B25" s="12"/>
      <c r="C25" s="31">
        <v>2807090</v>
      </c>
      <c r="D25" s="31"/>
      <c r="E25" s="103">
        <f t="shared" si="8"/>
        <v>3.2531461484671529</v>
      </c>
      <c r="F25" s="26">
        <f>ROUND(C25*E25,0)</f>
        <v>9131874</v>
      </c>
      <c r="G25" s="31">
        <v>28034</v>
      </c>
      <c r="H25" s="21">
        <f t="shared" si="9"/>
        <v>3.0000000000000001E-3</v>
      </c>
      <c r="I25" s="37"/>
      <c r="K25" s="2"/>
      <c r="O25" t="s">
        <v>432</v>
      </c>
      <c r="P25" t="str">
        <f>'10.3'!A32</f>
        <v>1/1/03</v>
      </c>
      <c r="Q25" s="205">
        <f>'10.3'!C32</f>
        <v>0.1</v>
      </c>
      <c r="R25" s="19">
        <f t="shared" si="6"/>
        <v>1.1000000000000001</v>
      </c>
      <c r="S25" s="68">
        <f>'10.3'!D32</f>
        <v>2.0394961009505073</v>
      </c>
      <c r="AQ25">
        <v>0.5</v>
      </c>
      <c r="AR25">
        <v>0.5</v>
      </c>
    </row>
    <row r="26" spans="1:51" x14ac:dyDescent="0.2">
      <c r="A26" s="22" t="s">
        <v>409</v>
      </c>
      <c r="C26" s="31">
        <v>2645757</v>
      </c>
      <c r="D26" s="31"/>
      <c r="E26" s="103">
        <f t="shared" si="8"/>
        <v>3.2531461484671529</v>
      </c>
      <c r="F26" s="26">
        <f t="shared" ref="F26:F45" si="11">ROUND(C26*E26,0)</f>
        <v>8607034</v>
      </c>
      <c r="G26" s="31">
        <v>635625</v>
      </c>
      <c r="H26" s="21">
        <f t="shared" si="9"/>
        <v>7.3999999999999996E-2</v>
      </c>
      <c r="I26" s="37"/>
      <c r="K26" s="2"/>
      <c r="O26" t="s">
        <v>440</v>
      </c>
      <c r="P26" t="str">
        <f>'10.3'!A33</f>
        <v>1/1/04</v>
      </c>
      <c r="Q26" s="205">
        <f>'10.3'!C33</f>
        <v>0.1</v>
      </c>
      <c r="R26" s="19">
        <f t="shared" si="6"/>
        <v>1.1000000000000001</v>
      </c>
      <c r="S26" s="68">
        <f>'10.3'!D33</f>
        <v>2.2434457110455583</v>
      </c>
      <c r="AR26">
        <v>0.5</v>
      </c>
      <c r="AS26">
        <v>0.5</v>
      </c>
    </row>
    <row r="27" spans="1:51" x14ac:dyDescent="0.2">
      <c r="A27" s="22" t="s">
        <v>410</v>
      </c>
      <c r="C27" s="31">
        <v>5519716</v>
      </c>
      <c r="D27" s="31"/>
      <c r="E27" s="103">
        <f t="shared" si="8"/>
        <v>3.2531461484671529</v>
      </c>
      <c r="F27" s="26">
        <f>ROUND(C27*E27,0)</f>
        <v>17956443</v>
      </c>
      <c r="G27" s="31">
        <v>249644</v>
      </c>
      <c r="H27" s="21">
        <f>ROUND(G27/F27,3)</f>
        <v>1.4E-2</v>
      </c>
      <c r="I27" s="37"/>
      <c r="K27" s="2"/>
      <c r="O27" t="s">
        <v>476</v>
      </c>
      <c r="P27" t="str">
        <f>'10.3'!A34</f>
        <v>1/1/05</v>
      </c>
      <c r="Q27" s="205">
        <f>'10.3'!C34</f>
        <v>0.1</v>
      </c>
      <c r="R27" s="19">
        <f t="shared" si="6"/>
        <v>1.1000000000000001</v>
      </c>
      <c r="S27" s="68">
        <f>'10.3'!D34</f>
        <v>2.4677902821501143</v>
      </c>
      <c r="AS27">
        <v>0.5</v>
      </c>
      <c r="AT27" s="68">
        <v>0.5</v>
      </c>
      <c r="AU27" s="68"/>
      <c r="AV27" s="68"/>
      <c r="AW27" s="68"/>
      <c r="AX27" s="68"/>
    </row>
    <row r="28" spans="1:51" x14ac:dyDescent="0.2">
      <c r="A28" s="22" t="s">
        <v>411</v>
      </c>
      <c r="C28" s="31">
        <v>5461636</v>
      </c>
      <c r="E28" s="103">
        <f t="shared" si="8"/>
        <v>3.2531461484671529</v>
      </c>
      <c r="F28" s="26">
        <f t="shared" si="11"/>
        <v>17767500</v>
      </c>
      <c r="G28" s="31">
        <v>886485</v>
      </c>
      <c r="H28" s="21">
        <f t="shared" si="9"/>
        <v>0.05</v>
      </c>
      <c r="I28" s="37"/>
      <c r="K28" s="2"/>
      <c r="O28" t="s">
        <v>477</v>
      </c>
      <c r="P28" t="str">
        <f>'10.3'!A35</f>
        <v>1/1/06</v>
      </c>
      <c r="Q28" s="205">
        <f>'10.3'!C35</f>
        <v>0.05</v>
      </c>
      <c r="R28" s="19">
        <f t="shared" si="6"/>
        <v>1.05</v>
      </c>
      <c r="S28" s="68">
        <f>'10.3'!D35</f>
        <v>2.5911797962576202</v>
      </c>
      <c r="AT28" s="68">
        <f>0.5-AT29</f>
        <v>0.44444444444444442</v>
      </c>
      <c r="AU28" s="68">
        <f>0.5*(8/12)^2</f>
        <v>0.22222222222222221</v>
      </c>
      <c r="AV28" s="68"/>
      <c r="AW28" s="68"/>
      <c r="AX28" s="68"/>
    </row>
    <row r="29" spans="1:51" x14ac:dyDescent="0.2">
      <c r="A29" s="22" t="s">
        <v>412</v>
      </c>
      <c r="C29" s="31">
        <v>6133105</v>
      </c>
      <c r="D29" s="31"/>
      <c r="E29" s="103">
        <f t="shared" si="8"/>
        <v>3.3026864451443179</v>
      </c>
      <c r="F29" s="26">
        <f>ROUND(C29*E29,0)</f>
        <v>20255723</v>
      </c>
      <c r="G29" s="31">
        <v>3994564</v>
      </c>
      <c r="H29" s="21">
        <f>ROUND(G29/F29,3)</f>
        <v>0.19700000000000001</v>
      </c>
      <c r="I29" s="37"/>
      <c r="K29" s="2"/>
      <c r="N29" s="67"/>
      <c r="O29" t="s">
        <v>478</v>
      </c>
      <c r="P29" t="str">
        <f>'10.3'!A36</f>
        <v>9/1/06</v>
      </c>
      <c r="Q29" s="205">
        <f>'10.3'!C36</f>
        <v>0.08</v>
      </c>
      <c r="R29" s="19">
        <f t="shared" si="6"/>
        <v>1.08</v>
      </c>
      <c r="S29" s="68">
        <f>'10.3'!D36</f>
        <v>2.7984741799582298</v>
      </c>
      <c r="AT29" s="68">
        <f>0.5*(4/12)^2</f>
        <v>5.5555555555555552E-2</v>
      </c>
      <c r="AU29" s="68">
        <f>0.5-AU28</f>
        <v>0.27777777777777779</v>
      </c>
      <c r="AV29" s="68"/>
      <c r="AW29" s="68"/>
      <c r="AX29" s="68"/>
    </row>
    <row r="30" spans="1:51" x14ac:dyDescent="0.2">
      <c r="A30" s="22" t="s">
        <v>413</v>
      </c>
      <c r="C30" s="31">
        <v>6706028</v>
      </c>
      <c r="D30" s="31"/>
      <c r="E30" s="103">
        <f t="shared" si="8"/>
        <v>3.3537589159455186</v>
      </c>
      <c r="F30" s="26">
        <f t="shared" si="11"/>
        <v>22490401</v>
      </c>
      <c r="G30" s="31">
        <v>575316</v>
      </c>
      <c r="H30" s="21">
        <f t="shared" si="9"/>
        <v>2.5999999999999999E-2</v>
      </c>
      <c r="I30" s="37"/>
      <c r="K30" s="2"/>
      <c r="O30" t="s">
        <v>479</v>
      </c>
      <c r="P30" t="str">
        <f>'10.3'!A37</f>
        <v>1/1/07</v>
      </c>
      <c r="Q30" s="205">
        <f>'10.3'!C37</f>
        <v>3.7000000000000005E-2</v>
      </c>
      <c r="R30" s="19">
        <f t="shared" si="6"/>
        <v>1.0369999999999999</v>
      </c>
      <c r="S30" s="68">
        <f>'10.3'!D37</f>
        <v>2.9020177246166843</v>
      </c>
      <c r="AT30" s="68"/>
      <c r="AU30" s="68">
        <f>0.5</f>
        <v>0.5</v>
      </c>
      <c r="AV30" s="68">
        <f>1-AV31</f>
        <v>0.57986111111111116</v>
      </c>
      <c r="AW30" s="68">
        <f>0.5*(1/12)^2</f>
        <v>3.472222222222222E-3</v>
      </c>
      <c r="AX30" s="68"/>
    </row>
    <row r="31" spans="1:51" x14ac:dyDescent="0.2">
      <c r="A31" s="22" t="s">
        <v>414</v>
      </c>
      <c r="C31" s="31">
        <v>4997201</v>
      </c>
      <c r="D31" s="76"/>
      <c r="E31" s="103">
        <f t="shared" si="8"/>
        <v>3.209338675545951</v>
      </c>
      <c r="F31" s="26">
        <f t="shared" si="11"/>
        <v>16037710</v>
      </c>
      <c r="G31" s="31">
        <v>320131</v>
      </c>
      <c r="H31" s="21">
        <f t="shared" si="9"/>
        <v>0.02</v>
      </c>
      <c r="I31" s="37"/>
      <c r="K31" s="2"/>
      <c r="L31" t="s">
        <v>230</v>
      </c>
      <c r="O31" t="s">
        <v>480</v>
      </c>
      <c r="P31" t="str">
        <f>'10.3'!A38</f>
        <v>2/1/08</v>
      </c>
      <c r="Q31" s="205">
        <f>'10.3'!C38</f>
        <v>5.3999999999999999E-2</v>
      </c>
      <c r="R31" s="19">
        <f t="shared" si="6"/>
        <v>1.054</v>
      </c>
      <c r="S31" s="68">
        <f>'10.3'!D38</f>
        <v>3.0587266817459855</v>
      </c>
      <c r="AT31" s="68"/>
      <c r="AU31" s="68"/>
      <c r="AV31" s="68">
        <f>0.5*(11/12)^2</f>
        <v>0.42013888888888884</v>
      </c>
      <c r="AW31" s="68">
        <f>1-AW30-AW32</f>
        <v>0.57638888888888895</v>
      </c>
      <c r="AX31" s="68">
        <f>0.5*(1/12)^2</f>
        <v>3.472222222222222E-3</v>
      </c>
    </row>
    <row r="32" spans="1:51" x14ac:dyDescent="0.2">
      <c r="A32" s="22" t="s">
        <v>415</v>
      </c>
      <c r="C32" s="31">
        <v>4785262</v>
      </c>
      <c r="D32" s="76"/>
      <c r="E32" s="103">
        <f t="shared" si="8"/>
        <v>3.0165127864233838</v>
      </c>
      <c r="F32" s="26">
        <f>ROUND(C32*E32,0)</f>
        <v>14434804</v>
      </c>
      <c r="G32" s="31">
        <v>962576</v>
      </c>
      <c r="H32" s="21">
        <f t="shared" si="9"/>
        <v>6.7000000000000004E-2</v>
      </c>
      <c r="I32" s="37"/>
      <c r="K32" s="2"/>
      <c r="L32" s="69">
        <f>[4]ISO!$O$47</f>
        <v>0.83366863452429774</v>
      </c>
      <c r="O32" t="s">
        <v>481</v>
      </c>
      <c r="P32" t="str">
        <f>'10.3'!A39</f>
        <v>2/1/09</v>
      </c>
      <c r="Q32" s="205">
        <f>'10.3'!C39</f>
        <v>0.156</v>
      </c>
      <c r="R32" s="19">
        <f t="shared" si="6"/>
        <v>1.1559999999999999</v>
      </c>
      <c r="S32" s="68">
        <f>'10.3'!D39</f>
        <v>3.5358880440983591</v>
      </c>
      <c r="AT32" s="68"/>
      <c r="AU32" s="68"/>
      <c r="AV32" s="68"/>
      <c r="AW32" s="68">
        <f>0.5*(11/12)^2</f>
        <v>0.42013888888888884</v>
      </c>
      <c r="AX32" s="68">
        <f>1-AX31</f>
        <v>0.99652777777777779</v>
      </c>
      <c r="AY32">
        <v>0.5</v>
      </c>
    </row>
    <row r="33" spans="1:242" x14ac:dyDescent="0.2">
      <c r="A33" s="22" t="s">
        <v>416</v>
      </c>
      <c r="C33" s="31">
        <v>8206069</v>
      </c>
      <c r="D33" s="76"/>
      <c r="E33" s="103">
        <f t="shared" si="8"/>
        <v>2.8863443172156207</v>
      </c>
      <c r="F33" s="26">
        <f t="shared" si="11"/>
        <v>23685541</v>
      </c>
      <c r="G33" s="31">
        <v>2632325</v>
      </c>
      <c r="H33" s="21">
        <f t="shared" si="9"/>
        <v>0.111</v>
      </c>
      <c r="I33" s="37"/>
      <c r="K33" s="2"/>
      <c r="O33" t="s">
        <v>482</v>
      </c>
      <c r="P33" t="str">
        <f>'10.3'!A40</f>
        <v>1/1/11</v>
      </c>
      <c r="Q33" s="205">
        <f>'10.3'!C40</f>
        <v>0.05</v>
      </c>
      <c r="R33" s="19">
        <f t="shared" si="6"/>
        <v>1.05</v>
      </c>
      <c r="S33" s="68">
        <f>'10.3'!D40</f>
        <v>3.712682446303277</v>
      </c>
      <c r="AY33">
        <v>0.5</v>
      </c>
      <c r="AZ33">
        <v>0.5</v>
      </c>
    </row>
    <row r="34" spans="1:242" x14ac:dyDescent="0.2">
      <c r="A34" s="22" t="s">
        <v>417</v>
      </c>
      <c r="C34" s="113">
        <v>8793047</v>
      </c>
      <c r="D34" s="76"/>
      <c r="E34" s="271">
        <f>'[4]TWIA 5'!I285</f>
        <v>2.5614743940658102</v>
      </c>
      <c r="F34" s="26">
        <f t="shared" si="11"/>
        <v>22523165</v>
      </c>
      <c r="G34" s="113">
        <v>529845</v>
      </c>
      <c r="H34" s="21">
        <f t="shared" si="9"/>
        <v>2.4E-2</v>
      </c>
      <c r="I34" s="37"/>
      <c r="K34" s="2"/>
      <c r="O34" t="s">
        <v>483</v>
      </c>
      <c r="P34" t="str">
        <f>'10.3'!A41</f>
        <v>1/1/12</v>
      </c>
      <c r="Q34" s="205">
        <f>'10.3'!C41</f>
        <v>0.05</v>
      </c>
      <c r="R34" s="19">
        <f t="shared" si="6"/>
        <v>1.05</v>
      </c>
      <c r="S34" s="68">
        <f>'10.3'!D41</f>
        <v>3.8983165686184411</v>
      </c>
      <c r="AZ34">
        <v>0.5</v>
      </c>
      <c r="BA34">
        <v>0.5</v>
      </c>
    </row>
    <row r="35" spans="1:242" x14ac:dyDescent="0.2">
      <c r="A35" s="22" t="s">
        <v>418</v>
      </c>
      <c r="B35" s="22"/>
      <c r="C35" s="113">
        <v>12425339</v>
      </c>
      <c r="D35" s="77"/>
      <c r="E35" s="271">
        <f>'[4]TWIA 5'!I286</f>
        <v>2.4481743926950581</v>
      </c>
      <c r="F35" s="26">
        <f t="shared" si="11"/>
        <v>30419397</v>
      </c>
      <c r="G35" s="113">
        <v>830387</v>
      </c>
      <c r="H35" s="21">
        <f t="shared" si="9"/>
        <v>2.7E-2</v>
      </c>
      <c r="I35" s="37"/>
      <c r="K35" s="2"/>
      <c r="O35" t="s">
        <v>484</v>
      </c>
      <c r="P35" t="str">
        <f>'10.3'!A42</f>
        <v>1/1/13</v>
      </c>
      <c r="Q35" s="205">
        <f>'10.3'!C42</f>
        <v>0.05</v>
      </c>
      <c r="R35" s="19">
        <f t="shared" si="6"/>
        <v>1.05</v>
      </c>
      <c r="S35" s="68">
        <f>'10.3'!D42</f>
        <v>4.0932323970493636</v>
      </c>
      <c r="BA35">
        <v>0.5</v>
      </c>
      <c r="BB35">
        <v>0.5</v>
      </c>
    </row>
    <row r="36" spans="1:242" x14ac:dyDescent="0.2">
      <c r="A36" s="22" t="s">
        <v>321</v>
      </c>
      <c r="C36" s="113">
        <v>13839253</v>
      </c>
      <c r="D36" s="68"/>
      <c r="E36" s="271">
        <f>'[4]TWIA 5'!I287</f>
        <v>2.2196457159722462</v>
      </c>
      <c r="F36" s="26">
        <f t="shared" si="11"/>
        <v>30718239</v>
      </c>
      <c r="G36" s="113">
        <v>19469845</v>
      </c>
      <c r="H36" s="21">
        <f t="shared" si="9"/>
        <v>0.63400000000000001</v>
      </c>
      <c r="I36" s="37"/>
      <c r="K36" s="2"/>
      <c r="O36" t="s">
        <v>485</v>
      </c>
      <c r="P36" t="str">
        <f>'10.3'!A43</f>
        <v>1/1/14</v>
      </c>
      <c r="Q36" s="205">
        <f>'10.3'!C43</f>
        <v>0.05</v>
      </c>
      <c r="R36" s="19">
        <f t="shared" si="6"/>
        <v>1.05</v>
      </c>
      <c r="S36" s="68">
        <f>'10.3'!D43</f>
        <v>4.2978940169018323</v>
      </c>
      <c r="BB36">
        <v>0.5</v>
      </c>
      <c r="BC36">
        <v>0.5</v>
      </c>
    </row>
    <row r="37" spans="1:242" x14ac:dyDescent="0.2">
      <c r="A37" s="22" t="s">
        <v>396</v>
      </c>
      <c r="C37" s="113">
        <v>18414310</v>
      </c>
      <c r="D37" s="68"/>
      <c r="E37" s="271">
        <f>'[4]TWIA 5'!I288</f>
        <v>2.0368887779518374</v>
      </c>
      <c r="F37" s="26">
        <f t="shared" si="11"/>
        <v>37507901</v>
      </c>
      <c r="G37" s="113">
        <v>812370</v>
      </c>
      <c r="H37" s="21">
        <f t="shared" si="9"/>
        <v>2.1999999999999999E-2</v>
      </c>
      <c r="I37" s="37"/>
      <c r="K37" s="2"/>
      <c r="O37" t="s">
        <v>486</v>
      </c>
      <c r="P37" t="str">
        <f>'10.3'!A44</f>
        <v>1/1/15</v>
      </c>
      <c r="Q37" s="205">
        <f>'10.3'!C44</f>
        <v>0.05</v>
      </c>
      <c r="R37" s="19">
        <f t="shared" si="6"/>
        <v>1.05</v>
      </c>
      <c r="S37" s="68">
        <f>'10.3'!D44</f>
        <v>4.5127887177469237</v>
      </c>
      <c r="BC37">
        <v>0.5</v>
      </c>
      <c r="BD37">
        <v>0.5</v>
      </c>
    </row>
    <row r="38" spans="1:242" x14ac:dyDescent="0.2">
      <c r="A38" s="22" t="s">
        <v>368</v>
      </c>
      <c r="C38" s="113">
        <v>24924710</v>
      </c>
      <c r="D38" s="68"/>
      <c r="E38" s="271">
        <f>'[4]TWIA 5'!I289</f>
        <v>1.8570470989540071</v>
      </c>
      <c r="F38" s="26">
        <f t="shared" si="11"/>
        <v>46286360</v>
      </c>
      <c r="G38" s="113">
        <v>710669</v>
      </c>
      <c r="H38" s="21">
        <f t="shared" si="9"/>
        <v>1.4999999999999999E-2</v>
      </c>
      <c r="I38" s="37"/>
      <c r="K38" s="2"/>
      <c r="O38" t="s">
        <v>487</v>
      </c>
      <c r="P38" t="str">
        <f>'10.3'!A45</f>
        <v>1/1/16</v>
      </c>
      <c r="Q38" s="205">
        <f>'10.3'!C45</f>
        <v>0.05</v>
      </c>
      <c r="R38" s="19">
        <f t="shared" si="6"/>
        <v>1.05</v>
      </c>
      <c r="S38" s="68">
        <f>'10.3'!D45</f>
        <v>4.7384281536342705</v>
      </c>
      <c r="BD38">
        <v>0.5</v>
      </c>
      <c r="BE38">
        <v>0.5</v>
      </c>
    </row>
    <row r="39" spans="1:242" x14ac:dyDescent="0.2">
      <c r="A39" s="22" t="s">
        <v>373</v>
      </c>
      <c r="C39" s="113">
        <v>24970117</v>
      </c>
      <c r="D39" s="68"/>
      <c r="E39" s="271">
        <f>'[4]TWIA 5'!I290</f>
        <v>1.7641482522914027</v>
      </c>
      <c r="F39" s="26">
        <f t="shared" si="11"/>
        <v>44050988</v>
      </c>
      <c r="G39" s="113">
        <v>293310706.44950092</v>
      </c>
      <c r="H39" s="21">
        <f>ROUND(G39/F39,3)</f>
        <v>6.6580000000000004</v>
      </c>
      <c r="I39" s="37"/>
      <c r="K39" s="2"/>
      <c r="O39" t="s">
        <v>488</v>
      </c>
      <c r="P39" t="str">
        <f>'10.3'!A46</f>
        <v>1/1/17</v>
      </c>
      <c r="Q39" s="205">
        <f>'10.3'!C46</f>
        <v>0</v>
      </c>
      <c r="R39" s="19">
        <f t="shared" si="6"/>
        <v>1</v>
      </c>
      <c r="S39" s="68">
        <f>'10.3'!D46</f>
        <v>4.7384281536342705</v>
      </c>
      <c r="BE39">
        <v>0.5</v>
      </c>
      <c r="BF39">
        <v>0.5</v>
      </c>
    </row>
    <row r="40" spans="1:242" x14ac:dyDescent="0.2">
      <c r="A40" s="22" t="s">
        <v>397</v>
      </c>
      <c r="C40" s="113">
        <v>29363002</v>
      </c>
      <c r="D40" s="68"/>
      <c r="E40" s="271">
        <f>'[4]TWIA 5'!I291</f>
        <v>1.5997647448930246</v>
      </c>
      <c r="F40" s="26">
        <f t="shared" si="11"/>
        <v>46973895</v>
      </c>
      <c r="G40" s="113">
        <v>1140669</v>
      </c>
      <c r="H40" s="21">
        <f>ROUND(G40/F40,3)</f>
        <v>2.4E-2</v>
      </c>
      <c r="I40" s="37"/>
      <c r="K40" s="2"/>
      <c r="O40" t="s">
        <v>489</v>
      </c>
      <c r="P40" t="str">
        <f>'10.3'!A47</f>
        <v>1/1/18</v>
      </c>
      <c r="Q40" s="205">
        <f>'10.3'!C47</f>
        <v>0.05</v>
      </c>
      <c r="R40" s="19">
        <f t="shared" si="6"/>
        <v>1.05</v>
      </c>
      <c r="S40" s="68">
        <f>'10.3'!D47</f>
        <v>4.9753495613159844</v>
      </c>
      <c r="BF40">
        <v>0.5</v>
      </c>
      <c r="BG40">
        <v>0.5</v>
      </c>
    </row>
    <row r="41" spans="1:242" x14ac:dyDescent="0.2">
      <c r="A41" s="22" t="s">
        <v>398</v>
      </c>
      <c r="C41" s="113">
        <v>31708901</v>
      </c>
      <c r="D41" s="68"/>
      <c r="E41" s="271">
        <f>'[4]TWIA 5'!I292</f>
        <v>1.4780006228698501</v>
      </c>
      <c r="F41" s="26">
        <f>ROUND(C41*E41,0)</f>
        <v>46865775</v>
      </c>
      <c r="G41" s="113">
        <v>669882</v>
      </c>
      <c r="H41" s="21">
        <f t="shared" si="9"/>
        <v>1.4E-2</v>
      </c>
      <c r="I41" s="37"/>
      <c r="K41" s="2"/>
      <c r="O41" t="s">
        <v>490</v>
      </c>
      <c r="P41" s="255">
        <v>43466</v>
      </c>
      <c r="Q41" s="256">
        <f>'10.3'!C48</f>
        <v>0</v>
      </c>
      <c r="R41" s="19">
        <f t="shared" si="6"/>
        <v>1</v>
      </c>
      <c r="S41" s="68">
        <f>'10.3'!D48</f>
        <v>4.9753495613159844</v>
      </c>
      <c r="BG41">
        <v>0.5</v>
      </c>
      <c r="BH41">
        <v>0.5</v>
      </c>
    </row>
    <row r="42" spans="1:242" x14ac:dyDescent="0.2">
      <c r="A42" s="22" t="s">
        <v>401</v>
      </c>
      <c r="C42" s="113">
        <v>31323614</v>
      </c>
      <c r="D42" s="68"/>
      <c r="E42" s="271">
        <f>'[4]TWIA 5'!I293</f>
        <v>1.443031610091043</v>
      </c>
      <c r="F42" s="26">
        <f>ROUND(C42*E42,0)</f>
        <v>45200965</v>
      </c>
      <c r="G42" s="113">
        <v>1675264</v>
      </c>
      <c r="H42" s="21">
        <f t="shared" si="9"/>
        <v>3.6999999999999998E-2</v>
      </c>
      <c r="I42" s="37"/>
      <c r="K42" s="2"/>
      <c r="L42" t="s">
        <v>405</v>
      </c>
      <c r="M42" s="18"/>
      <c r="O42" t="s">
        <v>519</v>
      </c>
      <c r="P42" s="255">
        <v>43831</v>
      </c>
      <c r="Q42" s="256">
        <f>'10.3'!C49</f>
        <v>0</v>
      </c>
      <c r="R42" s="19">
        <f t="shared" si="6"/>
        <v>1</v>
      </c>
      <c r="S42" s="68">
        <f>'10.3'!D49</f>
        <v>4.9753495613159844</v>
      </c>
      <c r="BH42">
        <v>0.5</v>
      </c>
      <c r="BI42">
        <v>0.5</v>
      </c>
    </row>
    <row r="43" spans="1:242" x14ac:dyDescent="0.2">
      <c r="A43" s="22" t="s">
        <v>419</v>
      </c>
      <c r="B43" s="22"/>
      <c r="C43" s="113">
        <v>35165008</v>
      </c>
      <c r="D43" s="76"/>
      <c r="E43" s="271">
        <f>'[4]TWIA 5'!I294</f>
        <v>1.3723433115836108</v>
      </c>
      <c r="F43" s="26">
        <f t="shared" si="11"/>
        <v>48258464</v>
      </c>
      <c r="G43" s="113">
        <v>8709842</v>
      </c>
      <c r="H43" s="37">
        <f>ROUND(G43/F43,3)</f>
        <v>0.18</v>
      </c>
      <c r="I43" s="37"/>
      <c r="K43" s="2"/>
      <c r="L43" s="82">
        <v>99433916.550499082</v>
      </c>
      <c r="O43" t="s">
        <v>572</v>
      </c>
      <c r="P43" s="255">
        <v>44197</v>
      </c>
      <c r="Q43" s="256">
        <v>0</v>
      </c>
      <c r="R43" s="19">
        <f t="shared" si="6"/>
        <v>1</v>
      </c>
      <c r="S43" s="68">
        <f>'10.3'!D50</f>
        <v>4.9753495613159844</v>
      </c>
      <c r="BI43">
        <v>0.5</v>
      </c>
      <c r="BJ43">
        <v>0.5</v>
      </c>
    </row>
    <row r="44" spans="1:242" x14ac:dyDescent="0.2">
      <c r="A44" s="22" t="s">
        <v>420</v>
      </c>
      <c r="B44" s="22"/>
      <c r="C44" s="272">
        <f>[4]ISO!O34</f>
        <v>37582814</v>
      </c>
      <c r="D44" s="76"/>
      <c r="E44" s="271">
        <f>'[4]TWIA 5'!I295</f>
        <v>1.3075797103216005</v>
      </c>
      <c r="F44" s="26">
        <f t="shared" si="11"/>
        <v>49142525</v>
      </c>
      <c r="G44" s="272">
        <f>[4]ISO!T34</f>
        <v>6670061</v>
      </c>
      <c r="H44" s="37">
        <f>ROUND(G44/F44,3)</f>
        <v>0.13600000000000001</v>
      </c>
      <c r="I44" s="37"/>
      <c r="K44" s="2"/>
      <c r="L44" s="36"/>
      <c r="M44" s="36"/>
      <c r="O44" t="s">
        <v>490</v>
      </c>
      <c r="P44" s="255">
        <v>44562</v>
      </c>
      <c r="Q44" s="256">
        <v>0.05</v>
      </c>
      <c r="R44" s="19">
        <f t="shared" si="6"/>
        <v>1.05</v>
      </c>
      <c r="S44" s="68">
        <f>'10.3'!D51</f>
        <v>5.2241170393817837</v>
      </c>
      <c r="BJ44">
        <v>0.5</v>
      </c>
      <c r="BK44">
        <v>0.5</v>
      </c>
    </row>
    <row r="45" spans="1:242" x14ac:dyDescent="0.2">
      <c r="A45" s="22">
        <v>2014</v>
      </c>
      <c r="B45" s="22"/>
      <c r="C45" s="272">
        <f>[4]ISO!O35</f>
        <v>38169853</v>
      </c>
      <c r="D45" s="76"/>
      <c r="E45" s="271">
        <f>'[4]TWIA 5'!I296</f>
        <v>1.2467307484438648</v>
      </c>
      <c r="F45" s="26">
        <f t="shared" si="11"/>
        <v>47587529</v>
      </c>
      <c r="G45" s="272">
        <f>[4]ISO!T35</f>
        <v>255745</v>
      </c>
      <c r="H45" s="37">
        <f t="shared" si="9"/>
        <v>5.0000000000000001E-3</v>
      </c>
      <c r="I45" s="37"/>
      <c r="K45" s="2"/>
      <c r="O45" t="s">
        <v>519</v>
      </c>
      <c r="P45" s="255">
        <v>44927</v>
      </c>
      <c r="Q45" s="256">
        <v>0</v>
      </c>
      <c r="R45" s="19">
        <f t="shared" si="6"/>
        <v>1</v>
      </c>
      <c r="S45" s="68">
        <f>'10.3'!D52</f>
        <v>5.2241170393817837</v>
      </c>
      <c r="BK45">
        <v>0.5</v>
      </c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313"/>
      <c r="HJ45" s="313"/>
      <c r="HK45" s="313"/>
      <c r="HL45" s="3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</row>
    <row r="46" spans="1:242" x14ac:dyDescent="0.2">
      <c r="A46" s="22">
        <v>2015</v>
      </c>
      <c r="B46" s="22"/>
      <c r="C46" s="272">
        <f>[4]ISO!O36</f>
        <v>36704758</v>
      </c>
      <c r="D46" s="76"/>
      <c r="E46" s="271">
        <f>'[4]TWIA 5'!I297</f>
        <v>1.1863253854339257</v>
      </c>
      <c r="F46" s="26">
        <f t="shared" ref="F46:F53" si="12">ROUND(C46*E46,0)</f>
        <v>43543786</v>
      </c>
      <c r="G46" s="272">
        <f>[4]ISO!T36</f>
        <v>5027267</v>
      </c>
      <c r="H46" s="37">
        <f t="shared" si="9"/>
        <v>0.115</v>
      </c>
      <c r="I46" s="37"/>
      <c r="K46" s="2"/>
      <c r="O46" s="243" t="s">
        <v>42</v>
      </c>
      <c r="P46" s="257" t="s">
        <v>341</v>
      </c>
      <c r="Q46" s="257" t="s">
        <v>243</v>
      </c>
      <c r="R46" s="243"/>
      <c r="S46" s="243"/>
      <c r="T46" s="258">
        <f t="shared" ref="T46:BG46" si="13">SUMPRODUCT($S$7:$S$42,T7:T42)</f>
        <v>1.0151909722222223</v>
      </c>
      <c r="U46" s="258">
        <f t="shared" si="13"/>
        <v>1.1428104166666666</v>
      </c>
      <c r="V46" s="258">
        <f t="shared" si="13"/>
        <v>1.1576560861111111</v>
      </c>
      <c r="W46" s="258">
        <f t="shared" si="13"/>
        <v>1.3642372778106464</v>
      </c>
      <c r="X46" s="258">
        <f t="shared" si="13"/>
        <v>1.487808026052257</v>
      </c>
      <c r="Y46" s="258">
        <f t="shared" si="13"/>
        <v>1.8145984187369675</v>
      </c>
      <c r="Z46" s="258">
        <f t="shared" si="13"/>
        <v>2.5485007097028989</v>
      </c>
      <c r="AA46" s="258">
        <f t="shared" si="13"/>
        <v>2.6203865119934049</v>
      </c>
      <c r="AB46" s="258">
        <f t="shared" si="13"/>
        <v>2.4328629760090004</v>
      </c>
      <c r="AC46" s="258">
        <f t="shared" si="13"/>
        <v>2.1901615490310262</v>
      </c>
      <c r="AD46" s="258">
        <f t="shared" si="13"/>
        <v>2.0849125090576712</v>
      </c>
      <c r="AE46" s="258">
        <f t="shared" si="13"/>
        <v>2.0975535338784841</v>
      </c>
      <c r="AF46" s="258">
        <f t="shared" si="13"/>
        <v>1.8450081871266777</v>
      </c>
      <c r="AG46" s="258">
        <f t="shared" si="13"/>
        <v>1.6058660757812344</v>
      </c>
      <c r="AH46" s="258">
        <f t="shared" si="13"/>
        <v>1.6058660757812344</v>
      </c>
      <c r="AI46" s="258">
        <f t="shared" si="13"/>
        <v>1.6058660757812344</v>
      </c>
      <c r="AJ46" s="258">
        <f t="shared" si="13"/>
        <v>1.6058660757812344</v>
      </c>
      <c r="AK46" s="258">
        <f t="shared" si="13"/>
        <v>1.6058660757812344</v>
      </c>
      <c r="AL46" s="258">
        <f t="shared" si="13"/>
        <v>1.5817780846445157</v>
      </c>
      <c r="AM46" s="258">
        <f t="shared" si="13"/>
        <v>1.5576900935077973</v>
      </c>
      <c r="AN46" s="258">
        <f t="shared" si="13"/>
        <v>1.6277861477156481</v>
      </c>
      <c r="AO46" s="258">
        <f t="shared" si="13"/>
        <v>1.7318398459619693</v>
      </c>
      <c r="AP46" s="258">
        <f t="shared" si="13"/>
        <v>1.8099424272504501</v>
      </c>
      <c r="AQ46" s="258">
        <f t="shared" si="13"/>
        <v>1.9467917327254842</v>
      </c>
      <c r="AR46" s="258">
        <f t="shared" si="13"/>
        <v>2.141470905998033</v>
      </c>
      <c r="AS46" s="258">
        <f t="shared" si="13"/>
        <v>2.3556179965978363</v>
      </c>
      <c r="AT46" s="258">
        <f t="shared" si="13"/>
        <v>2.5410013938539007</v>
      </c>
      <c r="AU46" s="258">
        <f t="shared" si="13"/>
        <v>2.8041805336873216</v>
      </c>
      <c r="AV46" s="258">
        <f t="shared" si="13"/>
        <v>2.9678572517439257</v>
      </c>
      <c r="AW46" s="258">
        <f t="shared" si="13"/>
        <v>3.2586565980220548</v>
      </c>
      <c r="AX46" s="258">
        <f t="shared" si="13"/>
        <v>3.5342312338124136</v>
      </c>
      <c r="AY46" s="258">
        <f t="shared" si="13"/>
        <v>3.6242852452008183</v>
      </c>
      <c r="AZ46" s="258">
        <f t="shared" si="13"/>
        <v>3.8054995074608593</v>
      </c>
      <c r="BA46" s="258">
        <f t="shared" si="13"/>
        <v>3.9957744828339026</v>
      </c>
      <c r="BB46" s="258">
        <f t="shared" si="13"/>
        <v>4.1955632069755975</v>
      </c>
      <c r="BC46" s="258">
        <f t="shared" si="13"/>
        <v>4.405341367324378</v>
      </c>
      <c r="BD46" s="258">
        <f t="shared" si="13"/>
        <v>4.6256084356905971</v>
      </c>
      <c r="BE46" s="258">
        <f t="shared" si="13"/>
        <v>4.7384281536342705</v>
      </c>
      <c r="BF46" s="258">
        <f t="shared" si="13"/>
        <v>4.856888857475127</v>
      </c>
      <c r="BG46" s="258">
        <f t="shared" si="13"/>
        <v>4.9753495613159844</v>
      </c>
      <c r="BH46" s="258">
        <f>SUMPRODUCT($S$7:$S$43,BH7:BH43)</f>
        <v>4.9753495613159844</v>
      </c>
      <c r="BI46" s="290">
        <f>SUMPRODUCT($S$7:$S$43,BI7:BI43)</f>
        <v>4.9753495613159844</v>
      </c>
      <c r="BJ46" s="290">
        <f>SUMPRODUCT($S$7:$S$44,BJ7:BJ44)</f>
        <v>5.0997333003488841</v>
      </c>
      <c r="BK46" s="290">
        <f>SUMPRODUCT($S$7:$S$45,BK7:BK45)</f>
        <v>5.2241170393817837</v>
      </c>
      <c r="HZ46" s="206"/>
      <c r="IA46" s="206"/>
      <c r="IB46" s="206"/>
      <c r="IC46" s="206"/>
      <c r="ID46" s="207"/>
      <c r="IE46" s="206"/>
      <c r="IF46" s="206"/>
      <c r="IH46" s="208"/>
    </row>
    <row r="47" spans="1:242" x14ac:dyDescent="0.2">
      <c r="A47" s="22">
        <v>2016</v>
      </c>
      <c r="B47" s="22"/>
      <c r="C47" s="272">
        <f>[4]ISO!O37</f>
        <v>36091835</v>
      </c>
      <c r="D47" s="76"/>
      <c r="E47" s="271">
        <f>'[4]TWIA 5'!I298</f>
        <v>1.1296863217775748</v>
      </c>
      <c r="F47" s="26">
        <f t="shared" si="12"/>
        <v>40772452</v>
      </c>
      <c r="G47" s="272">
        <f>[4]ISO!T37</f>
        <v>331694</v>
      </c>
      <c r="H47" s="37">
        <f t="shared" si="9"/>
        <v>8.0000000000000002E-3</v>
      </c>
      <c r="I47" s="37"/>
      <c r="K47" s="2"/>
      <c r="L47" t="s">
        <v>234</v>
      </c>
      <c r="M47" t="s">
        <v>235</v>
      </c>
      <c r="O47" t="s">
        <v>192</v>
      </c>
      <c r="P47">
        <v>1</v>
      </c>
      <c r="Q47" s="29">
        <f>'10.3'!$D$52/P47</f>
        <v>5.2241170393817837</v>
      </c>
      <c r="T47" s="29">
        <f>$S$45/T46</f>
        <v>5.1459451298570453</v>
      </c>
      <c r="U47" s="29">
        <f t="shared" ref="U47:BK47" si="14">$S$45/U46</f>
        <v>4.5712893085271444</v>
      </c>
      <c r="V47" s="29">
        <f t="shared" si="14"/>
        <v>4.5126675374990217</v>
      </c>
      <c r="W47" s="29">
        <f t="shared" si="14"/>
        <v>3.8293316891072973</v>
      </c>
      <c r="X47" s="29">
        <f t="shared" si="14"/>
        <v>3.5112843511426886</v>
      </c>
      <c r="Y47" s="29">
        <f t="shared" si="14"/>
        <v>2.8789383840739684</v>
      </c>
      <c r="Z47" s="29">
        <f t="shared" si="14"/>
        <v>2.0498785892003166</v>
      </c>
      <c r="AA47" s="29">
        <f t="shared" si="14"/>
        <v>1.9936436916734259</v>
      </c>
      <c r="AB47" s="29">
        <f t="shared" si="14"/>
        <v>2.1473124836449715</v>
      </c>
      <c r="AC47" s="29">
        <f t="shared" si="14"/>
        <v>2.385265617366465</v>
      </c>
      <c r="AD47" s="29">
        <f t="shared" si="14"/>
        <v>2.5056768649457406</v>
      </c>
      <c r="AE47" s="29">
        <f t="shared" si="14"/>
        <v>2.4905762618235174</v>
      </c>
      <c r="AF47" s="29">
        <f t="shared" si="14"/>
        <v>2.8314871857113864</v>
      </c>
      <c r="AG47" s="29">
        <f t="shared" si="14"/>
        <v>3.2531461484671529</v>
      </c>
      <c r="AH47" s="29">
        <f t="shared" si="14"/>
        <v>3.2531461484671529</v>
      </c>
      <c r="AI47" s="29">
        <f t="shared" si="14"/>
        <v>3.2531461484671529</v>
      </c>
      <c r="AJ47" s="29">
        <f t="shared" si="14"/>
        <v>3.2531461484671529</v>
      </c>
      <c r="AK47" s="29">
        <f t="shared" si="14"/>
        <v>3.2531461484671529</v>
      </c>
      <c r="AL47" s="29">
        <f t="shared" si="14"/>
        <v>3.3026864451443179</v>
      </c>
      <c r="AM47" s="29">
        <f t="shared" si="14"/>
        <v>3.3537589159455186</v>
      </c>
      <c r="AN47" s="29">
        <f t="shared" si="14"/>
        <v>3.209338675545951</v>
      </c>
      <c r="AO47" s="29">
        <f t="shared" si="14"/>
        <v>3.0165127864233838</v>
      </c>
      <c r="AP47" s="29">
        <f t="shared" si="14"/>
        <v>2.8863443172156207</v>
      </c>
      <c r="AQ47" s="29">
        <f t="shared" si="14"/>
        <v>2.6834493652118017</v>
      </c>
      <c r="AR47" s="29">
        <f t="shared" si="14"/>
        <v>2.4394994229198192</v>
      </c>
      <c r="AS47" s="29">
        <f t="shared" si="14"/>
        <v>2.2177267481089267</v>
      </c>
      <c r="AT47" s="29">
        <f t="shared" si="14"/>
        <v>2.0559284430216072</v>
      </c>
      <c r="AU47" s="29">
        <f t="shared" si="14"/>
        <v>1.8629745755036669</v>
      </c>
      <c r="AV47" s="29">
        <f t="shared" si="14"/>
        <v>1.7602319101810135</v>
      </c>
      <c r="AW47" s="29">
        <f t="shared" si="14"/>
        <v>1.6031505260642462</v>
      </c>
      <c r="AX47" s="29">
        <f t="shared" si="14"/>
        <v>1.478148059301279</v>
      </c>
      <c r="AY47" s="29">
        <f t="shared" si="14"/>
        <v>1.4414199451600616</v>
      </c>
      <c r="AZ47" s="29">
        <f t="shared" si="14"/>
        <v>1.3727809001524396</v>
      </c>
      <c r="BA47" s="29">
        <f t="shared" si="14"/>
        <v>1.3074103810975615</v>
      </c>
      <c r="BB47" s="29">
        <f t="shared" si="14"/>
        <v>1.2451527439024395</v>
      </c>
      <c r="BC47" s="29">
        <f t="shared" si="14"/>
        <v>1.1858597560975612</v>
      </c>
      <c r="BD47" s="29">
        <f t="shared" si="14"/>
        <v>1.1293902439024393</v>
      </c>
      <c r="BE47" s="29">
        <f t="shared" si="14"/>
        <v>1.1025</v>
      </c>
      <c r="BF47" s="29">
        <f t="shared" si="14"/>
        <v>1.075609756097561</v>
      </c>
      <c r="BG47" s="29">
        <f t="shared" si="14"/>
        <v>1.05</v>
      </c>
      <c r="BH47" s="29">
        <f t="shared" si="14"/>
        <v>1.05</v>
      </c>
      <c r="BI47" s="29">
        <f t="shared" si="14"/>
        <v>1.05</v>
      </c>
      <c r="BJ47" s="29">
        <f t="shared" si="14"/>
        <v>1.024390243902439</v>
      </c>
      <c r="BK47" s="29">
        <f t="shared" si="14"/>
        <v>1</v>
      </c>
      <c r="HY47" s="206"/>
      <c r="HZ47" s="207"/>
      <c r="IA47" s="207"/>
      <c r="IB47" s="207"/>
      <c r="IC47" s="207"/>
      <c r="ID47" s="207"/>
      <c r="IE47" s="207"/>
      <c r="IF47" s="207"/>
    </row>
    <row r="48" spans="1:242" x14ac:dyDescent="0.2">
      <c r="A48" s="22">
        <v>2017</v>
      </c>
      <c r="C48" s="272">
        <f>[4]ISO!O38</f>
        <v>32229276</v>
      </c>
      <c r="E48" s="271">
        <f>'[4]TWIA 5'!I299</f>
        <v>1.102499999999994</v>
      </c>
      <c r="F48" s="26">
        <f t="shared" si="12"/>
        <v>35532777</v>
      </c>
      <c r="G48" s="272">
        <f>[4]ISO!T38</f>
        <v>27347012</v>
      </c>
      <c r="H48" s="37">
        <f t="shared" ref="H48:H53" si="15">ROUND(G48/F48,3)</f>
        <v>0.77</v>
      </c>
      <c r="I48" s="37"/>
      <c r="K48" s="2"/>
      <c r="L48" s="65">
        <v>34607</v>
      </c>
      <c r="M48" s="65">
        <v>36525</v>
      </c>
      <c r="O48" s="22">
        <v>1980</v>
      </c>
      <c r="P48" s="103">
        <f>T46</f>
        <v>1.0151909722222223</v>
      </c>
      <c r="Q48" s="29">
        <f>'10.3'!$D$52/P48</f>
        <v>5.1459451298570453</v>
      </c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6"/>
      <c r="BV48" s="206"/>
      <c r="BW48" s="206"/>
      <c r="BX48" s="206"/>
      <c r="BY48" s="206"/>
      <c r="BZ48" s="206"/>
      <c r="CA48" s="206"/>
      <c r="CB48" s="206"/>
      <c r="CC48" s="206"/>
      <c r="CD48" s="206"/>
      <c r="CE48" s="206"/>
      <c r="CF48" s="206"/>
      <c r="CG48" s="206"/>
      <c r="CH48" s="206"/>
      <c r="CI48" s="206"/>
      <c r="CJ48" s="206"/>
      <c r="CK48" s="206"/>
      <c r="CL48" s="206"/>
      <c r="CM48" s="206"/>
      <c r="CN48" s="206"/>
      <c r="CO48" s="206"/>
      <c r="CP48" s="206"/>
      <c r="CQ48" s="206"/>
      <c r="CR48" s="206"/>
      <c r="CS48" s="206"/>
      <c r="CT48" s="207"/>
      <c r="CU48" s="206"/>
      <c r="CV48" s="206"/>
      <c r="CW48" s="206"/>
      <c r="CX48" s="207"/>
      <c r="CY48" s="206"/>
      <c r="CZ48" s="206"/>
      <c r="DA48" s="206"/>
      <c r="DB48" s="207"/>
      <c r="DC48" s="206"/>
      <c r="DD48" s="206"/>
      <c r="DE48" s="206"/>
      <c r="DF48" s="206"/>
      <c r="DG48" s="206"/>
      <c r="DH48" s="206"/>
      <c r="DI48" s="206"/>
      <c r="DJ48" s="207"/>
      <c r="DK48" s="206"/>
      <c r="DL48" s="206"/>
      <c r="DM48" s="206"/>
      <c r="DN48" s="207"/>
      <c r="DO48" s="206"/>
      <c r="DP48" s="206"/>
      <c r="DQ48" s="206"/>
      <c r="DR48" s="207"/>
      <c r="DS48" s="206"/>
      <c r="DT48" s="206"/>
      <c r="DU48" s="206"/>
      <c r="DV48" s="207"/>
      <c r="DW48" s="206"/>
      <c r="DX48" s="206"/>
      <c r="DY48" s="206"/>
      <c r="DZ48" s="207"/>
      <c r="EA48" s="206"/>
      <c r="EB48" s="206"/>
      <c r="EC48" s="206"/>
      <c r="ED48" s="207"/>
      <c r="EE48" s="206"/>
      <c r="EF48" s="206"/>
      <c r="EG48" s="206"/>
      <c r="EH48" s="206"/>
      <c r="EI48" s="206"/>
      <c r="EJ48" s="206"/>
      <c r="EK48" s="206"/>
      <c r="EL48" s="207"/>
      <c r="EM48" s="206"/>
      <c r="EN48" s="206"/>
      <c r="EP48" s="208"/>
      <c r="ES48" s="206"/>
      <c r="ET48" s="206"/>
      <c r="EU48" s="206"/>
      <c r="EV48" s="206"/>
      <c r="EW48" s="206"/>
      <c r="EX48" s="207"/>
      <c r="EY48" s="206"/>
      <c r="EZ48" s="206"/>
      <c r="FB48" s="208"/>
      <c r="FE48" s="206"/>
      <c r="FF48" s="206"/>
      <c r="FG48" s="206"/>
      <c r="FH48" s="206"/>
      <c r="FI48" s="206"/>
      <c r="FJ48" s="207"/>
      <c r="FK48" s="206"/>
      <c r="FL48" s="206"/>
      <c r="FN48" s="208"/>
      <c r="FQ48" s="206"/>
      <c r="FR48" s="206"/>
      <c r="FS48" s="206"/>
      <c r="FT48" s="206"/>
      <c r="FU48" s="206"/>
      <c r="FV48" s="207"/>
      <c r="FW48" s="206"/>
      <c r="FX48" s="206"/>
      <c r="FZ48" s="208"/>
      <c r="GC48" s="206"/>
      <c r="GD48" s="206"/>
      <c r="GE48" s="206"/>
      <c r="GF48" s="206"/>
      <c r="GG48" s="206"/>
      <c r="GH48" s="207"/>
      <c r="GI48" s="206"/>
      <c r="GJ48" s="206"/>
      <c r="GL48" s="208"/>
      <c r="GP48" s="208"/>
      <c r="GS48" s="206"/>
      <c r="GT48" s="206"/>
      <c r="GU48" s="206"/>
      <c r="GV48" s="206"/>
      <c r="GW48" s="206"/>
      <c r="GX48" s="207"/>
      <c r="GY48" s="206"/>
      <c r="GZ48" s="206"/>
      <c r="HB48" s="208"/>
      <c r="HF48" s="208"/>
      <c r="HI48" s="206"/>
      <c r="HJ48" s="206"/>
      <c r="HK48" s="206"/>
      <c r="HL48" s="206"/>
      <c r="HM48" s="206"/>
      <c r="HN48" s="207"/>
      <c r="HO48" s="206"/>
      <c r="HP48" s="206"/>
      <c r="HR48" s="208"/>
      <c r="HV48" s="208"/>
      <c r="HY48" s="207"/>
    </row>
    <row r="49" spans="1:239" x14ac:dyDescent="0.2">
      <c r="A49" s="22">
        <v>2018</v>
      </c>
      <c r="C49" s="272">
        <f>[4]ISO!O39</f>
        <v>32052459</v>
      </c>
      <c r="E49" s="271">
        <f>'[4]TWIA 5'!I300</f>
        <v>1.0755512293710299</v>
      </c>
      <c r="F49" s="26">
        <f t="shared" si="12"/>
        <v>34474062</v>
      </c>
      <c r="G49" s="272">
        <f>[4]ISO!T39</f>
        <v>110422</v>
      </c>
      <c r="H49" s="37">
        <f t="shared" si="15"/>
        <v>3.0000000000000001E-3</v>
      </c>
      <c r="I49" s="37"/>
      <c r="K49" s="2"/>
      <c r="M49" s="64">
        <v>43830</v>
      </c>
      <c r="N49" t="s">
        <v>236</v>
      </c>
      <c r="O49" s="22">
        <v>1981</v>
      </c>
      <c r="P49" s="29">
        <f>U46</f>
        <v>1.1428104166666666</v>
      </c>
      <c r="Q49" s="29">
        <f>'10.3'!$D$52/P49</f>
        <v>4.5712893085271444</v>
      </c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I49" s="207"/>
      <c r="BJ49" s="207"/>
      <c r="BK49" s="207"/>
      <c r="BL49" s="207"/>
      <c r="BM49" s="207"/>
      <c r="BN49" s="207"/>
      <c r="BO49" s="207"/>
      <c r="BP49" s="207"/>
      <c r="BQ49" s="207"/>
      <c r="BR49" s="207"/>
      <c r="BS49" s="207"/>
      <c r="BT49" s="207"/>
      <c r="BU49" s="207"/>
      <c r="BV49" s="207"/>
      <c r="BW49" s="207"/>
      <c r="BX49" s="207"/>
      <c r="BY49" s="207"/>
      <c r="BZ49" s="207"/>
      <c r="CA49" s="207"/>
      <c r="CB49" s="207"/>
      <c r="CC49" s="207"/>
      <c r="CD49" s="207"/>
      <c r="CE49" s="207"/>
      <c r="CF49" s="207"/>
      <c r="CG49" s="207"/>
      <c r="CH49" s="207"/>
      <c r="CI49" s="207"/>
      <c r="CJ49" s="207"/>
      <c r="CK49" s="207"/>
      <c r="CL49" s="207"/>
      <c r="CM49" s="207"/>
      <c r="CN49" s="207"/>
      <c r="CO49" s="207"/>
      <c r="CP49" s="207"/>
      <c r="CQ49" s="207"/>
      <c r="CR49" s="207"/>
      <c r="CS49" s="207"/>
      <c r="CT49" s="207"/>
      <c r="CU49" s="207"/>
      <c r="CV49" s="207"/>
      <c r="CW49" s="207"/>
      <c r="CX49" s="207"/>
      <c r="CY49" s="207"/>
      <c r="CZ49" s="207"/>
      <c r="DA49" s="207"/>
      <c r="DB49" s="207"/>
      <c r="DC49" s="207"/>
      <c r="DD49" s="207"/>
      <c r="DE49" s="207"/>
      <c r="DF49" s="207"/>
      <c r="DG49" s="207"/>
      <c r="DH49" s="207"/>
      <c r="DI49" s="207"/>
      <c r="DJ49" s="207"/>
      <c r="DK49" s="207"/>
      <c r="DL49" s="207"/>
      <c r="DM49" s="207"/>
      <c r="DN49" s="207"/>
      <c r="DO49" s="207"/>
      <c r="DP49" s="207"/>
      <c r="DQ49" s="207"/>
      <c r="DR49" s="207"/>
      <c r="DS49" s="207"/>
      <c r="DT49" s="207"/>
      <c r="DU49" s="207"/>
      <c r="DV49" s="207"/>
      <c r="DW49" s="207"/>
      <c r="DX49" s="207"/>
      <c r="DY49" s="207"/>
      <c r="DZ49" s="207"/>
      <c r="EA49" s="207"/>
      <c r="EB49" s="207"/>
      <c r="EC49" s="207"/>
      <c r="ED49" s="207"/>
      <c r="EE49" s="207"/>
      <c r="EF49" s="207"/>
      <c r="EG49" s="207"/>
      <c r="EH49" s="207"/>
      <c r="EI49" s="207"/>
      <c r="EJ49" s="207"/>
      <c r="EK49" s="207"/>
      <c r="EL49" s="207"/>
      <c r="EM49" s="207"/>
      <c r="EN49" s="207"/>
      <c r="ES49" s="207"/>
      <c r="ET49" s="207"/>
      <c r="EU49" s="207"/>
      <c r="EV49" s="207"/>
      <c r="EW49" s="207"/>
      <c r="EX49" s="207"/>
      <c r="EY49" s="207"/>
      <c r="EZ49" s="207"/>
      <c r="FE49" s="207"/>
      <c r="FF49" s="207"/>
      <c r="FG49" s="207"/>
      <c r="FH49" s="207"/>
      <c r="FI49" s="207"/>
      <c r="FJ49" s="207"/>
      <c r="FK49" s="207"/>
      <c r="FL49" s="207"/>
      <c r="FQ49" s="207"/>
      <c r="FR49" s="207"/>
      <c r="FS49" s="207"/>
      <c r="FT49" s="207"/>
      <c r="FU49" s="207"/>
      <c r="FV49" s="207"/>
      <c r="FW49" s="207"/>
      <c r="FX49" s="207"/>
      <c r="GC49" s="207"/>
      <c r="GD49" s="207"/>
      <c r="GE49" s="207"/>
      <c r="GF49" s="207"/>
      <c r="GG49" s="207"/>
      <c r="GH49" s="207"/>
      <c r="GI49" s="207"/>
      <c r="GJ49" s="207"/>
      <c r="GS49" s="207"/>
      <c r="GT49" s="207"/>
      <c r="GU49" s="207"/>
      <c r="GV49" s="207"/>
      <c r="GW49" s="207"/>
      <c r="GX49" s="207"/>
      <c r="GY49" s="207"/>
      <c r="GZ49" s="207"/>
      <c r="HI49" s="207"/>
      <c r="HJ49" s="207"/>
      <c r="HK49" s="207"/>
      <c r="HL49" s="207"/>
      <c r="HM49" s="207"/>
      <c r="HN49" s="207"/>
      <c r="HO49" s="207"/>
      <c r="HP49" s="207"/>
    </row>
    <row r="50" spans="1:239" x14ac:dyDescent="0.2">
      <c r="A50" s="22">
        <v>2019</v>
      </c>
      <c r="C50" s="272">
        <f>[4]ISO!O40</f>
        <v>31282533</v>
      </c>
      <c r="E50" s="271">
        <f>'[4]TWIA 5'!I301</f>
        <v>1.049999999999998</v>
      </c>
      <c r="F50" s="26">
        <f t="shared" si="12"/>
        <v>32846660</v>
      </c>
      <c r="G50" s="272">
        <f>[4]ISO!T40</f>
        <v>369052</v>
      </c>
      <c r="H50" s="37">
        <f t="shared" si="15"/>
        <v>1.0999999999999999E-2</v>
      </c>
      <c r="I50" s="37"/>
      <c r="K50" s="2"/>
      <c r="L50" s="64">
        <f>[4]ISO!$E$1</f>
        <v>44926</v>
      </c>
      <c r="M50" s="64">
        <f>[4]ISO!$E$2</f>
        <v>44926</v>
      </c>
      <c r="O50" s="22">
        <v>1982</v>
      </c>
      <c r="P50" s="103">
        <f>V46</f>
        <v>1.1576560861111111</v>
      </c>
      <c r="Q50" s="29">
        <f>'10.3'!$D$52/P50</f>
        <v>4.5126675374990217</v>
      </c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CS50" s="207"/>
    </row>
    <row r="51" spans="1:239" x14ac:dyDescent="0.2">
      <c r="A51" s="22">
        <v>2020</v>
      </c>
      <c r="C51" s="272">
        <f>[4]ISO!O41</f>
        <v>32437926</v>
      </c>
      <c r="E51" s="271">
        <f>'[4]TWIA 5'!I302</f>
        <v>1.0499999999999974</v>
      </c>
      <c r="F51" s="26">
        <f>ROUND(C51*E51,0)</f>
        <v>34059822</v>
      </c>
      <c r="G51" s="272">
        <f>[4]ISO!T41</f>
        <v>864411</v>
      </c>
      <c r="H51" s="37">
        <f t="shared" si="15"/>
        <v>2.5000000000000001E-2</v>
      </c>
      <c r="I51" s="37"/>
      <c r="K51" s="2"/>
      <c r="N51" t="s">
        <v>237</v>
      </c>
      <c r="O51" s="22">
        <v>1983</v>
      </c>
      <c r="P51" s="29">
        <f>W46</f>
        <v>1.3642372778106464</v>
      </c>
      <c r="Q51" s="29">
        <f>'10.3'!$D$52/P51</f>
        <v>3.8293316891072973</v>
      </c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239" x14ac:dyDescent="0.2">
      <c r="A52" s="22">
        <v>2021</v>
      </c>
      <c r="C52" s="272">
        <f>[4]ISO!O42</f>
        <v>32931814</v>
      </c>
      <c r="E52" s="271">
        <f>'[4]TWIA 5'!I303</f>
        <v>1.0499999999999987</v>
      </c>
      <c r="F52" s="26">
        <f t="shared" si="12"/>
        <v>34578405</v>
      </c>
      <c r="G52" s="272">
        <f>[4]ISO!T42</f>
        <v>7366017</v>
      </c>
      <c r="H52" s="37">
        <f t="shared" si="15"/>
        <v>0.21299999999999999</v>
      </c>
      <c r="I52" s="37"/>
      <c r="K52" s="2"/>
      <c r="O52" s="22">
        <v>1984</v>
      </c>
      <c r="P52" s="29">
        <f>X46</f>
        <v>1.487808026052257</v>
      </c>
      <c r="Q52" s="29">
        <f>'10.3'!$D$52/P52</f>
        <v>3.5112843511426886</v>
      </c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13">
        <v>1980</v>
      </c>
      <c r="BM52" s="213"/>
      <c r="BN52" s="213"/>
      <c r="BO52" s="213"/>
      <c r="BP52" s="210">
        <f>BL52+1</f>
        <v>1981</v>
      </c>
      <c r="BQ52" s="13"/>
      <c r="BR52" s="13"/>
      <c r="BS52" s="13"/>
      <c r="BT52" s="13">
        <f>BP52+1</f>
        <v>1982</v>
      </c>
      <c r="BU52" s="13"/>
      <c r="BV52" s="13"/>
      <c r="BW52" s="13"/>
      <c r="BX52" s="13">
        <f>BT52+1</f>
        <v>1983</v>
      </c>
      <c r="BY52" s="13"/>
      <c r="BZ52" s="13"/>
      <c r="CA52" s="13"/>
      <c r="CB52" s="13">
        <f>BX52+1</f>
        <v>1984</v>
      </c>
      <c r="CC52" s="13"/>
      <c r="CD52" s="13"/>
      <c r="CE52" s="13"/>
      <c r="CF52" s="13">
        <f>CB52+1</f>
        <v>1985</v>
      </c>
      <c r="CG52" s="13"/>
      <c r="CH52" s="13"/>
      <c r="CI52" s="13"/>
      <c r="CJ52" s="13">
        <f>CF52+1</f>
        <v>1986</v>
      </c>
      <c r="CK52" s="13"/>
      <c r="CL52" s="13"/>
      <c r="CM52" s="13"/>
      <c r="CN52" s="13">
        <f>CJ52+1</f>
        <v>1987</v>
      </c>
      <c r="CO52" s="13"/>
      <c r="CP52" s="13"/>
      <c r="CQ52" s="13"/>
      <c r="CR52" s="13">
        <f>CN52+1</f>
        <v>1988</v>
      </c>
      <c r="CS52" s="13"/>
      <c r="CT52" s="13"/>
      <c r="CU52" s="13"/>
      <c r="CV52" s="13">
        <f>CR52+1</f>
        <v>1989</v>
      </c>
      <c r="CW52" s="13"/>
      <c r="CX52" s="13"/>
      <c r="CY52" s="13"/>
      <c r="CZ52" s="13">
        <f>CV52+1</f>
        <v>1990</v>
      </c>
      <c r="DA52" s="13"/>
      <c r="DB52" s="13"/>
      <c r="DC52" s="13"/>
      <c r="DD52" s="13">
        <f>CZ52+1</f>
        <v>1991</v>
      </c>
      <c r="DE52" s="13"/>
      <c r="DF52" s="13"/>
      <c r="DG52" s="13"/>
      <c r="DH52" s="13">
        <f>DD52+1</f>
        <v>1992</v>
      </c>
      <c r="DI52" s="13"/>
      <c r="DJ52" s="13"/>
      <c r="DK52" s="13"/>
      <c r="DL52" s="13">
        <f>DH52+1</f>
        <v>1993</v>
      </c>
      <c r="DM52" s="13"/>
      <c r="DN52" s="13"/>
      <c r="DO52" s="13"/>
      <c r="DP52" s="13">
        <f>DL52+1</f>
        <v>1994</v>
      </c>
      <c r="DQ52" s="13"/>
      <c r="DR52" s="13"/>
      <c r="DS52" s="13"/>
      <c r="DT52" s="13">
        <f>DP52+1</f>
        <v>1995</v>
      </c>
      <c r="DU52" s="13"/>
      <c r="DV52" s="13"/>
      <c r="DW52" s="13"/>
      <c r="DX52" s="13">
        <f>DT52+1</f>
        <v>1996</v>
      </c>
      <c r="DY52" s="13"/>
      <c r="DZ52" s="13"/>
      <c r="EA52" s="13"/>
      <c r="EB52" s="13">
        <f>DX52+1</f>
        <v>1997</v>
      </c>
      <c r="EC52" s="13"/>
      <c r="ED52" s="13"/>
      <c r="EE52" s="13"/>
      <c r="EF52" s="13">
        <f>EB52+1</f>
        <v>1998</v>
      </c>
      <c r="EG52" s="13"/>
      <c r="EH52" s="13"/>
      <c r="EI52" s="13"/>
      <c r="EJ52" s="13">
        <f>EF52+1</f>
        <v>1999</v>
      </c>
      <c r="EK52" s="13"/>
      <c r="EL52" s="13"/>
      <c r="EM52" s="13"/>
      <c r="EN52" s="13">
        <f>EJ52+1</f>
        <v>2000</v>
      </c>
      <c r="EO52" s="13"/>
      <c r="EP52" s="13"/>
      <c r="EQ52" s="13"/>
      <c r="ER52" s="13">
        <f>EN52+1</f>
        <v>2001</v>
      </c>
      <c r="ES52" s="13"/>
      <c r="ET52" s="13"/>
      <c r="EU52" s="13"/>
      <c r="EV52" s="13">
        <f>ER52+1</f>
        <v>2002</v>
      </c>
      <c r="EW52" s="13"/>
      <c r="EX52" s="13"/>
      <c r="EY52" s="13"/>
      <c r="EZ52" s="13">
        <f>EV52+1</f>
        <v>2003</v>
      </c>
      <c r="FA52" s="13"/>
      <c r="FB52" s="13"/>
      <c r="FC52" s="13"/>
      <c r="FD52" s="13">
        <f>EZ52+1</f>
        <v>2004</v>
      </c>
      <c r="FE52" s="13"/>
      <c r="FF52" s="13"/>
      <c r="FG52" s="13"/>
      <c r="FH52" s="13">
        <f>FD52+1</f>
        <v>2005</v>
      </c>
      <c r="FI52" s="13"/>
      <c r="FJ52" s="13"/>
      <c r="FK52" s="13"/>
      <c r="FL52" s="13">
        <f>FH52+1</f>
        <v>2006</v>
      </c>
      <c r="FM52" s="13"/>
      <c r="FN52" s="13"/>
      <c r="FO52" s="13"/>
      <c r="FP52" s="13">
        <f>FL52+1</f>
        <v>2007</v>
      </c>
      <c r="FQ52" s="13"/>
      <c r="FR52" s="13"/>
      <c r="FS52" s="13"/>
      <c r="FT52" s="13">
        <f>FP52+1</f>
        <v>2008</v>
      </c>
      <c r="FU52" s="13"/>
      <c r="FV52" s="13"/>
      <c r="FW52" s="13"/>
      <c r="FX52" s="13">
        <f>FT52+1</f>
        <v>2009</v>
      </c>
      <c r="FY52" s="13"/>
      <c r="FZ52" s="13"/>
      <c r="GA52" s="13"/>
      <c r="GB52" s="13">
        <f>FX52+1</f>
        <v>2010</v>
      </c>
      <c r="GC52" s="13"/>
      <c r="GD52" s="13"/>
      <c r="GE52" s="13"/>
      <c r="GF52" s="13">
        <f>GB52+1</f>
        <v>2011</v>
      </c>
      <c r="GG52" s="13"/>
      <c r="GH52" s="13"/>
      <c r="GI52" s="13"/>
      <c r="GJ52" s="13">
        <f>GF52+1</f>
        <v>2012</v>
      </c>
      <c r="GK52" s="13"/>
      <c r="GL52" s="13"/>
      <c r="GM52" s="13"/>
      <c r="GN52" s="13">
        <f>GJ52+1</f>
        <v>2013</v>
      </c>
      <c r="GO52" s="13"/>
      <c r="GP52" s="13"/>
      <c r="GQ52" s="13"/>
      <c r="GR52" s="13">
        <f>GN52+1</f>
        <v>2014</v>
      </c>
      <c r="GS52" s="13"/>
      <c r="GT52" s="13"/>
      <c r="GU52" s="13"/>
      <c r="GV52" s="13">
        <f>GR52+1</f>
        <v>2015</v>
      </c>
      <c r="GW52" s="13"/>
      <c r="GX52" s="13"/>
      <c r="GY52" s="13"/>
      <c r="GZ52" s="13">
        <f>GV52+1</f>
        <v>2016</v>
      </c>
      <c r="HA52" s="13"/>
      <c r="HB52" s="13"/>
      <c r="HC52" s="13"/>
      <c r="HD52" s="13">
        <f>GZ52+1</f>
        <v>2017</v>
      </c>
      <c r="HE52" s="13"/>
      <c r="HF52" s="13"/>
      <c r="HG52" s="13"/>
      <c r="HH52" s="13">
        <f>HD52+1</f>
        <v>2018</v>
      </c>
      <c r="HI52" s="13"/>
      <c r="HJ52" s="13"/>
      <c r="HK52" s="13"/>
      <c r="HL52" s="313">
        <f>HH52+1</f>
        <v>2019</v>
      </c>
      <c r="HM52" s="313"/>
      <c r="HN52" s="313"/>
      <c r="HO52" s="313"/>
      <c r="HP52" s="313">
        <v>2020</v>
      </c>
      <c r="HQ52" s="313"/>
      <c r="HR52" s="313"/>
      <c r="HS52" s="313"/>
      <c r="HT52" s="313">
        <v>2021</v>
      </c>
      <c r="HU52" s="313"/>
      <c r="HV52" s="313"/>
      <c r="HW52" s="313"/>
      <c r="HX52" s="313">
        <v>2022</v>
      </c>
      <c r="HY52" s="313"/>
      <c r="HZ52" s="313"/>
      <c r="IA52" s="313"/>
      <c r="IB52" s="313">
        <v>2023</v>
      </c>
      <c r="IC52" s="313"/>
      <c r="ID52" s="313"/>
      <c r="IE52" s="313"/>
    </row>
    <row r="53" spans="1:239" x14ac:dyDescent="0.2">
      <c r="A53" s="22">
        <v>2022</v>
      </c>
      <c r="C53" s="272">
        <f>[4]ISO!O43</f>
        <v>37475436</v>
      </c>
      <c r="E53" s="271">
        <f>'[4]TWIA 5'!I304</f>
        <v>1.0224475776595707</v>
      </c>
      <c r="F53" s="26">
        <f t="shared" si="12"/>
        <v>38316669</v>
      </c>
      <c r="G53" s="272">
        <f>[4]ISO!T43</f>
        <v>838443</v>
      </c>
      <c r="H53" s="37">
        <f t="shared" si="15"/>
        <v>2.1999999999999999E-2</v>
      </c>
      <c r="I53" s="37"/>
      <c r="K53" s="2"/>
      <c r="O53" s="22">
        <v>1985</v>
      </c>
      <c r="P53" s="29">
        <f>Y46</f>
        <v>1.8145984187369675</v>
      </c>
      <c r="Q53" s="29">
        <f>'10.3'!$D$52/P53</f>
        <v>2.8789383840739684</v>
      </c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14"/>
      <c r="BM53" s="211"/>
      <c r="BN53" s="211"/>
      <c r="BO53" s="215"/>
      <c r="BP53" s="214"/>
      <c r="BQ53" s="211"/>
      <c r="BR53" s="211"/>
      <c r="BS53" s="215"/>
      <c r="BT53" s="214"/>
      <c r="BU53" s="211"/>
      <c r="BV53" s="211"/>
      <c r="BW53" s="215"/>
      <c r="BX53" s="214"/>
      <c r="BY53" s="211"/>
      <c r="BZ53" s="211"/>
      <c r="CA53" s="215"/>
      <c r="CB53" s="214"/>
      <c r="CC53" s="211"/>
      <c r="CD53" s="211"/>
      <c r="CE53" s="215"/>
      <c r="CF53" s="214"/>
      <c r="CG53" s="211"/>
      <c r="CH53" s="211"/>
      <c r="CI53" s="215"/>
      <c r="CJ53" s="214"/>
      <c r="CK53" s="211"/>
      <c r="CL53" s="211"/>
      <c r="CM53" s="215"/>
      <c r="CN53" s="214"/>
      <c r="CO53" s="211"/>
      <c r="CP53" s="211"/>
      <c r="CQ53" s="215"/>
      <c r="CR53" s="214"/>
      <c r="CS53" s="211"/>
      <c r="CT53" s="211"/>
      <c r="CU53" s="215"/>
      <c r="CV53" s="214"/>
      <c r="CW53" s="211"/>
      <c r="CX53" s="211"/>
      <c r="CY53" s="215"/>
      <c r="CZ53" s="214"/>
      <c r="DA53" s="211"/>
      <c r="DB53" s="211"/>
      <c r="DC53" s="215"/>
      <c r="DD53" s="214"/>
      <c r="DE53" s="211"/>
      <c r="DF53" s="211"/>
      <c r="DG53" s="215"/>
      <c r="DH53" s="214"/>
      <c r="DI53" s="211"/>
      <c r="DJ53" s="211"/>
      <c r="DK53" s="215"/>
      <c r="DL53" s="214"/>
      <c r="DM53" s="211"/>
      <c r="DN53" s="211"/>
      <c r="DO53" s="215"/>
      <c r="DP53" s="214"/>
      <c r="DQ53" s="211"/>
      <c r="DR53" s="211"/>
      <c r="DS53" s="215"/>
      <c r="DT53" s="214"/>
      <c r="DU53" s="211"/>
      <c r="DV53" s="211"/>
      <c r="DW53" s="215"/>
      <c r="DX53" s="214"/>
      <c r="DY53" s="211"/>
      <c r="DZ53" s="211"/>
      <c r="EA53" s="215"/>
      <c r="EB53" s="214"/>
      <c r="EC53" s="211"/>
      <c r="ED53" s="211"/>
      <c r="EE53" s="215"/>
      <c r="EF53" s="214"/>
      <c r="EG53" s="211"/>
      <c r="EH53" s="211"/>
      <c r="EI53" s="215"/>
      <c r="EJ53" s="214"/>
      <c r="EK53" s="211"/>
      <c r="EL53" s="211"/>
      <c r="EM53" s="215"/>
      <c r="EN53" s="214"/>
      <c r="EO53" s="211"/>
      <c r="EP53" s="211"/>
      <c r="EQ53" s="215"/>
      <c r="ER53" s="214"/>
      <c r="ES53" s="211"/>
      <c r="ET53" s="211"/>
      <c r="EU53" s="215"/>
      <c r="EV53" s="214"/>
      <c r="EW53" s="211"/>
      <c r="EX53" s="211"/>
      <c r="EY53" s="215"/>
      <c r="EZ53" s="214"/>
      <c r="FA53" s="211"/>
      <c r="FB53" s="211"/>
      <c r="FC53" s="215"/>
      <c r="FD53" s="214"/>
      <c r="FE53" s="211"/>
      <c r="FF53" s="211"/>
      <c r="FG53" s="215"/>
      <c r="FH53" s="214"/>
      <c r="FI53" s="211"/>
      <c r="FJ53" s="211"/>
      <c r="FK53" s="215"/>
      <c r="FL53" s="214"/>
      <c r="FM53" s="211"/>
      <c r="FN53" s="211"/>
      <c r="FO53" s="215"/>
      <c r="FP53" s="214"/>
      <c r="FQ53" s="211"/>
      <c r="FR53" s="211"/>
      <c r="FS53" s="215"/>
      <c r="FT53" s="214"/>
      <c r="FU53" s="211"/>
      <c r="FV53" s="211"/>
      <c r="FW53" s="215"/>
      <c r="FX53" s="214"/>
      <c r="FY53" s="211"/>
      <c r="FZ53" s="211"/>
      <c r="GA53" s="215"/>
      <c r="GB53" s="214"/>
      <c r="GC53" s="211"/>
      <c r="GD53" s="211"/>
      <c r="GE53" s="215"/>
      <c r="GF53" s="214"/>
      <c r="GG53" s="211"/>
      <c r="GH53" s="211"/>
      <c r="GI53" s="215"/>
      <c r="GJ53" s="214"/>
      <c r="GK53" s="211"/>
      <c r="GL53" s="211"/>
      <c r="GM53" s="215"/>
      <c r="GN53" s="214"/>
      <c r="GO53" s="211"/>
      <c r="GP53" s="211"/>
      <c r="GQ53" s="215"/>
      <c r="GR53" s="214"/>
      <c r="GS53" s="211"/>
      <c r="GT53" s="211"/>
      <c r="GU53" s="215"/>
      <c r="GV53" s="214"/>
      <c r="GW53" s="211"/>
      <c r="GX53" s="211"/>
      <c r="GY53" s="215"/>
      <c r="GZ53" s="214"/>
      <c r="HA53" s="211"/>
      <c r="HB53" s="211"/>
      <c r="HC53" s="215"/>
      <c r="HD53" s="214"/>
      <c r="HE53" s="211"/>
      <c r="HF53" s="211"/>
      <c r="HG53" s="215"/>
      <c r="HH53" s="214"/>
      <c r="HI53" s="211"/>
      <c r="HJ53" s="211"/>
      <c r="HK53" s="215"/>
      <c r="HL53" s="214"/>
      <c r="HM53" s="211"/>
      <c r="HN53" s="211"/>
      <c r="HO53" s="215"/>
      <c r="HP53" s="214"/>
      <c r="HQ53" s="211"/>
      <c r="HR53" s="211"/>
      <c r="HS53" s="215"/>
      <c r="HT53" s="214"/>
      <c r="HU53" s="211"/>
      <c r="HV53" s="211"/>
      <c r="HW53" s="215"/>
      <c r="HX53" s="214"/>
      <c r="HY53" s="211"/>
      <c r="HZ53" s="211"/>
      <c r="IA53" s="215"/>
      <c r="IB53" s="214"/>
      <c r="IC53" s="211"/>
      <c r="ID53" s="211"/>
      <c r="IE53" s="215"/>
    </row>
    <row r="54" spans="1:239" x14ac:dyDescent="0.2">
      <c r="A54" s="243"/>
      <c r="B54" s="243"/>
      <c r="C54" s="250"/>
      <c r="D54" s="250"/>
      <c r="E54" s="251"/>
      <c r="F54" s="250"/>
      <c r="G54" s="247"/>
      <c r="H54" s="252"/>
      <c r="K54" s="2"/>
      <c r="O54" s="22">
        <v>1986</v>
      </c>
      <c r="P54" s="29">
        <f>Z46</f>
        <v>2.5485007097028989</v>
      </c>
      <c r="Q54" s="29">
        <f>'10.3'!$D$52/P54</f>
        <v>2.0498785892003166</v>
      </c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16"/>
      <c r="BM54" s="217" t="s">
        <v>15</v>
      </c>
      <c r="BN54" s="201"/>
      <c r="BO54" s="200"/>
      <c r="BP54" s="216"/>
      <c r="BQ54" s="209"/>
      <c r="BR54" s="218" t="s">
        <v>16</v>
      </c>
      <c r="BS54" s="200"/>
      <c r="BT54" s="219"/>
      <c r="BU54" s="217"/>
      <c r="BV54" s="218" t="s">
        <v>333</v>
      </c>
      <c r="BW54" s="220"/>
      <c r="BX54" s="219"/>
      <c r="BY54" s="217"/>
      <c r="BZ54" s="218"/>
      <c r="CA54" s="220" t="s">
        <v>334</v>
      </c>
      <c r="CB54" s="219"/>
      <c r="CC54" s="217"/>
      <c r="CD54" s="218"/>
      <c r="CE54" s="220" t="s">
        <v>335</v>
      </c>
      <c r="CF54" s="219"/>
      <c r="CG54" s="217"/>
      <c r="CH54" s="218"/>
      <c r="CI54" s="220"/>
      <c r="CJ54" s="219" t="s">
        <v>337</v>
      </c>
      <c r="CK54" s="217"/>
      <c r="CL54" s="218"/>
      <c r="CM54" s="220"/>
      <c r="CN54" s="219" t="s">
        <v>60</v>
      </c>
      <c r="CO54" s="217"/>
      <c r="CP54" s="218"/>
      <c r="CQ54" s="220"/>
      <c r="CR54" s="219"/>
      <c r="CS54" s="217"/>
      <c r="CT54" s="218" t="s">
        <v>338</v>
      </c>
      <c r="CU54" s="220"/>
      <c r="CV54" s="219"/>
      <c r="CW54" s="217"/>
      <c r="CX54" s="218"/>
      <c r="CY54" s="220"/>
      <c r="CZ54" s="219" t="s">
        <v>339</v>
      </c>
      <c r="DA54" s="217"/>
      <c r="DB54" s="218"/>
      <c r="DC54" s="220"/>
      <c r="DD54" s="219" t="s">
        <v>340</v>
      </c>
      <c r="DE54" s="217"/>
      <c r="DF54" s="218"/>
      <c r="DG54" s="220"/>
      <c r="DH54" s="219" t="s">
        <v>367</v>
      </c>
      <c r="DI54" s="217"/>
      <c r="DJ54" s="218"/>
      <c r="DK54" s="220"/>
      <c r="DL54" s="219"/>
      <c r="DM54" s="217"/>
      <c r="DN54" s="218" t="s">
        <v>372</v>
      </c>
      <c r="DO54" s="220"/>
      <c r="DP54" s="219"/>
      <c r="DQ54" s="217"/>
      <c r="DR54" s="218"/>
      <c r="DS54" s="220"/>
      <c r="DT54" s="219"/>
      <c r="DU54" s="217"/>
      <c r="DV54" s="218"/>
      <c r="DW54" s="220"/>
      <c r="DX54" s="219"/>
      <c r="DY54" s="217"/>
      <c r="DZ54" s="218" t="s">
        <v>391</v>
      </c>
      <c r="EA54" s="220"/>
      <c r="EB54" s="219"/>
      <c r="EC54" s="217"/>
      <c r="ED54" s="218"/>
      <c r="EE54" s="220"/>
      <c r="EF54" s="219"/>
      <c r="EG54" s="217"/>
      <c r="EH54" s="218"/>
      <c r="EI54" s="220"/>
      <c r="EJ54" s="219"/>
      <c r="EK54" s="217"/>
      <c r="EL54" s="218" t="s">
        <v>399</v>
      </c>
      <c r="EM54" s="220"/>
      <c r="EN54" s="219"/>
      <c r="EO54" s="217"/>
      <c r="EP54" s="218"/>
      <c r="EQ54" s="220"/>
      <c r="ER54" s="219" t="s">
        <v>400</v>
      </c>
      <c r="ES54" s="217"/>
      <c r="ET54" s="218"/>
      <c r="EU54" s="220"/>
      <c r="EV54" s="219" t="s">
        <v>403</v>
      </c>
      <c r="EW54" s="217"/>
      <c r="EX54" s="218"/>
      <c r="EY54" s="220"/>
      <c r="EZ54" s="219" t="s">
        <v>404</v>
      </c>
      <c r="FA54" s="217"/>
      <c r="FB54" s="218"/>
      <c r="FC54" s="220"/>
      <c r="FD54" s="219" t="s">
        <v>432</v>
      </c>
      <c r="FE54" s="217"/>
      <c r="FF54" s="218"/>
      <c r="FG54" s="220"/>
      <c r="FH54" s="219" t="s">
        <v>440</v>
      </c>
      <c r="FI54" s="217"/>
      <c r="FJ54" s="218"/>
      <c r="FK54" s="220"/>
      <c r="FL54" s="219" t="s">
        <v>476</v>
      </c>
      <c r="FM54" s="217"/>
      <c r="FN54" s="218"/>
      <c r="FO54" s="220" t="s">
        <v>477</v>
      </c>
      <c r="FP54" s="219"/>
      <c r="FQ54" s="217" t="s">
        <v>478</v>
      </c>
      <c r="FR54" s="218"/>
      <c r="FS54" s="220" t="s">
        <v>479</v>
      </c>
      <c r="FT54" s="219"/>
      <c r="FU54" s="217"/>
      <c r="FV54" s="218"/>
      <c r="FW54" s="220"/>
      <c r="FX54" s="219" t="s">
        <v>480</v>
      </c>
      <c r="FY54" s="217"/>
      <c r="FZ54" s="218"/>
      <c r="GA54" s="220"/>
      <c r="GB54" s="219"/>
      <c r="GC54" s="217" t="s">
        <v>481</v>
      </c>
      <c r="GD54" s="218"/>
      <c r="GE54" s="220"/>
      <c r="GF54" s="219"/>
      <c r="GG54" s="217"/>
      <c r="GH54" s="218"/>
      <c r="GI54" s="220"/>
      <c r="GJ54" s="219" t="s">
        <v>482</v>
      </c>
      <c r="GK54" s="217"/>
      <c r="GL54" s="218"/>
      <c r="GM54" s="220"/>
      <c r="GN54" s="219" t="s">
        <v>483</v>
      </c>
      <c r="GO54" s="217"/>
      <c r="GP54" s="218"/>
      <c r="GQ54" s="220" t="s">
        <v>484</v>
      </c>
      <c r="GR54" s="219"/>
      <c r="GS54" s="217"/>
      <c r="GT54" s="218"/>
      <c r="GU54" s="220" t="s">
        <v>485</v>
      </c>
      <c r="GV54" s="219"/>
      <c r="GW54" s="217"/>
      <c r="GX54" s="218"/>
      <c r="GY54" s="220" t="s">
        <v>486</v>
      </c>
      <c r="GZ54" s="219"/>
      <c r="HA54" s="217"/>
      <c r="HB54" s="218"/>
      <c r="HC54" s="220" t="s">
        <v>487</v>
      </c>
      <c r="HD54" s="219"/>
      <c r="HE54" s="217"/>
      <c r="HF54" s="218"/>
      <c r="HG54" s="220" t="s">
        <v>488</v>
      </c>
      <c r="HH54" s="219"/>
      <c r="HI54" s="217"/>
      <c r="HJ54" s="218"/>
      <c r="HK54" s="220"/>
      <c r="HL54" s="219"/>
      <c r="HM54" s="217"/>
      <c r="HN54" s="218"/>
      <c r="HO54" s="200"/>
      <c r="HP54" s="219"/>
      <c r="HQ54" s="217"/>
      <c r="HR54" s="218" t="s">
        <v>489</v>
      </c>
      <c r="HS54" s="200"/>
      <c r="HT54" s="219"/>
      <c r="HU54" s="217"/>
      <c r="HV54" s="218"/>
      <c r="HW54" s="200"/>
      <c r="HX54" s="219"/>
      <c r="HY54" s="217"/>
      <c r="HZ54" s="218"/>
      <c r="IA54" s="200"/>
      <c r="IB54" s="219"/>
      <c r="IC54" s="217"/>
      <c r="ID54" s="218"/>
      <c r="IE54" s="200"/>
    </row>
    <row r="55" spans="1:239" x14ac:dyDescent="0.2">
      <c r="A55" t="s">
        <v>8</v>
      </c>
      <c r="C55" s="249">
        <f>SUM(C14:C53)</f>
        <v>650851766</v>
      </c>
      <c r="D55" s="249"/>
      <c r="E55" s="249"/>
      <c r="F55" s="249">
        <f>SUM(F14:F53)</f>
        <v>1011160832.0249947</v>
      </c>
      <c r="G55" s="249">
        <f>SUM(G14:G53)</f>
        <v>437254838.44950092</v>
      </c>
      <c r="H55" s="37">
        <f>ROUND(G55/F55,3)</f>
        <v>0.432</v>
      </c>
      <c r="K55" s="2"/>
      <c r="O55" s="22">
        <v>1987</v>
      </c>
      <c r="P55" s="29">
        <f>AA46</f>
        <v>2.6203865119934049</v>
      </c>
      <c r="Q55" s="29">
        <f>'10.3'!$D$52/P55</f>
        <v>1.9936436916734259</v>
      </c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16"/>
      <c r="BM55" s="209"/>
      <c r="BN55" s="201"/>
      <c r="BO55" s="200"/>
      <c r="BP55" s="216"/>
      <c r="BQ55" s="209"/>
      <c r="BR55" s="201"/>
      <c r="BS55" s="200"/>
      <c r="BT55" s="219"/>
      <c r="BU55" s="217"/>
      <c r="BV55" s="218"/>
      <c r="BW55" s="220"/>
      <c r="BX55" s="219"/>
      <c r="BY55" s="217"/>
      <c r="BZ55" s="218"/>
      <c r="CA55" s="220"/>
      <c r="CB55" s="219"/>
      <c r="CC55" s="217"/>
      <c r="CD55" s="218"/>
      <c r="CE55" s="220"/>
      <c r="CF55" s="219"/>
      <c r="CG55" s="217"/>
      <c r="CH55" s="218"/>
      <c r="CI55" s="220"/>
      <c r="CJ55" s="219"/>
      <c r="CK55" s="217"/>
      <c r="CL55" s="218"/>
      <c r="CM55" s="220"/>
      <c r="CN55" s="219"/>
      <c r="CO55" s="217"/>
      <c r="CP55" s="218"/>
      <c r="CQ55" s="220"/>
      <c r="CR55" s="219"/>
      <c r="CS55" s="217"/>
      <c r="CT55" s="218"/>
      <c r="CU55" s="220"/>
      <c r="CV55" s="219"/>
      <c r="CW55" s="217"/>
      <c r="CX55" s="218"/>
      <c r="CY55" s="220"/>
      <c r="CZ55" s="219"/>
      <c r="DA55" s="217"/>
      <c r="DB55" s="218"/>
      <c r="DC55" s="220"/>
      <c r="DD55" s="219"/>
      <c r="DE55" s="217"/>
      <c r="DF55" s="218"/>
      <c r="DG55" s="220"/>
      <c r="DH55" s="219"/>
      <c r="DI55" s="217"/>
      <c r="DJ55" s="218"/>
      <c r="DK55" s="220"/>
      <c r="DL55" s="219"/>
      <c r="DM55" s="217"/>
      <c r="DN55" s="218"/>
      <c r="DO55" s="220"/>
      <c r="DP55" s="219"/>
      <c r="DQ55" s="217"/>
      <c r="DR55" s="218"/>
      <c r="DS55" s="220"/>
      <c r="DT55" s="219"/>
      <c r="DU55" s="217"/>
      <c r="DV55" s="218"/>
      <c r="DW55" s="220"/>
      <c r="DX55" s="219"/>
      <c r="DY55" s="217"/>
      <c r="DZ55" s="218"/>
      <c r="EA55" s="220"/>
      <c r="EB55" s="219"/>
      <c r="EC55" s="217"/>
      <c r="ED55" s="218"/>
      <c r="EE55" s="220"/>
      <c r="EF55" s="219"/>
      <c r="EG55" s="217"/>
      <c r="EH55" s="218"/>
      <c r="EI55" s="220"/>
      <c r="EJ55" s="219"/>
      <c r="EK55" s="217"/>
      <c r="EL55" s="218"/>
      <c r="EM55" s="220"/>
      <c r="EN55" s="219"/>
      <c r="EO55" s="217"/>
      <c r="EP55" s="218"/>
      <c r="EQ55" s="220"/>
      <c r="ER55" s="219"/>
      <c r="ES55" s="217"/>
      <c r="ET55" s="218"/>
      <c r="EU55" s="220"/>
      <c r="EV55" s="219"/>
      <c r="EW55" s="217"/>
      <c r="EX55" s="218"/>
      <c r="EY55" s="220"/>
      <c r="EZ55" s="219"/>
      <c r="FA55" s="217"/>
      <c r="FB55" s="218"/>
      <c r="FC55" s="220"/>
      <c r="FD55" s="219"/>
      <c r="FE55" s="217"/>
      <c r="FF55" s="218"/>
      <c r="FG55" s="220"/>
      <c r="FH55" s="219"/>
      <c r="FI55" s="217"/>
      <c r="FJ55" s="218"/>
      <c r="FK55" s="220"/>
      <c r="FL55" s="219"/>
      <c r="FM55" s="217"/>
      <c r="FN55" s="218"/>
      <c r="FO55" s="220"/>
      <c r="FP55" s="219"/>
      <c r="FQ55" s="217"/>
      <c r="FR55" s="218"/>
      <c r="FS55" s="220"/>
      <c r="FT55" s="219"/>
      <c r="FU55" s="217"/>
      <c r="FV55" s="218"/>
      <c r="FW55" s="220"/>
      <c r="FX55" s="219"/>
      <c r="FY55" s="217"/>
      <c r="FZ55" s="218"/>
      <c r="GA55" s="220"/>
      <c r="GB55" s="219"/>
      <c r="GC55" s="217"/>
      <c r="GD55" s="218"/>
      <c r="GE55" s="220"/>
      <c r="GF55" s="219"/>
      <c r="GG55" s="217"/>
      <c r="GH55" s="218"/>
      <c r="GI55" s="220"/>
      <c r="GJ55" s="219"/>
      <c r="GK55" s="217"/>
      <c r="GL55" s="218"/>
      <c r="GM55" s="220"/>
      <c r="GN55" s="219"/>
      <c r="GO55" s="217"/>
      <c r="GP55" s="218"/>
      <c r="GQ55" s="220"/>
      <c r="GR55" s="219"/>
      <c r="GS55" s="217"/>
      <c r="GT55" s="218"/>
      <c r="GU55" s="220"/>
      <c r="GV55" s="219"/>
      <c r="GW55" s="217"/>
      <c r="GX55" s="218"/>
      <c r="GY55" s="220"/>
      <c r="GZ55" s="219"/>
      <c r="HA55" s="217"/>
      <c r="HB55" s="218"/>
      <c r="HC55" s="220"/>
      <c r="HD55" s="219"/>
      <c r="HE55" s="217"/>
      <c r="HF55" s="218"/>
      <c r="HG55" s="220"/>
      <c r="HH55" s="219"/>
      <c r="HI55" s="217"/>
      <c r="HJ55" s="218"/>
      <c r="HK55" s="220"/>
      <c r="HL55" s="219"/>
      <c r="HM55" s="217"/>
      <c r="HN55" s="218"/>
      <c r="HO55" s="200"/>
      <c r="HP55" s="219"/>
      <c r="HQ55" s="217"/>
      <c r="HR55" s="218"/>
      <c r="HS55" s="200"/>
      <c r="HT55" s="219"/>
      <c r="HU55" s="217"/>
      <c r="HV55" s="218"/>
      <c r="HW55" s="200"/>
      <c r="HX55" s="219"/>
      <c r="HY55" s="217"/>
      <c r="HZ55" s="218" t="s">
        <v>490</v>
      </c>
      <c r="IA55" s="200"/>
      <c r="IB55" s="219"/>
      <c r="IC55" s="217"/>
      <c r="ID55" s="218"/>
      <c r="IE55" s="200"/>
    </row>
    <row r="56" spans="1:239" ht="12" thickBot="1" x14ac:dyDescent="0.25">
      <c r="A56" s="6"/>
      <c r="B56" s="6"/>
      <c r="C56" s="6"/>
      <c r="D56" s="6"/>
      <c r="E56" s="6"/>
      <c r="F56" s="6"/>
      <c r="G56" s="6"/>
      <c r="H56" s="6"/>
      <c r="K56" s="2"/>
      <c r="O56" s="22">
        <v>1988</v>
      </c>
      <c r="P56" s="29">
        <f>AB46</f>
        <v>2.4328629760090004</v>
      </c>
      <c r="Q56" s="29">
        <f>'10.3'!$D$52/P56</f>
        <v>2.1473124836449715</v>
      </c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12"/>
      <c r="BM56" s="202"/>
      <c r="BN56" s="202"/>
      <c r="BO56" s="203"/>
      <c r="BP56" s="212"/>
      <c r="BQ56" s="202"/>
      <c r="BR56" s="202"/>
      <c r="BS56" s="203"/>
      <c r="BT56" s="212"/>
      <c r="BU56" s="202"/>
      <c r="BV56" s="202"/>
      <c r="BW56" s="203"/>
      <c r="BX56" s="212"/>
      <c r="BY56" s="202"/>
      <c r="BZ56" s="202"/>
      <c r="CA56" s="203"/>
      <c r="CB56" s="212"/>
      <c r="CC56" s="202"/>
      <c r="CD56" s="202"/>
      <c r="CE56" s="203"/>
      <c r="CF56" s="212"/>
      <c r="CG56" s="202"/>
      <c r="CH56" s="202"/>
      <c r="CI56" s="203"/>
      <c r="CJ56" s="212"/>
      <c r="CK56" s="202"/>
      <c r="CL56" s="202"/>
      <c r="CM56" s="203"/>
      <c r="CN56" s="212"/>
      <c r="CO56" s="202"/>
      <c r="CP56" s="202"/>
      <c r="CQ56" s="203"/>
      <c r="CR56" s="212"/>
      <c r="CS56" s="202"/>
      <c r="CT56" s="202"/>
      <c r="CU56" s="203"/>
      <c r="CV56" s="212"/>
      <c r="CW56" s="202"/>
      <c r="CX56" s="202"/>
      <c r="CY56" s="203"/>
      <c r="CZ56" s="212"/>
      <c r="DA56" s="202"/>
      <c r="DB56" s="202"/>
      <c r="DC56" s="203"/>
      <c r="DD56" s="212"/>
      <c r="DE56" s="202"/>
      <c r="DF56" s="202"/>
      <c r="DG56" s="203"/>
      <c r="DH56" s="212"/>
      <c r="DI56" s="202"/>
      <c r="DJ56" s="202"/>
      <c r="DK56" s="203"/>
      <c r="DL56" s="212"/>
      <c r="DM56" s="202"/>
      <c r="DN56" s="202"/>
      <c r="DO56" s="203"/>
      <c r="DP56" s="212"/>
      <c r="DQ56" s="202"/>
      <c r="DR56" s="202"/>
      <c r="DS56" s="203"/>
      <c r="DT56" s="212"/>
      <c r="DU56" s="202"/>
      <c r="DV56" s="202"/>
      <c r="DW56" s="203"/>
      <c r="DX56" s="212"/>
      <c r="DY56" s="202"/>
      <c r="DZ56" s="202"/>
      <c r="EA56" s="203"/>
      <c r="EB56" s="212"/>
      <c r="EC56" s="202"/>
      <c r="ED56" s="202"/>
      <c r="EE56" s="203"/>
      <c r="EF56" s="212"/>
      <c r="EG56" s="202"/>
      <c r="EH56" s="202"/>
      <c r="EI56" s="203"/>
      <c r="EJ56" s="212"/>
      <c r="EK56" s="202"/>
      <c r="EL56" s="202"/>
      <c r="EM56" s="203"/>
      <c r="EN56" s="212"/>
      <c r="EO56" s="202"/>
      <c r="EP56" s="202"/>
      <c r="EQ56" s="203"/>
      <c r="ER56" s="212"/>
      <c r="ES56" s="202"/>
      <c r="ET56" s="202"/>
      <c r="EU56" s="203"/>
      <c r="EV56" s="212"/>
      <c r="EW56" s="202"/>
      <c r="EX56" s="202"/>
      <c r="EY56" s="203"/>
      <c r="EZ56" s="212"/>
      <c r="FA56" s="202"/>
      <c r="FB56" s="202"/>
      <c r="FC56" s="203"/>
      <c r="FD56" s="212"/>
      <c r="FE56" s="202"/>
      <c r="FF56" s="202"/>
      <c r="FG56" s="203"/>
      <c r="FH56" s="212"/>
      <c r="FI56" s="202"/>
      <c r="FJ56" s="202"/>
      <c r="FK56" s="203"/>
      <c r="FL56" s="212"/>
      <c r="FM56" s="202"/>
      <c r="FN56" s="202"/>
      <c r="FO56" s="203"/>
      <c r="FP56" s="212"/>
      <c r="FQ56" s="202"/>
      <c r="FR56" s="202"/>
      <c r="FS56" s="203"/>
      <c r="FT56" s="212"/>
      <c r="FU56" s="202"/>
      <c r="FV56" s="202"/>
      <c r="FW56" s="203"/>
      <c r="FX56" s="212"/>
      <c r="FY56" s="202"/>
      <c r="FZ56" s="202"/>
      <c r="GA56" s="203"/>
      <c r="GB56" s="212"/>
      <c r="GC56" s="202"/>
      <c r="GD56" s="202"/>
      <c r="GE56" s="203"/>
      <c r="GF56" s="212"/>
      <c r="GG56" s="202"/>
      <c r="GH56" s="202"/>
      <c r="GI56" s="203"/>
      <c r="GJ56" s="212"/>
      <c r="GK56" s="202"/>
      <c r="GL56" s="202"/>
      <c r="GM56" s="203"/>
      <c r="GN56" s="212"/>
      <c r="GO56" s="202"/>
      <c r="GP56" s="202"/>
      <c r="GQ56" s="203"/>
      <c r="GR56" s="212"/>
      <c r="GS56" s="202"/>
      <c r="GT56" s="202"/>
      <c r="GU56" s="203"/>
      <c r="GV56" s="212"/>
      <c r="GW56" s="202"/>
      <c r="GX56" s="202"/>
      <c r="GY56" s="203"/>
      <c r="GZ56" s="212"/>
      <c r="HA56" s="202"/>
      <c r="HB56" s="202"/>
      <c r="HC56" s="203"/>
      <c r="HD56" s="212"/>
      <c r="HE56" s="202"/>
      <c r="HF56" s="202"/>
      <c r="HG56" s="203"/>
      <c r="HH56" s="212"/>
      <c r="HI56" s="202"/>
      <c r="HJ56" s="202"/>
      <c r="HK56" s="203"/>
      <c r="HL56" s="212"/>
      <c r="HM56" s="202"/>
      <c r="HN56" s="202"/>
      <c r="HO56" s="203"/>
      <c r="HP56" s="212"/>
      <c r="HQ56" s="202"/>
      <c r="HR56" s="202"/>
      <c r="HS56" s="203"/>
      <c r="HT56" s="212"/>
      <c r="HU56" s="202"/>
      <c r="HV56" s="202"/>
      <c r="HW56" s="203"/>
      <c r="HX56" s="212"/>
      <c r="HY56" s="202"/>
      <c r="HZ56" s="202"/>
      <c r="IA56" s="203"/>
      <c r="IB56" s="212"/>
      <c r="IC56" s="202"/>
      <c r="ID56" s="202"/>
      <c r="IE56" s="203"/>
    </row>
    <row r="57" spans="1:239" ht="12" thickTop="1" x14ac:dyDescent="0.2">
      <c r="K57" s="2"/>
      <c r="O57" s="22">
        <v>1989</v>
      </c>
      <c r="P57" s="103">
        <f>AC46</f>
        <v>2.1901615490310262</v>
      </c>
      <c r="Q57" s="29">
        <f>'10.3'!$D$52/P57</f>
        <v>2.385265617366465</v>
      </c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</row>
    <row r="58" spans="1:239" x14ac:dyDescent="0.2">
      <c r="A58" t="s">
        <v>18</v>
      </c>
      <c r="K58" s="2"/>
      <c r="O58" s="22">
        <v>1990</v>
      </c>
      <c r="P58" s="103">
        <f>AD46</f>
        <v>2.0849125090576712</v>
      </c>
      <c r="Q58" s="29">
        <f>'10.3'!$D$52/P58</f>
        <v>2.5056768649457406</v>
      </c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</row>
    <row r="59" spans="1:239" x14ac:dyDescent="0.2">
      <c r="B59" s="12" t="str">
        <f>C12&amp;" Provided by TDI. "&amp;A14&amp;" - "&amp;A26&amp;" are year ending "&amp;TEXT($L$48,"m/d/xx")&amp;" as of "&amp;TEXT($M$48,"m/d/yy")&amp;"; "&amp;A27&amp;" - "&amp;A51&amp;" are year ending "&amp;TEXT($L$50,"m/d/xx")&amp;" as of "&amp;TEXT($M$50,"m/d/yy")</f>
        <v>(2) Provided by TDI. 1983 - 1995 are year ending 9/30/xx as of 12/31/99; 1996 - 2020 are year ending 12/31/xx as of 12/31/22</v>
      </c>
      <c r="K59" s="2"/>
      <c r="L59" s="29"/>
      <c r="O59" s="22">
        <v>1991</v>
      </c>
      <c r="P59" s="29">
        <f>AE46</f>
        <v>2.0975535338784841</v>
      </c>
      <c r="Q59" s="29">
        <f>'10.3'!$D$52/P59</f>
        <v>2.4905762618235174</v>
      </c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</row>
    <row r="60" spans="1:239" x14ac:dyDescent="0.2">
      <c r="B60" s="12" t="str">
        <f>D12&amp;" Provided by TDI (1992 MR = 1992 manual rates)"</f>
        <v>(3) Provided by TDI (1992 MR = 1992 manual rates)</v>
      </c>
      <c r="C60" s="12"/>
      <c r="K60" s="2"/>
      <c r="O60" s="22">
        <v>1992</v>
      </c>
      <c r="P60" s="29">
        <f>AF46</f>
        <v>1.8450081871266777</v>
      </c>
      <c r="Q60" s="29">
        <f>'10.3'!$D$52/P60</f>
        <v>2.8314871857113864</v>
      </c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</row>
    <row r="61" spans="1:239" x14ac:dyDescent="0.2">
      <c r="B61" s="12" t="str">
        <f>E12&amp;" Represents "&amp;$P$8&amp;" through "&amp;TEXT($L$1,"m/d/yy")&amp;" rate changes for TWIA; factors assume uniform earning of written premium"</f>
        <v>(4) Represents 8/1/80 through 6/30/22 rate changes for TWIA; factors assume uniform earning of written premium</v>
      </c>
      <c r="K61" s="2"/>
      <c r="O61" s="22">
        <v>1993</v>
      </c>
      <c r="P61" s="103">
        <f>AG46</f>
        <v>1.6058660757812344</v>
      </c>
      <c r="Q61" s="29">
        <f>'10.3'!$D$52/P61</f>
        <v>3.2531461484671529</v>
      </c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</row>
    <row r="62" spans="1:239" x14ac:dyDescent="0.2">
      <c r="B62" s="12" t="str">
        <f>"      and that TWIA premium represents "&amp;TEXT(L32,"0.0%")&amp;" of industry data in "&amp;LEFT(A5,FIND("(",A5)-2)</f>
        <v xml:space="preserve">      and that TWIA premium represents 83.4% of industry data in Tier 1 -- Territory 8</v>
      </c>
      <c r="K62" s="2"/>
      <c r="O62" s="22">
        <v>1994</v>
      </c>
      <c r="P62" s="29">
        <f>AH46</f>
        <v>1.6058660757812344</v>
      </c>
      <c r="Q62" s="29">
        <f>'10.3'!$D$52/P62</f>
        <v>3.2531461484671529</v>
      </c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</row>
    <row r="63" spans="1:239" x14ac:dyDescent="0.2">
      <c r="B63" s="12" t="str">
        <f>F12&amp;" = "&amp;D12&amp;" * "&amp;ROUND(E23,3)&amp;" for "&amp;A14&amp;" - "&amp;A23&amp;"; "&amp;C12&amp;" * "&amp;E12&amp;" for "&amp;A24&amp;" - "&amp;A53</f>
        <v>(5) = (3) * 2.831 for 1983 - 1992; (2) * (4) for 1993 - 2022</v>
      </c>
      <c r="K63" s="2"/>
      <c r="O63" s="22">
        <v>1995</v>
      </c>
      <c r="P63" s="29">
        <f>AI46</f>
        <v>1.6058660757812344</v>
      </c>
      <c r="Q63" s="29">
        <f>'10.3'!$D$52/P63</f>
        <v>3.2531461484671529</v>
      </c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</row>
    <row r="64" spans="1:239" x14ac:dyDescent="0.2">
      <c r="B64" s="12" t="str">
        <f>G12&amp;" Provided by TDI. "&amp;A14&amp;" - "&amp;A26&amp;" are year ending "&amp;TEXT($L$48,"m/d/xx")&amp;" as of "&amp;TEXT($M$48,"m/d/yy")&amp;"; "&amp;A27&amp;" - "&amp;A42&amp;" are year ending "&amp;TEXT($L$50,"m/d/xx")&amp;" as of "&amp;TEXT($M$49,"m/d/yy")</f>
        <v>(6) Provided by TDI. 1983 - 1995 are year ending 9/30/xx as of 12/31/99; 1996 - 2011 are year ending 12/31/xx as of 12/31/19</v>
      </c>
      <c r="D64" s="41"/>
      <c r="E64" s="41"/>
      <c r="F64" s="41"/>
      <c r="G64" s="21"/>
      <c r="K64" s="2"/>
      <c r="O64" s="22">
        <v>1996</v>
      </c>
      <c r="P64" s="29">
        <f>AJ46</f>
        <v>1.6058660757812344</v>
      </c>
      <c r="Q64" s="29">
        <f>'10.3'!$D$52/P64</f>
        <v>3.2531461484671529</v>
      </c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</row>
    <row r="65" spans="1:60" x14ac:dyDescent="0.2">
      <c r="B65" t="str">
        <f>"    2011 - "&amp;YEAR(M50)&amp;" are year ending 12/31/xx as of "&amp;TEXT(M50,"m/d/yyyy")&amp;"; "&amp;" 2008 IKE incurred loss was adjusted down by $99,433,917"</f>
        <v xml:space="preserve">    2011 - 2022 are year ending 12/31/xx as of 12/31/2022;  2008 IKE incurred loss was adjusted down by $99,433,917</v>
      </c>
      <c r="K65" s="2"/>
      <c r="O65" s="22">
        <v>1997</v>
      </c>
      <c r="P65" s="29">
        <f>AK46</f>
        <v>1.6058660757812344</v>
      </c>
      <c r="Q65" s="29">
        <f>'10.3'!$D$52/P65</f>
        <v>3.2531461484671529</v>
      </c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</row>
    <row r="66" spans="1:60" x14ac:dyDescent="0.2">
      <c r="B66" s="12" t="str">
        <f>H12&amp;" = "&amp;G12&amp;" / "&amp;F12</f>
        <v>(7) = (6) / (5)</v>
      </c>
      <c r="I66" s="18"/>
      <c r="K66" s="2"/>
      <c r="O66" s="22">
        <v>1998</v>
      </c>
      <c r="P66" s="29">
        <f>AL46</f>
        <v>1.5817780846445157</v>
      </c>
      <c r="Q66" s="29">
        <f>'10.3'!$D$52/P66</f>
        <v>3.3026864451443179</v>
      </c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</row>
    <row r="67" spans="1:60" x14ac:dyDescent="0.2">
      <c r="A67" s="40"/>
      <c r="D67" s="31"/>
      <c r="E67" s="31"/>
      <c r="F67" s="31"/>
      <c r="G67" s="18"/>
      <c r="H67" s="18"/>
      <c r="I67" s="18"/>
      <c r="K67" s="2"/>
      <c r="O67" s="22">
        <v>1999</v>
      </c>
      <c r="P67" s="29">
        <f>AM46</f>
        <v>1.5576900935077973</v>
      </c>
      <c r="Q67" s="29">
        <f>'10.3'!$D$52/P67</f>
        <v>3.3537589159455186</v>
      </c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</row>
    <row r="68" spans="1:60" x14ac:dyDescent="0.2">
      <c r="A68" s="40"/>
      <c r="C68" s="31"/>
      <c r="D68" s="31"/>
      <c r="E68" s="31"/>
      <c r="F68" s="31"/>
      <c r="G68" s="18"/>
      <c r="H68" s="18"/>
      <c r="I68" s="18"/>
      <c r="K68" s="2"/>
      <c r="O68" s="22">
        <v>2000</v>
      </c>
      <c r="P68" s="29">
        <f>AN46</f>
        <v>1.6277861477156481</v>
      </c>
      <c r="Q68" s="29">
        <f>'10.3'!$D$52/P68</f>
        <v>3.209338675545951</v>
      </c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</row>
    <row r="69" spans="1:60" x14ac:dyDescent="0.2">
      <c r="A69" s="40"/>
      <c r="C69" s="31"/>
      <c r="D69" s="31"/>
      <c r="E69" s="31"/>
      <c r="F69" s="31"/>
      <c r="G69" s="18"/>
      <c r="H69" s="18"/>
      <c r="I69" s="18"/>
      <c r="K69" s="2"/>
      <c r="O69" s="22">
        <v>2001</v>
      </c>
      <c r="P69" s="29">
        <f>AO46</f>
        <v>1.7318398459619693</v>
      </c>
      <c r="Q69" s="29">
        <f>'10.3'!$D$52/P69</f>
        <v>3.0165127864233838</v>
      </c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</row>
    <row r="70" spans="1:60" ht="12" thickBot="1" x14ac:dyDescent="0.25">
      <c r="A70" s="40"/>
      <c r="C70" s="31"/>
      <c r="D70" s="31"/>
      <c r="E70" s="31"/>
      <c r="F70" s="31"/>
      <c r="G70" s="18"/>
      <c r="H70" s="18"/>
      <c r="I70" s="18"/>
      <c r="K70" s="2"/>
      <c r="O70" s="22">
        <v>2002</v>
      </c>
      <c r="P70" s="29">
        <f>AP46</f>
        <v>1.8099424272504501</v>
      </c>
      <c r="Q70" s="29">
        <f>'10.3'!$D$52/P70</f>
        <v>2.8863443172156207</v>
      </c>
    </row>
    <row r="71" spans="1:60" ht="12" hidden="1" thickBot="1" x14ac:dyDescent="0.25">
      <c r="A71" s="40"/>
      <c r="C71" s="31"/>
      <c r="D71" s="31"/>
      <c r="E71" s="31"/>
      <c r="F71" s="31"/>
      <c r="G71" s="18"/>
      <c r="H71" s="18"/>
      <c r="I71" s="19"/>
      <c r="K71" s="2"/>
      <c r="O71" s="22">
        <v>2003</v>
      </c>
      <c r="P71" s="29">
        <f>AQ46</f>
        <v>1.9467917327254842</v>
      </c>
      <c r="Q71" s="29">
        <f>'10.3'!$D$52/P71</f>
        <v>2.6834493652118017</v>
      </c>
    </row>
    <row r="72" spans="1:60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  <c r="O72" s="22">
        <v>2004</v>
      </c>
      <c r="P72" s="29">
        <f>AR46</f>
        <v>2.141470905998033</v>
      </c>
      <c r="Q72" s="29">
        <f>'10.3'!$D$52/P72</f>
        <v>2.4394994229198192</v>
      </c>
    </row>
    <row r="73" spans="1:60" x14ac:dyDescent="0.2">
      <c r="O73" s="22">
        <v>2005</v>
      </c>
      <c r="P73" s="29">
        <f>AS46</f>
        <v>2.3556179965978363</v>
      </c>
      <c r="Q73" s="29">
        <f>'10.3'!$D$52/P73</f>
        <v>2.2177267481089267</v>
      </c>
    </row>
    <row r="74" spans="1:60" x14ac:dyDescent="0.2">
      <c r="O74" s="22">
        <v>2006</v>
      </c>
      <c r="P74" s="29">
        <f>AT46</f>
        <v>2.5410013938539007</v>
      </c>
      <c r="Q74" s="29">
        <f>'10.3'!$D$52/P74</f>
        <v>2.0559284430216072</v>
      </c>
    </row>
    <row r="75" spans="1:60" x14ac:dyDescent="0.2">
      <c r="O75" s="22">
        <v>2007</v>
      </c>
      <c r="P75" s="29">
        <f>AU46</f>
        <v>2.8041805336873216</v>
      </c>
      <c r="Q75" s="29">
        <f>'10.3'!$D$52/P75</f>
        <v>1.8629745755036669</v>
      </c>
    </row>
    <row r="76" spans="1:60" x14ac:dyDescent="0.2">
      <c r="O76" s="22">
        <v>2008</v>
      </c>
      <c r="P76" s="29">
        <f>AV46</f>
        <v>2.9678572517439257</v>
      </c>
      <c r="Q76" s="29">
        <f>'10.3'!$D$52/P76</f>
        <v>1.7602319101810135</v>
      </c>
    </row>
    <row r="77" spans="1:60" x14ac:dyDescent="0.2">
      <c r="O77" s="22">
        <v>2009</v>
      </c>
      <c r="P77" s="29">
        <f>AW46</f>
        <v>3.2586565980220548</v>
      </c>
      <c r="Q77" s="29">
        <f>'10.3'!$D$52/P77</f>
        <v>1.6031505260642462</v>
      </c>
    </row>
    <row r="78" spans="1:60" x14ac:dyDescent="0.2">
      <c r="O78" s="22">
        <v>2010</v>
      </c>
      <c r="P78" s="29">
        <f>AX46</f>
        <v>3.5342312338124136</v>
      </c>
      <c r="Q78" s="29">
        <f>'10.3'!$D$52/P78</f>
        <v>1.478148059301279</v>
      </c>
    </row>
    <row r="79" spans="1:60" x14ac:dyDescent="0.2">
      <c r="O79" s="22">
        <v>2011</v>
      </c>
      <c r="P79" s="29">
        <f>AY46</f>
        <v>3.6242852452008183</v>
      </c>
      <c r="Q79" s="29">
        <f>'10.3'!$D$52/P79</f>
        <v>1.4414199451600616</v>
      </c>
    </row>
    <row r="80" spans="1:60" x14ac:dyDescent="0.2">
      <c r="O80" s="22">
        <v>2012</v>
      </c>
      <c r="P80" s="29">
        <f>AZ46</f>
        <v>3.8054995074608593</v>
      </c>
      <c r="Q80" s="29">
        <f>'10.3'!$D$52/P80</f>
        <v>1.3727809001524396</v>
      </c>
    </row>
    <row r="81" spans="15:17" x14ac:dyDescent="0.2">
      <c r="O81" s="22">
        <v>2013</v>
      </c>
      <c r="P81" s="29">
        <f>BA46</f>
        <v>3.9957744828339026</v>
      </c>
      <c r="Q81" s="29">
        <f>'10.3'!$D$52/P81</f>
        <v>1.3074103810975615</v>
      </c>
    </row>
    <row r="82" spans="15:17" x14ac:dyDescent="0.2">
      <c r="O82" s="22">
        <v>2014</v>
      </c>
      <c r="P82" s="29">
        <f>BB46</f>
        <v>4.1955632069755975</v>
      </c>
      <c r="Q82" s="29">
        <f>'10.3'!$D$52/P82</f>
        <v>1.2451527439024395</v>
      </c>
    </row>
    <row r="83" spans="15:17" x14ac:dyDescent="0.2">
      <c r="O83" s="22">
        <v>2015</v>
      </c>
      <c r="P83" s="29">
        <f>BC46</f>
        <v>4.405341367324378</v>
      </c>
      <c r="Q83" s="29">
        <f>'10.3'!$D$52/P83</f>
        <v>1.1858597560975612</v>
      </c>
    </row>
    <row r="84" spans="15:17" x14ac:dyDescent="0.2">
      <c r="O84" s="22">
        <v>2016</v>
      </c>
      <c r="P84" s="29">
        <f>BD46</f>
        <v>4.6256084356905971</v>
      </c>
      <c r="Q84" s="29">
        <f>'10.3'!$D$52/P84</f>
        <v>1.1293902439024393</v>
      </c>
    </row>
    <row r="85" spans="15:17" x14ac:dyDescent="0.2">
      <c r="O85" s="22">
        <v>2017</v>
      </c>
      <c r="P85" s="29">
        <f>BE46</f>
        <v>4.7384281536342705</v>
      </c>
      <c r="Q85" s="29">
        <f>'10.3'!$D$52/P85</f>
        <v>1.1025</v>
      </c>
    </row>
    <row r="86" spans="15:17" x14ac:dyDescent="0.2">
      <c r="O86" s="22">
        <v>2018</v>
      </c>
      <c r="P86" s="29">
        <f>BF46</f>
        <v>4.856888857475127</v>
      </c>
      <c r="Q86" s="29">
        <f>'10.3'!$D$52/P86</f>
        <v>1.075609756097561</v>
      </c>
    </row>
    <row r="87" spans="15:17" x14ac:dyDescent="0.2">
      <c r="O87" s="22">
        <v>2019</v>
      </c>
      <c r="P87" s="29">
        <f>BG46</f>
        <v>4.9753495613159844</v>
      </c>
      <c r="Q87" s="29">
        <f>'10.3'!$D$52/P87</f>
        <v>1.05</v>
      </c>
    </row>
    <row r="88" spans="15:17" x14ac:dyDescent="0.2">
      <c r="O88" s="22">
        <v>2020</v>
      </c>
      <c r="P88" s="29">
        <f>BH46</f>
        <v>4.9753495613159844</v>
      </c>
      <c r="Q88" s="29">
        <f>'10.3'!$D$52/P88</f>
        <v>1.05</v>
      </c>
    </row>
    <row r="89" spans="15:17" x14ac:dyDescent="0.2">
      <c r="O89" s="22">
        <v>2021</v>
      </c>
      <c r="P89" s="29">
        <f>BI46</f>
        <v>4.9753495613159844</v>
      </c>
      <c r="Q89" s="29">
        <f>'10.3'!$D$52/P89</f>
        <v>1.05</v>
      </c>
    </row>
    <row r="90" spans="15:17" x14ac:dyDescent="0.2">
      <c r="O90" s="22">
        <v>2022</v>
      </c>
      <c r="P90" s="29">
        <f>BJ46</f>
        <v>5.0997333003488841</v>
      </c>
      <c r="Q90" s="29">
        <f>'10.3'!$D$52/P90</f>
        <v>1.024390243902439</v>
      </c>
    </row>
    <row r="91" spans="15:17" x14ac:dyDescent="0.2">
      <c r="O91" s="22">
        <v>2023</v>
      </c>
      <c r="P91" s="29">
        <f>BK46</f>
        <v>5.2241170393817837</v>
      </c>
      <c r="Q91" s="29">
        <f>'10.3'!$D$52/P91</f>
        <v>1</v>
      </c>
    </row>
  </sheetData>
  <mergeCells count="7">
    <mergeCell ref="HX52:IA52"/>
    <mergeCell ref="IB52:IE52"/>
    <mergeCell ref="E5:H5"/>
    <mergeCell ref="HI45:HL45"/>
    <mergeCell ref="HL52:HO52"/>
    <mergeCell ref="HP52:HS52"/>
    <mergeCell ref="HT52:HW52"/>
  </mergeCells>
  <phoneticPr fontId="0" type="noConversion"/>
  <pageMargins left="0.5" right="0.5" top="0.5" bottom="0.5" header="0.5" footer="0.5"/>
  <pageSetup orientation="portrait" blackAndWhite="1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92D050"/>
  </sheetPr>
  <dimension ref="A1:P71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82</v>
      </c>
      <c r="K1" s="1"/>
      <c r="N1" t="s">
        <v>526</v>
      </c>
      <c r="O1" t="s">
        <v>566</v>
      </c>
    </row>
    <row r="2" spans="1:16" x14ac:dyDescent="0.2">
      <c r="A2" s="8" t="str">
        <f>'1'!$A$2</f>
        <v>Commercial Property - Wind &amp; Hail</v>
      </c>
      <c r="B2" s="12"/>
      <c r="J2" s="7" t="s">
        <v>72</v>
      </c>
      <c r="K2" s="2"/>
      <c r="N2" t="s">
        <v>526</v>
      </c>
      <c r="O2" t="s">
        <v>573</v>
      </c>
    </row>
    <row r="3" spans="1:16" x14ac:dyDescent="0.2">
      <c r="A3" s="8" t="str">
        <f>'1'!$A$3</f>
        <v>Rate Level Review</v>
      </c>
      <c r="B3" s="12"/>
      <c r="K3" s="2"/>
      <c r="N3" t="s">
        <v>526</v>
      </c>
      <c r="O3" t="s">
        <v>576</v>
      </c>
    </row>
    <row r="4" spans="1:16" x14ac:dyDescent="0.2">
      <c r="A4" t="s">
        <v>223</v>
      </c>
      <c r="B4" s="12"/>
      <c r="K4" s="2"/>
    </row>
    <row r="5" spans="1:16" x14ac:dyDescent="0.2">
      <c r="A5" t="s">
        <v>38</v>
      </c>
      <c r="B5" s="12"/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6" ht="12" thickTop="1" x14ac:dyDescent="0.2">
      <c r="K8" s="2"/>
    </row>
    <row r="9" spans="1:16" x14ac:dyDescent="0.2">
      <c r="C9" s="12"/>
      <c r="D9" t="s">
        <v>94</v>
      </c>
      <c r="E9" t="s">
        <v>226</v>
      </c>
      <c r="F9" t="s">
        <v>94</v>
      </c>
      <c r="K9" s="2"/>
      <c r="L9" s="24"/>
    </row>
    <row r="10" spans="1:16" x14ac:dyDescent="0.2">
      <c r="A10" t="s">
        <v>41</v>
      </c>
      <c r="C10" t="s">
        <v>94</v>
      </c>
      <c r="D10" t="s">
        <v>95</v>
      </c>
      <c r="E10" t="s">
        <v>227</v>
      </c>
      <c r="F10" t="s">
        <v>228</v>
      </c>
      <c r="G10" t="s">
        <v>67</v>
      </c>
      <c r="H10" t="s">
        <v>67</v>
      </c>
      <c r="K10" s="2"/>
      <c r="L10" s="12"/>
    </row>
    <row r="11" spans="1:16" x14ac:dyDescent="0.2">
      <c r="A11" s="9" t="s">
        <v>42</v>
      </c>
      <c r="B11" s="9"/>
      <c r="C11" s="9" t="s">
        <v>95</v>
      </c>
      <c r="D11" s="9" t="s">
        <v>225</v>
      </c>
      <c r="E11" s="9" t="s">
        <v>104</v>
      </c>
      <c r="F11" s="9" t="s">
        <v>229</v>
      </c>
      <c r="G11" s="9" t="s">
        <v>34</v>
      </c>
      <c r="H11" s="9" t="s">
        <v>58</v>
      </c>
      <c r="K11" s="2"/>
      <c r="L11" s="36"/>
    </row>
    <row r="12" spans="1:16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6" x14ac:dyDescent="0.2">
      <c r="K13" s="2"/>
    </row>
    <row r="14" spans="1:16" x14ac:dyDescent="0.2">
      <c r="A14" s="24" t="s">
        <v>421</v>
      </c>
      <c r="C14" s="31">
        <v>745985</v>
      </c>
      <c r="D14" s="31">
        <v>820826</v>
      </c>
      <c r="E14" s="103">
        <f>'6.4'!E14</f>
        <v>3.8293316891072973</v>
      </c>
      <c r="F14" s="26">
        <f>ROUND(D14*$E$23,0)</f>
        <v>2324158</v>
      </c>
      <c r="G14" s="31">
        <v>96051</v>
      </c>
      <c r="H14" s="21">
        <f>ROUND(G14/F14,3)</f>
        <v>4.1000000000000002E-2</v>
      </c>
      <c r="I14" s="37"/>
      <c r="K14" s="2"/>
      <c r="L14" s="29"/>
      <c r="O14" t="s">
        <v>42</v>
      </c>
      <c r="P14" t="s">
        <v>244</v>
      </c>
    </row>
    <row r="15" spans="1:16" x14ac:dyDescent="0.2">
      <c r="A15" t="s">
        <v>422</v>
      </c>
      <c r="C15" s="31">
        <v>558639</v>
      </c>
      <c r="D15" s="31">
        <v>652809</v>
      </c>
      <c r="E15" s="103">
        <f>'6.4'!E15</f>
        <v>3.5112843511426886</v>
      </c>
      <c r="F15" s="26">
        <f t="shared" ref="F15:F21" si="1">ROUND(D15*$E$23,0)</f>
        <v>1848420</v>
      </c>
      <c r="G15" s="31">
        <v>76481</v>
      </c>
      <c r="H15" s="21">
        <f t="shared" ref="H15:H45" si="2">ROUND(G15/F15,3)</f>
        <v>4.1000000000000002E-2</v>
      </c>
      <c r="I15" s="37"/>
      <c r="K15" s="2"/>
    </row>
    <row r="16" spans="1:16" x14ac:dyDescent="0.2">
      <c r="A16" t="s">
        <v>423</v>
      </c>
      <c r="C16" s="31">
        <v>1235059</v>
      </c>
      <c r="D16" s="31">
        <v>1383103</v>
      </c>
      <c r="E16" s="103">
        <f>'6.4'!E16</f>
        <v>2.8789383840739684</v>
      </c>
      <c r="F16" s="26">
        <f t="shared" si="1"/>
        <v>3916238</v>
      </c>
      <c r="G16" s="31">
        <v>106148</v>
      </c>
      <c r="H16" s="21">
        <f t="shared" si="2"/>
        <v>2.7E-2</v>
      </c>
      <c r="I16" s="37"/>
      <c r="K16" s="2"/>
    </row>
    <row r="17" spans="1:16" x14ac:dyDescent="0.2">
      <c r="A17" t="s">
        <v>424</v>
      </c>
      <c r="C17" s="31">
        <v>2228911</v>
      </c>
      <c r="D17" s="31">
        <v>1849840</v>
      </c>
      <c r="E17" s="103">
        <f>'6.4'!E17</f>
        <v>2.0498785892003166</v>
      </c>
      <c r="F17" s="26">
        <f t="shared" si="1"/>
        <v>5237798</v>
      </c>
      <c r="G17" s="31">
        <v>56387</v>
      </c>
      <c r="H17" s="21">
        <f t="shared" si="2"/>
        <v>1.0999999999999999E-2</v>
      </c>
      <c r="I17" s="37"/>
      <c r="K17" s="2"/>
      <c r="O17" s="22">
        <f>'6.4'!O51</f>
        <v>1983</v>
      </c>
      <c r="P17" s="29">
        <f>'6.4'!Q51</f>
        <v>3.8293316891072973</v>
      </c>
    </row>
    <row r="18" spans="1:16" x14ac:dyDescent="0.2">
      <c r="A18" t="s">
        <v>425</v>
      </c>
      <c r="C18" s="31">
        <v>2381538</v>
      </c>
      <c r="D18" s="31">
        <v>2086940</v>
      </c>
      <c r="E18" s="103">
        <f>'6.4'!E18</f>
        <v>1.9936436916734259</v>
      </c>
      <c r="F18" s="26">
        <f t="shared" si="1"/>
        <v>5909144</v>
      </c>
      <c r="G18" s="31">
        <v>105275</v>
      </c>
      <c r="H18" s="21">
        <f t="shared" si="2"/>
        <v>1.7999999999999999E-2</v>
      </c>
      <c r="I18" s="37"/>
      <c r="K18" s="2"/>
      <c r="O18" s="22">
        <f>'6.4'!O52</f>
        <v>1984</v>
      </c>
      <c r="P18" s="29">
        <f>'6.4'!Q52</f>
        <v>3.5112843511426886</v>
      </c>
    </row>
    <row r="19" spans="1:16" x14ac:dyDescent="0.2">
      <c r="A19" t="s">
        <v>426</v>
      </c>
      <c r="C19" s="31">
        <v>1796653</v>
      </c>
      <c r="D19" s="31">
        <v>1719227</v>
      </c>
      <c r="E19" s="103">
        <f>'6.4'!E19</f>
        <v>2.1473124836449715</v>
      </c>
      <c r="F19" s="26">
        <f t="shared" si="1"/>
        <v>4867969</v>
      </c>
      <c r="G19" s="31">
        <v>181414</v>
      </c>
      <c r="H19" s="21">
        <f t="shared" si="2"/>
        <v>3.6999999999999998E-2</v>
      </c>
      <c r="I19" s="37"/>
      <c r="K19" s="2"/>
      <c r="O19" s="22">
        <f>'6.4'!O53</f>
        <v>1985</v>
      </c>
      <c r="P19" s="29">
        <f>'6.4'!Q53</f>
        <v>2.8789383840739684</v>
      </c>
    </row>
    <row r="20" spans="1:16" x14ac:dyDescent="0.2">
      <c r="A20" t="s">
        <v>427</v>
      </c>
      <c r="C20" s="31">
        <v>1632453</v>
      </c>
      <c r="D20" s="31">
        <v>1826430</v>
      </c>
      <c r="E20" s="103">
        <f>'6.4'!E20</f>
        <v>2.385265617366465</v>
      </c>
      <c r="F20" s="26">
        <f t="shared" si="1"/>
        <v>5171513</v>
      </c>
      <c r="G20" s="31">
        <v>98116</v>
      </c>
      <c r="H20" s="21">
        <f t="shared" si="2"/>
        <v>1.9E-2</v>
      </c>
      <c r="I20" s="37"/>
      <c r="K20" s="2"/>
      <c r="O20" s="22">
        <f>'6.4'!O54</f>
        <v>1986</v>
      </c>
      <c r="P20" s="29">
        <f>'6.4'!Q54</f>
        <v>2.0498785892003166</v>
      </c>
    </row>
    <row r="21" spans="1:16" x14ac:dyDescent="0.2">
      <c r="A21" t="s">
        <v>428</v>
      </c>
      <c r="C21" s="31">
        <v>1429526</v>
      </c>
      <c r="D21" s="31">
        <v>1769972</v>
      </c>
      <c r="E21" s="103">
        <f>'6.4'!E21</f>
        <v>2.5056768649457406</v>
      </c>
      <c r="F21" s="26">
        <f t="shared" si="1"/>
        <v>5011653</v>
      </c>
      <c r="G21" s="31">
        <v>135678</v>
      </c>
      <c r="H21" s="21">
        <f t="shared" si="2"/>
        <v>2.7E-2</v>
      </c>
      <c r="I21" s="37"/>
      <c r="K21" s="2"/>
      <c r="O21" s="22">
        <f>'6.4'!O55</f>
        <v>1987</v>
      </c>
      <c r="P21" s="29">
        <f>'6.4'!Q55</f>
        <v>1.9936436916734259</v>
      </c>
    </row>
    <row r="22" spans="1:16" x14ac:dyDescent="0.2">
      <c r="A22" t="s">
        <v>429</v>
      </c>
      <c r="C22" s="31">
        <v>1390109</v>
      </c>
      <c r="D22" s="31">
        <v>1555310</v>
      </c>
      <c r="E22" s="103">
        <f>'6.4'!E22</f>
        <v>2.4905762618235174</v>
      </c>
      <c r="F22" s="26">
        <f>ROUND(D22*$E$23,0)</f>
        <v>4403840</v>
      </c>
      <c r="G22" s="31">
        <v>1013636</v>
      </c>
      <c r="H22" s="21">
        <f t="shared" si="2"/>
        <v>0.23</v>
      </c>
      <c r="I22" s="37"/>
      <c r="K22" s="2"/>
      <c r="O22" s="22">
        <f>'6.4'!O56</f>
        <v>1988</v>
      </c>
      <c r="P22" s="29">
        <f>'6.4'!Q56</f>
        <v>2.1473124836449715</v>
      </c>
    </row>
    <row r="23" spans="1:16" x14ac:dyDescent="0.2">
      <c r="A23" t="s">
        <v>430</v>
      </c>
      <c r="B23" s="12"/>
      <c r="C23" s="31">
        <v>1571433</v>
      </c>
      <c r="D23" s="31">
        <v>1629721</v>
      </c>
      <c r="E23" s="103">
        <f>'6.4'!E23</f>
        <v>2.8314871857113864</v>
      </c>
      <c r="F23" s="26">
        <f>ROUND(D23*E23,0)</f>
        <v>4614534</v>
      </c>
      <c r="G23" s="31">
        <v>49512</v>
      </c>
      <c r="H23" s="21">
        <f t="shared" si="2"/>
        <v>1.0999999999999999E-2</v>
      </c>
      <c r="I23" s="37"/>
      <c r="K23" s="2"/>
      <c r="O23" s="22">
        <f>'6.4'!O57</f>
        <v>1989</v>
      </c>
      <c r="P23" s="29">
        <f>'6.4'!Q57</f>
        <v>2.385265617366465</v>
      </c>
    </row>
    <row r="24" spans="1:16" x14ac:dyDescent="0.2">
      <c r="A24" t="s">
        <v>407</v>
      </c>
      <c r="B24" s="12"/>
      <c r="C24" s="31">
        <v>1587772</v>
      </c>
      <c r="D24" s="31"/>
      <c r="E24" s="103">
        <f>'6.4'!E24</f>
        <v>3.2531461484671529</v>
      </c>
      <c r="F24" s="26">
        <f>ROUND(C24*E24,0)</f>
        <v>5165254</v>
      </c>
      <c r="G24" s="31">
        <v>86000</v>
      </c>
      <c r="H24" s="21">
        <f t="shared" si="2"/>
        <v>1.7000000000000001E-2</v>
      </c>
      <c r="I24" s="37"/>
      <c r="K24" s="2"/>
      <c r="O24" s="22">
        <f>'6.4'!O58</f>
        <v>1990</v>
      </c>
      <c r="P24" s="29">
        <f>'6.4'!Q58</f>
        <v>2.5056768649457406</v>
      </c>
    </row>
    <row r="25" spans="1:16" x14ac:dyDescent="0.2">
      <c r="A25" t="s">
        <v>408</v>
      </c>
      <c r="B25" s="12"/>
      <c r="C25" s="31">
        <v>2203514</v>
      </c>
      <c r="D25" s="31"/>
      <c r="E25" s="103">
        <f>'6.4'!E25</f>
        <v>3.2531461484671529</v>
      </c>
      <c r="F25" s="26">
        <f>ROUND(C25*E25,0)</f>
        <v>7168353</v>
      </c>
      <c r="G25" s="31">
        <v>254088</v>
      </c>
      <c r="H25" s="21">
        <f t="shared" si="2"/>
        <v>3.5000000000000003E-2</v>
      </c>
      <c r="I25" s="37"/>
      <c r="K25" s="2"/>
      <c r="O25" s="22">
        <f>'6.4'!O59</f>
        <v>1991</v>
      </c>
      <c r="P25" s="29">
        <f>'6.4'!Q59</f>
        <v>2.4905762618235174</v>
      </c>
    </row>
    <row r="26" spans="1:16" x14ac:dyDescent="0.2">
      <c r="A26" t="s">
        <v>409</v>
      </c>
      <c r="C26" s="31">
        <v>2669951</v>
      </c>
      <c r="D26" s="31"/>
      <c r="E26" s="103">
        <f>'6.4'!E26</f>
        <v>3.2531461484671529</v>
      </c>
      <c r="F26" s="26">
        <f>ROUND(C26*E26,0)</f>
        <v>8685741</v>
      </c>
      <c r="G26" s="31">
        <v>854753</v>
      </c>
      <c r="H26" s="21">
        <f t="shared" si="2"/>
        <v>9.8000000000000004E-2</v>
      </c>
      <c r="I26" s="37"/>
      <c r="K26" s="2"/>
      <c r="O26" s="22">
        <f>'6.4'!O60</f>
        <v>1992</v>
      </c>
      <c r="P26" s="29">
        <f>'6.4'!Q60</f>
        <v>2.8314871857113864</v>
      </c>
    </row>
    <row r="27" spans="1:16" x14ac:dyDescent="0.2">
      <c r="A27" t="s">
        <v>410</v>
      </c>
      <c r="C27" s="31">
        <v>5639923</v>
      </c>
      <c r="D27" s="31"/>
      <c r="E27" s="103">
        <f>'6.4'!E27</f>
        <v>3.2531461484671529</v>
      </c>
      <c r="F27" s="26">
        <f t="shared" ref="F27:F49" si="3">ROUND(C27*E27,0)</f>
        <v>18347494</v>
      </c>
      <c r="G27" s="31">
        <v>502177</v>
      </c>
      <c r="H27" s="21">
        <f t="shared" si="2"/>
        <v>2.7E-2</v>
      </c>
      <c r="I27" s="37"/>
      <c r="K27" s="2"/>
      <c r="O27" s="22">
        <f>'6.4'!O61</f>
        <v>1993</v>
      </c>
      <c r="P27" s="29">
        <f>'6.4'!Q61</f>
        <v>3.2531461484671529</v>
      </c>
    </row>
    <row r="28" spans="1:16" x14ac:dyDescent="0.2">
      <c r="A28" t="s">
        <v>411</v>
      </c>
      <c r="C28" s="31">
        <v>3183758</v>
      </c>
      <c r="E28" s="103">
        <f>'6.4'!E28</f>
        <v>3.2531461484671529</v>
      </c>
      <c r="F28" s="26">
        <f t="shared" si="3"/>
        <v>10357230</v>
      </c>
      <c r="G28" s="31">
        <v>199390</v>
      </c>
      <c r="H28" s="21">
        <f t="shared" si="2"/>
        <v>1.9E-2</v>
      </c>
      <c r="I28" s="37"/>
      <c r="K28" s="2"/>
      <c r="O28" s="22">
        <f>'6.4'!O62</f>
        <v>1994</v>
      </c>
      <c r="P28" s="29">
        <f>'6.4'!Q62</f>
        <v>3.2531461484671529</v>
      </c>
    </row>
    <row r="29" spans="1:16" x14ac:dyDescent="0.2">
      <c r="A29" t="s">
        <v>412</v>
      </c>
      <c r="C29" s="31">
        <v>3613310</v>
      </c>
      <c r="D29" s="31"/>
      <c r="E29" s="103">
        <f>'6.4'!E29</f>
        <v>3.3026864451443179</v>
      </c>
      <c r="F29" s="26">
        <f t="shared" si="3"/>
        <v>11933630</v>
      </c>
      <c r="G29" s="31">
        <v>1561275</v>
      </c>
      <c r="H29" s="21">
        <f t="shared" si="2"/>
        <v>0.13100000000000001</v>
      </c>
      <c r="I29" s="37"/>
      <c r="K29" s="2"/>
      <c r="O29" s="22">
        <f>'6.4'!O63</f>
        <v>1995</v>
      </c>
      <c r="P29" s="29">
        <f>'6.4'!Q63</f>
        <v>3.2531461484671529</v>
      </c>
    </row>
    <row r="30" spans="1:16" x14ac:dyDescent="0.2">
      <c r="A30" t="s">
        <v>413</v>
      </c>
      <c r="C30" s="31">
        <v>6808428</v>
      </c>
      <c r="D30" s="31"/>
      <c r="E30" s="103">
        <f>'6.4'!E30</f>
        <v>3.3537589159455186</v>
      </c>
      <c r="F30" s="26">
        <f t="shared" si="3"/>
        <v>22833826</v>
      </c>
      <c r="G30" s="31">
        <v>2735082</v>
      </c>
      <c r="H30" s="21">
        <f t="shared" si="2"/>
        <v>0.12</v>
      </c>
      <c r="I30" s="37"/>
      <c r="K30" s="2"/>
      <c r="O30" s="22">
        <f>'6.4'!O64</f>
        <v>1996</v>
      </c>
      <c r="P30" s="29">
        <f>'6.4'!Q64</f>
        <v>3.2531461484671529</v>
      </c>
    </row>
    <row r="31" spans="1:16" x14ac:dyDescent="0.2">
      <c r="A31" t="s">
        <v>414</v>
      </c>
      <c r="C31" s="31">
        <v>5167158</v>
      </c>
      <c r="D31" s="31"/>
      <c r="E31" s="103">
        <f>'6.4'!E31</f>
        <v>3.209338675545951</v>
      </c>
      <c r="F31" s="26">
        <f t="shared" si="3"/>
        <v>16583160</v>
      </c>
      <c r="G31" s="31">
        <v>317804</v>
      </c>
      <c r="H31" s="21">
        <f t="shared" si="2"/>
        <v>1.9E-2</v>
      </c>
      <c r="I31" s="37"/>
      <c r="K31" s="2"/>
      <c r="L31" t="s">
        <v>230</v>
      </c>
      <c r="O31" s="22">
        <f>'6.4'!O65</f>
        <v>1997</v>
      </c>
      <c r="P31" s="29">
        <f>'6.4'!Q65</f>
        <v>3.2531461484671529</v>
      </c>
    </row>
    <row r="32" spans="1:16" x14ac:dyDescent="0.2">
      <c r="A32" t="s">
        <v>415</v>
      </c>
      <c r="C32" s="31">
        <v>4763324</v>
      </c>
      <c r="D32" s="31"/>
      <c r="E32" s="103">
        <f>'6.4'!E32</f>
        <v>3.0165127864233838</v>
      </c>
      <c r="F32" s="26">
        <f t="shared" si="3"/>
        <v>14368628</v>
      </c>
      <c r="G32" s="31">
        <v>431244</v>
      </c>
      <c r="H32" s="21">
        <f t="shared" si="2"/>
        <v>0.03</v>
      </c>
      <c r="I32" s="37"/>
      <c r="K32" s="2"/>
      <c r="L32" s="69">
        <f>[4]ISO!$P$47</f>
        <v>0.85941328535119454</v>
      </c>
      <c r="O32" s="22">
        <f>'6.4'!O66</f>
        <v>1998</v>
      </c>
      <c r="P32" s="29">
        <f>'6.4'!Q66</f>
        <v>3.3026864451443179</v>
      </c>
    </row>
    <row r="33" spans="1:16" x14ac:dyDescent="0.2">
      <c r="A33" t="s">
        <v>416</v>
      </c>
      <c r="C33" s="31">
        <v>8479915</v>
      </c>
      <c r="D33" s="31"/>
      <c r="E33" s="103">
        <f>'6.4'!E33</f>
        <v>2.8863443172156207</v>
      </c>
      <c r="F33" s="26">
        <f t="shared" si="3"/>
        <v>24475954</v>
      </c>
      <c r="G33" s="31">
        <v>7300265</v>
      </c>
      <c r="H33" s="21">
        <f t="shared" si="2"/>
        <v>0.29799999999999999</v>
      </c>
      <c r="I33" s="37"/>
      <c r="K33" s="2"/>
      <c r="O33" s="22">
        <f>'6.4'!O67</f>
        <v>1999</v>
      </c>
      <c r="P33" s="29">
        <f>'6.4'!Q67</f>
        <v>3.3537589159455186</v>
      </c>
    </row>
    <row r="34" spans="1:16" x14ac:dyDescent="0.2">
      <c r="A34" t="s">
        <v>417</v>
      </c>
      <c r="C34" s="113">
        <v>9934549</v>
      </c>
      <c r="D34" s="31"/>
      <c r="E34" s="103">
        <f>'6.4'!E34</f>
        <v>2.5614743940658102</v>
      </c>
      <c r="F34" s="26">
        <f t="shared" si="3"/>
        <v>25447093</v>
      </c>
      <c r="G34" s="113">
        <v>2122879</v>
      </c>
      <c r="H34" s="21">
        <f t="shared" si="2"/>
        <v>8.3000000000000004E-2</v>
      </c>
      <c r="I34" s="37"/>
      <c r="K34" s="2"/>
      <c r="O34" s="22">
        <f>'6.4'!O68</f>
        <v>2000</v>
      </c>
      <c r="P34" s="29">
        <f>'6.4'!Q68</f>
        <v>3.209338675545951</v>
      </c>
    </row>
    <row r="35" spans="1:16" x14ac:dyDescent="0.2">
      <c r="A35" t="s">
        <v>418</v>
      </c>
      <c r="B35" s="22"/>
      <c r="C35" s="113">
        <v>14597450</v>
      </c>
      <c r="D35" s="41"/>
      <c r="E35" s="103">
        <f>'6.4'!E35</f>
        <v>2.4481743926950581</v>
      </c>
      <c r="F35" s="26">
        <f t="shared" si="3"/>
        <v>35737103</v>
      </c>
      <c r="G35" s="113">
        <v>212644</v>
      </c>
      <c r="H35" s="21">
        <f t="shared" si="2"/>
        <v>6.0000000000000001E-3</v>
      </c>
      <c r="I35" s="37"/>
      <c r="K35" s="2"/>
      <c r="O35" s="22">
        <f>'6.4'!O69</f>
        <v>2001</v>
      </c>
      <c r="P35" s="29">
        <f>'6.4'!Q69</f>
        <v>3.0165127864233838</v>
      </c>
    </row>
    <row r="36" spans="1:16" x14ac:dyDescent="0.2">
      <c r="A36" t="s">
        <v>321</v>
      </c>
      <c r="C36" s="113">
        <v>16137249</v>
      </c>
      <c r="E36" s="103">
        <f>'6.4'!E36</f>
        <v>2.2196457159722462</v>
      </c>
      <c r="F36" s="26">
        <f t="shared" si="3"/>
        <v>35818976</v>
      </c>
      <c r="G36" s="113">
        <v>566758</v>
      </c>
      <c r="H36" s="21">
        <f t="shared" si="2"/>
        <v>1.6E-2</v>
      </c>
      <c r="I36" s="37"/>
      <c r="K36" s="2"/>
      <c r="O36" s="22">
        <f>'6.4'!O70</f>
        <v>2002</v>
      </c>
      <c r="P36" s="29">
        <f>'6.4'!Q70</f>
        <v>2.8863443172156207</v>
      </c>
    </row>
    <row r="37" spans="1:16" x14ac:dyDescent="0.2">
      <c r="A37" t="s">
        <v>396</v>
      </c>
      <c r="C37" s="113">
        <v>21249313</v>
      </c>
      <c r="E37" s="103">
        <f>'6.4'!E37</f>
        <v>2.0368887779518374</v>
      </c>
      <c r="F37" s="26">
        <f t="shared" si="3"/>
        <v>43282487</v>
      </c>
      <c r="G37" s="113">
        <v>434362</v>
      </c>
      <c r="H37" s="21">
        <f t="shared" si="2"/>
        <v>0.01</v>
      </c>
      <c r="I37" s="37"/>
      <c r="K37" s="2"/>
      <c r="O37" s="22">
        <f>'6.4'!O71</f>
        <v>2003</v>
      </c>
      <c r="P37" s="29">
        <f>'6.4'!Q71</f>
        <v>2.6834493652118017</v>
      </c>
    </row>
    <row r="38" spans="1:16" x14ac:dyDescent="0.2">
      <c r="A38" t="s">
        <v>368</v>
      </c>
      <c r="C38" s="113">
        <v>27752523</v>
      </c>
      <c r="E38" s="103">
        <f>'6.4'!E38</f>
        <v>1.8570470989540071</v>
      </c>
      <c r="F38" s="26">
        <f t="shared" si="3"/>
        <v>51537742</v>
      </c>
      <c r="G38" s="113">
        <v>27752523</v>
      </c>
      <c r="H38" s="21">
        <f t="shared" si="2"/>
        <v>0.53800000000000003</v>
      </c>
      <c r="I38" s="37"/>
      <c r="K38" s="2"/>
      <c r="O38" s="22">
        <f>'6.4'!O72</f>
        <v>2004</v>
      </c>
      <c r="P38" s="29">
        <f>'6.4'!Q72</f>
        <v>2.4394994229198192</v>
      </c>
    </row>
    <row r="39" spans="1:16" x14ac:dyDescent="0.2">
      <c r="A39" t="s">
        <v>373</v>
      </c>
      <c r="C39" s="113">
        <v>27990909</v>
      </c>
      <c r="E39" s="103">
        <f>'6.4'!E39</f>
        <v>1.7641482522914027</v>
      </c>
      <c r="F39" s="26">
        <f t="shared" si="3"/>
        <v>49380113</v>
      </c>
      <c r="G39" s="113">
        <v>17103924</v>
      </c>
      <c r="H39" s="21">
        <f>ROUND(G39/F39,3)</f>
        <v>0.34599999999999997</v>
      </c>
      <c r="I39" s="37"/>
      <c r="K39" s="2"/>
      <c r="O39" s="22">
        <f>'6.4'!O73</f>
        <v>2005</v>
      </c>
      <c r="P39" s="29">
        <f>'6.4'!Q73</f>
        <v>2.2177267481089267</v>
      </c>
    </row>
    <row r="40" spans="1:16" x14ac:dyDescent="0.2">
      <c r="A40" t="s">
        <v>397</v>
      </c>
      <c r="C40" s="113">
        <v>29085395</v>
      </c>
      <c r="E40" s="103">
        <f>'6.4'!E40</f>
        <v>1.5997647448930246</v>
      </c>
      <c r="F40" s="26">
        <f t="shared" si="3"/>
        <v>46529790</v>
      </c>
      <c r="G40" s="113">
        <v>2074340</v>
      </c>
      <c r="H40" s="21">
        <f t="shared" si="2"/>
        <v>4.4999999999999998E-2</v>
      </c>
      <c r="I40" s="37"/>
      <c r="K40" s="2"/>
      <c r="O40" s="22">
        <f>'6.4'!O74</f>
        <v>2006</v>
      </c>
      <c r="P40" s="29">
        <f>'6.4'!Q74</f>
        <v>2.0559284430216072</v>
      </c>
    </row>
    <row r="41" spans="1:16" x14ac:dyDescent="0.2">
      <c r="A41" t="s">
        <v>398</v>
      </c>
      <c r="C41" s="113">
        <v>27439364</v>
      </c>
      <c r="E41" s="103">
        <f>'6.4'!E41</f>
        <v>1.4780006228698501</v>
      </c>
      <c r="F41" s="26">
        <f t="shared" si="3"/>
        <v>40555397</v>
      </c>
      <c r="G41" s="113">
        <v>1768194</v>
      </c>
      <c r="H41" s="21">
        <f t="shared" si="2"/>
        <v>4.3999999999999997E-2</v>
      </c>
      <c r="I41" s="37"/>
      <c r="K41" s="2"/>
      <c r="O41" s="22">
        <f>'6.4'!O75</f>
        <v>2007</v>
      </c>
      <c r="P41" s="29">
        <f>'6.4'!Q75</f>
        <v>1.8629745755036669</v>
      </c>
    </row>
    <row r="42" spans="1:16" x14ac:dyDescent="0.2">
      <c r="A42" t="s">
        <v>401</v>
      </c>
      <c r="C42" s="113">
        <v>25580489</v>
      </c>
      <c r="E42" s="103">
        <f>'6.4'!E42</f>
        <v>1.443031610091043</v>
      </c>
      <c r="F42" s="26">
        <f t="shared" si="3"/>
        <v>36913454</v>
      </c>
      <c r="G42" s="113">
        <v>10619019</v>
      </c>
      <c r="H42" s="21">
        <f t="shared" si="2"/>
        <v>0.28799999999999998</v>
      </c>
      <c r="I42" s="37"/>
      <c r="K42" s="2"/>
      <c r="O42" s="22">
        <f>'6.4'!O76</f>
        <v>2008</v>
      </c>
      <c r="P42" s="29">
        <f>'6.4'!Q76</f>
        <v>1.7602319101810135</v>
      </c>
    </row>
    <row r="43" spans="1:16" x14ac:dyDescent="0.2">
      <c r="A43" t="s">
        <v>419</v>
      </c>
      <c r="C43" s="113">
        <v>26761300</v>
      </c>
      <c r="E43" s="103">
        <f>'6.4'!E43</f>
        <v>1.3723433115836108</v>
      </c>
      <c r="F43" s="26">
        <f t="shared" si="3"/>
        <v>36725691</v>
      </c>
      <c r="G43" s="113">
        <v>8409391</v>
      </c>
      <c r="H43" s="37">
        <f t="shared" si="2"/>
        <v>0.22900000000000001</v>
      </c>
      <c r="I43" s="37"/>
      <c r="K43" s="2"/>
      <c r="O43" s="22">
        <f>'6.4'!O77</f>
        <v>2009</v>
      </c>
      <c r="P43" s="29">
        <f>'6.4'!Q77</f>
        <v>1.6031505260642462</v>
      </c>
    </row>
    <row r="44" spans="1:16" x14ac:dyDescent="0.2">
      <c r="A44" t="s">
        <v>420</v>
      </c>
      <c r="C44" s="60">
        <f>[4]ISO!P34</f>
        <v>27964798</v>
      </c>
      <c r="E44" s="103">
        <f>'6.4'!E44</f>
        <v>1.3075797103216005</v>
      </c>
      <c r="F44" s="26">
        <f t="shared" si="3"/>
        <v>36566202</v>
      </c>
      <c r="G44" s="60">
        <f>[4]ISO!U34</f>
        <v>1468876</v>
      </c>
      <c r="H44" s="37">
        <f t="shared" si="2"/>
        <v>0.04</v>
      </c>
      <c r="I44" s="37"/>
      <c r="K44" s="2"/>
      <c r="O44" s="22">
        <f>'6.4'!O78</f>
        <v>2010</v>
      </c>
      <c r="P44" s="29">
        <f>'6.4'!Q78</f>
        <v>1.478148059301279</v>
      </c>
    </row>
    <row r="45" spans="1:16" x14ac:dyDescent="0.2">
      <c r="A45" t="s">
        <v>443</v>
      </c>
      <c r="C45" s="60">
        <f>[4]ISO!P35</f>
        <v>27857373</v>
      </c>
      <c r="E45" s="103">
        <f>'6.4'!E45</f>
        <v>1.2467307484438648</v>
      </c>
      <c r="F45" s="26">
        <f t="shared" si="3"/>
        <v>34730643</v>
      </c>
      <c r="G45" s="60">
        <f>[4]ISO!U35</f>
        <v>1127998</v>
      </c>
      <c r="H45" s="37">
        <f t="shared" si="2"/>
        <v>3.2000000000000001E-2</v>
      </c>
      <c r="I45" s="37"/>
      <c r="K45" s="2"/>
      <c r="L45" t="s">
        <v>234</v>
      </c>
      <c r="M45" t="s">
        <v>235</v>
      </c>
      <c r="O45" s="22">
        <f>'6.4'!O79</f>
        <v>2011</v>
      </c>
      <c r="P45" s="29">
        <f>'6.4'!Q79</f>
        <v>1.4414199451600616</v>
      </c>
    </row>
    <row r="46" spans="1:16" x14ac:dyDescent="0.2">
      <c r="A46" t="s">
        <v>444</v>
      </c>
      <c r="C46" s="60">
        <f>[4]ISO!P36</f>
        <v>26449955</v>
      </c>
      <c r="E46" s="103">
        <f>'6.4'!E46</f>
        <v>1.1863253854339257</v>
      </c>
      <c r="F46" s="26">
        <f t="shared" si="3"/>
        <v>31378253</v>
      </c>
      <c r="G46" s="60">
        <f>[4]ISO!U36</f>
        <v>1152720</v>
      </c>
      <c r="H46" s="37">
        <f t="shared" ref="H46:H53" si="4">ROUND(G46/F46,3)</f>
        <v>3.6999999999999998E-2</v>
      </c>
      <c r="I46" s="37"/>
      <c r="K46" s="2"/>
      <c r="L46" s="36">
        <f>'6.4'!L48</f>
        <v>34607</v>
      </c>
      <c r="M46" s="36">
        <f>'6.4'!M48</f>
        <v>36525</v>
      </c>
      <c r="N46" t="s">
        <v>236</v>
      </c>
      <c r="O46" s="22">
        <f>'6.4'!O80</f>
        <v>2012</v>
      </c>
      <c r="P46" s="29">
        <f>'6.4'!Q80</f>
        <v>1.3727809001524396</v>
      </c>
    </row>
    <row r="47" spans="1:16" x14ac:dyDescent="0.2">
      <c r="A47" t="s">
        <v>445</v>
      </c>
      <c r="C47" s="60">
        <f>[4]ISO!P37</f>
        <v>22552307</v>
      </c>
      <c r="E47" s="103">
        <f>'6.4'!E47</f>
        <v>1.1296863217775748</v>
      </c>
      <c r="F47" s="26">
        <f t="shared" si="3"/>
        <v>25477033</v>
      </c>
      <c r="G47" s="60">
        <f>[4]ISO!U37</f>
        <v>1887548</v>
      </c>
      <c r="H47" s="37">
        <f t="shared" si="4"/>
        <v>7.3999999999999996E-2</v>
      </c>
      <c r="I47" s="37"/>
      <c r="K47" s="2"/>
      <c r="L47" s="36"/>
      <c r="M47" s="36">
        <f>'6.4'!M49</f>
        <v>43830</v>
      </c>
      <c r="N47" t="s">
        <v>237</v>
      </c>
      <c r="O47" s="22">
        <f>'6.4'!O81</f>
        <v>2013</v>
      </c>
      <c r="P47" s="29">
        <f>'6.4'!Q81</f>
        <v>1.3074103810975615</v>
      </c>
    </row>
    <row r="48" spans="1:16" x14ac:dyDescent="0.2">
      <c r="A48" t="s">
        <v>446</v>
      </c>
      <c r="C48" s="60">
        <f>[4]ISO!P38</f>
        <v>18922395</v>
      </c>
      <c r="D48" s="18"/>
      <c r="E48" s="103">
        <f>'6.4'!E48</f>
        <v>1.102499999999994</v>
      </c>
      <c r="F48" s="26">
        <f t="shared" si="3"/>
        <v>20861940</v>
      </c>
      <c r="G48" s="60">
        <f>[4]ISO!U38</f>
        <v>248458879</v>
      </c>
      <c r="H48" s="37">
        <f t="shared" si="4"/>
        <v>11.91</v>
      </c>
      <c r="I48" s="37"/>
      <c r="K48" s="2"/>
      <c r="L48" s="36">
        <f>'6.4'!L50</f>
        <v>44926</v>
      </c>
      <c r="M48" s="36">
        <f>'6.4'!M50</f>
        <v>44926</v>
      </c>
      <c r="N48" t="s">
        <v>237</v>
      </c>
      <c r="O48" s="22">
        <f>'6.4'!O82</f>
        <v>2014</v>
      </c>
      <c r="P48" s="29">
        <f>'6.4'!Q82</f>
        <v>1.2451527439024395</v>
      </c>
    </row>
    <row r="49" spans="1:16" x14ac:dyDescent="0.2">
      <c r="A49" s="22">
        <v>2018</v>
      </c>
      <c r="C49" s="60">
        <f>[4]ISO!P39</f>
        <v>17985941</v>
      </c>
      <c r="E49" s="103">
        <f>'6.4'!E49</f>
        <v>1.0755512293710299</v>
      </c>
      <c r="F49" s="26">
        <f t="shared" si="3"/>
        <v>19344801</v>
      </c>
      <c r="G49" s="60">
        <f>[4]ISO!U39</f>
        <v>387950</v>
      </c>
      <c r="H49" s="37">
        <f t="shared" si="4"/>
        <v>0.02</v>
      </c>
      <c r="I49" s="37"/>
      <c r="K49" s="2"/>
      <c r="O49" s="22">
        <f>'6.4'!O83</f>
        <v>2015</v>
      </c>
      <c r="P49" s="29">
        <f>'6.4'!Q83</f>
        <v>1.1858597560975612</v>
      </c>
    </row>
    <row r="50" spans="1:16" x14ac:dyDescent="0.2">
      <c r="A50" s="22">
        <v>2019</v>
      </c>
      <c r="C50" s="60">
        <f>[4]ISO!P40</f>
        <v>16008766</v>
      </c>
      <c r="E50" s="103">
        <f>'6.4'!E50</f>
        <v>1.049999999999998</v>
      </c>
      <c r="F50" s="26">
        <f t="shared" ref="F50:F51" si="5">ROUND(C50*E50,0)</f>
        <v>16809204</v>
      </c>
      <c r="G50" s="60">
        <f>[4]ISO!U40</f>
        <v>141982</v>
      </c>
      <c r="H50" s="37">
        <f t="shared" si="4"/>
        <v>8.0000000000000002E-3</v>
      </c>
      <c r="I50" s="37"/>
      <c r="K50" s="2"/>
      <c r="O50" s="22">
        <f>'6.4'!O84</f>
        <v>2016</v>
      </c>
      <c r="P50" s="29">
        <f>'6.4'!Q84</f>
        <v>1.1293902439024393</v>
      </c>
    </row>
    <row r="51" spans="1:16" x14ac:dyDescent="0.2">
      <c r="A51" s="22">
        <v>2020</v>
      </c>
      <c r="C51" s="60">
        <f>[4]ISO!P41</f>
        <v>15636712</v>
      </c>
      <c r="E51" s="103">
        <f>'6.4'!E51</f>
        <v>1.0499999999999974</v>
      </c>
      <c r="F51" s="26">
        <f t="shared" si="5"/>
        <v>16418548</v>
      </c>
      <c r="G51" s="60">
        <f>[4]ISO!U41</f>
        <v>1257240</v>
      </c>
      <c r="H51" s="37">
        <f t="shared" si="4"/>
        <v>7.6999999999999999E-2</v>
      </c>
      <c r="I51" s="37"/>
      <c r="K51" s="2"/>
      <c r="O51" s="22">
        <f>'6.4'!O85</f>
        <v>2017</v>
      </c>
      <c r="P51" s="29">
        <f>'6.4'!Q85</f>
        <v>1.1025</v>
      </c>
    </row>
    <row r="52" spans="1:16" x14ac:dyDescent="0.2">
      <c r="A52" s="22">
        <v>2021</v>
      </c>
      <c r="C52" s="60">
        <f>[4]ISO!P42</f>
        <v>16595164</v>
      </c>
      <c r="E52" s="103">
        <f>'6.4'!E52</f>
        <v>1.0499999999999987</v>
      </c>
      <c r="F52" s="26">
        <f t="shared" ref="F52:F53" si="6">ROUND(C52*E52,0)</f>
        <v>17424922</v>
      </c>
      <c r="G52" s="60">
        <f>[4]ISO!U42</f>
        <v>54035</v>
      </c>
      <c r="H52" s="37">
        <f t="shared" si="4"/>
        <v>3.0000000000000001E-3</v>
      </c>
      <c r="I52" s="37"/>
      <c r="K52" s="2"/>
      <c r="O52" s="22">
        <f>'6.4'!O86</f>
        <v>2018</v>
      </c>
      <c r="P52" s="29">
        <f>'6.4'!Q86</f>
        <v>1.075609756097561</v>
      </c>
    </row>
    <row r="53" spans="1:16" x14ac:dyDescent="0.2">
      <c r="A53" s="22">
        <v>2022</v>
      </c>
      <c r="C53" s="60">
        <f>[4]ISO!P43</f>
        <v>21812063</v>
      </c>
      <c r="E53" s="103">
        <f>'6.4'!E53</f>
        <v>1.0224475776595707</v>
      </c>
      <c r="F53" s="26">
        <f t="shared" si="6"/>
        <v>22301691</v>
      </c>
      <c r="G53" s="60">
        <f>[4]ISO!U43</f>
        <v>216718</v>
      </c>
      <c r="H53" s="37">
        <f t="shared" si="4"/>
        <v>0.01</v>
      </c>
      <c r="I53" s="37"/>
      <c r="K53" s="2"/>
      <c r="O53" s="22">
        <f>'6.4'!O87</f>
        <v>2019</v>
      </c>
      <c r="P53" s="29">
        <f>'6.4'!Q87</f>
        <v>1.05</v>
      </c>
    </row>
    <row r="54" spans="1:16" x14ac:dyDescent="0.2">
      <c r="A54" s="243"/>
      <c r="B54" s="243"/>
      <c r="C54" s="243"/>
      <c r="D54" s="243"/>
      <c r="E54" s="243"/>
      <c r="F54" s="243"/>
      <c r="G54" s="243"/>
      <c r="H54" s="243"/>
      <c r="K54" s="2"/>
    </row>
    <row r="55" spans="1:16" x14ac:dyDescent="0.2">
      <c r="A55" t="s">
        <v>8</v>
      </c>
      <c r="C55" s="249">
        <f>SUM(C14:C53)</f>
        <v>497401374</v>
      </c>
      <c r="D55" s="249"/>
      <c r="E55" s="249"/>
      <c r="F55" s="249">
        <f>SUM(F14:F53)</f>
        <v>826465620</v>
      </c>
      <c r="G55" s="249">
        <f>SUM(G14:G53)</f>
        <v>343378756</v>
      </c>
      <c r="H55" s="37">
        <f>ROUND(G55/F55,3)</f>
        <v>0.41499999999999998</v>
      </c>
      <c r="K55" s="2"/>
    </row>
    <row r="56" spans="1:16" ht="12" thickBot="1" x14ac:dyDescent="0.25">
      <c r="A56" s="6"/>
      <c r="B56" s="6"/>
      <c r="C56" s="6"/>
      <c r="D56" s="6"/>
      <c r="E56" s="6"/>
      <c r="F56" s="6"/>
      <c r="G56" s="6"/>
      <c r="H56" s="6"/>
      <c r="K56" s="2"/>
    </row>
    <row r="57" spans="1:16" ht="12" thickTop="1" x14ac:dyDescent="0.2">
      <c r="K57" s="2"/>
    </row>
    <row r="58" spans="1:16" x14ac:dyDescent="0.2">
      <c r="A58" t="s">
        <v>18</v>
      </c>
      <c r="K58" s="2"/>
    </row>
    <row r="59" spans="1:16" x14ac:dyDescent="0.2">
      <c r="B59" s="12" t="str">
        <f>C12&amp;" Provided by TDI. "&amp;A14&amp;" - "&amp;A26&amp;" are year ending "&amp;TEXT($L$46,"m/d/xx")&amp;" as of "&amp;TEXT($M$46,"m/d/yy")&amp;"; "&amp;A27&amp;" - "&amp;A51&amp;" are year ending "&amp;TEXT($L$47,"m/d/xx")&amp;" as of "&amp;TEXT($M$48,"m/d/yy")</f>
        <v>(2) Provided by TDI. 1983 - 1995 are year ending 9/30/xx as of 12/31/99; 1996 - 2020 are year ending 1/0/xx as of 12/31/22</v>
      </c>
      <c r="K59" s="2"/>
    </row>
    <row r="60" spans="1:16" x14ac:dyDescent="0.2">
      <c r="B60" s="12" t="str">
        <f>D12&amp;" Provided by TDI (1992 MR = 1992 manual rates)"</f>
        <v>(3) Provided by TDI (1992 MR = 1992 manual rates)</v>
      </c>
      <c r="C60" s="12"/>
      <c r="K60" s="2"/>
    </row>
    <row r="61" spans="1:16" x14ac:dyDescent="0.2">
      <c r="B61" s="12" t="str">
        <f>'6.4'!B61</f>
        <v>(4) Represents 8/1/80 through 6/30/22 rate changes for TWIA; factors assume uniform earning of written premium</v>
      </c>
      <c r="K61" s="2"/>
    </row>
    <row r="62" spans="1:16" x14ac:dyDescent="0.2">
      <c r="B62" s="12" t="str">
        <f>"      and that TWIA premium represents "&amp;TEXT(L32,"0.0%")&amp;" of industry data in "&amp;LEFT(A5,FIND("(",A5)-2)</f>
        <v xml:space="preserve">      and that TWIA premium represents 85.9% of industry data in Tier 1 -- Territory 9</v>
      </c>
      <c r="K62" s="2"/>
    </row>
    <row r="63" spans="1:16" x14ac:dyDescent="0.2">
      <c r="B63" s="12" t="str">
        <f>F12&amp;" = "&amp;D12&amp;" * "&amp;E12&amp;" for "&amp;A14&amp;" - "&amp;A23&amp;"; "&amp;C12&amp;" * "&amp;E12&amp;" for "&amp;A24&amp;" - "&amp;A53</f>
        <v>(5) = (3) * (4) for 1983 - 1992; (2) * (4) for 1993 - 2022</v>
      </c>
      <c r="K63" s="2"/>
    </row>
    <row r="64" spans="1:16" x14ac:dyDescent="0.2">
      <c r="B64" s="12" t="str">
        <f>G12&amp;" Provided by TDI. "&amp;A14&amp;" - "&amp;A26&amp;" are year ending "&amp;TEXT($L$46,"m/d/xx")&amp;" as of "&amp;TEXT($M$46,"m/d/yy")&amp;"; "&amp;A27&amp;" - "&amp;A42&amp;" are year ending "&amp;TEXT($L$48,"m/d/xx")&amp;" as of "&amp;TEXT($M$47,"m/d/yy")</f>
        <v>(6) Provided by TDI. 1983 - 1995 are year ending 9/30/xx as of 12/31/99; 1996 - 2011 are year ending 12/31/xx as of 12/31/19</v>
      </c>
      <c r="D64" s="41"/>
      <c r="E64" s="41"/>
      <c r="F64" s="41"/>
      <c r="G64" s="21"/>
      <c r="K64" s="2"/>
    </row>
    <row r="65" spans="1:11" x14ac:dyDescent="0.2">
      <c r="B65" t="str">
        <f>"    2012 - "&amp;YEAR(M48)&amp;" are year ending 12/31/xx as of "&amp;TEXT(M48,"m/d/yyyy")</f>
        <v xml:space="preserve">    2012 - 2022 are year ending 12/31/xx as of 12/31/2022</v>
      </c>
      <c r="K65" s="2"/>
    </row>
    <row r="66" spans="1:11" x14ac:dyDescent="0.2">
      <c r="B66" s="12" t="str">
        <f>H12&amp;" = "&amp;G12&amp;" / "&amp;F12</f>
        <v>(7) = (6) / (5)</v>
      </c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92D050"/>
  </sheetPr>
  <dimension ref="A1:P71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5" x14ac:dyDescent="0.2">
      <c r="A1" s="8" t="str">
        <f>'1'!$A$1</f>
        <v>Texas Windstorm Insurance Association</v>
      </c>
      <c r="B1" s="12"/>
      <c r="J1" s="7" t="s">
        <v>82</v>
      </c>
      <c r="K1" s="1"/>
      <c r="N1" t="s">
        <v>526</v>
      </c>
      <c r="O1" t="s">
        <v>566</v>
      </c>
    </row>
    <row r="2" spans="1:15" x14ac:dyDescent="0.2">
      <c r="A2" s="8" t="str">
        <f>'1'!$A$2</f>
        <v>Commercial Property - Wind &amp; Hail</v>
      </c>
      <c r="B2" s="12"/>
      <c r="J2" s="7" t="s">
        <v>105</v>
      </c>
      <c r="K2" s="2"/>
      <c r="N2" t="s">
        <v>526</v>
      </c>
      <c r="O2" t="s">
        <v>573</v>
      </c>
    </row>
    <row r="3" spans="1:15" x14ac:dyDescent="0.2">
      <c r="A3" s="8" t="str">
        <f>'1'!$A$3</f>
        <v>Rate Level Review</v>
      </c>
      <c r="B3" s="12"/>
      <c r="K3" s="2"/>
      <c r="N3" t="s">
        <v>526</v>
      </c>
      <c r="O3" t="s">
        <v>576</v>
      </c>
    </row>
    <row r="4" spans="1:15" x14ac:dyDescent="0.2">
      <c r="A4" t="s">
        <v>223</v>
      </c>
      <c r="B4" s="12"/>
      <c r="K4" s="2"/>
    </row>
    <row r="5" spans="1:15" x14ac:dyDescent="0.2">
      <c r="A5" t="s">
        <v>39</v>
      </c>
      <c r="B5" s="12"/>
      <c r="K5" s="2"/>
    </row>
    <row r="6" spans="1:15" x14ac:dyDescent="0.2">
      <c r="K6" s="2"/>
    </row>
    <row r="7" spans="1:15" ht="12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5" ht="12" thickTop="1" x14ac:dyDescent="0.2">
      <c r="K8" s="2"/>
    </row>
    <row r="9" spans="1:15" x14ac:dyDescent="0.2">
      <c r="C9" s="12"/>
      <c r="D9" t="s">
        <v>94</v>
      </c>
      <c r="E9" t="s">
        <v>226</v>
      </c>
      <c r="F9" t="s">
        <v>94</v>
      </c>
      <c r="K9" s="2"/>
      <c r="L9" s="24"/>
    </row>
    <row r="10" spans="1:15" x14ac:dyDescent="0.2">
      <c r="A10" t="s">
        <v>41</v>
      </c>
      <c r="C10" t="s">
        <v>94</v>
      </c>
      <c r="D10" t="s">
        <v>95</v>
      </c>
      <c r="E10" t="s">
        <v>227</v>
      </c>
      <c r="F10" t="s">
        <v>228</v>
      </c>
      <c r="G10" t="s">
        <v>67</v>
      </c>
      <c r="H10" t="s">
        <v>67</v>
      </c>
      <c r="K10" s="2"/>
      <c r="L10" s="12"/>
    </row>
    <row r="11" spans="1:15" x14ac:dyDescent="0.2">
      <c r="A11" s="9" t="s">
        <v>42</v>
      </c>
      <c r="B11" s="9"/>
      <c r="C11" s="9" t="s">
        <v>95</v>
      </c>
      <c r="D11" s="9" t="s">
        <v>225</v>
      </c>
      <c r="E11" s="9" t="s">
        <v>104</v>
      </c>
      <c r="F11" s="9" t="s">
        <v>229</v>
      </c>
      <c r="G11" s="9" t="s">
        <v>34</v>
      </c>
      <c r="H11" s="9" t="s">
        <v>58</v>
      </c>
      <c r="K11" s="2"/>
      <c r="L11" s="36"/>
    </row>
    <row r="12" spans="1:15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5" x14ac:dyDescent="0.2">
      <c r="K13" s="2"/>
    </row>
    <row r="14" spans="1:15" x14ac:dyDescent="0.2">
      <c r="A14" s="61" t="s">
        <v>421</v>
      </c>
      <c r="C14" s="31">
        <v>3769988</v>
      </c>
      <c r="D14" s="31">
        <v>4139464</v>
      </c>
      <c r="E14" s="103">
        <f>'6.4'!E14</f>
        <v>3.8293316891072973</v>
      </c>
      <c r="F14" s="26">
        <f>ROUND(D14*$E$23,0)</f>
        <v>11720839</v>
      </c>
      <c r="G14" s="31">
        <v>5242728</v>
      </c>
      <c r="H14" s="21">
        <f t="shared" ref="H14:H51" si="1">ROUND(G14/F14,3)</f>
        <v>0.44700000000000001</v>
      </c>
      <c r="I14" s="21"/>
      <c r="K14" s="2"/>
      <c r="L14" s="29"/>
    </row>
    <row r="15" spans="1:15" x14ac:dyDescent="0.2">
      <c r="A15" t="s">
        <v>422</v>
      </c>
      <c r="C15" s="31">
        <v>4835650</v>
      </c>
      <c r="D15" s="31">
        <v>5883059</v>
      </c>
      <c r="E15" s="103">
        <f>'6.4'!E15</f>
        <v>3.5112843511426886</v>
      </c>
      <c r="F15" s="26">
        <f>ROUND(D15*$E$23,0)</f>
        <v>16657806</v>
      </c>
      <c r="G15" s="31">
        <v>1759233</v>
      </c>
      <c r="H15" s="21">
        <f t="shared" si="1"/>
        <v>0.106</v>
      </c>
      <c r="I15" s="21"/>
      <c r="K15" s="2"/>
    </row>
    <row r="16" spans="1:15" x14ac:dyDescent="0.2">
      <c r="A16" t="s">
        <v>423</v>
      </c>
      <c r="C16" s="31">
        <v>3637366</v>
      </c>
      <c r="D16" s="31">
        <v>3997227</v>
      </c>
      <c r="E16" s="103">
        <f>'6.4'!E16</f>
        <v>2.8789383840739684</v>
      </c>
      <c r="F16" s="26">
        <f t="shared" ref="F16:F21" si="2">ROUND(D16*$E$23,0)</f>
        <v>11318097</v>
      </c>
      <c r="G16" s="31">
        <v>534724</v>
      </c>
      <c r="H16" s="21">
        <f t="shared" si="1"/>
        <v>4.7E-2</v>
      </c>
      <c r="I16" s="21"/>
      <c r="K16" s="2"/>
    </row>
    <row r="17" spans="1:16" x14ac:dyDescent="0.2">
      <c r="A17" t="s">
        <v>424</v>
      </c>
      <c r="C17" s="31">
        <v>4787352</v>
      </c>
      <c r="D17" s="31">
        <v>3948102</v>
      </c>
      <c r="E17" s="103">
        <f>'6.4'!E17</f>
        <v>2.0498785892003166</v>
      </c>
      <c r="F17" s="26">
        <f t="shared" si="2"/>
        <v>11179000</v>
      </c>
      <c r="G17" s="31">
        <v>1943819</v>
      </c>
      <c r="H17" s="21">
        <f t="shared" si="1"/>
        <v>0.17399999999999999</v>
      </c>
      <c r="I17" s="21"/>
      <c r="K17" s="2"/>
      <c r="O17" s="22"/>
      <c r="P17" s="29"/>
    </row>
    <row r="18" spans="1:16" x14ac:dyDescent="0.2">
      <c r="A18" t="s">
        <v>425</v>
      </c>
      <c r="C18" s="31">
        <v>5996981</v>
      </c>
      <c r="D18" s="31">
        <v>5352970</v>
      </c>
      <c r="E18" s="103">
        <f>'6.4'!E18</f>
        <v>1.9936436916734259</v>
      </c>
      <c r="F18" s="26">
        <f t="shared" si="2"/>
        <v>15156866</v>
      </c>
      <c r="G18" s="31">
        <v>338938</v>
      </c>
      <c r="H18" s="21">
        <f t="shared" si="1"/>
        <v>2.1999999999999999E-2</v>
      </c>
      <c r="I18" s="21"/>
      <c r="K18" s="2"/>
      <c r="O18" s="22"/>
      <c r="P18" s="29"/>
    </row>
    <row r="19" spans="1:16" x14ac:dyDescent="0.2">
      <c r="A19" t="s">
        <v>426</v>
      </c>
      <c r="C19" s="31">
        <v>5872305</v>
      </c>
      <c r="D19" s="31">
        <v>5768621</v>
      </c>
      <c r="E19" s="103">
        <f>'6.4'!E19</f>
        <v>2.1473124836449715</v>
      </c>
      <c r="F19" s="26">
        <f t="shared" si="2"/>
        <v>16333776</v>
      </c>
      <c r="G19" s="31">
        <v>1442599</v>
      </c>
      <c r="H19" s="21">
        <f t="shared" si="1"/>
        <v>8.7999999999999995E-2</v>
      </c>
      <c r="I19" s="21"/>
      <c r="K19" s="2"/>
      <c r="O19" s="22"/>
      <c r="P19" s="29"/>
    </row>
    <row r="20" spans="1:16" x14ac:dyDescent="0.2">
      <c r="A20" t="s">
        <v>427</v>
      </c>
      <c r="C20" s="31">
        <v>5125436</v>
      </c>
      <c r="D20" s="31">
        <v>5918163</v>
      </c>
      <c r="E20" s="103">
        <f>'6.4'!E20</f>
        <v>2.385265617366465</v>
      </c>
      <c r="F20" s="26">
        <f t="shared" si="2"/>
        <v>16757203</v>
      </c>
      <c r="G20" s="31">
        <v>349413</v>
      </c>
      <c r="H20" s="21">
        <f t="shared" si="1"/>
        <v>2.1000000000000001E-2</v>
      </c>
      <c r="I20" s="21"/>
      <c r="K20" s="2"/>
      <c r="O20" s="22"/>
      <c r="P20" s="29"/>
    </row>
    <row r="21" spans="1:16" x14ac:dyDescent="0.2">
      <c r="A21" t="s">
        <v>428</v>
      </c>
      <c r="C21" s="31">
        <v>3842130</v>
      </c>
      <c r="D21" s="31">
        <v>4624825</v>
      </c>
      <c r="E21" s="103">
        <f>'6.4'!E21</f>
        <v>2.5056768649457406</v>
      </c>
      <c r="F21" s="26">
        <f t="shared" si="2"/>
        <v>13095133</v>
      </c>
      <c r="G21" s="31">
        <v>1263817</v>
      </c>
      <c r="H21" s="21">
        <f t="shared" si="1"/>
        <v>9.7000000000000003E-2</v>
      </c>
      <c r="I21" s="21"/>
      <c r="K21" s="2"/>
      <c r="O21" s="22"/>
      <c r="P21" s="29"/>
    </row>
    <row r="22" spans="1:16" x14ac:dyDescent="0.2">
      <c r="A22" t="s">
        <v>429</v>
      </c>
      <c r="C22" s="31">
        <v>4253902</v>
      </c>
      <c r="D22" s="31">
        <v>4765878</v>
      </c>
      <c r="E22" s="103">
        <f>'6.4'!E22</f>
        <v>2.4905762618235174</v>
      </c>
      <c r="F22" s="26">
        <f>ROUND(D22*$E$23,0)</f>
        <v>13494522</v>
      </c>
      <c r="G22" s="31">
        <v>14752702</v>
      </c>
      <c r="H22" s="21">
        <f t="shared" si="1"/>
        <v>1.093</v>
      </c>
      <c r="I22" s="21"/>
      <c r="K22" s="2"/>
      <c r="O22" s="22"/>
      <c r="P22" s="29"/>
    </row>
    <row r="23" spans="1:16" x14ac:dyDescent="0.2">
      <c r="A23" t="s">
        <v>430</v>
      </c>
      <c r="B23" s="12"/>
      <c r="C23" s="31">
        <v>4034147</v>
      </c>
      <c r="D23" s="31">
        <v>4187015</v>
      </c>
      <c r="E23" s="103">
        <f>'6.4'!E23</f>
        <v>2.8314871857113864</v>
      </c>
      <c r="F23" s="26">
        <f t="shared" ref="F23" si="3">ROUND(D23*E23,0)</f>
        <v>11855479</v>
      </c>
      <c r="G23" s="31">
        <v>276158</v>
      </c>
      <c r="H23" s="21">
        <f t="shared" si="1"/>
        <v>2.3E-2</v>
      </c>
      <c r="I23" s="21"/>
      <c r="K23" s="2"/>
      <c r="O23" s="22"/>
      <c r="P23" s="29"/>
    </row>
    <row r="24" spans="1:16" x14ac:dyDescent="0.2">
      <c r="A24" t="s">
        <v>407</v>
      </c>
      <c r="B24" s="12"/>
      <c r="C24" s="31">
        <v>4540606</v>
      </c>
      <c r="D24" s="31"/>
      <c r="E24" s="103">
        <f>'6.4'!E24</f>
        <v>3.2531461484671529</v>
      </c>
      <c r="F24" s="26">
        <f>ROUND(C24*E24,0)</f>
        <v>14771255</v>
      </c>
      <c r="G24" s="31">
        <v>245603</v>
      </c>
      <c r="H24" s="21">
        <f t="shared" si="1"/>
        <v>1.7000000000000001E-2</v>
      </c>
      <c r="I24" s="21"/>
      <c r="K24" s="2"/>
      <c r="O24" s="22"/>
      <c r="P24" s="29"/>
    </row>
    <row r="25" spans="1:16" x14ac:dyDescent="0.2">
      <c r="A25" t="s">
        <v>408</v>
      </c>
      <c r="B25" s="12"/>
      <c r="C25" s="31">
        <v>5145260</v>
      </c>
      <c r="D25" s="31"/>
      <c r="E25" s="103">
        <f>'6.4'!E25</f>
        <v>3.2531461484671529</v>
      </c>
      <c r="F25" s="26">
        <f>ROUND(C25*E25,0)</f>
        <v>16738283</v>
      </c>
      <c r="G25" s="31">
        <v>3130886</v>
      </c>
      <c r="H25" s="21">
        <f t="shared" si="1"/>
        <v>0.187</v>
      </c>
      <c r="I25" s="21"/>
      <c r="K25" s="2"/>
      <c r="O25" s="22"/>
      <c r="P25" s="29"/>
    </row>
    <row r="26" spans="1:16" x14ac:dyDescent="0.2">
      <c r="A26" t="s">
        <v>409</v>
      </c>
      <c r="C26" s="31">
        <v>9324050</v>
      </c>
      <c r="D26" s="31"/>
      <c r="E26" s="103">
        <f>'6.4'!E26</f>
        <v>3.2531461484671529</v>
      </c>
      <c r="F26" s="26">
        <f>ROUND(C26*E26,0)</f>
        <v>30332497</v>
      </c>
      <c r="G26" s="31">
        <v>10852486</v>
      </c>
      <c r="H26" s="21">
        <f t="shared" si="1"/>
        <v>0.35799999999999998</v>
      </c>
      <c r="I26" s="21"/>
      <c r="K26" s="2"/>
      <c r="O26" s="22"/>
      <c r="P26" s="29"/>
    </row>
    <row r="27" spans="1:16" x14ac:dyDescent="0.2">
      <c r="A27" t="s">
        <v>410</v>
      </c>
      <c r="C27" s="31">
        <v>15331047</v>
      </c>
      <c r="D27" s="31"/>
      <c r="E27" s="103">
        <f>'6.4'!E27</f>
        <v>3.2531461484671529</v>
      </c>
      <c r="F27" s="26">
        <f t="shared" ref="F27:F46" si="4">ROUND(C27*E27,0)</f>
        <v>49874137</v>
      </c>
      <c r="G27" s="31">
        <v>1478175</v>
      </c>
      <c r="H27" s="21">
        <f t="shared" si="1"/>
        <v>0.03</v>
      </c>
      <c r="I27" s="21"/>
      <c r="K27" s="2"/>
      <c r="O27" s="22"/>
      <c r="P27" s="29"/>
    </row>
    <row r="28" spans="1:16" x14ac:dyDescent="0.2">
      <c r="A28" t="s">
        <v>411</v>
      </c>
      <c r="C28" s="31">
        <v>17116368</v>
      </c>
      <c r="E28" s="103">
        <f>'6.4'!E28</f>
        <v>3.2531461484671529</v>
      </c>
      <c r="F28" s="26">
        <f t="shared" si="4"/>
        <v>55682047</v>
      </c>
      <c r="G28" s="31">
        <v>1911482</v>
      </c>
      <c r="H28" s="21">
        <f t="shared" si="1"/>
        <v>3.4000000000000002E-2</v>
      </c>
      <c r="I28" s="21"/>
      <c r="K28" s="2"/>
      <c r="O28" s="22"/>
      <c r="P28" s="29"/>
    </row>
    <row r="29" spans="1:16" x14ac:dyDescent="0.2">
      <c r="A29" t="s">
        <v>412</v>
      </c>
      <c r="C29" s="31">
        <v>17623413</v>
      </c>
      <c r="D29" s="31"/>
      <c r="E29" s="103">
        <f>'6.4'!E29</f>
        <v>3.3026864451443179</v>
      </c>
      <c r="F29" s="26">
        <f t="shared" si="4"/>
        <v>58204607</v>
      </c>
      <c r="G29" s="31">
        <v>6340723</v>
      </c>
      <c r="H29" s="21">
        <f t="shared" si="1"/>
        <v>0.109</v>
      </c>
      <c r="I29" s="21"/>
      <c r="K29" s="2"/>
      <c r="O29" s="22"/>
      <c r="P29" s="29"/>
    </row>
    <row r="30" spans="1:16" x14ac:dyDescent="0.2">
      <c r="A30" t="s">
        <v>413</v>
      </c>
      <c r="C30" s="31">
        <v>15019386</v>
      </c>
      <c r="D30" s="31"/>
      <c r="E30" s="103">
        <f>'6.4'!E30</f>
        <v>3.3537589159455186</v>
      </c>
      <c r="F30" s="26">
        <f t="shared" si="4"/>
        <v>50371400</v>
      </c>
      <c r="G30" s="31">
        <v>5614569</v>
      </c>
      <c r="H30" s="21">
        <f t="shared" si="1"/>
        <v>0.111</v>
      </c>
      <c r="I30" s="21"/>
      <c r="K30" s="2"/>
      <c r="O30" s="22"/>
      <c r="P30" s="29"/>
    </row>
    <row r="31" spans="1:16" x14ac:dyDescent="0.2">
      <c r="A31" t="s">
        <v>414</v>
      </c>
      <c r="C31" s="31">
        <v>11756138</v>
      </c>
      <c r="D31" s="31"/>
      <c r="E31" s="103">
        <f>'6.4'!E31</f>
        <v>3.209338675545951</v>
      </c>
      <c r="F31" s="26">
        <f t="shared" si="4"/>
        <v>37729428</v>
      </c>
      <c r="G31" s="31">
        <v>4969254</v>
      </c>
      <c r="H31" s="21">
        <f t="shared" si="1"/>
        <v>0.13200000000000001</v>
      </c>
      <c r="I31" s="21"/>
      <c r="K31" s="2"/>
      <c r="L31" t="s">
        <v>230</v>
      </c>
      <c r="O31" s="22"/>
      <c r="P31" s="29"/>
    </row>
    <row r="32" spans="1:16" x14ac:dyDescent="0.2">
      <c r="A32" t="s">
        <v>415</v>
      </c>
      <c r="C32" s="31">
        <v>11140104</v>
      </c>
      <c r="D32" s="31"/>
      <c r="E32" s="103">
        <f>'6.4'!E32</f>
        <v>3.0165127864233838</v>
      </c>
      <c r="F32" s="26">
        <f t="shared" si="4"/>
        <v>33604266</v>
      </c>
      <c r="G32" s="31">
        <v>1824700</v>
      </c>
      <c r="H32" s="21">
        <f t="shared" si="1"/>
        <v>5.3999999999999999E-2</v>
      </c>
      <c r="I32" s="21"/>
      <c r="K32" s="2"/>
      <c r="L32" s="69">
        <f>[4]ISO!$Q$47</f>
        <v>0.66077082730828873</v>
      </c>
      <c r="O32" s="22"/>
      <c r="P32" s="29"/>
    </row>
    <row r="33" spans="1:16" x14ac:dyDescent="0.2">
      <c r="A33" t="s">
        <v>416</v>
      </c>
      <c r="C33" s="31">
        <v>20528832</v>
      </c>
      <c r="D33" s="31"/>
      <c r="E33" s="103">
        <f>'6.4'!E33</f>
        <v>2.8863443172156207</v>
      </c>
      <c r="F33" s="26">
        <f t="shared" si="4"/>
        <v>59253278</v>
      </c>
      <c r="G33" s="31">
        <v>4053342</v>
      </c>
      <c r="H33" s="21">
        <f t="shared" si="1"/>
        <v>6.8000000000000005E-2</v>
      </c>
      <c r="I33" s="21"/>
      <c r="K33" s="2"/>
      <c r="O33" s="22"/>
      <c r="P33" s="29"/>
    </row>
    <row r="34" spans="1:16" x14ac:dyDescent="0.2">
      <c r="A34" t="s">
        <v>417</v>
      </c>
      <c r="C34" s="113">
        <v>23885668</v>
      </c>
      <c r="D34" s="31"/>
      <c r="E34" s="103">
        <f>'6.4'!E34</f>
        <v>2.5614743940658102</v>
      </c>
      <c r="F34" s="26">
        <f t="shared" si="4"/>
        <v>61182527</v>
      </c>
      <c r="G34" s="113">
        <v>29908218</v>
      </c>
      <c r="H34" s="21">
        <f t="shared" si="1"/>
        <v>0.48899999999999999</v>
      </c>
      <c r="I34" s="37"/>
      <c r="K34" s="2"/>
      <c r="O34" s="22"/>
      <c r="P34" s="29"/>
    </row>
    <row r="35" spans="1:16" x14ac:dyDescent="0.2">
      <c r="A35" t="s">
        <v>418</v>
      </c>
      <c r="B35" s="22"/>
      <c r="C35" s="113">
        <v>31412192</v>
      </c>
      <c r="D35" s="41"/>
      <c r="E35" s="103">
        <f>'6.4'!E35</f>
        <v>2.4481743926950581</v>
      </c>
      <c r="F35" s="26">
        <f t="shared" si="4"/>
        <v>76902524</v>
      </c>
      <c r="G35" s="113">
        <v>1462655</v>
      </c>
      <c r="H35" s="21">
        <f t="shared" si="1"/>
        <v>1.9E-2</v>
      </c>
      <c r="I35" s="37"/>
      <c r="K35" s="2"/>
      <c r="O35" s="22"/>
      <c r="P35" s="29"/>
    </row>
    <row r="36" spans="1:16" x14ac:dyDescent="0.2">
      <c r="A36" t="s">
        <v>321</v>
      </c>
      <c r="C36" s="113">
        <v>34104704</v>
      </c>
      <c r="E36" s="103">
        <f>'6.4'!E36</f>
        <v>2.2196457159722462</v>
      </c>
      <c r="F36" s="26">
        <f>ROUND(C36*E36,0)</f>
        <v>75700360</v>
      </c>
      <c r="G36" s="113">
        <v>272418664</v>
      </c>
      <c r="H36" s="21">
        <f t="shared" si="1"/>
        <v>3.5990000000000002</v>
      </c>
      <c r="I36" s="37"/>
      <c r="K36" s="2"/>
      <c r="O36" s="22"/>
      <c r="P36" s="29"/>
    </row>
    <row r="37" spans="1:16" x14ac:dyDescent="0.2">
      <c r="A37" t="s">
        <v>396</v>
      </c>
      <c r="C37" s="113">
        <v>46246638</v>
      </c>
      <c r="E37" s="103">
        <f>'6.4'!E37</f>
        <v>2.0368887779518374</v>
      </c>
      <c r="F37" s="26">
        <f t="shared" si="4"/>
        <v>94199258</v>
      </c>
      <c r="G37" s="113">
        <v>2315133</v>
      </c>
      <c r="H37" s="21">
        <f t="shared" si="1"/>
        <v>2.5000000000000001E-2</v>
      </c>
      <c r="I37" s="37"/>
      <c r="K37" s="2"/>
      <c r="O37" s="22"/>
      <c r="P37" s="29"/>
    </row>
    <row r="38" spans="1:16" x14ac:dyDescent="0.2">
      <c r="A38" t="s">
        <v>368</v>
      </c>
      <c r="C38" s="113">
        <v>71922575</v>
      </c>
      <c r="E38" s="103">
        <f>'6.4'!E38</f>
        <v>1.8570470989540071</v>
      </c>
      <c r="F38" s="26">
        <f t="shared" si="4"/>
        <v>133563609</v>
      </c>
      <c r="G38" s="113">
        <v>7479422</v>
      </c>
      <c r="H38" s="21">
        <f t="shared" si="1"/>
        <v>5.6000000000000001E-2</v>
      </c>
      <c r="I38" s="37"/>
      <c r="K38" s="2"/>
      <c r="O38" s="22"/>
      <c r="P38" s="29"/>
    </row>
    <row r="39" spans="1:16" x14ac:dyDescent="0.2">
      <c r="A39" t="s">
        <v>373</v>
      </c>
      <c r="C39" s="113">
        <v>66558177</v>
      </c>
      <c r="E39" s="103">
        <f>'6.4'!E39</f>
        <v>1.7641482522914027</v>
      </c>
      <c r="F39" s="26">
        <f t="shared" si="4"/>
        <v>117418492</v>
      </c>
      <c r="G39" s="113">
        <v>538764477</v>
      </c>
      <c r="H39" s="21">
        <f>ROUND(G39/F39,3)</f>
        <v>4.5880000000000001</v>
      </c>
      <c r="I39" s="37"/>
      <c r="K39" s="2"/>
      <c r="O39" s="22"/>
      <c r="P39" s="29"/>
    </row>
    <row r="40" spans="1:16" x14ac:dyDescent="0.2">
      <c r="A40" t="s">
        <v>397</v>
      </c>
      <c r="C40" s="113">
        <v>64583344</v>
      </c>
      <c r="E40" s="103">
        <f>'6.4'!E40</f>
        <v>1.5997647448930246</v>
      </c>
      <c r="F40" s="26">
        <f t="shared" si="4"/>
        <v>103318157</v>
      </c>
      <c r="G40" s="113">
        <v>1576316</v>
      </c>
      <c r="H40" s="21">
        <f t="shared" si="1"/>
        <v>1.4999999999999999E-2</v>
      </c>
      <c r="K40" s="2"/>
      <c r="O40" s="22"/>
      <c r="P40" s="29"/>
    </row>
    <row r="41" spans="1:16" x14ac:dyDescent="0.2">
      <c r="A41" t="s">
        <v>398</v>
      </c>
      <c r="C41" s="113">
        <v>63606679</v>
      </c>
      <c r="E41" s="103">
        <f>'6.4'!E41</f>
        <v>1.4780006228698501</v>
      </c>
      <c r="F41" s="26">
        <f t="shared" si="4"/>
        <v>94010711</v>
      </c>
      <c r="G41" s="113">
        <v>5423427</v>
      </c>
      <c r="H41" s="21">
        <f t="shared" si="1"/>
        <v>5.8000000000000003E-2</v>
      </c>
      <c r="K41" s="2"/>
      <c r="O41" s="22"/>
      <c r="P41" s="29"/>
    </row>
    <row r="42" spans="1:16" x14ac:dyDescent="0.2">
      <c r="A42" t="s">
        <v>401</v>
      </c>
      <c r="C42" s="113">
        <v>63551427</v>
      </c>
      <c r="E42" s="103">
        <f>'6.4'!E42</f>
        <v>1.443031610091043</v>
      </c>
      <c r="F42" s="26">
        <f>ROUND(C42*E42,0)</f>
        <v>91706718</v>
      </c>
      <c r="G42" s="113">
        <v>16247025</v>
      </c>
      <c r="H42" s="21">
        <f t="shared" si="1"/>
        <v>0.17699999999999999</v>
      </c>
      <c r="I42" s="37"/>
      <c r="K42" s="2"/>
      <c r="O42" s="22"/>
      <c r="P42" s="29"/>
    </row>
    <row r="43" spans="1:16" x14ac:dyDescent="0.2">
      <c r="A43" t="s">
        <v>419</v>
      </c>
      <c r="C43" s="113">
        <v>68482322</v>
      </c>
      <c r="E43" s="103">
        <f>'6.4'!E43</f>
        <v>1.3723433115836108</v>
      </c>
      <c r="F43" s="26">
        <f t="shared" si="4"/>
        <v>93981257</v>
      </c>
      <c r="G43" s="113">
        <v>13608787</v>
      </c>
      <c r="H43" s="21">
        <f t="shared" si="1"/>
        <v>0.14499999999999999</v>
      </c>
      <c r="K43" s="2"/>
      <c r="O43" s="22"/>
      <c r="P43" s="29"/>
    </row>
    <row r="44" spans="1:16" x14ac:dyDescent="0.2">
      <c r="A44" t="s">
        <v>420</v>
      </c>
      <c r="C44" s="60">
        <f>[4]ISO!Q34</f>
        <v>71237559</v>
      </c>
      <c r="E44" s="103">
        <f>'6.4'!E44</f>
        <v>1.3075797103216005</v>
      </c>
      <c r="F44" s="26">
        <f t="shared" si="4"/>
        <v>93148787</v>
      </c>
      <c r="G44" s="60">
        <f>[4]ISO!V34</f>
        <v>882597</v>
      </c>
      <c r="H44" s="21">
        <f t="shared" si="1"/>
        <v>8.9999999999999993E-3</v>
      </c>
      <c r="K44" s="2"/>
      <c r="L44" t="s">
        <v>234</v>
      </c>
      <c r="M44" t="s">
        <v>235</v>
      </c>
      <c r="O44" s="22"/>
      <c r="P44" s="29"/>
    </row>
    <row r="45" spans="1:16" x14ac:dyDescent="0.2">
      <c r="A45" t="s">
        <v>443</v>
      </c>
      <c r="C45" s="60">
        <f>[4]ISO!Q35</f>
        <v>66691855</v>
      </c>
      <c r="E45" s="103">
        <f>'6.4'!E45</f>
        <v>1.2467307484438648</v>
      </c>
      <c r="F45" s="26">
        <f t="shared" si="4"/>
        <v>83146786</v>
      </c>
      <c r="G45" s="60">
        <f>[4]ISO!V35</f>
        <v>892615</v>
      </c>
      <c r="H45" s="21">
        <f t="shared" si="1"/>
        <v>1.0999999999999999E-2</v>
      </c>
      <c r="K45" s="2"/>
      <c r="L45" s="36">
        <f>'6.4'!L48</f>
        <v>34607</v>
      </c>
      <c r="M45" s="36">
        <f>'6.4'!M48</f>
        <v>36525</v>
      </c>
      <c r="N45" t="s">
        <v>236</v>
      </c>
      <c r="O45" s="22"/>
      <c r="P45" s="29"/>
    </row>
    <row r="46" spans="1:16" x14ac:dyDescent="0.2">
      <c r="A46" t="s">
        <v>444</v>
      </c>
      <c r="C46" s="60">
        <f>[4]ISO!Q36</f>
        <v>61267612</v>
      </c>
      <c r="E46" s="103">
        <f>'6.4'!E46</f>
        <v>1.1863253854339257</v>
      </c>
      <c r="F46" s="26">
        <f t="shared" si="4"/>
        <v>72683323</v>
      </c>
      <c r="G46" s="60">
        <f>[4]ISO!V36</f>
        <v>15887126</v>
      </c>
      <c r="H46" s="21">
        <f t="shared" si="1"/>
        <v>0.219</v>
      </c>
      <c r="K46" s="2"/>
      <c r="L46" s="36">
        <f>'6.4'!L50</f>
        <v>44926</v>
      </c>
      <c r="M46" s="36">
        <f>'6.4'!M50</f>
        <v>44926</v>
      </c>
      <c r="N46" t="s">
        <v>237</v>
      </c>
      <c r="O46" s="22"/>
      <c r="P46" s="29"/>
    </row>
    <row r="47" spans="1:16" x14ac:dyDescent="0.2">
      <c r="A47" t="s">
        <v>445</v>
      </c>
      <c r="C47" s="60">
        <f>[4]ISO!Q37</f>
        <v>56207168</v>
      </c>
      <c r="E47" s="103">
        <f>'6.4'!E47</f>
        <v>1.1296863217775748</v>
      </c>
      <c r="F47" s="26">
        <f t="shared" ref="F47:F53" si="5">ROUND(C47*E47,0)</f>
        <v>63496469</v>
      </c>
      <c r="G47" s="60">
        <f>[4]ISO!V37</f>
        <v>2289194</v>
      </c>
      <c r="H47" s="21">
        <f t="shared" si="1"/>
        <v>3.5999999999999997E-2</v>
      </c>
      <c r="K47" s="2"/>
      <c r="O47" s="22"/>
      <c r="P47" s="29"/>
    </row>
    <row r="48" spans="1:16" x14ac:dyDescent="0.2">
      <c r="A48" t="s">
        <v>446</v>
      </c>
      <c r="C48" s="60">
        <f>[4]ISO!Q38</f>
        <v>44762462</v>
      </c>
      <c r="D48" s="18"/>
      <c r="E48" s="103">
        <f>'6.4'!E48</f>
        <v>1.102499999999994</v>
      </c>
      <c r="F48" s="26">
        <f t="shared" si="5"/>
        <v>49350614</v>
      </c>
      <c r="G48" s="60">
        <f>[4]ISO!V38</f>
        <v>218068882</v>
      </c>
      <c r="H48" s="21">
        <f t="shared" si="1"/>
        <v>4.4189999999999996</v>
      </c>
      <c r="K48" s="2"/>
      <c r="O48" s="22"/>
      <c r="P48" s="29"/>
    </row>
    <row r="49" spans="1:16" x14ac:dyDescent="0.2">
      <c r="A49" s="22">
        <v>2018</v>
      </c>
      <c r="C49" s="60">
        <f>[4]ISO!Q39</f>
        <v>41494725</v>
      </c>
      <c r="E49" s="103">
        <f>'6.4'!E49</f>
        <v>1.0755512293710299</v>
      </c>
      <c r="F49" s="26">
        <f t="shared" si="5"/>
        <v>44629702</v>
      </c>
      <c r="G49" s="60">
        <f>[4]ISO!V39</f>
        <v>741880</v>
      </c>
      <c r="H49" s="21">
        <f t="shared" si="1"/>
        <v>1.7000000000000001E-2</v>
      </c>
      <c r="I49" s="162"/>
      <c r="K49" s="2"/>
      <c r="O49" s="22"/>
      <c r="P49" s="29"/>
    </row>
    <row r="50" spans="1:16" x14ac:dyDescent="0.2">
      <c r="A50" s="22">
        <v>2019</v>
      </c>
      <c r="C50" s="60">
        <f>[4]ISO!Q40</f>
        <v>39637988</v>
      </c>
      <c r="E50" s="103">
        <f>'6.4'!E50</f>
        <v>1.049999999999998</v>
      </c>
      <c r="F50" s="26">
        <f t="shared" si="5"/>
        <v>41619887</v>
      </c>
      <c r="G50" s="60">
        <f>[4]ISO!V40</f>
        <v>1958323</v>
      </c>
      <c r="H50" s="21">
        <f t="shared" si="1"/>
        <v>4.7E-2</v>
      </c>
      <c r="I50" s="162"/>
      <c r="K50" s="2"/>
      <c r="O50" s="22"/>
      <c r="P50" s="29"/>
    </row>
    <row r="51" spans="1:16" x14ac:dyDescent="0.2">
      <c r="A51" s="22">
        <v>2020</v>
      </c>
      <c r="C51" s="60">
        <f>[4]ISO!Q41</f>
        <v>39584894</v>
      </c>
      <c r="E51" s="103">
        <f>'6.4'!E51</f>
        <v>1.0499999999999974</v>
      </c>
      <c r="F51" s="26">
        <f>ROUND(C51*E51,0)</f>
        <v>41564139</v>
      </c>
      <c r="G51" s="60">
        <f>[4]ISO!V41</f>
        <v>6286600</v>
      </c>
      <c r="H51" s="21">
        <f t="shared" si="1"/>
        <v>0.151</v>
      </c>
      <c r="I51" s="162"/>
      <c r="K51" s="2"/>
      <c r="O51" s="22"/>
      <c r="P51" s="29"/>
    </row>
    <row r="52" spans="1:16" x14ac:dyDescent="0.2">
      <c r="A52" s="22">
        <v>2021</v>
      </c>
      <c r="C52" s="60">
        <f>[4]ISO!Q42</f>
        <v>39999421</v>
      </c>
      <c r="E52" s="103">
        <f>'6.4'!E52</f>
        <v>1.0499999999999987</v>
      </c>
      <c r="F52" s="26">
        <f t="shared" si="5"/>
        <v>41999392</v>
      </c>
      <c r="G52" s="60">
        <f>[4]ISO!V42</f>
        <v>3221365</v>
      </c>
      <c r="H52" s="21">
        <f>ROUND(G52/F52,3)</f>
        <v>7.6999999999999999E-2</v>
      </c>
      <c r="K52" s="2"/>
      <c r="O52" s="22"/>
      <c r="P52" s="29"/>
    </row>
    <row r="53" spans="1:16" x14ac:dyDescent="0.2">
      <c r="A53" s="22">
        <v>2022</v>
      </c>
      <c r="C53" s="60">
        <f>[4]ISO!Q43</f>
        <v>44814513</v>
      </c>
      <c r="E53" s="103">
        <f>'6.4'!E53</f>
        <v>1.0224475776595707</v>
      </c>
      <c r="F53" s="26">
        <f t="shared" si="5"/>
        <v>45820490</v>
      </c>
      <c r="G53" s="60">
        <f>[4]ISO!V43</f>
        <v>549637</v>
      </c>
      <c r="H53" s="21">
        <f>ROUND(G53/F53,3)</f>
        <v>1.2E-2</v>
      </c>
      <c r="K53" s="2"/>
      <c r="O53" s="22"/>
      <c r="P53" s="29"/>
    </row>
    <row r="54" spans="1:16" x14ac:dyDescent="0.2">
      <c r="A54" s="243"/>
      <c r="B54" s="243"/>
      <c r="C54" s="243"/>
      <c r="D54" s="243"/>
      <c r="E54" s="243"/>
      <c r="F54" s="243"/>
      <c r="G54" s="243"/>
      <c r="H54" s="243"/>
      <c r="K54" s="2"/>
      <c r="O54" s="22"/>
      <c r="P54" s="29"/>
    </row>
    <row r="55" spans="1:16" x14ac:dyDescent="0.2">
      <c r="A55" t="s">
        <v>8</v>
      </c>
      <c r="C55" s="46">
        <f>SUM(C14:C53)</f>
        <v>1213732384</v>
      </c>
      <c r="D55" s="46"/>
      <c r="E55" s="46"/>
      <c r="F55" s="46">
        <f>SUM(F14:F53)</f>
        <v>2063573121</v>
      </c>
      <c r="G55" s="46">
        <f>SUM(G14:G53)</f>
        <v>1208307694</v>
      </c>
      <c r="H55" s="21">
        <f>ROUND(G55/F55,3)</f>
        <v>0.58599999999999997</v>
      </c>
      <c r="K55" s="2"/>
      <c r="O55" s="22"/>
      <c r="P55" s="29"/>
    </row>
    <row r="56" spans="1:16" ht="12" thickBot="1" x14ac:dyDescent="0.25">
      <c r="A56" s="6"/>
      <c r="B56" s="6"/>
      <c r="C56" s="6"/>
      <c r="D56" s="6"/>
      <c r="E56" s="6"/>
      <c r="F56" s="6"/>
      <c r="G56" s="6"/>
      <c r="H56" s="6"/>
      <c r="K56" s="2"/>
    </row>
    <row r="57" spans="1:16" ht="12" thickTop="1" x14ac:dyDescent="0.2">
      <c r="K57" s="2"/>
    </row>
    <row r="58" spans="1:16" x14ac:dyDescent="0.2">
      <c r="A58" t="s">
        <v>18</v>
      </c>
      <c r="K58" s="2"/>
    </row>
    <row r="59" spans="1:16" x14ac:dyDescent="0.2">
      <c r="B59" s="12" t="str">
        <f>C12&amp;" Provided by TDI. "&amp;A14&amp;" - "&amp;A26&amp;" are year ending "&amp;TEXT($L$45,"m/d/xx")&amp;" as of "&amp;TEXT($M$45,"m/d/yy")&amp;"; "&amp;A27&amp;" - "&amp;A53&amp;" are year ending "&amp;TEXT($L$46,"m/d/xx")&amp;" as of "&amp;TEXT($M$46,"m/d/yy")</f>
        <v>(2) Provided by TDI. 1983 - 1995 are year ending 9/30/xx as of 12/31/99; 1996 - 2022 are year ending 12/31/xx as of 12/31/22</v>
      </c>
      <c r="K59" s="2"/>
    </row>
    <row r="60" spans="1:16" x14ac:dyDescent="0.2">
      <c r="B60" s="12" t="str">
        <f>D12&amp;" Provided by TDI (1992 MR = 1992 manual rates)"</f>
        <v>(3) Provided by TDI (1992 MR = 1992 manual rates)</v>
      </c>
      <c r="C60" s="12"/>
      <c r="K60" s="2"/>
    </row>
    <row r="61" spans="1:16" x14ac:dyDescent="0.2">
      <c r="B61" s="12" t="str">
        <f>'6.4'!B61</f>
        <v>(4) Represents 8/1/80 through 6/30/22 rate changes for TWIA; factors assume uniform earning of written premium</v>
      </c>
      <c r="K61" s="2"/>
    </row>
    <row r="62" spans="1:16" x14ac:dyDescent="0.2">
      <c r="B62" s="12" t="str">
        <f>"      and that TWIA premium represents "&amp;TEXT(L32,"0.0%")&amp;" of industry data in "&amp;LEFT(A5,FIND("(",A5)-2)</f>
        <v xml:space="preserve">      and that TWIA premium represents 66.1% of industry data in Tier 1 -- Territory 10</v>
      </c>
      <c r="K62" s="2"/>
    </row>
    <row r="63" spans="1:16" x14ac:dyDescent="0.2">
      <c r="B63" s="12" t="str">
        <f>F12&amp;" = "&amp;D12&amp;" * "&amp;E12&amp;" for "&amp;A14&amp;" - "&amp;A23&amp;"; "&amp;C12&amp;" * "&amp;E12&amp;" for "&amp;A24&amp;" - "&amp;A53</f>
        <v>(5) = (3) * (4) for 1983 - 1992; (2) * (4) for 1993 - 2022</v>
      </c>
      <c r="K63" s="2"/>
    </row>
    <row r="64" spans="1:16" x14ac:dyDescent="0.2">
      <c r="B64" s="12" t="str">
        <f>'6.5'!B64</f>
        <v>(6) Provided by TDI. 1983 - 1995 are year ending 9/30/xx as of 12/31/99; 1996 - 2011 are year ending 12/31/xx as of 12/31/19</v>
      </c>
      <c r="D64" s="41"/>
      <c r="E64" s="41"/>
      <c r="F64" s="41"/>
      <c r="G64" s="21"/>
      <c r="K64" s="2"/>
    </row>
    <row r="65" spans="1:11" x14ac:dyDescent="0.2">
      <c r="B65" s="12" t="str">
        <f>'6.5'!B65</f>
        <v xml:space="preserve">    2012 - 2022 are year ending 12/31/xx as of 12/31/2022</v>
      </c>
      <c r="K65" s="2"/>
    </row>
    <row r="66" spans="1:11" x14ac:dyDescent="0.2">
      <c r="B66" s="12" t="str">
        <f>'6.5'!B66</f>
        <v>(7) = (6) / (5)</v>
      </c>
      <c r="I66" s="18"/>
      <c r="K66" s="2"/>
    </row>
    <row r="67" spans="1:11" x14ac:dyDescent="0.2">
      <c r="A67" s="40"/>
      <c r="B67" t="s">
        <v>514</v>
      </c>
      <c r="C67" s="31"/>
      <c r="D67" s="31"/>
      <c r="E67" s="31"/>
      <c r="F67" s="31"/>
      <c r="G67" s="18"/>
      <c r="H67" s="18"/>
      <c r="I67" s="18"/>
      <c r="K67" s="2"/>
    </row>
    <row r="68" spans="1:11" x14ac:dyDescent="0.2">
      <c r="A68" s="40"/>
      <c r="C68" s="31"/>
      <c r="D68" s="31"/>
      <c r="E68" s="31"/>
      <c r="F68" s="31"/>
      <c r="G68" s="18"/>
      <c r="H68" s="18"/>
      <c r="I68" s="18"/>
      <c r="K68" s="2"/>
    </row>
    <row r="69" spans="1:11" x14ac:dyDescent="0.2">
      <c r="A69" s="40"/>
      <c r="C69" s="31"/>
      <c r="D69" s="31"/>
      <c r="E69" s="31"/>
      <c r="F69" s="31"/>
      <c r="G69" s="18"/>
      <c r="H69" s="18"/>
      <c r="I69" s="18"/>
      <c r="K69" s="2"/>
    </row>
    <row r="70" spans="1:11" ht="12" thickBot="1" x14ac:dyDescent="0.25">
      <c r="A70" s="40"/>
      <c r="C70" s="31"/>
      <c r="D70" s="31"/>
      <c r="E70" s="31"/>
      <c r="F70" s="31"/>
      <c r="G70" s="18"/>
      <c r="H70" s="18"/>
      <c r="I70" s="18"/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92D050"/>
  </sheetPr>
  <dimension ref="A1:P71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  <col min="12" max="12" width="15.1640625" bestFit="1" customWidth="1"/>
  </cols>
  <sheetData>
    <row r="1" spans="1:16" x14ac:dyDescent="0.2">
      <c r="A1" s="8" t="str">
        <f>'1'!$A$1</f>
        <v>Texas Windstorm Insurance Association</v>
      </c>
      <c r="B1" s="12"/>
      <c r="J1" s="7" t="s">
        <v>82</v>
      </c>
      <c r="K1" s="1"/>
      <c r="N1" t="s">
        <v>526</v>
      </c>
      <c r="O1" t="s">
        <v>566</v>
      </c>
    </row>
    <row r="2" spans="1:16" x14ac:dyDescent="0.2">
      <c r="A2" s="8" t="str">
        <f>'1'!$A$2</f>
        <v>Commercial Property - Wind &amp; Hail</v>
      </c>
      <c r="B2" s="12"/>
      <c r="J2" s="7" t="s">
        <v>106</v>
      </c>
      <c r="K2" s="2"/>
      <c r="N2" t="s">
        <v>526</v>
      </c>
      <c r="O2" t="s">
        <v>573</v>
      </c>
    </row>
    <row r="3" spans="1:16" x14ac:dyDescent="0.2">
      <c r="A3" s="8" t="str">
        <f>'1'!$A$3</f>
        <v>Rate Level Review</v>
      </c>
      <c r="B3" s="12"/>
      <c r="K3" s="2"/>
      <c r="N3" t="s">
        <v>526</v>
      </c>
      <c r="O3" t="s">
        <v>576</v>
      </c>
    </row>
    <row r="4" spans="1:16" x14ac:dyDescent="0.2">
      <c r="A4" t="s">
        <v>223</v>
      </c>
      <c r="B4" s="12"/>
      <c r="K4" s="2"/>
    </row>
    <row r="5" spans="1:16" x14ac:dyDescent="0.2">
      <c r="A5" t="s">
        <v>366</v>
      </c>
      <c r="B5" s="12"/>
      <c r="K5" s="2"/>
    </row>
    <row r="6" spans="1:16" x14ac:dyDescent="0.2">
      <c r="K6" s="2"/>
      <c r="L6" t="s">
        <v>435</v>
      </c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K7" s="2"/>
      <c r="L7">
        <f>'1'!H15</f>
        <v>0.22</v>
      </c>
    </row>
    <row r="8" spans="1:16" ht="12" thickTop="1" x14ac:dyDescent="0.2">
      <c r="K8" s="2"/>
    </row>
    <row r="9" spans="1:16" x14ac:dyDescent="0.2">
      <c r="C9" s="12"/>
      <c r="D9" t="s">
        <v>94</v>
      </c>
      <c r="E9" t="s">
        <v>226</v>
      </c>
      <c r="F9" t="s">
        <v>94</v>
      </c>
      <c r="K9" s="2"/>
      <c r="L9" s="24"/>
    </row>
    <row r="10" spans="1:16" x14ac:dyDescent="0.2">
      <c r="A10" t="s">
        <v>224</v>
      </c>
      <c r="C10" t="s">
        <v>94</v>
      </c>
      <c r="D10" t="s">
        <v>95</v>
      </c>
      <c r="E10" t="s">
        <v>227</v>
      </c>
      <c r="F10" t="s">
        <v>228</v>
      </c>
      <c r="G10" t="s">
        <v>67</v>
      </c>
      <c r="H10" t="s">
        <v>67</v>
      </c>
      <c r="K10" s="2"/>
      <c r="L10" s="12"/>
    </row>
    <row r="11" spans="1:16" x14ac:dyDescent="0.2">
      <c r="A11" s="9" t="s">
        <v>27</v>
      </c>
      <c r="B11" s="9"/>
      <c r="C11" s="9" t="s">
        <v>95</v>
      </c>
      <c r="D11" s="9" t="s">
        <v>225</v>
      </c>
      <c r="E11" s="9" t="s">
        <v>104</v>
      </c>
      <c r="F11" s="9" t="s">
        <v>229</v>
      </c>
      <c r="G11" s="9" t="s">
        <v>34</v>
      </c>
      <c r="H11" s="9" t="s">
        <v>58</v>
      </c>
      <c r="K11" s="2"/>
      <c r="L11" s="36"/>
    </row>
    <row r="12" spans="1:16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6" x14ac:dyDescent="0.2">
      <c r="K13" s="2"/>
    </row>
    <row r="14" spans="1:16" x14ac:dyDescent="0.2">
      <c r="A14" s="61">
        <v>1983</v>
      </c>
      <c r="C14" s="113">
        <v>7250559</v>
      </c>
      <c r="D14" s="31">
        <v>7334192</v>
      </c>
      <c r="E14" s="103">
        <f>'6.4'!E14</f>
        <v>3.8293316891072973</v>
      </c>
      <c r="F14" s="26">
        <f>D14*$E$23</f>
        <v>20766670.665546965</v>
      </c>
      <c r="G14" s="113">
        <v>33451768</v>
      </c>
      <c r="H14" s="21">
        <f>ROUND(G14/F14,3)</f>
        <v>1.611</v>
      </c>
      <c r="I14" s="21"/>
      <c r="K14" s="2"/>
      <c r="L14" s="29"/>
    </row>
    <row r="15" spans="1:16" x14ac:dyDescent="0.2">
      <c r="A15" s="22">
        <f>A14+1</f>
        <v>1984</v>
      </c>
      <c r="C15" s="113">
        <v>6146403</v>
      </c>
      <c r="D15" s="31">
        <v>7090092</v>
      </c>
      <c r="E15" s="103">
        <f>'6.4'!E15</f>
        <v>3.5112843511426886</v>
      </c>
      <c r="F15" s="26">
        <f t="shared" ref="F15:F21" si="1">D15*$E$23</f>
        <v>20075504.643514816</v>
      </c>
      <c r="G15" s="113">
        <v>3096573</v>
      </c>
      <c r="H15" s="21">
        <f t="shared" ref="H15:H45" si="2">ROUND(G15/F15,3)</f>
        <v>0.154</v>
      </c>
      <c r="I15" s="21"/>
      <c r="K15" s="2"/>
    </row>
    <row r="16" spans="1:16" x14ac:dyDescent="0.2">
      <c r="A16" s="22">
        <f t="shared" ref="A16:A47" si="3">A15+1</f>
        <v>1985</v>
      </c>
      <c r="C16" s="113">
        <v>7715669</v>
      </c>
      <c r="D16" s="31">
        <v>8264972</v>
      </c>
      <c r="E16" s="103">
        <f>'6.4'!E16</f>
        <v>2.8789383840739684</v>
      </c>
      <c r="F16" s="26">
        <f t="shared" si="1"/>
        <v>23402162.30826341</v>
      </c>
      <c r="G16" s="113">
        <v>2019280</v>
      </c>
      <c r="H16" s="21">
        <f t="shared" si="2"/>
        <v>8.5999999999999993E-2</v>
      </c>
      <c r="I16" s="21"/>
      <c r="K16" s="2"/>
      <c r="O16" s="22"/>
      <c r="P16" s="29"/>
    </row>
    <row r="17" spans="1:16" x14ac:dyDescent="0.2">
      <c r="A17" s="22">
        <f t="shared" si="3"/>
        <v>1986</v>
      </c>
      <c r="C17" s="113">
        <v>11101057</v>
      </c>
      <c r="D17" s="31">
        <v>8943773</v>
      </c>
      <c r="E17" s="103">
        <f>'6.4'!E17</f>
        <v>2.0498785892003166</v>
      </c>
      <c r="F17" s="26">
        <f t="shared" si="1"/>
        <v>25324178.641411483</v>
      </c>
      <c r="G17" s="113">
        <v>3439343</v>
      </c>
      <c r="H17" s="21">
        <f t="shared" si="2"/>
        <v>0.13600000000000001</v>
      </c>
      <c r="I17" s="21"/>
      <c r="K17" s="2"/>
      <c r="O17" s="22"/>
      <c r="P17" s="29"/>
    </row>
    <row r="18" spans="1:16" x14ac:dyDescent="0.2">
      <c r="A18" s="22">
        <f t="shared" si="3"/>
        <v>1987</v>
      </c>
      <c r="C18" s="113">
        <v>19731857</v>
      </c>
      <c r="D18" s="31">
        <v>16746125</v>
      </c>
      <c r="E18" s="103">
        <f>'6.4'!E18</f>
        <v>1.9936436916734259</v>
      </c>
      <c r="F18" s="26">
        <f t="shared" si="1"/>
        <v>47416438.347821087</v>
      </c>
      <c r="G18" s="113">
        <v>1552595</v>
      </c>
      <c r="H18" s="21">
        <f t="shared" si="2"/>
        <v>3.3000000000000002E-2</v>
      </c>
      <c r="I18" s="21"/>
      <c r="K18" s="2"/>
      <c r="O18" s="22"/>
      <c r="P18" s="29"/>
    </row>
    <row r="19" spans="1:16" x14ac:dyDescent="0.2">
      <c r="A19" s="22">
        <f t="shared" si="3"/>
        <v>1988</v>
      </c>
      <c r="C19" s="113">
        <v>14491218</v>
      </c>
      <c r="D19" s="31">
        <v>13901265</v>
      </c>
      <c r="E19" s="103">
        <f>'6.4'!E19</f>
        <v>2.1473124836449715</v>
      </c>
      <c r="F19" s="26">
        <f t="shared" si="1"/>
        <v>39361253.712678194</v>
      </c>
      <c r="G19" s="113">
        <v>2041063</v>
      </c>
      <c r="H19" s="21">
        <f t="shared" si="2"/>
        <v>5.1999999999999998E-2</v>
      </c>
      <c r="I19" s="21"/>
      <c r="K19" s="2"/>
      <c r="O19" s="22"/>
      <c r="P19" s="29"/>
    </row>
    <row r="20" spans="1:16" x14ac:dyDescent="0.2">
      <c r="A20" s="22">
        <f t="shared" si="3"/>
        <v>1989</v>
      </c>
      <c r="C20" s="113">
        <v>14584082</v>
      </c>
      <c r="D20" s="31">
        <v>16324747</v>
      </c>
      <c r="E20" s="103">
        <f>'6.4'!E20</f>
        <v>2.385265617366465</v>
      </c>
      <c r="F20" s="26">
        <f t="shared" si="1"/>
        <v>46223311.940480396</v>
      </c>
      <c r="G20" s="113">
        <v>2746147</v>
      </c>
      <c r="H20" s="21">
        <f t="shared" si="2"/>
        <v>5.8999999999999997E-2</v>
      </c>
      <c r="I20" s="21"/>
      <c r="K20" s="2"/>
      <c r="O20" s="22"/>
      <c r="P20" s="29"/>
    </row>
    <row r="21" spans="1:16" x14ac:dyDescent="0.2">
      <c r="A21" s="22">
        <f t="shared" si="3"/>
        <v>1990</v>
      </c>
      <c r="C21" s="113">
        <v>12102427</v>
      </c>
      <c r="D21" s="31">
        <v>14172295</v>
      </c>
      <c r="E21" s="103">
        <f>'6.4'!E21</f>
        <v>2.5056768649457406</v>
      </c>
      <c r="F21" s="26">
        <f t="shared" si="1"/>
        <v>40128671.68462155</v>
      </c>
      <c r="G21" s="113">
        <v>2967816</v>
      </c>
      <c r="H21" s="21">
        <f t="shared" si="2"/>
        <v>7.3999999999999996E-2</v>
      </c>
      <c r="I21" s="21"/>
      <c r="K21" s="2"/>
      <c r="O21" s="22"/>
      <c r="P21" s="29"/>
    </row>
    <row r="22" spans="1:16" x14ac:dyDescent="0.2">
      <c r="A22" s="22">
        <f>A21+1</f>
        <v>1991</v>
      </c>
      <c r="C22" s="113">
        <v>13947169</v>
      </c>
      <c r="D22" s="31">
        <v>17133114</v>
      </c>
      <c r="E22" s="103">
        <f>'6.4'!E22</f>
        <v>2.4905762618235174</v>
      </c>
      <c r="F22" s="26">
        <f>D22*$E$23</f>
        <v>48512192.742332354</v>
      </c>
      <c r="G22" s="113">
        <v>2440246</v>
      </c>
      <c r="H22" s="21">
        <f t="shared" si="2"/>
        <v>0.05</v>
      </c>
      <c r="I22" s="21"/>
      <c r="K22" s="2"/>
      <c r="O22" s="22"/>
      <c r="P22" s="29"/>
    </row>
    <row r="23" spans="1:16" x14ac:dyDescent="0.2">
      <c r="A23" s="22">
        <f t="shared" si="3"/>
        <v>1992</v>
      </c>
      <c r="B23" s="12"/>
      <c r="C23" s="113">
        <v>15779782</v>
      </c>
      <c r="D23" s="31">
        <v>19121264</v>
      </c>
      <c r="E23" s="103">
        <f>'6.4'!E23</f>
        <v>2.8314871857113864</v>
      </c>
      <c r="F23" s="26">
        <f>D23*E23</f>
        <v>54141613.990604445</v>
      </c>
      <c r="G23" s="113">
        <v>2232412</v>
      </c>
      <c r="H23" s="21">
        <f t="shared" si="2"/>
        <v>4.1000000000000002E-2</v>
      </c>
      <c r="I23" s="21"/>
      <c r="K23" s="2"/>
      <c r="O23" s="22"/>
      <c r="P23" s="29"/>
    </row>
    <row r="24" spans="1:16" x14ac:dyDescent="0.2">
      <c r="A24" s="22">
        <f t="shared" si="3"/>
        <v>1993</v>
      </c>
      <c r="B24" s="12"/>
      <c r="C24" s="113">
        <v>13455788</v>
      </c>
      <c r="E24" s="103">
        <f>'6.4'!E24</f>
        <v>3.2531461484671529</v>
      </c>
      <c r="F24" s="26">
        <f>C24*E24</f>
        <v>43773644.906790532</v>
      </c>
      <c r="G24" s="113">
        <v>2357383</v>
      </c>
      <c r="H24" s="21">
        <f t="shared" si="2"/>
        <v>5.3999999999999999E-2</v>
      </c>
      <c r="I24" s="21"/>
      <c r="K24" s="2"/>
      <c r="O24" s="22"/>
      <c r="P24" s="29"/>
    </row>
    <row r="25" spans="1:16" x14ac:dyDescent="0.2">
      <c r="A25" s="22">
        <f t="shared" si="3"/>
        <v>1994</v>
      </c>
      <c r="B25" s="12"/>
      <c r="C25" s="113">
        <v>6449086</v>
      </c>
      <c r="D25" s="31"/>
      <c r="E25" s="103">
        <f>'6.4'!E25</f>
        <v>3.2531461484671529</v>
      </c>
      <c r="F25" s="26">
        <f t="shared" ref="F25:F49" si="4">C25*E25</f>
        <v>20979819.282033436</v>
      </c>
      <c r="G25" s="113">
        <v>1579205</v>
      </c>
      <c r="H25" s="21">
        <f t="shared" si="2"/>
        <v>7.4999999999999997E-2</v>
      </c>
      <c r="I25" s="21"/>
      <c r="K25" s="2"/>
      <c r="O25" s="22"/>
      <c r="P25" s="29"/>
    </row>
    <row r="26" spans="1:16" x14ac:dyDescent="0.2">
      <c r="A26" s="22">
        <f t="shared" si="3"/>
        <v>1995</v>
      </c>
      <c r="C26" s="113">
        <v>17734471</v>
      </c>
      <c r="D26" s="31"/>
      <c r="E26" s="103">
        <f>'6.4'!E26</f>
        <v>3.2531461484671529</v>
      </c>
      <c r="F26" s="26">
        <f t="shared" si="4"/>
        <v>57692826.028752416</v>
      </c>
      <c r="G26" s="113">
        <v>11314057</v>
      </c>
      <c r="H26" s="21">
        <f t="shared" si="2"/>
        <v>0.19600000000000001</v>
      </c>
      <c r="I26" s="21"/>
      <c r="K26" s="2"/>
      <c r="O26" s="22"/>
      <c r="P26" s="29"/>
    </row>
    <row r="27" spans="1:16" x14ac:dyDescent="0.2">
      <c r="A27" s="22">
        <f t="shared" si="3"/>
        <v>1996</v>
      </c>
      <c r="C27" s="113">
        <v>28876403</v>
      </c>
      <c r="E27" s="103">
        <f>'6.4'!E27</f>
        <v>3.2531461484671529</v>
      </c>
      <c r="F27" s="26">
        <f t="shared" si="4"/>
        <v>93939159.201035336</v>
      </c>
      <c r="G27" s="113">
        <v>5938855</v>
      </c>
      <c r="H27" s="21">
        <f t="shared" si="2"/>
        <v>6.3E-2</v>
      </c>
      <c r="I27" s="21"/>
      <c r="K27" s="2"/>
      <c r="O27" s="22"/>
      <c r="P27" s="29"/>
    </row>
    <row r="28" spans="1:16" x14ac:dyDescent="0.2">
      <c r="A28" s="22">
        <f t="shared" si="3"/>
        <v>1997</v>
      </c>
      <c r="C28" s="113">
        <v>27434262</v>
      </c>
      <c r="D28" s="31"/>
      <c r="E28" s="103">
        <f>'6.4'!E28</f>
        <v>3.2531461484671529</v>
      </c>
      <c r="F28" s="26">
        <f>C28*E28</f>
        <v>89247663.76133877</v>
      </c>
      <c r="G28" s="113">
        <v>7691121</v>
      </c>
      <c r="H28" s="21">
        <f t="shared" si="2"/>
        <v>8.5999999999999993E-2</v>
      </c>
      <c r="I28" s="21"/>
      <c r="K28" s="2"/>
      <c r="O28" s="22"/>
      <c r="P28" s="29"/>
    </row>
    <row r="29" spans="1:16" x14ac:dyDescent="0.2">
      <c r="A29" s="22">
        <f t="shared" si="3"/>
        <v>1998</v>
      </c>
      <c r="C29" s="113">
        <v>26616230</v>
      </c>
      <c r="D29" s="31"/>
      <c r="E29" s="103">
        <f>'6.4'!E29</f>
        <v>3.3026864451443179</v>
      </c>
      <c r="F29" s="26">
        <f t="shared" si="4"/>
        <v>87905062.041843548</v>
      </c>
      <c r="G29" s="113">
        <v>7574576</v>
      </c>
      <c r="H29" s="21">
        <f t="shared" si="2"/>
        <v>8.5999999999999993E-2</v>
      </c>
      <c r="I29" s="21"/>
      <c r="K29" s="2"/>
      <c r="O29" s="22"/>
      <c r="P29" s="29"/>
    </row>
    <row r="30" spans="1:16" x14ac:dyDescent="0.2">
      <c r="A30" s="22">
        <f t="shared" si="3"/>
        <v>1999</v>
      </c>
      <c r="C30" s="113">
        <v>23901401</v>
      </c>
      <c r="D30" s="31"/>
      <c r="E30" s="103">
        <f>'6.4'!E30</f>
        <v>3.3537589159455186</v>
      </c>
      <c r="F30" s="26">
        <f t="shared" si="4"/>
        <v>80159536.707339138</v>
      </c>
      <c r="G30" s="113">
        <v>6821707</v>
      </c>
      <c r="H30" s="21">
        <f t="shared" si="2"/>
        <v>8.5000000000000006E-2</v>
      </c>
      <c r="I30" s="21"/>
      <c r="K30" s="2"/>
      <c r="O30" s="22"/>
      <c r="P30" s="29"/>
    </row>
    <row r="31" spans="1:16" x14ac:dyDescent="0.2">
      <c r="A31" s="22">
        <f t="shared" si="3"/>
        <v>2000</v>
      </c>
      <c r="C31" s="113">
        <v>19819200</v>
      </c>
      <c r="D31" s="31"/>
      <c r="E31" s="103">
        <f>'6.4'!E31</f>
        <v>3.209338675545951</v>
      </c>
      <c r="F31" s="26">
        <f t="shared" si="4"/>
        <v>63606525.078380309</v>
      </c>
      <c r="G31" s="113">
        <v>35670537</v>
      </c>
      <c r="H31" s="21">
        <f t="shared" si="2"/>
        <v>0.56100000000000005</v>
      </c>
      <c r="I31" s="21"/>
      <c r="K31" s="2"/>
      <c r="L31" t="s">
        <v>230</v>
      </c>
      <c r="O31" s="22"/>
      <c r="P31" s="29"/>
    </row>
    <row r="32" spans="1:16" x14ac:dyDescent="0.2">
      <c r="A32" s="22">
        <f t="shared" si="3"/>
        <v>2001</v>
      </c>
      <c r="C32" s="113">
        <v>21641352</v>
      </c>
      <c r="D32" s="31"/>
      <c r="E32" s="103">
        <f>'6.4'!E32</f>
        <v>3.0165127864233838</v>
      </c>
      <c r="F32" s="26">
        <f t="shared" si="4"/>
        <v>65281415.023489274</v>
      </c>
      <c r="G32" s="113">
        <v>17852673</v>
      </c>
      <c r="H32" s="21">
        <f t="shared" si="2"/>
        <v>0.27300000000000002</v>
      </c>
      <c r="I32" s="21"/>
      <c r="K32" s="2"/>
      <c r="L32" s="69">
        <f>[4]ISO!$R$47</f>
        <v>8.0082193333465487E-3</v>
      </c>
      <c r="N32" s="50"/>
      <c r="O32" s="22"/>
      <c r="P32" s="29"/>
    </row>
    <row r="33" spans="1:16" x14ac:dyDescent="0.2">
      <c r="A33" s="22">
        <f t="shared" si="3"/>
        <v>2002</v>
      </c>
      <c r="C33" s="113">
        <v>31941586</v>
      </c>
      <c r="D33" s="31"/>
      <c r="E33" s="103">
        <f>'6.4'!E33</f>
        <v>2.8863443172156207</v>
      </c>
      <c r="F33" s="26">
        <f t="shared" si="4"/>
        <v>92194415.233954027</v>
      </c>
      <c r="G33" s="113">
        <v>8461924</v>
      </c>
      <c r="H33" s="21">
        <f t="shared" si="2"/>
        <v>9.1999999999999998E-2</v>
      </c>
      <c r="I33" s="21"/>
      <c r="K33" s="2"/>
      <c r="N33" s="58"/>
      <c r="O33" s="22"/>
      <c r="P33" s="29"/>
    </row>
    <row r="34" spans="1:16" x14ac:dyDescent="0.2">
      <c r="A34" s="22">
        <f t="shared" si="3"/>
        <v>2003</v>
      </c>
      <c r="C34" s="113">
        <v>35755041</v>
      </c>
      <c r="D34" s="31"/>
      <c r="E34" s="103">
        <f>'6.4'!E34</f>
        <v>2.5614743940658102</v>
      </c>
      <c r="F34" s="26">
        <f t="shared" si="4"/>
        <v>91585621.980273202</v>
      </c>
      <c r="G34" s="113">
        <v>28411179</v>
      </c>
      <c r="H34" s="21">
        <f t="shared" si="2"/>
        <v>0.31</v>
      </c>
      <c r="I34" s="21"/>
      <c r="K34" s="2"/>
      <c r="N34" s="50"/>
      <c r="O34" s="22"/>
      <c r="P34" s="29"/>
    </row>
    <row r="35" spans="1:16" x14ac:dyDescent="0.2">
      <c r="A35" s="22">
        <f t="shared" si="3"/>
        <v>2004</v>
      </c>
      <c r="B35" s="22"/>
      <c r="C35" s="113">
        <v>54522810</v>
      </c>
      <c r="D35" s="41"/>
      <c r="E35" s="103">
        <f>'6.4'!E35</f>
        <v>2.4481743926950581</v>
      </c>
      <c r="F35" s="26">
        <f t="shared" si="4"/>
        <v>133481347.25977804</v>
      </c>
      <c r="G35" s="113">
        <v>3982223</v>
      </c>
      <c r="H35" s="21">
        <f t="shared" si="2"/>
        <v>0.03</v>
      </c>
      <c r="I35" s="21"/>
      <c r="K35" s="2"/>
      <c r="O35" s="22"/>
      <c r="P35" s="29"/>
    </row>
    <row r="36" spans="1:16" x14ac:dyDescent="0.2">
      <c r="A36" s="22">
        <f t="shared" si="3"/>
        <v>2005</v>
      </c>
      <c r="C36" s="113">
        <v>55697704</v>
      </c>
      <c r="E36" s="103">
        <f>'6.4'!E36</f>
        <v>2.2196457159722462</v>
      </c>
      <c r="F36" s="26">
        <f t="shared" si="4"/>
        <v>123629170.07309024</v>
      </c>
      <c r="G36" s="113">
        <v>59821556</v>
      </c>
      <c r="H36" s="21">
        <f t="shared" si="2"/>
        <v>0.48399999999999999</v>
      </c>
      <c r="I36" s="21"/>
      <c r="K36" s="2"/>
      <c r="O36" s="22"/>
      <c r="P36" s="29"/>
    </row>
    <row r="37" spans="1:16" x14ac:dyDescent="0.2">
      <c r="A37" s="22">
        <f t="shared" si="3"/>
        <v>2006</v>
      </c>
      <c r="C37" s="113">
        <v>61057252</v>
      </c>
      <c r="E37" s="103">
        <f>'6.4'!E37</f>
        <v>2.0368887779518374</v>
      </c>
      <c r="F37" s="26">
        <f t="shared" si="4"/>
        <v>124366831.41137739</v>
      </c>
      <c r="G37" s="113">
        <v>6946289</v>
      </c>
      <c r="H37" s="21">
        <f t="shared" si="2"/>
        <v>5.6000000000000001E-2</v>
      </c>
      <c r="I37" s="21"/>
      <c r="K37" s="2"/>
      <c r="O37" s="22"/>
      <c r="P37" s="29"/>
    </row>
    <row r="38" spans="1:16" x14ac:dyDescent="0.2">
      <c r="A38" s="22">
        <f t="shared" si="3"/>
        <v>2007</v>
      </c>
      <c r="C38" s="113">
        <v>61608161</v>
      </c>
      <c r="E38" s="103">
        <f>'6.4'!E38</f>
        <v>1.8570470989540071</v>
      </c>
      <c r="F38" s="26">
        <f t="shared" si="4"/>
        <v>114409256.6569414</v>
      </c>
      <c r="G38" s="113">
        <v>10794322</v>
      </c>
      <c r="H38" s="21">
        <f t="shared" si="2"/>
        <v>9.4E-2</v>
      </c>
      <c r="I38" s="21"/>
      <c r="K38" s="2"/>
      <c r="N38" s="50"/>
      <c r="O38" s="22"/>
      <c r="P38" s="29"/>
    </row>
    <row r="39" spans="1:16" x14ac:dyDescent="0.2">
      <c r="A39" s="22">
        <f t="shared" si="3"/>
        <v>2008</v>
      </c>
      <c r="C39" s="113">
        <v>58154456</v>
      </c>
      <c r="E39" s="103">
        <f>'6.4'!E39</f>
        <v>1.7641482522914027</v>
      </c>
      <c r="F39" s="26">
        <f t="shared" si="4"/>
        <v>102593081.91535728</v>
      </c>
      <c r="G39" s="113">
        <v>477796637</v>
      </c>
      <c r="H39" s="21">
        <f t="shared" si="2"/>
        <v>4.657</v>
      </c>
      <c r="I39" s="21"/>
      <c r="K39" s="2"/>
      <c r="O39" s="22"/>
      <c r="P39" s="29"/>
    </row>
    <row r="40" spans="1:16" x14ac:dyDescent="0.2">
      <c r="A40" s="22">
        <f t="shared" si="3"/>
        <v>2009</v>
      </c>
      <c r="C40" s="113">
        <v>62172956</v>
      </c>
      <c r="E40" s="103">
        <f>'6.4'!E40</f>
        <v>1.5997647448930246</v>
      </c>
      <c r="F40" s="26">
        <f t="shared" si="4"/>
        <v>99462103.09458524</v>
      </c>
      <c r="G40" s="113">
        <v>9127735</v>
      </c>
      <c r="H40" s="21">
        <f t="shared" si="2"/>
        <v>9.1999999999999998E-2</v>
      </c>
      <c r="I40" s="21"/>
      <c r="K40" s="2"/>
      <c r="N40" s="50"/>
      <c r="O40" s="22"/>
      <c r="P40" s="29"/>
    </row>
    <row r="41" spans="1:16" x14ac:dyDescent="0.2">
      <c r="A41" s="22">
        <f t="shared" si="3"/>
        <v>2010</v>
      </c>
      <c r="C41" s="113">
        <v>70966450</v>
      </c>
      <c r="D41" s="31"/>
      <c r="E41" s="103">
        <f>'6.4'!E41</f>
        <v>1.4780006228698501</v>
      </c>
      <c r="F41" s="26">
        <f t="shared" si="4"/>
        <v>104888457.30286208</v>
      </c>
      <c r="G41" s="113">
        <v>3378802</v>
      </c>
      <c r="H41" s="21">
        <f t="shared" si="2"/>
        <v>3.2000000000000001E-2</v>
      </c>
      <c r="I41" s="21"/>
      <c r="K41" s="2"/>
      <c r="O41" s="22"/>
      <c r="P41" s="29"/>
    </row>
    <row r="42" spans="1:16" x14ac:dyDescent="0.2">
      <c r="A42" s="22">
        <f t="shared" si="3"/>
        <v>2011</v>
      </c>
      <c r="C42" s="113">
        <v>71822950</v>
      </c>
      <c r="D42" s="31"/>
      <c r="E42" s="103">
        <f>'6.4'!E42</f>
        <v>1.443031610091043</v>
      </c>
      <c r="F42" s="26">
        <f>C42*E42</f>
        <v>103642787.17998847</v>
      </c>
      <c r="G42" s="113">
        <v>19035462</v>
      </c>
      <c r="H42" s="21">
        <f>ROUND(G42/F42,3)</f>
        <v>0.184</v>
      </c>
      <c r="I42" s="21"/>
      <c r="K42" s="2"/>
      <c r="O42" s="22"/>
      <c r="P42" s="29"/>
    </row>
    <row r="43" spans="1:16" ht="10.5" customHeight="1" x14ac:dyDescent="0.2">
      <c r="A43" s="22">
        <f t="shared" si="3"/>
        <v>2012</v>
      </c>
      <c r="C43" s="113">
        <v>79268241</v>
      </c>
      <c r="D43" s="31"/>
      <c r="E43" s="103">
        <f>'6.4'!E43</f>
        <v>1.3723433115836108</v>
      </c>
      <c r="F43" s="26">
        <f>C43*E43</f>
        <v>108783240.35734776</v>
      </c>
      <c r="G43" s="113">
        <v>10920914</v>
      </c>
      <c r="H43" s="37">
        <f t="shared" si="2"/>
        <v>0.1</v>
      </c>
      <c r="I43" s="21"/>
      <c r="K43" s="2"/>
      <c r="O43" s="22"/>
      <c r="P43" s="29"/>
    </row>
    <row r="44" spans="1:16" x14ac:dyDescent="0.2">
      <c r="A44" s="22">
        <f t="shared" si="3"/>
        <v>2013</v>
      </c>
      <c r="C44" s="60">
        <f>[4]ISO!R34</f>
        <v>87594841</v>
      </c>
      <c r="D44" s="31"/>
      <c r="E44" s="103">
        <f>'6.4'!E44</f>
        <v>1.3075797103216005</v>
      </c>
      <c r="F44" s="26">
        <f>C44*E44</f>
        <v>114537236.82044666</v>
      </c>
      <c r="G44" s="60">
        <f>[4]ISO!W34</f>
        <v>7837537</v>
      </c>
      <c r="H44" s="37">
        <f t="shared" si="2"/>
        <v>6.8000000000000005E-2</v>
      </c>
      <c r="I44" s="21"/>
      <c r="K44" s="2"/>
      <c r="O44" s="22"/>
      <c r="P44" s="29"/>
    </row>
    <row r="45" spans="1:16" x14ac:dyDescent="0.2">
      <c r="A45" s="22">
        <f t="shared" si="3"/>
        <v>2014</v>
      </c>
      <c r="C45" s="60">
        <f>[4]ISO!R35</f>
        <v>102019858</v>
      </c>
      <c r="D45" s="31"/>
      <c r="E45" s="103">
        <f>'6.4'!E45</f>
        <v>1.2467307484438648</v>
      </c>
      <c r="F45" s="26">
        <f>C45*E45</f>
        <v>127191293.92047681</v>
      </c>
      <c r="G45" s="60">
        <f>[4]ISO!W35</f>
        <v>5452840</v>
      </c>
      <c r="H45" s="37">
        <f t="shared" si="2"/>
        <v>4.2999999999999997E-2</v>
      </c>
      <c r="I45" s="21"/>
      <c r="K45" s="2"/>
      <c r="L45" t="s">
        <v>234</v>
      </c>
      <c r="M45" t="s">
        <v>235</v>
      </c>
      <c r="O45" s="22"/>
      <c r="P45" s="29"/>
    </row>
    <row r="46" spans="1:16" x14ac:dyDescent="0.2">
      <c r="A46" s="22">
        <f t="shared" si="3"/>
        <v>2015</v>
      </c>
      <c r="C46" s="60">
        <f>[4]ISO!R36</f>
        <v>103198554</v>
      </c>
      <c r="D46" s="31"/>
      <c r="E46" s="103">
        <f>'6.4'!E46</f>
        <v>1.1863253854339257</v>
      </c>
      <c r="F46" s="26">
        <f>C46*E46</f>
        <v>122427064.3502738</v>
      </c>
      <c r="G46" s="60">
        <f>[4]ISO!W36</f>
        <v>16625378</v>
      </c>
      <c r="H46" s="37">
        <f t="shared" ref="H46:H51" si="5">ROUND(G46/F46,3)</f>
        <v>0.13600000000000001</v>
      </c>
      <c r="I46" s="21"/>
      <c r="K46" s="2"/>
      <c r="O46" s="22"/>
      <c r="P46" s="29"/>
    </row>
    <row r="47" spans="1:16" x14ac:dyDescent="0.2">
      <c r="A47" s="22">
        <f t="shared" si="3"/>
        <v>2016</v>
      </c>
      <c r="C47" s="60">
        <f>[4]ISO!R37</f>
        <v>96191345</v>
      </c>
      <c r="D47" s="31"/>
      <c r="E47" s="103">
        <f>'6.4'!E47</f>
        <v>1.1296863217775748</v>
      </c>
      <c r="F47" s="26">
        <f t="shared" si="4"/>
        <v>108666046.7198877</v>
      </c>
      <c r="G47" s="60">
        <f>[4]ISO!W37</f>
        <v>33773939</v>
      </c>
      <c r="H47" s="37">
        <f t="shared" si="5"/>
        <v>0.311</v>
      </c>
      <c r="I47" s="21"/>
      <c r="K47" s="2"/>
      <c r="L47" s="36">
        <f>'6.4'!L48</f>
        <v>34607</v>
      </c>
      <c r="M47" s="36">
        <f>'6.4'!M48</f>
        <v>36525</v>
      </c>
      <c r="N47" t="s">
        <v>236</v>
      </c>
      <c r="O47" s="22"/>
      <c r="P47" s="29"/>
    </row>
    <row r="48" spans="1:16" x14ac:dyDescent="0.2">
      <c r="A48" s="22">
        <v>2017</v>
      </c>
      <c r="C48" s="60">
        <f>[4]ISO!R38</f>
        <v>87938738</v>
      </c>
      <c r="D48" s="18"/>
      <c r="E48" s="103">
        <f>'6.4'!E48</f>
        <v>1.102499999999994</v>
      </c>
      <c r="F48" s="26">
        <f t="shared" si="4"/>
        <v>96952458.644999474</v>
      </c>
      <c r="G48" s="60">
        <f>[4]ISO!W38</f>
        <v>121189793</v>
      </c>
      <c r="H48" s="37">
        <f>ROUND(G48/F48,3)</f>
        <v>1.25</v>
      </c>
      <c r="I48" s="21"/>
      <c r="K48" s="2"/>
      <c r="L48" s="36">
        <f>'6.4'!L50</f>
        <v>44926</v>
      </c>
      <c r="M48" s="36">
        <f>'6.4'!M50</f>
        <v>44926</v>
      </c>
      <c r="N48" t="s">
        <v>237</v>
      </c>
      <c r="O48" s="22"/>
      <c r="P48" s="29"/>
    </row>
    <row r="49" spans="1:16" x14ac:dyDescent="0.2">
      <c r="A49" s="22">
        <v>2018</v>
      </c>
      <c r="C49" s="60">
        <f>[4]ISO!R39</f>
        <v>89932098</v>
      </c>
      <c r="E49" s="103">
        <f>'6.4'!E49</f>
        <v>1.0755512293710299</v>
      </c>
      <c r="F49" s="26">
        <f t="shared" si="4"/>
        <v>96726578.563815936</v>
      </c>
      <c r="G49" s="60">
        <f>[4]ISO!W39</f>
        <v>14008395</v>
      </c>
      <c r="H49" s="37">
        <f t="shared" si="5"/>
        <v>0.14499999999999999</v>
      </c>
      <c r="I49" s="21"/>
      <c r="K49" s="2"/>
      <c r="O49" s="22"/>
      <c r="P49" s="29"/>
    </row>
    <row r="50" spans="1:16" x14ac:dyDescent="0.2">
      <c r="A50" s="22">
        <v>2019</v>
      </c>
      <c r="C50" s="60">
        <f>[4]ISO!R40</f>
        <v>89510956</v>
      </c>
      <c r="E50" s="103">
        <f>'6.4'!E50</f>
        <v>1.049999999999998</v>
      </c>
      <c r="F50" s="26">
        <f>C50*E50</f>
        <v>93986503.799999818</v>
      </c>
      <c r="G50" s="60">
        <f>[4]ISO!W40</f>
        <v>16313767</v>
      </c>
      <c r="H50" s="37">
        <f t="shared" si="5"/>
        <v>0.17399999999999999</v>
      </c>
      <c r="I50" s="21"/>
      <c r="K50" s="2"/>
      <c r="O50" s="22"/>
      <c r="P50" s="29"/>
    </row>
    <row r="51" spans="1:16" x14ac:dyDescent="0.2">
      <c r="A51" s="22">
        <v>2020</v>
      </c>
      <c r="C51" s="60">
        <f>[4]ISO!R41</f>
        <v>92312905</v>
      </c>
      <c r="E51" s="103">
        <f>'6.4'!E51</f>
        <v>1.0499999999999974</v>
      </c>
      <c r="F51" s="26">
        <f>C51*E51</f>
        <v>96928550.249999762</v>
      </c>
      <c r="G51" s="60">
        <f>[4]ISO!W41</f>
        <v>20497133</v>
      </c>
      <c r="H51" s="37">
        <f t="shared" si="5"/>
        <v>0.21099999999999999</v>
      </c>
      <c r="I51" s="21"/>
      <c r="K51" s="2"/>
      <c r="O51" s="22"/>
      <c r="P51" s="29"/>
    </row>
    <row r="52" spans="1:16" x14ac:dyDescent="0.2">
      <c r="A52" s="22">
        <v>2021</v>
      </c>
      <c r="C52" s="60">
        <f>[4]ISO!R42</f>
        <v>97515903</v>
      </c>
      <c r="E52" s="103">
        <f>'6.4'!E52</f>
        <v>1.0499999999999987</v>
      </c>
      <c r="F52" s="26">
        <f>C52*E52</f>
        <v>102391698.14999987</v>
      </c>
      <c r="G52" s="60">
        <f>[4]ISO!W42</f>
        <v>23461302</v>
      </c>
      <c r="H52" s="37">
        <f>ROUND(G52/F52,3)</f>
        <v>0.22900000000000001</v>
      </c>
      <c r="I52" s="21"/>
      <c r="K52" s="2"/>
      <c r="O52" s="22"/>
      <c r="P52" s="29"/>
    </row>
    <row r="53" spans="1:16" x14ac:dyDescent="0.2">
      <c r="A53" s="22">
        <v>2022</v>
      </c>
      <c r="C53" s="60">
        <f>[4]ISO!R43</f>
        <v>99780745</v>
      </c>
      <c r="E53" s="103">
        <f>'6.4'!E53</f>
        <v>1.0224475776595707</v>
      </c>
      <c r="F53" s="26">
        <f>C53*E53</f>
        <v>102020581.02231732</v>
      </c>
      <c r="G53" s="60">
        <f>[4]ISO!W43</f>
        <v>9985883</v>
      </c>
      <c r="H53" s="37">
        <f>ROUND(G53/F53,3)</f>
        <v>9.8000000000000004E-2</v>
      </c>
      <c r="I53" s="21"/>
      <c r="K53" s="2"/>
      <c r="O53" s="22"/>
      <c r="P53" s="29"/>
    </row>
    <row r="54" spans="1:16" x14ac:dyDescent="0.2">
      <c r="A54" s="243"/>
      <c r="B54" s="243"/>
      <c r="C54" s="243"/>
      <c r="D54" s="243"/>
      <c r="E54" s="243"/>
      <c r="F54" s="243"/>
      <c r="G54" s="243"/>
      <c r="H54" s="243"/>
      <c r="K54" s="2"/>
      <c r="O54" s="22"/>
      <c r="P54" s="29"/>
    </row>
    <row r="55" spans="1:16" x14ac:dyDescent="0.2">
      <c r="A55" t="s">
        <v>8</v>
      </c>
      <c r="C55" s="46">
        <f>SUM(C14:C53)</f>
        <v>1897741966</v>
      </c>
      <c r="D55" s="46"/>
      <c r="E55" s="21"/>
      <c r="F55" s="46">
        <f>SUM(F14:F53)</f>
        <v>3228801975.41605</v>
      </c>
      <c r="G55" s="46">
        <f>SUM(G14:G53)</f>
        <v>1060610367</v>
      </c>
      <c r="H55" s="21">
        <f>ROUND(G55/F55,3)</f>
        <v>0.32800000000000001</v>
      </c>
      <c r="K55" s="2"/>
    </row>
    <row r="56" spans="1:16" ht="12" thickBot="1" x14ac:dyDescent="0.25">
      <c r="A56" s="6"/>
      <c r="B56" s="6"/>
      <c r="C56" s="6"/>
      <c r="D56" s="6"/>
      <c r="E56" s="6"/>
      <c r="F56" s="6"/>
      <c r="G56" s="6"/>
      <c r="H56" s="6"/>
      <c r="K56" s="2"/>
    </row>
    <row r="57" spans="1:16" ht="12" thickTop="1" x14ac:dyDescent="0.2">
      <c r="K57" s="2"/>
    </row>
    <row r="58" spans="1:16" x14ac:dyDescent="0.2">
      <c r="A58" t="s">
        <v>18</v>
      </c>
      <c r="K58" s="2"/>
    </row>
    <row r="59" spans="1:16" x14ac:dyDescent="0.2">
      <c r="B59" s="12" t="str">
        <f>C12&amp;" Provided by TDI. "&amp;A14&amp;" - "&amp;A26&amp;" are year ending "&amp;TEXT($L$47,"m/d/xx")&amp;" as of "&amp;TEXT($M$47,"m/d/yy")&amp;"; "&amp;A27&amp;" - "&amp;A53&amp;" are year ending "&amp;TEXT($L$48,"m/d/xx")&amp;" as of "&amp;TEXT($M$48,"m/d/yy")</f>
        <v>(2) Provided by TDI. 1983 - 1995 are year ending 9/30/xx as of 12/31/99; 1996 - 2022 are year ending 12/31/xx as of 12/31/22</v>
      </c>
      <c r="K59" s="2"/>
    </row>
    <row r="60" spans="1:16" x14ac:dyDescent="0.2">
      <c r="B60" s="12" t="str">
        <f>D12&amp;" Provided by TDI (1992 MR = 1992 manual rates)"</f>
        <v>(3) Provided by TDI (1992 MR = 1992 manual rates)</v>
      </c>
      <c r="C60" s="12"/>
      <c r="K60" s="2"/>
    </row>
    <row r="61" spans="1:16" x14ac:dyDescent="0.2">
      <c r="B61" s="12" t="str">
        <f>'6.4'!B61</f>
        <v>(4) Represents 8/1/80 through 6/30/22 rate changes for TWIA; factors assume uniform earning of written premium</v>
      </c>
      <c r="K61" s="2"/>
    </row>
    <row r="62" spans="1:16" x14ac:dyDescent="0.2">
      <c r="B62" s="12" t="str">
        <f>"      and that TWIA premium represents "&amp;TEXT(L32,"0.0%")&amp;" of industry data in "&amp;LEFT(A5,FIND("(",A5)-2)</f>
        <v xml:space="preserve">      and that TWIA premium represents 0.8% of industry data in Tier 2</v>
      </c>
      <c r="K62" s="2"/>
    </row>
    <row r="63" spans="1:16" x14ac:dyDescent="0.2">
      <c r="B63" s="12" t="str">
        <f>F12&amp;" = "&amp;D12&amp;" * "&amp;E12&amp;" for "&amp;A14&amp;" - "&amp;A23&amp;"; "&amp;C12&amp;" * "&amp;E12&amp;" for "&amp;A24&amp;" - "&amp;YEAR(M48)</f>
        <v>(5) = (3) * (4) for 1983 - 1992; (2) * (4) for 1993 - 2022</v>
      </c>
      <c r="K63" s="2"/>
    </row>
    <row r="64" spans="1:16" x14ac:dyDescent="0.2">
      <c r="B64" s="12" t="str">
        <f>'6.5'!B64</f>
        <v>(6) Provided by TDI. 1983 - 1995 are year ending 9/30/xx as of 12/31/99; 1996 - 2011 are year ending 12/31/xx as of 12/31/19</v>
      </c>
      <c r="D64" s="41"/>
      <c r="E64" s="41"/>
      <c r="F64" s="41"/>
      <c r="G64" s="21"/>
      <c r="I64" s="19"/>
      <c r="K64" s="2"/>
    </row>
    <row r="65" spans="1:11" x14ac:dyDescent="0.2">
      <c r="B65" s="12" t="str">
        <f>'6.5'!B65</f>
        <v xml:space="preserve">    2012 - 2022 are year ending 12/31/xx as of 12/31/2022</v>
      </c>
      <c r="I65" s="19"/>
      <c r="K65" s="2"/>
    </row>
    <row r="66" spans="1:11" x14ac:dyDescent="0.2">
      <c r="B66" s="12" t="str">
        <f>'6.5'!B66</f>
        <v>(7) = (6) / (5)</v>
      </c>
      <c r="I66" s="19"/>
      <c r="K66" s="2"/>
    </row>
    <row r="67" spans="1:11" x14ac:dyDescent="0.2">
      <c r="A67" s="40"/>
      <c r="C67" s="18"/>
      <c r="D67" s="18"/>
      <c r="E67" s="19"/>
      <c r="F67" s="19"/>
      <c r="G67" s="19"/>
      <c r="H67" s="19"/>
      <c r="I67" s="19"/>
      <c r="K67" s="2"/>
    </row>
    <row r="68" spans="1:11" x14ac:dyDescent="0.2">
      <c r="A68" s="40"/>
      <c r="C68" s="18"/>
      <c r="D68" s="18"/>
      <c r="E68" s="19"/>
      <c r="F68" s="19"/>
      <c r="G68" s="19"/>
      <c r="H68" s="19"/>
      <c r="K68" s="2"/>
    </row>
    <row r="69" spans="1:11" x14ac:dyDescent="0.2">
      <c r="A69" s="40"/>
      <c r="C69" s="18"/>
      <c r="D69" s="18"/>
      <c r="E69" s="19"/>
      <c r="F69" s="19"/>
      <c r="G69" s="19"/>
      <c r="H69" s="19"/>
      <c r="K69" s="2"/>
    </row>
    <row r="70" spans="1:11" ht="12" thickBot="1" x14ac:dyDescent="0.25">
      <c r="A70" s="40"/>
      <c r="C70" s="18"/>
      <c r="D70" s="19"/>
      <c r="E70" s="19"/>
      <c r="F70" s="19"/>
      <c r="G70" s="19"/>
      <c r="H70" s="19"/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tabColor rgb="FF92D050"/>
  </sheetPr>
  <dimension ref="A1:O69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20.5" customWidth="1"/>
    <col min="5" max="5" width="15.33203125" customWidth="1"/>
    <col min="6" max="9" width="11.33203125" customWidth="1"/>
    <col min="10" max="10" width="5.1640625" customWidth="1"/>
    <col min="12" max="12" width="1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360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606</v>
      </c>
      <c r="B4" s="12"/>
      <c r="K4" s="2"/>
    </row>
    <row r="5" spans="1:12" x14ac:dyDescent="0.2"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36" t="s">
        <v>109</v>
      </c>
      <c r="K9" s="2"/>
      <c r="L9" s="24"/>
    </row>
    <row r="10" spans="1:12" x14ac:dyDescent="0.2">
      <c r="C10" t="s">
        <v>110</v>
      </c>
      <c r="D10" s="11" t="s">
        <v>111</v>
      </c>
      <c r="E10" t="s">
        <v>114</v>
      </c>
      <c r="K10" s="2"/>
      <c r="L10" s="12" t="s">
        <v>131</v>
      </c>
    </row>
    <row r="11" spans="1:12" x14ac:dyDescent="0.2">
      <c r="A11" s="9" t="s">
        <v>108</v>
      </c>
      <c r="B11" s="9"/>
      <c r="C11" s="9" t="str">
        <f>"as of "&amp;TEXT($L$11,"m/d/yy")</f>
        <v>as of 11/30/22</v>
      </c>
      <c r="D11" s="178" t="s">
        <v>112</v>
      </c>
      <c r="E11" s="9" t="s">
        <v>113</v>
      </c>
      <c r="K11" s="2"/>
      <c r="L11" s="263">
        <f>'7.2'!L11</f>
        <v>44895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116</v>
      </c>
      <c r="C14" s="18">
        <f>'8.1'!C14</f>
        <v>334112</v>
      </c>
      <c r="D14" s="189">
        <f>'8.1'!E14</f>
        <v>3.972</v>
      </c>
      <c r="E14" s="26">
        <f t="shared" ref="E14:E27" si="0">ROUND(C14*D14,0)</f>
        <v>1327093</v>
      </c>
      <c r="K14" s="2"/>
    </row>
    <row r="15" spans="1:12" x14ac:dyDescent="0.2">
      <c r="A15" t="s">
        <v>117</v>
      </c>
      <c r="C15" s="18">
        <f>'8.1'!C15</f>
        <v>460868</v>
      </c>
      <c r="D15" s="189">
        <f>'8.1'!E15</f>
        <v>3.56</v>
      </c>
      <c r="E15" s="26">
        <f t="shared" si="0"/>
        <v>1640690</v>
      </c>
      <c r="K15" s="2"/>
    </row>
    <row r="16" spans="1:12" x14ac:dyDescent="0.2">
      <c r="A16" t="s">
        <v>118</v>
      </c>
      <c r="C16" s="18">
        <f>'8.1'!C16</f>
        <v>131888</v>
      </c>
      <c r="D16" s="189">
        <f>'8.1'!E16</f>
        <v>4.2320000000000002</v>
      </c>
      <c r="E16" s="26">
        <f>ROUND(C16*D16,0)</f>
        <v>558150</v>
      </c>
      <c r="K16" s="2"/>
    </row>
    <row r="17" spans="1:15" x14ac:dyDescent="0.2">
      <c r="A17" t="s">
        <v>119</v>
      </c>
      <c r="C17" s="18">
        <f>'8.1'!C17</f>
        <v>1232168</v>
      </c>
      <c r="D17" s="189">
        <f>'8.1'!E17</f>
        <v>4.3319999999999999</v>
      </c>
      <c r="E17" s="26">
        <f t="shared" si="0"/>
        <v>5337752</v>
      </c>
      <c r="K17" s="2"/>
    </row>
    <row r="18" spans="1:15" x14ac:dyDescent="0.2">
      <c r="A18" t="s">
        <v>120</v>
      </c>
      <c r="C18" s="18">
        <f>'8.1'!C18</f>
        <v>66075</v>
      </c>
      <c r="D18" s="189">
        <f>'8.1'!E18</f>
        <v>3.101</v>
      </c>
      <c r="E18" s="26">
        <f t="shared" si="0"/>
        <v>204899</v>
      </c>
      <c r="K18" s="2"/>
    </row>
    <row r="19" spans="1:15" x14ac:dyDescent="0.2">
      <c r="A19" t="s">
        <v>121</v>
      </c>
      <c r="C19" s="18">
        <f>'8.1'!C19</f>
        <v>3140711</v>
      </c>
      <c r="D19" s="189">
        <f>'8.1'!E19</f>
        <v>9.69</v>
      </c>
      <c r="E19" s="26">
        <f t="shared" si="0"/>
        <v>30433490</v>
      </c>
      <c r="K19" s="2"/>
    </row>
    <row r="20" spans="1:15" x14ac:dyDescent="0.2">
      <c r="A20" t="s">
        <v>122</v>
      </c>
      <c r="C20" s="18">
        <f>'8.1'!C20</f>
        <v>123247</v>
      </c>
      <c r="D20" s="189">
        <f>'8.1'!E20</f>
        <v>4.319</v>
      </c>
      <c r="E20" s="26">
        <f t="shared" si="0"/>
        <v>532304</v>
      </c>
      <c r="K20" s="2"/>
    </row>
    <row r="21" spans="1:15" x14ac:dyDescent="0.2">
      <c r="A21" t="s">
        <v>123</v>
      </c>
      <c r="C21" s="18">
        <f>'8.1'!C21</f>
        <v>498050</v>
      </c>
      <c r="D21" s="189">
        <f>'8.1'!E21</f>
        <v>3.0270000000000001</v>
      </c>
      <c r="E21" s="26">
        <f>ROUND(C21*D21,0)</f>
        <v>1507597</v>
      </c>
      <c r="K21" s="2"/>
    </row>
    <row r="22" spans="1:15" x14ac:dyDescent="0.2">
      <c r="A22" t="s">
        <v>124</v>
      </c>
      <c r="C22" s="18">
        <f>'8.1'!C22</f>
        <v>694</v>
      </c>
      <c r="D22" s="189">
        <f>'8.1'!E22</f>
        <v>1.3480000000000001</v>
      </c>
      <c r="E22" s="26">
        <f t="shared" si="0"/>
        <v>936</v>
      </c>
      <c r="K22" s="2"/>
    </row>
    <row r="23" spans="1:15" x14ac:dyDescent="0.2">
      <c r="A23" t="s">
        <v>125</v>
      </c>
      <c r="B23" s="12"/>
      <c r="C23" s="18">
        <f>'8.1'!C23</f>
        <v>22737</v>
      </c>
      <c r="D23" s="189">
        <f>'8.1'!E23</f>
        <v>1.2050000000000001</v>
      </c>
      <c r="E23" s="26">
        <f t="shared" si="0"/>
        <v>27398</v>
      </c>
      <c r="K23" s="2"/>
    </row>
    <row r="24" spans="1:15" x14ac:dyDescent="0.2">
      <c r="A24" t="s">
        <v>126</v>
      </c>
      <c r="B24" s="12"/>
      <c r="C24" s="18">
        <f>'8.1'!C24</f>
        <v>103140</v>
      </c>
      <c r="D24" s="189">
        <f>'8.1'!E24</f>
        <v>4.9269999999999996</v>
      </c>
      <c r="E24" s="26">
        <f t="shared" si="0"/>
        <v>508171</v>
      </c>
      <c r="K24" s="2"/>
    </row>
    <row r="25" spans="1:15" x14ac:dyDescent="0.2">
      <c r="A25" t="s">
        <v>127</v>
      </c>
      <c r="B25" s="12"/>
      <c r="C25" s="18">
        <f>'8.1'!C25</f>
        <v>2453934</v>
      </c>
      <c r="D25" s="189">
        <f>'8.1'!E25</f>
        <v>4.3659999999999997</v>
      </c>
      <c r="E25" s="26">
        <f t="shared" si="0"/>
        <v>10713876</v>
      </c>
      <c r="K25" s="2"/>
      <c r="M25" s="18"/>
      <c r="N25" s="18"/>
      <c r="O25" s="18"/>
    </row>
    <row r="26" spans="1:15" x14ac:dyDescent="0.2">
      <c r="A26" t="s">
        <v>128</v>
      </c>
      <c r="C26" s="18">
        <f>'8.1'!C26</f>
        <v>18577</v>
      </c>
      <c r="D26" s="189">
        <f>'8.1'!E26</f>
        <v>1.8620000000000001</v>
      </c>
      <c r="E26" s="26">
        <f t="shared" si="0"/>
        <v>34590</v>
      </c>
      <c r="K26" s="2"/>
      <c r="M26" s="18"/>
      <c r="N26" s="18"/>
      <c r="O26" s="18"/>
    </row>
    <row r="27" spans="1:15" x14ac:dyDescent="0.2">
      <c r="A27" t="s">
        <v>129</v>
      </c>
      <c r="C27" s="18">
        <f>'8.1'!C27</f>
        <v>133728</v>
      </c>
      <c r="D27" s="189">
        <f>'8.1'!E27</f>
        <v>2.8279999999999998</v>
      </c>
      <c r="E27" s="26">
        <f t="shared" si="0"/>
        <v>378183</v>
      </c>
      <c r="K27" s="2"/>
      <c r="M27" s="18"/>
      <c r="N27" s="18"/>
      <c r="O27" s="18"/>
    </row>
    <row r="28" spans="1:15" x14ac:dyDescent="0.2">
      <c r="A28" t="s">
        <v>130</v>
      </c>
      <c r="C28" s="18">
        <f>'8.1'!C28</f>
        <v>19550</v>
      </c>
      <c r="D28" s="189">
        <f>'8.1'!E28</f>
        <v>3.0169999999999999</v>
      </c>
      <c r="E28" s="26">
        <f>ROUND(C28*D28,0)</f>
        <v>58982</v>
      </c>
      <c r="K28" s="2"/>
      <c r="M28" s="18"/>
      <c r="N28" s="18"/>
      <c r="O28" s="18"/>
    </row>
    <row r="29" spans="1:15" x14ac:dyDescent="0.2">
      <c r="A29" s="9"/>
      <c r="B29" s="23"/>
      <c r="C29" s="25"/>
      <c r="D29" s="33"/>
      <c r="E29" s="27"/>
      <c r="K29" s="2"/>
    </row>
    <row r="30" spans="1:15" x14ac:dyDescent="0.2">
      <c r="C30" s="18"/>
      <c r="D30" s="18"/>
      <c r="E30" s="12"/>
      <c r="K30" s="2"/>
    </row>
    <row r="31" spans="1:15" x14ac:dyDescent="0.2">
      <c r="A31" t="s">
        <v>8</v>
      </c>
      <c r="C31" s="26">
        <f>SUM(C14:C28)</f>
        <v>8739479</v>
      </c>
      <c r="D31" s="189">
        <f>E31/C31</f>
        <v>6.0946551848228028</v>
      </c>
      <c r="E31" s="26">
        <f>SUM(E14:E28)</f>
        <v>53264111</v>
      </c>
      <c r="K31" s="2"/>
    </row>
    <row r="32" spans="1:15" x14ac:dyDescent="0.2">
      <c r="K32" s="2"/>
    </row>
    <row r="33" spans="1:12" x14ac:dyDescent="0.2">
      <c r="A33" s="40" t="s">
        <v>88</v>
      </c>
      <c r="B33" t="str">
        <f>"In-Force Premium as of "&amp;TEXT(L11,"mm/dd/yy")&amp;" at Present Rates"</f>
        <v>In-Force Premium as of 11/30/22 at Present Rates</v>
      </c>
      <c r="E33" s="26">
        <f>[8]Sheet1!$D$66</f>
        <v>74882663</v>
      </c>
      <c r="K33" s="2"/>
    </row>
    <row r="34" spans="1:12" x14ac:dyDescent="0.2">
      <c r="A34" s="40" t="s">
        <v>92</v>
      </c>
      <c r="B34" t="s">
        <v>115</v>
      </c>
      <c r="E34" s="19">
        <f>ROUND(E31/E33,3)</f>
        <v>0.71099999999999997</v>
      </c>
      <c r="K34" s="2"/>
      <c r="L34" s="18"/>
    </row>
    <row r="35" spans="1:12" ht="12" thickBot="1" x14ac:dyDescent="0.25">
      <c r="A35" s="6"/>
      <c r="B35" s="6"/>
      <c r="C35" s="6"/>
      <c r="D35" s="6"/>
      <c r="E35" s="6"/>
      <c r="K35" s="2"/>
    </row>
    <row r="36" spans="1:12" ht="12" thickTop="1" x14ac:dyDescent="0.2">
      <c r="K36" s="2"/>
    </row>
    <row r="37" spans="1:12" x14ac:dyDescent="0.2">
      <c r="A37" t="s">
        <v>18</v>
      </c>
      <c r="K37" s="2"/>
    </row>
    <row r="38" spans="1:12" x14ac:dyDescent="0.2">
      <c r="B38" s="12" t="str">
        <f>C12&amp;" Provided by TWIA"</f>
        <v>(2) Provided by TWIA</v>
      </c>
      <c r="K38" s="2"/>
    </row>
    <row r="39" spans="1:12" x14ac:dyDescent="0.2">
      <c r="B39" s="12" t="str">
        <f>D12&amp;" "&amp;'8.1'!$J$1&amp;", "&amp;'8.1'!$J$2</f>
        <v>(3) Exhibit 8, Sheet 1</v>
      </c>
      <c r="K39" s="2"/>
    </row>
    <row r="40" spans="1:12" x14ac:dyDescent="0.2">
      <c r="B40" s="12" t="str">
        <f>E12&amp;" = "&amp;C12&amp;" * "&amp;D12</f>
        <v>(4) = (2) * (3)</v>
      </c>
      <c r="F40" s="41"/>
      <c r="G40" s="21"/>
      <c r="H40" s="21"/>
      <c r="K40" s="2"/>
    </row>
    <row r="41" spans="1:12" x14ac:dyDescent="0.2">
      <c r="B41" s="12" t="str">
        <f>A33&amp;" Provided by TWIA"</f>
        <v>(5) Provided by TWIA</v>
      </c>
      <c r="K41" s="2"/>
    </row>
    <row r="42" spans="1:12" x14ac:dyDescent="0.2">
      <c r="B42" s="12" t="str">
        <f>A34&amp;" = "&amp;E12&amp;" Total / "&amp;A33&amp;""</f>
        <v>(6) = (4) Total / (5)</v>
      </c>
      <c r="K42" s="2"/>
    </row>
    <row r="43" spans="1:12" x14ac:dyDescent="0.2">
      <c r="K43" s="2"/>
    </row>
    <row r="44" spans="1:12" x14ac:dyDescent="0.2">
      <c r="K44" s="2"/>
    </row>
    <row r="45" spans="1:12" x14ac:dyDescent="0.2">
      <c r="K45" s="2"/>
    </row>
    <row r="46" spans="1:12" x14ac:dyDescent="0.2">
      <c r="K46" s="2"/>
    </row>
    <row r="47" spans="1:12" x14ac:dyDescent="0.2">
      <c r="K47" s="2"/>
    </row>
    <row r="48" spans="1:12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K60" s="2"/>
    </row>
    <row r="61" spans="1:11" x14ac:dyDescent="0.2">
      <c r="K61" s="2"/>
    </row>
    <row r="62" spans="1:11" x14ac:dyDescent="0.2">
      <c r="K62" s="2"/>
    </row>
    <row r="63" spans="1:11" x14ac:dyDescent="0.2">
      <c r="A63" s="40"/>
      <c r="C63" s="31"/>
      <c r="D63" s="31"/>
      <c r="E63" s="31"/>
      <c r="F63" s="31"/>
      <c r="G63" s="18"/>
      <c r="H63" s="18"/>
      <c r="I63" s="18"/>
      <c r="K63" s="2"/>
    </row>
    <row r="64" spans="1:11" x14ac:dyDescent="0.2">
      <c r="A64" s="40"/>
      <c r="C64" s="19"/>
      <c r="D64" s="19"/>
      <c r="E64" s="19"/>
      <c r="F64" s="19"/>
      <c r="G64" s="19"/>
      <c r="H64" s="19"/>
      <c r="I64" s="19"/>
      <c r="K64" s="2"/>
    </row>
    <row r="65" spans="1:11" x14ac:dyDescent="0.2">
      <c r="B65" s="22"/>
      <c r="C65" s="41"/>
      <c r="D65" s="41"/>
      <c r="E65" s="41"/>
      <c r="F65" s="41"/>
      <c r="G65" s="21"/>
      <c r="H65" s="21"/>
      <c r="K65" s="2"/>
    </row>
    <row r="66" spans="1:11" x14ac:dyDescent="0.2">
      <c r="B66" s="22"/>
      <c r="C66" s="41"/>
      <c r="D66" s="41"/>
      <c r="E66" s="41"/>
      <c r="F66" s="41"/>
      <c r="G66" s="21"/>
      <c r="H66" s="21"/>
      <c r="K66" s="2"/>
    </row>
    <row r="67" spans="1:11" x14ac:dyDescent="0.2">
      <c r="B67" s="22"/>
      <c r="C67" s="41"/>
      <c r="D67" s="41"/>
      <c r="E67" s="41"/>
      <c r="F67" s="41"/>
      <c r="G67" s="21"/>
      <c r="H67" s="21"/>
      <c r="K67" s="2"/>
    </row>
    <row r="68" spans="1:11" ht="12" thickBot="1" x14ac:dyDescent="0.25">
      <c r="B68" s="22"/>
      <c r="C68" s="41"/>
      <c r="D68" s="41"/>
      <c r="E68" s="41"/>
      <c r="F68" s="41"/>
      <c r="G68" s="21"/>
      <c r="H68" s="21"/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0">
    <tabColor rgb="FF92D050"/>
  </sheetPr>
  <dimension ref="A1:L69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360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65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136</v>
      </c>
      <c r="B4" s="12"/>
      <c r="K4" s="2"/>
    </row>
    <row r="5" spans="1:12" x14ac:dyDescent="0.2"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36" t="s">
        <v>109</v>
      </c>
      <c r="D9" s="11"/>
      <c r="K9" s="2"/>
      <c r="L9" s="24"/>
    </row>
    <row r="10" spans="1:12" x14ac:dyDescent="0.2">
      <c r="C10" t="s">
        <v>110</v>
      </c>
      <c r="D10" s="11" t="s">
        <v>111</v>
      </c>
      <c r="E10" t="s">
        <v>114</v>
      </c>
      <c r="K10" s="2"/>
      <c r="L10" s="12" t="s">
        <v>131</v>
      </c>
    </row>
    <row r="11" spans="1:12" x14ac:dyDescent="0.2">
      <c r="A11" s="9" t="s">
        <v>108</v>
      </c>
      <c r="B11" s="9"/>
      <c r="C11" s="9" t="str">
        <f>"as of "&amp;TEXT($L$11,"m/d/yy")</f>
        <v>as of 11/30/22</v>
      </c>
      <c r="D11" s="178" t="s">
        <v>112</v>
      </c>
      <c r="E11" s="9" t="s">
        <v>113</v>
      </c>
      <c r="K11" s="2"/>
      <c r="L11" s="36">
        <f>'8.2'!L11</f>
        <v>44895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116</v>
      </c>
      <c r="C14" s="18">
        <f>'8.2'!C14</f>
        <v>334112</v>
      </c>
      <c r="D14" s="189">
        <f>'8.2'!E14</f>
        <v>3.7120000000000002</v>
      </c>
      <c r="E14" s="26">
        <f>ROUND(C14*D14,0)</f>
        <v>1240224</v>
      </c>
      <c r="K14" s="2"/>
    </row>
    <row r="15" spans="1:12" x14ac:dyDescent="0.2">
      <c r="A15" t="s">
        <v>117</v>
      </c>
      <c r="C15" s="18">
        <f>'8.2'!C15</f>
        <v>460868</v>
      </c>
      <c r="D15" s="189">
        <f>'8.2'!E15</f>
        <v>3.6269999999999998</v>
      </c>
      <c r="E15" s="26">
        <f t="shared" ref="E15:E27" si="0">ROUND(C15*D15,0)</f>
        <v>1671568</v>
      </c>
      <c r="K15" s="2"/>
    </row>
    <row r="16" spans="1:12" x14ac:dyDescent="0.2">
      <c r="A16" t="s">
        <v>118</v>
      </c>
      <c r="C16" s="18">
        <f>'8.2'!C16</f>
        <v>131888</v>
      </c>
      <c r="D16" s="189">
        <f>'8.2'!E16</f>
        <v>4.726</v>
      </c>
      <c r="E16" s="26">
        <f t="shared" si="0"/>
        <v>623303</v>
      </c>
      <c r="K16" s="2"/>
    </row>
    <row r="17" spans="1:11" x14ac:dyDescent="0.2">
      <c r="A17" t="s">
        <v>119</v>
      </c>
      <c r="C17" s="18">
        <f>'8.2'!C17</f>
        <v>1232168</v>
      </c>
      <c r="D17" s="189">
        <f>'8.2'!E17</f>
        <v>5.0869999999999997</v>
      </c>
      <c r="E17" s="26">
        <f t="shared" si="0"/>
        <v>6268039</v>
      </c>
      <c r="K17" s="2"/>
    </row>
    <row r="18" spans="1:11" x14ac:dyDescent="0.2">
      <c r="A18" t="s">
        <v>120</v>
      </c>
      <c r="C18" s="18">
        <f>'8.2'!C18</f>
        <v>66075</v>
      </c>
      <c r="D18" s="189">
        <f>'8.2'!E18</f>
        <v>3.016</v>
      </c>
      <c r="E18" s="26">
        <f t="shared" si="0"/>
        <v>199282</v>
      </c>
      <c r="K18" s="2"/>
    </row>
    <row r="19" spans="1:11" x14ac:dyDescent="0.2">
      <c r="A19" t="s">
        <v>121</v>
      </c>
      <c r="C19" s="18">
        <f>'8.2'!C19</f>
        <v>3140711</v>
      </c>
      <c r="D19" s="189">
        <f>'8.2'!E19</f>
        <v>6.4649999999999999</v>
      </c>
      <c r="E19" s="26">
        <f t="shared" si="0"/>
        <v>20304697</v>
      </c>
      <c r="K19" s="2"/>
    </row>
    <row r="20" spans="1:11" x14ac:dyDescent="0.2">
      <c r="A20" t="s">
        <v>122</v>
      </c>
      <c r="C20" s="18">
        <f>'8.2'!C20</f>
        <v>123247</v>
      </c>
      <c r="D20" s="189">
        <f>'8.2'!E20</f>
        <v>3.851</v>
      </c>
      <c r="E20" s="26">
        <f t="shared" si="0"/>
        <v>474624</v>
      </c>
      <c r="K20" s="2"/>
    </row>
    <row r="21" spans="1:11" x14ac:dyDescent="0.2">
      <c r="A21" t="s">
        <v>123</v>
      </c>
      <c r="C21" s="18">
        <f>'8.2'!C21</f>
        <v>498050</v>
      </c>
      <c r="D21" s="189">
        <f>'8.2'!E21</f>
        <v>2.7410000000000001</v>
      </c>
      <c r="E21" s="26">
        <f t="shared" si="0"/>
        <v>1365155</v>
      </c>
      <c r="K21" s="2"/>
    </row>
    <row r="22" spans="1:11" x14ac:dyDescent="0.2">
      <c r="A22" t="s">
        <v>124</v>
      </c>
      <c r="C22" s="18">
        <f>'8.2'!C22</f>
        <v>694</v>
      </c>
      <c r="D22" s="189">
        <f>'8.2'!E22</f>
        <v>2.3180000000000001</v>
      </c>
      <c r="E22" s="26">
        <f t="shared" si="0"/>
        <v>1609</v>
      </c>
      <c r="K22" s="2"/>
    </row>
    <row r="23" spans="1:11" x14ac:dyDescent="0.2">
      <c r="A23" t="s">
        <v>125</v>
      </c>
      <c r="B23" s="12"/>
      <c r="C23" s="18">
        <f>'8.2'!C23</f>
        <v>22737</v>
      </c>
      <c r="D23" s="189">
        <f>'8.2'!E23</f>
        <v>2.004</v>
      </c>
      <c r="E23" s="26">
        <f t="shared" si="0"/>
        <v>45565</v>
      </c>
      <c r="K23" s="2"/>
    </row>
    <row r="24" spans="1:11" x14ac:dyDescent="0.2">
      <c r="A24" t="s">
        <v>126</v>
      </c>
      <c r="B24" s="12"/>
      <c r="C24" s="18">
        <f>'8.2'!C24</f>
        <v>103140</v>
      </c>
      <c r="D24" s="189">
        <f>'8.2'!E24</f>
        <v>4.0780000000000003</v>
      </c>
      <c r="E24" s="26">
        <f t="shared" si="0"/>
        <v>420605</v>
      </c>
      <c r="K24" s="2"/>
    </row>
    <row r="25" spans="1:11" x14ac:dyDescent="0.2">
      <c r="A25" t="s">
        <v>127</v>
      </c>
      <c r="B25" s="12"/>
      <c r="C25" s="18">
        <f>'8.2'!C25</f>
        <v>2453934</v>
      </c>
      <c r="D25" s="189">
        <f>'8.2'!E25</f>
        <v>4.2709999999999999</v>
      </c>
      <c r="E25" s="26">
        <f>ROUND(C25*D25,0)</f>
        <v>10480752</v>
      </c>
      <c r="K25" s="2"/>
    </row>
    <row r="26" spans="1:11" x14ac:dyDescent="0.2">
      <c r="A26" t="s">
        <v>128</v>
      </c>
      <c r="C26" s="18">
        <f>'8.2'!C26</f>
        <v>18577</v>
      </c>
      <c r="D26" s="189">
        <f>'8.2'!E26</f>
        <v>2.931</v>
      </c>
      <c r="E26" s="26">
        <f t="shared" si="0"/>
        <v>54449</v>
      </c>
      <c r="K26" s="2"/>
    </row>
    <row r="27" spans="1:11" x14ac:dyDescent="0.2">
      <c r="A27" t="s">
        <v>129</v>
      </c>
      <c r="C27" s="18">
        <f>'8.2'!C27</f>
        <v>133728</v>
      </c>
      <c r="D27" s="189">
        <f>'8.2'!E27</f>
        <v>3.286</v>
      </c>
      <c r="E27" s="26">
        <f t="shared" si="0"/>
        <v>439430</v>
      </c>
      <c r="K27" s="2"/>
    </row>
    <row r="28" spans="1:11" x14ac:dyDescent="0.2">
      <c r="A28" t="s">
        <v>130</v>
      </c>
      <c r="C28" s="18">
        <f>'8.2'!C28</f>
        <v>19550</v>
      </c>
      <c r="D28" s="189">
        <f>'8.2'!E28</f>
        <v>3.819</v>
      </c>
      <c r="E28" s="26">
        <f>ROUND(C28*D28,0)</f>
        <v>74661</v>
      </c>
      <c r="K28" s="2"/>
    </row>
    <row r="29" spans="1:11" x14ac:dyDescent="0.2">
      <c r="A29" s="9"/>
      <c r="B29" s="23"/>
      <c r="C29" s="25"/>
      <c r="D29" s="190"/>
      <c r="E29" s="27"/>
      <c r="K29" s="2"/>
    </row>
    <row r="30" spans="1:11" x14ac:dyDescent="0.2">
      <c r="C30" s="18"/>
      <c r="D30" s="168"/>
      <c r="E30" s="12"/>
      <c r="K30" s="2"/>
    </row>
    <row r="31" spans="1:11" x14ac:dyDescent="0.2">
      <c r="A31" t="s">
        <v>8</v>
      </c>
      <c r="C31" s="26">
        <f>SUM(C14:C28)</f>
        <v>8739479</v>
      </c>
      <c r="D31" s="189">
        <f>E31/C31</f>
        <v>4.9961746003394483</v>
      </c>
      <c r="E31" s="26">
        <f>SUM(E14:E28)</f>
        <v>43663963</v>
      </c>
      <c r="K31" s="2"/>
    </row>
    <row r="32" spans="1:11" x14ac:dyDescent="0.2">
      <c r="K32" s="2"/>
    </row>
    <row r="33" spans="1:11" x14ac:dyDescent="0.2">
      <c r="A33" s="40" t="s">
        <v>88</v>
      </c>
      <c r="B33" t="str">
        <f>'7.1'!B33</f>
        <v>In-Force Premium as of 11/30/22 at Present Rates</v>
      </c>
      <c r="E33" s="26">
        <f>'7.1'!E33</f>
        <v>74882663</v>
      </c>
      <c r="K33" s="2"/>
    </row>
    <row r="34" spans="1:11" x14ac:dyDescent="0.2">
      <c r="A34" s="40" t="s">
        <v>92</v>
      </c>
      <c r="B34" t="s">
        <v>115</v>
      </c>
      <c r="E34" s="19">
        <f>ROUND(E31/E33,3)</f>
        <v>0.58299999999999996</v>
      </c>
      <c r="K34" s="2"/>
    </row>
    <row r="35" spans="1:11" ht="12" thickBot="1" x14ac:dyDescent="0.25">
      <c r="A35" s="6"/>
      <c r="B35" s="6"/>
      <c r="C35" s="6"/>
      <c r="D35" s="6"/>
      <c r="E35" s="6"/>
      <c r="K35" s="2"/>
    </row>
    <row r="36" spans="1:11" ht="12" thickTop="1" x14ac:dyDescent="0.2">
      <c r="K36" s="2"/>
    </row>
    <row r="37" spans="1:11" x14ac:dyDescent="0.2">
      <c r="A37" t="s">
        <v>18</v>
      </c>
      <c r="K37" s="2"/>
    </row>
    <row r="38" spans="1:11" x14ac:dyDescent="0.2">
      <c r="B38" s="12" t="str">
        <f>C12&amp;" Provided by TWIA"</f>
        <v>(2) Provided by TWIA</v>
      </c>
      <c r="K38" s="2"/>
    </row>
    <row r="39" spans="1:11" x14ac:dyDescent="0.2">
      <c r="B39" s="12" t="str">
        <f>D12&amp;" "&amp;'8.2'!$J$1&amp;", "&amp;'8.2'!$J$2</f>
        <v>(3) Exhibit 8, Sheet 2</v>
      </c>
      <c r="K39" s="2"/>
    </row>
    <row r="40" spans="1:11" x14ac:dyDescent="0.2">
      <c r="B40" s="12" t="str">
        <f>E12&amp;" = "&amp;C12&amp;" * "&amp;D12</f>
        <v>(4) = (2) * (3)</v>
      </c>
      <c r="F40" s="41"/>
      <c r="G40" s="41"/>
      <c r="H40" s="41"/>
      <c r="K40" s="2"/>
    </row>
    <row r="41" spans="1:11" x14ac:dyDescent="0.2">
      <c r="B41" s="12" t="str">
        <f>A33&amp;" Provided by TWIA"</f>
        <v>(5) Provided by TWIA</v>
      </c>
      <c r="K41" s="2"/>
    </row>
    <row r="42" spans="1:11" x14ac:dyDescent="0.2">
      <c r="B42" s="12" t="str">
        <f>A34&amp;" = "&amp;E12&amp;" Total / "&amp;A33</f>
        <v>(6) = (4) Total / (5)</v>
      </c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A55" s="40"/>
      <c r="C55" s="31"/>
      <c r="D55" s="31"/>
      <c r="E55" s="31"/>
      <c r="F55" s="31"/>
      <c r="G55" s="31"/>
      <c r="H55" s="31"/>
      <c r="I55" s="18"/>
      <c r="K55" s="2"/>
    </row>
    <row r="56" spans="1:11" x14ac:dyDescent="0.2">
      <c r="A56" s="40"/>
      <c r="C56" s="31"/>
      <c r="D56" s="31"/>
      <c r="E56" s="31"/>
      <c r="F56" s="31"/>
      <c r="G56" s="31"/>
      <c r="H56" s="31"/>
      <c r="I56" s="18"/>
      <c r="K56" s="2"/>
    </row>
    <row r="57" spans="1:11" x14ac:dyDescent="0.2">
      <c r="A57" s="40"/>
      <c r="C57" s="31"/>
      <c r="D57" s="31"/>
      <c r="E57" s="31"/>
      <c r="F57" s="31"/>
      <c r="G57" s="31"/>
      <c r="H57" s="31"/>
      <c r="I57" s="18"/>
      <c r="K57" s="2"/>
    </row>
    <row r="58" spans="1:11" x14ac:dyDescent="0.2">
      <c r="A58" s="40"/>
      <c r="C58" s="31"/>
      <c r="D58" s="31"/>
      <c r="E58" s="31"/>
      <c r="F58" s="31"/>
      <c r="G58" s="31"/>
      <c r="H58" s="31"/>
      <c r="I58" s="18"/>
      <c r="K58" s="2"/>
    </row>
    <row r="59" spans="1:11" x14ac:dyDescent="0.2">
      <c r="A59" s="40"/>
      <c r="C59" s="31"/>
      <c r="D59" s="31"/>
      <c r="E59" s="31"/>
      <c r="F59" s="31"/>
      <c r="G59" s="31"/>
      <c r="H59" s="31"/>
      <c r="I59" s="18"/>
      <c r="K59" s="2"/>
    </row>
    <row r="60" spans="1:11" x14ac:dyDescent="0.2">
      <c r="A60" s="40"/>
      <c r="C60" s="31"/>
      <c r="D60" s="31"/>
      <c r="E60" s="31"/>
      <c r="F60" s="31"/>
      <c r="G60" s="31"/>
      <c r="H60" s="31"/>
      <c r="I60" s="18"/>
      <c r="K60" s="2"/>
    </row>
    <row r="61" spans="1:11" x14ac:dyDescent="0.2">
      <c r="A61" s="40"/>
      <c r="C61" s="31"/>
      <c r="D61" s="31"/>
      <c r="E61" s="31"/>
      <c r="F61" s="31"/>
      <c r="G61" s="31"/>
      <c r="H61" s="31"/>
      <c r="I61" s="18"/>
      <c r="K61" s="2"/>
    </row>
    <row r="62" spans="1:11" x14ac:dyDescent="0.2">
      <c r="A62" s="40"/>
      <c r="C62" s="31"/>
      <c r="D62" s="31"/>
      <c r="E62" s="31"/>
      <c r="F62" s="31"/>
      <c r="G62" s="31"/>
      <c r="H62" s="31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41"/>
      <c r="G64" s="41"/>
      <c r="H64" s="41"/>
      <c r="K64" s="2"/>
    </row>
    <row r="65" spans="1:11" x14ac:dyDescent="0.2">
      <c r="B65" s="22"/>
      <c r="C65" s="41"/>
      <c r="D65" s="41"/>
      <c r="E65" s="41"/>
      <c r="F65" s="41"/>
      <c r="G65" s="41"/>
      <c r="H65" s="41"/>
      <c r="K65" s="2"/>
    </row>
    <row r="66" spans="1:11" x14ac:dyDescent="0.2">
      <c r="B66" s="22"/>
      <c r="C66" s="41"/>
      <c r="D66" s="41"/>
      <c r="E66" s="41"/>
      <c r="F66" s="41"/>
      <c r="G66" s="41"/>
      <c r="H66" s="41"/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D1126-2BF2-44C8-BCA0-E688876B7BE2}">
  <sheetPr>
    <tabColor rgb="FF92D050"/>
  </sheetPr>
  <dimension ref="A1:L69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360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68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595</v>
      </c>
      <c r="B4" s="12"/>
      <c r="K4" s="2"/>
    </row>
    <row r="5" spans="1:12" x14ac:dyDescent="0.2"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36" t="s">
        <v>109</v>
      </c>
      <c r="D9" s="11"/>
      <c r="K9" s="2"/>
      <c r="L9" s="24"/>
    </row>
    <row r="10" spans="1:12" x14ac:dyDescent="0.2">
      <c r="C10" t="s">
        <v>110</v>
      </c>
      <c r="D10" s="11" t="s">
        <v>111</v>
      </c>
      <c r="E10" t="s">
        <v>114</v>
      </c>
      <c r="K10" s="2"/>
      <c r="L10" s="12" t="s">
        <v>131</v>
      </c>
    </row>
    <row r="11" spans="1:12" x14ac:dyDescent="0.2">
      <c r="A11" s="9" t="s">
        <v>108</v>
      </c>
      <c r="B11" s="9"/>
      <c r="C11" s="9" t="str">
        <f>"as of "&amp;TEXT($L$11,"m/d/yy")</f>
        <v>as of 11/30/22</v>
      </c>
      <c r="D11" s="178" t="s">
        <v>112</v>
      </c>
      <c r="E11" s="9" t="s">
        <v>113</v>
      </c>
      <c r="K11" s="2"/>
      <c r="L11" s="36">
        <f>'8.2'!L11</f>
        <v>44895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116</v>
      </c>
      <c r="C14" s="18">
        <f>'8.3'!C14</f>
        <v>334112</v>
      </c>
      <c r="D14" s="189">
        <f>'8.3'!E14</f>
        <v>2.7229999999999999</v>
      </c>
      <c r="E14" s="26">
        <f>ROUND(C14*D14,0)</f>
        <v>909787</v>
      </c>
      <c r="K14" s="2"/>
    </row>
    <row r="15" spans="1:12" x14ac:dyDescent="0.2">
      <c r="A15" t="s">
        <v>117</v>
      </c>
      <c r="C15" s="18">
        <f>'8.3'!C15</f>
        <v>460868</v>
      </c>
      <c r="D15" s="189">
        <f>'8.3'!E15</f>
        <v>3.0049999999999999</v>
      </c>
      <c r="E15" s="26">
        <f t="shared" ref="E15:E27" si="0">ROUND(C15*D15,0)</f>
        <v>1384908</v>
      </c>
      <c r="K15" s="2"/>
    </row>
    <row r="16" spans="1:12" x14ac:dyDescent="0.2">
      <c r="A16" t="s">
        <v>118</v>
      </c>
      <c r="C16" s="18">
        <f>'8.3'!C16</f>
        <v>131888</v>
      </c>
      <c r="D16" s="189">
        <f>'8.3'!E16</f>
        <v>3.3330000000000002</v>
      </c>
      <c r="E16" s="26">
        <f t="shared" si="0"/>
        <v>439583</v>
      </c>
      <c r="K16" s="2"/>
    </row>
    <row r="17" spans="1:11" x14ac:dyDescent="0.2">
      <c r="A17" t="s">
        <v>119</v>
      </c>
      <c r="C17" s="18">
        <f>'8.3'!C17</f>
        <v>1232168</v>
      </c>
      <c r="D17" s="189">
        <f>'8.3'!E17</f>
        <v>3.782</v>
      </c>
      <c r="E17" s="26">
        <f t="shared" si="0"/>
        <v>4660059</v>
      </c>
      <c r="K17" s="2"/>
    </row>
    <row r="18" spans="1:11" x14ac:dyDescent="0.2">
      <c r="A18" t="s">
        <v>120</v>
      </c>
      <c r="C18" s="18">
        <f>'8.3'!C18</f>
        <v>66075</v>
      </c>
      <c r="D18" s="189">
        <f>'8.3'!E18</f>
        <v>2.673</v>
      </c>
      <c r="E18" s="26">
        <f t="shared" si="0"/>
        <v>176618</v>
      </c>
      <c r="K18" s="2"/>
    </row>
    <row r="19" spans="1:11" x14ac:dyDescent="0.2">
      <c r="A19" t="s">
        <v>121</v>
      </c>
      <c r="C19" s="18">
        <f>'8.3'!C19</f>
        <v>3140711</v>
      </c>
      <c r="D19" s="189">
        <f>'8.3'!E19</f>
        <v>3.6909999999999998</v>
      </c>
      <c r="E19" s="26">
        <f t="shared" si="0"/>
        <v>11592364</v>
      </c>
      <c r="K19" s="2"/>
    </row>
    <row r="20" spans="1:11" x14ac:dyDescent="0.2">
      <c r="A20" t="s">
        <v>122</v>
      </c>
      <c r="C20" s="18">
        <f>'8.3'!C20</f>
        <v>123247</v>
      </c>
      <c r="D20" s="189">
        <f>'8.3'!E20</f>
        <v>2.2530000000000001</v>
      </c>
      <c r="E20" s="26">
        <f t="shared" si="0"/>
        <v>277675</v>
      </c>
      <c r="K20" s="2"/>
    </row>
    <row r="21" spans="1:11" x14ac:dyDescent="0.2">
      <c r="A21" t="s">
        <v>123</v>
      </c>
      <c r="C21" s="18">
        <f>'8.3'!C21</f>
        <v>498050</v>
      </c>
      <c r="D21" s="189">
        <f>'8.3'!E21</f>
        <v>1.962</v>
      </c>
      <c r="E21" s="26">
        <f t="shared" si="0"/>
        <v>977174</v>
      </c>
      <c r="K21" s="2"/>
    </row>
    <row r="22" spans="1:11" x14ac:dyDescent="0.2">
      <c r="A22" t="s">
        <v>124</v>
      </c>
      <c r="C22" s="18">
        <f>'8.3'!C22</f>
        <v>694</v>
      </c>
      <c r="D22" s="189">
        <f>'8.3'!E22</f>
        <v>2.419</v>
      </c>
      <c r="E22" s="26">
        <f t="shared" si="0"/>
        <v>1679</v>
      </c>
      <c r="K22" s="2"/>
    </row>
    <row r="23" spans="1:11" x14ac:dyDescent="0.2">
      <c r="A23" t="s">
        <v>125</v>
      </c>
      <c r="B23" s="12"/>
      <c r="C23" s="18">
        <f>'8.3'!C23</f>
        <v>22737</v>
      </c>
      <c r="D23" s="189">
        <f>'8.3'!E23</f>
        <v>1.8080000000000001</v>
      </c>
      <c r="E23" s="26">
        <f t="shared" si="0"/>
        <v>41108</v>
      </c>
      <c r="K23" s="2"/>
    </row>
    <row r="24" spans="1:11" x14ac:dyDescent="0.2">
      <c r="A24" t="s">
        <v>126</v>
      </c>
      <c r="B24" s="12"/>
      <c r="C24" s="18">
        <f>'8.3'!C24</f>
        <v>103140</v>
      </c>
      <c r="D24" s="189">
        <f>'8.3'!E24</f>
        <v>3.9129999999999998</v>
      </c>
      <c r="E24" s="26">
        <f t="shared" si="0"/>
        <v>403587</v>
      </c>
      <c r="K24" s="2"/>
    </row>
    <row r="25" spans="1:11" x14ac:dyDescent="0.2">
      <c r="A25" t="s">
        <v>127</v>
      </c>
      <c r="B25" s="12"/>
      <c r="C25" s="18">
        <f>'8.3'!C25</f>
        <v>2453934</v>
      </c>
      <c r="D25" s="189">
        <f>'8.3'!E25</f>
        <v>3.0139999999999998</v>
      </c>
      <c r="E25" s="26">
        <f>ROUND(C25*D25,0)</f>
        <v>7396157</v>
      </c>
      <c r="K25" s="2"/>
    </row>
    <row r="26" spans="1:11" x14ac:dyDescent="0.2">
      <c r="A26" t="s">
        <v>128</v>
      </c>
      <c r="C26" s="18">
        <f>'8.3'!C26</f>
        <v>18577</v>
      </c>
      <c r="D26" s="189">
        <f>'8.3'!E26</f>
        <v>2.597</v>
      </c>
      <c r="E26" s="26">
        <f t="shared" si="0"/>
        <v>48244</v>
      </c>
      <c r="K26" s="2"/>
    </row>
    <row r="27" spans="1:11" x14ac:dyDescent="0.2">
      <c r="A27" t="s">
        <v>129</v>
      </c>
      <c r="C27" s="18">
        <f>'8.3'!C27</f>
        <v>133728</v>
      </c>
      <c r="D27" s="189">
        <f>'8.3'!E27</f>
        <v>2.4980000000000002</v>
      </c>
      <c r="E27" s="26">
        <f t="shared" si="0"/>
        <v>334053</v>
      </c>
      <c r="K27" s="2"/>
    </row>
    <row r="28" spans="1:11" x14ac:dyDescent="0.2">
      <c r="A28" t="s">
        <v>130</v>
      </c>
      <c r="C28" s="18">
        <f>'8.3'!C28</f>
        <v>19550</v>
      </c>
      <c r="D28" s="189">
        <f>'8.3'!E28</f>
        <v>3.0219999999999998</v>
      </c>
      <c r="E28" s="26">
        <f>ROUND(C28*D28,0)</f>
        <v>59080</v>
      </c>
      <c r="K28" s="2"/>
    </row>
    <row r="29" spans="1:11" x14ac:dyDescent="0.2">
      <c r="A29" s="9"/>
      <c r="B29" s="23"/>
      <c r="C29" s="25"/>
      <c r="D29" s="190"/>
      <c r="E29" s="27"/>
      <c r="K29" s="2"/>
    </row>
    <row r="30" spans="1:11" x14ac:dyDescent="0.2">
      <c r="C30" s="18"/>
      <c r="D30" s="168"/>
      <c r="E30" s="12"/>
      <c r="K30" s="2"/>
    </row>
    <row r="31" spans="1:11" x14ac:dyDescent="0.2">
      <c r="A31" t="s">
        <v>8</v>
      </c>
      <c r="C31" s="26">
        <f>SUM(C14:C28)</f>
        <v>8739479</v>
      </c>
      <c r="D31" s="189">
        <f>E31/C31</f>
        <v>3.2841861625847488</v>
      </c>
      <c r="E31" s="26">
        <f>SUM(E14:E28)</f>
        <v>28702076</v>
      </c>
      <c r="K31" s="2"/>
    </row>
    <row r="32" spans="1:11" x14ac:dyDescent="0.2">
      <c r="K32" s="2"/>
    </row>
    <row r="33" spans="1:11" x14ac:dyDescent="0.2">
      <c r="A33" s="40" t="s">
        <v>88</v>
      </c>
      <c r="B33" t="str">
        <f>'7.1'!B33</f>
        <v>In-Force Premium as of 11/30/22 at Present Rates</v>
      </c>
      <c r="E33" s="26">
        <f>'7.1'!E33</f>
        <v>74882663</v>
      </c>
      <c r="K33" s="2"/>
    </row>
    <row r="34" spans="1:11" x14ac:dyDescent="0.2">
      <c r="A34" s="40" t="s">
        <v>92</v>
      </c>
      <c r="B34" t="s">
        <v>115</v>
      </c>
      <c r="E34" s="19">
        <f>ROUND(E31/E33,3)</f>
        <v>0.38300000000000001</v>
      </c>
      <c r="K34" s="2"/>
    </row>
    <row r="35" spans="1:11" ht="12" thickBot="1" x14ac:dyDescent="0.25">
      <c r="A35" s="6"/>
      <c r="B35" s="6"/>
      <c r="C35" s="6"/>
      <c r="D35" s="6"/>
      <c r="E35" s="6"/>
      <c r="K35" s="2"/>
    </row>
    <row r="36" spans="1:11" ht="12" thickTop="1" x14ac:dyDescent="0.2">
      <c r="K36" s="2"/>
    </row>
    <row r="37" spans="1:11" x14ac:dyDescent="0.2">
      <c r="A37" t="s">
        <v>18</v>
      </c>
      <c r="K37" s="2"/>
    </row>
    <row r="38" spans="1:11" x14ac:dyDescent="0.2">
      <c r="B38" s="12" t="str">
        <f>C12&amp;" Provided by TWIA"</f>
        <v>(2) Provided by TWIA</v>
      </c>
      <c r="K38" s="2"/>
    </row>
    <row r="39" spans="1:11" x14ac:dyDescent="0.2">
      <c r="B39" s="12" t="str">
        <f>D12&amp;" "&amp;'8.3'!$J$1&amp;", "&amp;'8.3'!$J$2</f>
        <v>(3) Exhibit 8, Sheet 3</v>
      </c>
      <c r="K39" s="2"/>
    </row>
    <row r="40" spans="1:11" x14ac:dyDescent="0.2">
      <c r="B40" s="12" t="str">
        <f>E12&amp;" = "&amp;C12&amp;" * "&amp;D12</f>
        <v>(4) = (2) * (3)</v>
      </c>
      <c r="F40" s="41"/>
      <c r="G40" s="41"/>
      <c r="H40" s="41"/>
      <c r="K40" s="2"/>
    </row>
    <row r="41" spans="1:11" x14ac:dyDescent="0.2">
      <c r="B41" s="12" t="str">
        <f>A33&amp;" Provided by TWIA"</f>
        <v>(5) Provided by TWIA</v>
      </c>
      <c r="K41" s="2"/>
    </row>
    <row r="42" spans="1:11" x14ac:dyDescent="0.2">
      <c r="B42" s="12" t="str">
        <f>A34&amp;" = "&amp;E12&amp;" Total / "&amp;A33</f>
        <v>(6) = (4) Total / (5)</v>
      </c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A55" s="40"/>
      <c r="C55" s="31"/>
      <c r="D55" s="31"/>
      <c r="E55" s="31"/>
      <c r="F55" s="31"/>
      <c r="G55" s="31"/>
      <c r="H55" s="31"/>
      <c r="I55" s="18"/>
      <c r="K55" s="2"/>
    </row>
    <row r="56" spans="1:11" x14ac:dyDescent="0.2">
      <c r="A56" s="40"/>
      <c r="C56" s="31"/>
      <c r="D56" s="31"/>
      <c r="E56" s="31"/>
      <c r="F56" s="31"/>
      <c r="G56" s="31"/>
      <c r="H56" s="31"/>
      <c r="I56" s="18"/>
      <c r="K56" s="2"/>
    </row>
    <row r="57" spans="1:11" x14ac:dyDescent="0.2">
      <c r="A57" s="40"/>
      <c r="C57" s="31"/>
      <c r="D57" s="31"/>
      <c r="E57" s="31"/>
      <c r="F57" s="31"/>
      <c r="G57" s="31"/>
      <c r="H57" s="31"/>
      <c r="I57" s="18"/>
      <c r="K57" s="2"/>
    </row>
    <row r="58" spans="1:11" x14ac:dyDescent="0.2">
      <c r="A58" s="40"/>
      <c r="C58" s="31"/>
      <c r="D58" s="31"/>
      <c r="E58" s="31"/>
      <c r="F58" s="31"/>
      <c r="G58" s="31"/>
      <c r="H58" s="31"/>
      <c r="I58" s="18"/>
      <c r="K58" s="2"/>
    </row>
    <row r="59" spans="1:11" x14ac:dyDescent="0.2">
      <c r="A59" s="40"/>
      <c r="C59" s="31"/>
      <c r="D59" s="31"/>
      <c r="E59" s="31"/>
      <c r="F59" s="31"/>
      <c r="G59" s="31"/>
      <c r="H59" s="31"/>
      <c r="I59" s="18"/>
      <c r="K59" s="2"/>
    </row>
    <row r="60" spans="1:11" x14ac:dyDescent="0.2">
      <c r="A60" s="40"/>
      <c r="C60" s="31"/>
      <c r="D60" s="31"/>
      <c r="E60" s="31"/>
      <c r="F60" s="31"/>
      <c r="G60" s="31"/>
      <c r="H60" s="31"/>
      <c r="I60" s="18"/>
      <c r="K60" s="2"/>
    </row>
    <row r="61" spans="1:11" x14ac:dyDescent="0.2">
      <c r="A61" s="40"/>
      <c r="C61" s="31"/>
      <c r="D61" s="31"/>
      <c r="E61" s="31"/>
      <c r="F61" s="31"/>
      <c r="G61" s="31"/>
      <c r="H61" s="31"/>
      <c r="I61" s="18"/>
      <c r="K61" s="2"/>
    </row>
    <row r="62" spans="1:11" x14ac:dyDescent="0.2">
      <c r="A62" s="40"/>
      <c r="C62" s="31"/>
      <c r="D62" s="31"/>
      <c r="E62" s="31"/>
      <c r="F62" s="31"/>
      <c r="G62" s="31"/>
      <c r="H62" s="31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41"/>
      <c r="G64" s="41"/>
      <c r="H64" s="41"/>
      <c r="K64" s="2"/>
    </row>
    <row r="65" spans="1:11" x14ac:dyDescent="0.2">
      <c r="B65" s="22"/>
      <c r="C65" s="41"/>
      <c r="D65" s="41"/>
      <c r="E65" s="41"/>
      <c r="F65" s="41"/>
      <c r="G65" s="41"/>
      <c r="H65" s="41"/>
      <c r="K65" s="2"/>
    </row>
    <row r="66" spans="1:11" x14ac:dyDescent="0.2">
      <c r="B66" s="22"/>
      <c r="C66" s="41"/>
      <c r="D66" s="41"/>
      <c r="E66" s="41"/>
      <c r="F66" s="41"/>
      <c r="G66" s="41"/>
      <c r="H66" s="41"/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M69"/>
  <sheetViews>
    <sheetView showGridLines="0" zoomScaleNormal="100" workbookViewId="0"/>
  </sheetViews>
  <sheetFormatPr defaultColWidth="11.33203125" defaultRowHeight="11.25" x14ac:dyDescent="0.2"/>
  <cols>
    <col min="1" max="1" width="2.5" bestFit="1" customWidth="1"/>
    <col min="2" max="2" width="28.5" customWidth="1"/>
    <col min="3" max="3" width="9.6640625" customWidth="1"/>
    <col min="4" max="4" width="13.33203125" customWidth="1"/>
    <col min="5" max="5" width="9.6640625" customWidth="1"/>
    <col min="6" max="6" width="12.6640625" customWidth="1"/>
    <col min="7" max="7" width="11.1640625" customWidth="1"/>
    <col min="8" max="8" width="9.6640625" customWidth="1"/>
    <col min="9" max="9" width="11.33203125" customWidth="1"/>
    <col min="10" max="10" width="6.33203125" customWidth="1"/>
    <col min="11" max="11" width="3.6640625" customWidth="1"/>
    <col min="13" max="13" width="8.5" bestFit="1" customWidth="1"/>
  </cols>
  <sheetData>
    <row r="1" spans="1:13" x14ac:dyDescent="0.2">
      <c r="A1" s="8" t="s">
        <v>0</v>
      </c>
      <c r="B1" s="12"/>
      <c r="K1" s="7" t="s">
        <v>4</v>
      </c>
      <c r="L1" s="1"/>
    </row>
    <row r="2" spans="1:13" x14ac:dyDescent="0.2">
      <c r="A2" s="8" t="s">
        <v>184</v>
      </c>
      <c r="B2" s="12"/>
      <c r="H2" s="7"/>
      <c r="I2" s="7"/>
      <c r="J2" s="7"/>
      <c r="K2" s="7"/>
      <c r="L2" s="2"/>
    </row>
    <row r="3" spans="1:13" x14ac:dyDescent="0.2">
      <c r="A3" s="8" t="s">
        <v>1</v>
      </c>
      <c r="B3" s="12"/>
      <c r="L3" s="2"/>
    </row>
    <row r="4" spans="1:13" x14ac:dyDescent="0.2">
      <c r="A4" t="s">
        <v>2</v>
      </c>
      <c r="B4" s="12"/>
      <c r="L4" s="2"/>
    </row>
    <row r="5" spans="1:13" x14ac:dyDescent="0.2">
      <c r="A5" t="s">
        <v>3</v>
      </c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6"/>
      <c r="G7" s="6"/>
      <c r="H7" s="6"/>
      <c r="L7" s="2"/>
      <c r="M7" s="6"/>
    </row>
    <row r="8" spans="1:13" ht="12" thickTop="1" x14ac:dyDescent="0.2">
      <c r="H8" s="22">
        <f>'2.1'!A23+1</f>
        <v>2023</v>
      </c>
      <c r="L8" s="2"/>
      <c r="M8">
        <f>H8-1</f>
        <v>2022</v>
      </c>
    </row>
    <row r="9" spans="1:13" x14ac:dyDescent="0.2">
      <c r="C9" s="10" t="s">
        <v>6</v>
      </c>
      <c r="H9" t="s">
        <v>12</v>
      </c>
      <c r="L9" s="2"/>
      <c r="M9" s="7" t="str">
        <f>H9</f>
        <v>Indicated</v>
      </c>
    </row>
    <row r="10" spans="1:13" x14ac:dyDescent="0.2">
      <c r="E10" t="s">
        <v>248</v>
      </c>
      <c r="G10" t="s">
        <v>9</v>
      </c>
      <c r="H10" t="s">
        <v>13</v>
      </c>
      <c r="L10" s="2"/>
      <c r="M10" s="7" t="str">
        <f>H10</f>
        <v>Rate</v>
      </c>
    </row>
    <row r="11" spans="1:13" x14ac:dyDescent="0.2">
      <c r="A11" s="9" t="s">
        <v>17</v>
      </c>
      <c r="B11" s="9"/>
      <c r="C11" s="9" t="s">
        <v>5</v>
      </c>
      <c r="D11" s="9" t="s">
        <v>7</v>
      </c>
      <c r="E11" s="9" t="s">
        <v>249</v>
      </c>
      <c r="F11" s="9" t="s">
        <v>8</v>
      </c>
      <c r="G11" s="9" t="s">
        <v>250</v>
      </c>
      <c r="H11" s="9" t="s">
        <v>14</v>
      </c>
      <c r="L11" s="2"/>
      <c r="M11" s="204" t="str">
        <f>H11</f>
        <v>Change</v>
      </c>
    </row>
    <row r="12" spans="1:13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J12" s="11"/>
      <c r="K12" s="11"/>
      <c r="L12" s="2"/>
      <c r="M12" s="11"/>
    </row>
    <row r="13" spans="1:13" x14ac:dyDescent="0.2">
      <c r="L13" s="2"/>
    </row>
    <row r="14" spans="1:13" x14ac:dyDescent="0.2">
      <c r="L14" s="2"/>
    </row>
    <row r="15" spans="1:13" x14ac:dyDescent="0.2">
      <c r="B15" t="s">
        <v>374</v>
      </c>
      <c r="C15" s="19">
        <f>AVERAGE(AVERAGE(C26),C19)</f>
        <v>0.54600000000000004</v>
      </c>
      <c r="D15" s="21">
        <f>D$19</f>
        <v>5.5E-2</v>
      </c>
      <c r="E15" s="21">
        <f>E$19</f>
        <v>0.33885862569367359</v>
      </c>
      <c r="F15" s="17">
        <f>C15+D15+E15</f>
        <v>0.93985862569367362</v>
      </c>
      <c r="G15" s="21">
        <f>G$19</f>
        <v>0.77099999999999991</v>
      </c>
      <c r="H15" s="21">
        <f>ROUND(F15/G15-1,2)</f>
        <v>0.22</v>
      </c>
      <c r="L15" s="2"/>
      <c r="M15" s="109">
        <f>'[3]1'!$H$15</f>
        <v>0.11</v>
      </c>
    </row>
    <row r="16" spans="1:13" x14ac:dyDescent="0.2">
      <c r="A16" s="9"/>
      <c r="B16" s="9"/>
      <c r="C16" s="9"/>
      <c r="D16" s="9"/>
      <c r="E16" s="9"/>
      <c r="F16" s="9"/>
      <c r="G16" s="9"/>
      <c r="H16" s="20"/>
      <c r="J16" s="19"/>
      <c r="L16" s="2"/>
      <c r="M16" s="9"/>
    </row>
    <row r="17" spans="1:13" x14ac:dyDescent="0.2">
      <c r="H17" s="19"/>
      <c r="L17" s="2"/>
    </row>
    <row r="18" spans="1:13" x14ac:dyDescent="0.2">
      <c r="C18" s="14"/>
      <c r="D18" s="14"/>
      <c r="E18" s="14"/>
      <c r="F18" s="14"/>
      <c r="G18" s="14"/>
      <c r="H18" s="95"/>
      <c r="J18" s="15"/>
      <c r="K18" s="15"/>
      <c r="L18" s="2"/>
      <c r="M18" s="15"/>
    </row>
    <row r="19" spans="1:13" x14ac:dyDescent="0.2">
      <c r="B19" t="s">
        <v>314</v>
      </c>
      <c r="C19" s="21">
        <f>'5'!$E$14</f>
        <v>0.48099999999999998</v>
      </c>
      <c r="D19" s="21">
        <f>'2.1'!$H$26</f>
        <v>5.5E-2</v>
      </c>
      <c r="E19" s="21">
        <f>'11.1'!$G$42</f>
        <v>0.33885862569367359</v>
      </c>
      <c r="F19" s="17">
        <f>C19+D19+E19</f>
        <v>0.87485862569367367</v>
      </c>
      <c r="G19" s="21">
        <f>'11.1'!$G$48</f>
        <v>0.77099999999999991</v>
      </c>
      <c r="H19" s="21">
        <f>ROUND(F19/G19-1,2)</f>
        <v>0.13</v>
      </c>
      <c r="J19" s="16"/>
      <c r="K19" s="16"/>
      <c r="L19" s="2"/>
      <c r="M19" s="302">
        <f>'[3]1'!H19</f>
        <v>0.08</v>
      </c>
    </row>
    <row r="20" spans="1:13" x14ac:dyDescent="0.2">
      <c r="C20" s="21"/>
      <c r="D20" s="21"/>
      <c r="E20" s="21"/>
      <c r="F20" s="17"/>
      <c r="G20" s="21"/>
      <c r="H20" s="21"/>
      <c r="J20" s="16"/>
      <c r="K20" s="16"/>
      <c r="L20" s="2"/>
      <c r="M20" s="302"/>
    </row>
    <row r="21" spans="1:13" x14ac:dyDescent="0.2">
      <c r="B21" t="s">
        <v>623</v>
      </c>
      <c r="C21" s="21">
        <f>'5'!E17</f>
        <v>0.82399999999999995</v>
      </c>
      <c r="D21" s="21">
        <f>D$19</f>
        <v>5.5E-2</v>
      </c>
      <c r="E21" s="21">
        <f t="shared" ref="E21:G24" si="1">E$19</f>
        <v>0.33885862569367359</v>
      </c>
      <c r="F21" s="17">
        <f t="shared" ref="F21:F24" si="2">C21+D21+E21</f>
        <v>1.2178586256936736</v>
      </c>
      <c r="G21" s="21">
        <f t="shared" si="1"/>
        <v>0.77099999999999991</v>
      </c>
      <c r="H21" s="21">
        <f t="shared" ref="H21:H24" si="3">ROUND(F21/G21-1,2)</f>
        <v>0.57999999999999996</v>
      </c>
      <c r="J21" s="16"/>
      <c r="K21" s="16"/>
      <c r="L21" s="2"/>
      <c r="M21" s="302">
        <f>'[3]1'!H20</f>
        <v>0.34</v>
      </c>
    </row>
    <row r="22" spans="1:13" x14ac:dyDescent="0.2">
      <c r="B22" t="s">
        <v>590</v>
      </c>
      <c r="C22" s="21">
        <f>'5'!E18</f>
        <v>0.67600000000000005</v>
      </c>
      <c r="D22" s="21">
        <f t="shared" ref="D22:D24" si="4">D$19</f>
        <v>5.5E-2</v>
      </c>
      <c r="E22" s="21">
        <f t="shared" si="1"/>
        <v>0.33885862569367359</v>
      </c>
      <c r="F22" s="17">
        <f t="shared" si="2"/>
        <v>1.0698586256936737</v>
      </c>
      <c r="G22" s="21">
        <f t="shared" si="1"/>
        <v>0.77099999999999991</v>
      </c>
      <c r="H22" s="21">
        <f t="shared" si="3"/>
        <v>0.39</v>
      </c>
      <c r="J22" s="16"/>
      <c r="K22" s="16"/>
      <c r="L22" s="2"/>
      <c r="M22" s="302">
        <f>'[3]1'!H21</f>
        <v>0.27</v>
      </c>
    </row>
    <row r="23" spans="1:13" x14ac:dyDescent="0.2">
      <c r="B23" t="s">
        <v>594</v>
      </c>
      <c r="C23" s="21">
        <f>'5'!E19</f>
        <v>0.44400000000000001</v>
      </c>
      <c r="D23" s="21">
        <f t="shared" si="4"/>
        <v>5.5E-2</v>
      </c>
      <c r="E23" s="21">
        <f t="shared" si="1"/>
        <v>0.33885862569367359</v>
      </c>
      <c r="F23" s="17">
        <f t="shared" si="2"/>
        <v>0.83785862569367353</v>
      </c>
      <c r="G23" s="21">
        <f t="shared" si="1"/>
        <v>0.77099999999999991</v>
      </c>
      <c r="H23" s="21">
        <f t="shared" si="3"/>
        <v>0.09</v>
      </c>
      <c r="J23" s="16"/>
      <c r="K23" s="16"/>
      <c r="L23" s="2"/>
      <c r="M23" s="302">
        <f>'[3]1'!H22</f>
        <v>-0.05</v>
      </c>
    </row>
    <row r="24" spans="1:13" x14ac:dyDescent="0.2">
      <c r="B24" t="s">
        <v>591</v>
      </c>
      <c r="C24" s="21">
        <f>'5'!E20</f>
        <v>0.497</v>
      </c>
      <c r="D24" s="21">
        <f t="shared" si="4"/>
        <v>5.5E-2</v>
      </c>
      <c r="E24" s="21">
        <f t="shared" si="1"/>
        <v>0.33885862569367359</v>
      </c>
      <c r="F24" s="17">
        <f t="shared" si="2"/>
        <v>0.89085862569367369</v>
      </c>
      <c r="G24" s="21">
        <f t="shared" si="1"/>
        <v>0.77099999999999991</v>
      </c>
      <c r="H24" s="21">
        <f t="shared" si="3"/>
        <v>0.16</v>
      </c>
      <c r="L24" s="2"/>
      <c r="M24" s="302">
        <f>'[3]1'!H23</f>
        <v>-0.01</v>
      </c>
    </row>
    <row r="25" spans="1:13" x14ac:dyDescent="0.2">
      <c r="C25" s="21"/>
      <c r="D25" s="21"/>
      <c r="E25" s="21"/>
      <c r="F25" s="17"/>
      <c r="G25" s="21"/>
      <c r="H25" s="21"/>
      <c r="J25" s="16"/>
      <c r="K25" s="16"/>
      <c r="L25" s="2"/>
      <c r="M25" s="302"/>
    </row>
    <row r="26" spans="1:13" ht="12" thickBot="1" x14ac:dyDescent="0.25">
      <c r="A26" s="6"/>
      <c r="B26" s="6" t="s">
        <v>571</v>
      </c>
      <c r="C26" s="240">
        <f>'5'!E22</f>
        <v>0.61099999999999999</v>
      </c>
      <c r="D26" s="240">
        <f>D19</f>
        <v>5.5E-2</v>
      </c>
      <c r="E26" s="240">
        <f>E19</f>
        <v>0.33885862569367359</v>
      </c>
      <c r="F26" s="240">
        <f>C26+D26+E26</f>
        <v>1.0048586256936736</v>
      </c>
      <c r="G26" s="241">
        <f>G19</f>
        <v>0.77099999999999991</v>
      </c>
      <c r="H26" s="299">
        <f>F26/G26-1</f>
        <v>0.30331858066624351</v>
      </c>
      <c r="L26" s="2"/>
      <c r="M26" s="300">
        <f>'[3]1'!$H$25</f>
        <v>0.13858702501619558</v>
      </c>
    </row>
    <row r="27" spans="1:13" ht="12" thickTop="1" x14ac:dyDescent="0.2">
      <c r="C27" s="19"/>
      <c r="E27" s="19"/>
      <c r="L27" s="2"/>
    </row>
    <row r="28" spans="1:13" x14ac:dyDescent="0.2">
      <c r="A28" t="s">
        <v>18</v>
      </c>
      <c r="C28" s="153"/>
      <c r="L28" s="2"/>
    </row>
    <row r="29" spans="1:13" x14ac:dyDescent="0.2">
      <c r="B29" s="12" t="str">
        <f>C12&amp;" "&amp;'5'!$H$1</f>
        <v>(2) Exhibit 5</v>
      </c>
      <c r="L29" s="2"/>
    </row>
    <row r="30" spans="1:13" x14ac:dyDescent="0.2">
      <c r="B30" s="12" t="str">
        <f>D12&amp;" "&amp;'2.1'!$J$1&amp;", "&amp;'2.1'!$J$2</f>
        <v>(3) Exhibit 2, Sheet 1</v>
      </c>
      <c r="L30" s="2"/>
    </row>
    <row r="31" spans="1:13" x14ac:dyDescent="0.2">
      <c r="B31" s="12" t="str">
        <f>E12&amp;" "&amp;'11.1'!$J$1</f>
        <v>(4) Exhibit 11</v>
      </c>
      <c r="L31" s="2"/>
    </row>
    <row r="32" spans="1:13" x14ac:dyDescent="0.2">
      <c r="B32" t="str">
        <f>F12&amp;" = "&amp;C12&amp;" + "&amp;D12&amp;" + "&amp;E12</f>
        <v>(5) = (2) + (3) + (4)</v>
      </c>
      <c r="D32" s="19"/>
      <c r="L32" s="2"/>
    </row>
    <row r="33" spans="2:13" x14ac:dyDescent="0.2">
      <c r="B33" s="12" t="str">
        <f>G12&amp;" "&amp;'11.1'!$J$1</f>
        <v>(6) Exhibit 11</v>
      </c>
      <c r="D33" s="19"/>
      <c r="L33" s="2"/>
    </row>
    <row r="34" spans="2:13" x14ac:dyDescent="0.2">
      <c r="B34" s="12" t="str">
        <f>H12&amp;" = "&amp;F12&amp;" / "&amp;G12&amp;" - 1"</f>
        <v>(7) = (5) / (6) - 1</v>
      </c>
      <c r="I34" s="16"/>
      <c r="J34" s="16"/>
      <c r="K34" s="16"/>
      <c r="L34" s="2"/>
      <c r="M34" s="95"/>
    </row>
    <row r="35" spans="2:13" x14ac:dyDescent="0.2">
      <c r="B35" s="12"/>
      <c r="L35" s="2"/>
    </row>
    <row r="36" spans="2:13" x14ac:dyDescent="0.2">
      <c r="C36" s="21"/>
      <c r="D36" s="21"/>
      <c r="E36" s="21"/>
      <c r="F36" s="17"/>
      <c r="G36" s="21"/>
      <c r="H36" s="16"/>
      <c r="I36" s="16"/>
      <c r="J36" s="16"/>
      <c r="K36" s="16"/>
      <c r="L36" s="2"/>
      <c r="M36" s="95"/>
    </row>
    <row r="37" spans="2:13" x14ac:dyDescent="0.2">
      <c r="L37" s="2"/>
    </row>
    <row r="38" spans="2:13" x14ac:dyDescent="0.2">
      <c r="L38" s="2"/>
    </row>
    <row r="39" spans="2:13" x14ac:dyDescent="0.2">
      <c r="L39" s="2"/>
    </row>
    <row r="40" spans="2:13" x14ac:dyDescent="0.2">
      <c r="L40" s="2"/>
    </row>
    <row r="41" spans="2:13" x14ac:dyDescent="0.2">
      <c r="L41" s="2"/>
    </row>
    <row r="42" spans="2:13" x14ac:dyDescent="0.2">
      <c r="L42" s="2"/>
    </row>
    <row r="43" spans="2:13" x14ac:dyDescent="0.2">
      <c r="L43" s="2"/>
    </row>
    <row r="44" spans="2:13" x14ac:dyDescent="0.2">
      <c r="L44" s="2"/>
    </row>
    <row r="45" spans="2:13" x14ac:dyDescent="0.2">
      <c r="L45" s="2"/>
    </row>
    <row r="46" spans="2:13" x14ac:dyDescent="0.2">
      <c r="L46" s="2"/>
    </row>
    <row r="47" spans="2:13" x14ac:dyDescent="0.2">
      <c r="L47" s="2"/>
    </row>
    <row r="48" spans="2:13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33CB-D272-4269-B87C-F6001C425968}">
  <sheetPr>
    <tabColor rgb="FF92D050"/>
  </sheetPr>
  <dimension ref="A1:L69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360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71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592</v>
      </c>
      <c r="B4" s="12"/>
      <c r="K4" s="2"/>
    </row>
    <row r="5" spans="1:12" x14ac:dyDescent="0.2"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36" t="s">
        <v>109</v>
      </c>
      <c r="D9" s="11"/>
      <c r="K9" s="2"/>
      <c r="L9" s="24"/>
    </row>
    <row r="10" spans="1:12" x14ac:dyDescent="0.2">
      <c r="C10" t="s">
        <v>110</v>
      </c>
      <c r="D10" s="11" t="s">
        <v>111</v>
      </c>
      <c r="E10" t="s">
        <v>114</v>
      </c>
      <c r="K10" s="2"/>
      <c r="L10" s="12" t="s">
        <v>131</v>
      </c>
    </row>
    <row r="11" spans="1:12" x14ac:dyDescent="0.2">
      <c r="A11" s="9" t="s">
        <v>108</v>
      </c>
      <c r="B11" s="9"/>
      <c r="C11" s="9" t="str">
        <f>"as of "&amp;TEXT($L$11,"m/d/yy")</f>
        <v>as of 11/30/22</v>
      </c>
      <c r="D11" s="178" t="s">
        <v>112</v>
      </c>
      <c r="E11" s="9" t="s">
        <v>113</v>
      </c>
      <c r="K11" s="2"/>
      <c r="L11" s="36">
        <f>'8.2'!L11</f>
        <v>44895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116</v>
      </c>
      <c r="C14" s="18">
        <f>'8.4'!C14</f>
        <v>334112</v>
      </c>
      <c r="D14" s="189">
        <f>'8.4'!E14</f>
        <v>3.1819999999999999</v>
      </c>
      <c r="E14" s="26">
        <f>ROUND(C14*D14,0)</f>
        <v>1063144</v>
      </c>
      <c r="K14" s="2"/>
    </row>
    <row r="15" spans="1:12" x14ac:dyDescent="0.2">
      <c r="A15" t="s">
        <v>117</v>
      </c>
      <c r="C15" s="18">
        <f>'8.4'!C15</f>
        <v>460868</v>
      </c>
      <c r="D15" s="189">
        <f>'8.4'!E15</f>
        <v>2.7469999999999999</v>
      </c>
      <c r="E15" s="26">
        <f t="shared" ref="E15:E27" si="0">ROUND(C15*D15,0)</f>
        <v>1266004</v>
      </c>
      <c r="K15" s="2"/>
    </row>
    <row r="16" spans="1:12" x14ac:dyDescent="0.2">
      <c r="A16" t="s">
        <v>118</v>
      </c>
      <c r="C16" s="18">
        <f>'8.4'!C16</f>
        <v>131888</v>
      </c>
      <c r="D16" s="189">
        <f>'8.4'!E16</f>
        <v>3.468</v>
      </c>
      <c r="E16" s="26">
        <f t="shared" si="0"/>
        <v>457388</v>
      </c>
      <c r="K16" s="2"/>
    </row>
    <row r="17" spans="1:11" x14ac:dyDescent="0.2">
      <c r="A17" t="s">
        <v>119</v>
      </c>
      <c r="C17" s="18">
        <f>'8.4'!C17</f>
        <v>1232168</v>
      </c>
      <c r="D17" s="189">
        <f>'8.4'!E17</f>
        <v>2.8130000000000002</v>
      </c>
      <c r="E17" s="26">
        <f t="shared" si="0"/>
        <v>3466089</v>
      </c>
      <c r="K17" s="2"/>
    </row>
    <row r="18" spans="1:11" x14ac:dyDescent="0.2">
      <c r="A18" t="s">
        <v>120</v>
      </c>
      <c r="C18" s="18">
        <f>'8.4'!C18</f>
        <v>66075</v>
      </c>
      <c r="D18" s="189">
        <f>'8.4'!E18</f>
        <v>2.5840000000000001</v>
      </c>
      <c r="E18" s="26">
        <f t="shared" si="0"/>
        <v>170738</v>
      </c>
      <c r="K18" s="2"/>
    </row>
    <row r="19" spans="1:11" x14ac:dyDescent="0.2">
      <c r="A19" t="s">
        <v>121</v>
      </c>
      <c r="C19" s="18">
        <f>'8.4'!C19</f>
        <v>3140711</v>
      </c>
      <c r="D19" s="189">
        <f>'8.4'!E19</f>
        <v>5.0170000000000003</v>
      </c>
      <c r="E19" s="26">
        <f t="shared" si="0"/>
        <v>15756947</v>
      </c>
      <c r="K19" s="2"/>
    </row>
    <row r="20" spans="1:11" x14ac:dyDescent="0.2">
      <c r="A20" t="s">
        <v>122</v>
      </c>
      <c r="C20" s="18">
        <f>'8.4'!C20</f>
        <v>123247</v>
      </c>
      <c r="D20" s="189">
        <f>'8.4'!E20</f>
        <v>4.6230000000000002</v>
      </c>
      <c r="E20" s="26">
        <f t="shared" si="0"/>
        <v>569771</v>
      </c>
      <c r="K20" s="2"/>
    </row>
    <row r="21" spans="1:11" x14ac:dyDescent="0.2">
      <c r="A21" t="s">
        <v>123</v>
      </c>
      <c r="C21" s="18">
        <f>'8.4'!C21</f>
        <v>498050</v>
      </c>
      <c r="D21" s="189">
        <f>'8.4'!E21</f>
        <v>3.59</v>
      </c>
      <c r="E21" s="26">
        <f t="shared" si="0"/>
        <v>1788000</v>
      </c>
      <c r="K21" s="2"/>
    </row>
    <row r="22" spans="1:11" x14ac:dyDescent="0.2">
      <c r="A22" t="s">
        <v>124</v>
      </c>
      <c r="C22" s="18">
        <f>'8.4'!C22</f>
        <v>694</v>
      </c>
      <c r="D22" s="189">
        <f>'8.4'!E22</f>
        <v>1.5129999999999999</v>
      </c>
      <c r="E22" s="26">
        <f t="shared" si="0"/>
        <v>1050</v>
      </c>
      <c r="K22" s="2"/>
    </row>
    <row r="23" spans="1:11" x14ac:dyDescent="0.2">
      <c r="A23" t="s">
        <v>125</v>
      </c>
      <c r="B23" s="12"/>
      <c r="C23" s="18">
        <f>'8.4'!C23</f>
        <v>22737</v>
      </c>
      <c r="D23" s="189">
        <f>'8.4'!E23</f>
        <v>1.2789999999999999</v>
      </c>
      <c r="E23" s="26">
        <f t="shared" si="0"/>
        <v>29081</v>
      </c>
      <c r="K23" s="2"/>
    </row>
    <row r="24" spans="1:11" x14ac:dyDescent="0.2">
      <c r="A24" t="s">
        <v>126</v>
      </c>
      <c r="B24" s="12"/>
      <c r="C24" s="18">
        <f>'8.4'!C24</f>
        <v>103140</v>
      </c>
      <c r="D24" s="189">
        <f>'8.4'!E24</f>
        <v>3.5960000000000001</v>
      </c>
      <c r="E24" s="26">
        <f t="shared" si="0"/>
        <v>370891</v>
      </c>
      <c r="K24" s="2"/>
    </row>
    <row r="25" spans="1:11" x14ac:dyDescent="0.2">
      <c r="A25" t="s">
        <v>127</v>
      </c>
      <c r="B25" s="12"/>
      <c r="C25" s="18">
        <f>'8.4'!C25</f>
        <v>2453934</v>
      </c>
      <c r="D25" s="189">
        <f>'8.4'!E25</f>
        <v>2.7770000000000001</v>
      </c>
      <c r="E25" s="26">
        <f>ROUND(C25*D25,0)</f>
        <v>6814575</v>
      </c>
      <c r="K25" s="2"/>
    </row>
    <row r="26" spans="1:11" x14ac:dyDescent="0.2">
      <c r="A26" t="s">
        <v>128</v>
      </c>
      <c r="C26" s="18">
        <f>'8.4'!C26</f>
        <v>18577</v>
      </c>
      <c r="D26" s="189">
        <f>'8.4'!E26</f>
        <v>2.2719999999999998</v>
      </c>
      <c r="E26" s="26">
        <f t="shared" si="0"/>
        <v>42207</v>
      </c>
      <c r="K26" s="2"/>
    </row>
    <row r="27" spans="1:11" x14ac:dyDescent="0.2">
      <c r="A27" t="s">
        <v>129</v>
      </c>
      <c r="C27" s="18">
        <f>'8.4'!C27</f>
        <v>133728</v>
      </c>
      <c r="D27" s="189">
        <f>'8.4'!E27</f>
        <v>2.1509999999999998</v>
      </c>
      <c r="E27" s="26">
        <f t="shared" si="0"/>
        <v>287649</v>
      </c>
      <c r="K27" s="2"/>
    </row>
    <row r="28" spans="1:11" x14ac:dyDescent="0.2">
      <c r="A28" t="s">
        <v>130</v>
      </c>
      <c r="C28" s="18">
        <f>'8.4'!C28</f>
        <v>19550</v>
      </c>
      <c r="D28" s="189">
        <f>'8.4'!E28</f>
        <v>2.4359999999999999</v>
      </c>
      <c r="E28" s="26">
        <f>ROUND(C28*D28,0)</f>
        <v>47624</v>
      </c>
      <c r="K28" s="2"/>
    </row>
    <row r="29" spans="1:11" x14ac:dyDescent="0.2">
      <c r="A29" s="9"/>
      <c r="B29" s="23"/>
      <c r="C29" s="25"/>
      <c r="D29" s="190"/>
      <c r="E29" s="27"/>
      <c r="K29" s="2"/>
    </row>
    <row r="30" spans="1:11" x14ac:dyDescent="0.2">
      <c r="C30" s="18"/>
      <c r="D30" s="168"/>
      <c r="E30" s="12"/>
      <c r="K30" s="2"/>
    </row>
    <row r="31" spans="1:11" x14ac:dyDescent="0.2">
      <c r="A31" t="s">
        <v>8</v>
      </c>
      <c r="C31" s="26">
        <f>SUM(C14:C28)</f>
        <v>8739479</v>
      </c>
      <c r="D31" s="189">
        <f>E31/C31</f>
        <v>3.6765530302206804</v>
      </c>
      <c r="E31" s="26">
        <f>SUM(E14:E28)</f>
        <v>32131158</v>
      </c>
      <c r="K31" s="2"/>
    </row>
    <row r="32" spans="1:11" x14ac:dyDescent="0.2">
      <c r="K32" s="2"/>
    </row>
    <row r="33" spans="1:11" x14ac:dyDescent="0.2">
      <c r="A33" s="40" t="s">
        <v>88</v>
      </c>
      <c r="B33" t="str">
        <f>'7.1'!B33</f>
        <v>In-Force Premium as of 11/30/22 at Present Rates</v>
      </c>
      <c r="E33" s="26">
        <f>'7.1'!E33</f>
        <v>74882663</v>
      </c>
      <c r="K33" s="2"/>
    </row>
    <row r="34" spans="1:11" x14ac:dyDescent="0.2">
      <c r="A34" s="40" t="s">
        <v>92</v>
      </c>
      <c r="B34" t="s">
        <v>115</v>
      </c>
      <c r="E34" s="19">
        <f>ROUND(E31/E33,3)</f>
        <v>0.42899999999999999</v>
      </c>
      <c r="K34" s="2"/>
    </row>
    <row r="35" spans="1:11" ht="12" thickBot="1" x14ac:dyDescent="0.25">
      <c r="A35" s="6"/>
      <c r="B35" s="6"/>
      <c r="C35" s="6"/>
      <c r="D35" s="6"/>
      <c r="E35" s="6"/>
      <c r="K35" s="2"/>
    </row>
    <row r="36" spans="1:11" ht="12" thickTop="1" x14ac:dyDescent="0.2">
      <c r="K36" s="2"/>
    </row>
    <row r="37" spans="1:11" x14ac:dyDescent="0.2">
      <c r="A37" t="s">
        <v>18</v>
      </c>
      <c r="K37" s="2"/>
    </row>
    <row r="38" spans="1:11" x14ac:dyDescent="0.2">
      <c r="B38" s="12" t="str">
        <f>C12&amp;" Provided by TWIA"</f>
        <v>(2) Provided by TWIA</v>
      </c>
      <c r="K38" s="2"/>
    </row>
    <row r="39" spans="1:11" x14ac:dyDescent="0.2">
      <c r="B39" s="12" t="str">
        <f>D12&amp;" "&amp;'8.4'!$J$1&amp;", "&amp;'8.4'!$J$2</f>
        <v>(3) Exhibit 8, Sheet 4</v>
      </c>
      <c r="K39" s="2"/>
    </row>
    <row r="40" spans="1:11" x14ac:dyDescent="0.2">
      <c r="B40" s="12" t="str">
        <f>E12&amp;" = "&amp;C12&amp;" * "&amp;D12</f>
        <v>(4) = (2) * (3)</v>
      </c>
      <c r="F40" s="41"/>
      <c r="G40" s="41"/>
      <c r="H40" s="41"/>
      <c r="K40" s="2"/>
    </row>
    <row r="41" spans="1:11" x14ac:dyDescent="0.2">
      <c r="B41" s="12" t="str">
        <f>A33&amp;" Provided by TWIA"</f>
        <v>(5) Provided by TWIA</v>
      </c>
      <c r="K41" s="2"/>
    </row>
    <row r="42" spans="1:11" x14ac:dyDescent="0.2">
      <c r="B42" s="12" t="str">
        <f>A34&amp;" = "&amp;E12&amp;" Total / "&amp;A33</f>
        <v>(6) = (4) Total / (5)</v>
      </c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A55" s="40"/>
      <c r="C55" s="31"/>
      <c r="D55" s="31"/>
      <c r="E55" s="31"/>
      <c r="F55" s="31"/>
      <c r="G55" s="31"/>
      <c r="H55" s="31"/>
      <c r="I55" s="18"/>
      <c r="K55" s="2"/>
    </row>
    <row r="56" spans="1:11" x14ac:dyDescent="0.2">
      <c r="A56" s="40"/>
      <c r="C56" s="31"/>
      <c r="D56" s="31"/>
      <c r="E56" s="31"/>
      <c r="F56" s="31"/>
      <c r="G56" s="31"/>
      <c r="H56" s="31"/>
      <c r="I56" s="18"/>
      <c r="K56" s="2"/>
    </row>
    <row r="57" spans="1:11" x14ac:dyDescent="0.2">
      <c r="A57" s="40"/>
      <c r="C57" s="31"/>
      <c r="D57" s="31"/>
      <c r="E57" s="31"/>
      <c r="F57" s="31"/>
      <c r="G57" s="31"/>
      <c r="H57" s="31"/>
      <c r="I57" s="18"/>
      <c r="K57" s="2"/>
    </row>
    <row r="58" spans="1:11" x14ac:dyDescent="0.2">
      <c r="A58" s="40"/>
      <c r="C58" s="31"/>
      <c r="D58" s="31"/>
      <c r="E58" s="31"/>
      <c r="F58" s="31"/>
      <c r="G58" s="31"/>
      <c r="H58" s="31"/>
      <c r="I58" s="18"/>
      <c r="K58" s="2"/>
    </row>
    <row r="59" spans="1:11" x14ac:dyDescent="0.2">
      <c r="A59" s="40"/>
      <c r="C59" s="31"/>
      <c r="D59" s="31"/>
      <c r="E59" s="31"/>
      <c r="F59" s="31"/>
      <c r="G59" s="31"/>
      <c r="H59" s="31"/>
      <c r="I59" s="18"/>
      <c r="K59" s="2"/>
    </row>
    <row r="60" spans="1:11" x14ac:dyDescent="0.2">
      <c r="A60" s="40"/>
      <c r="C60" s="31"/>
      <c r="D60" s="31"/>
      <c r="E60" s="31"/>
      <c r="F60" s="31"/>
      <c r="G60" s="31"/>
      <c r="H60" s="31"/>
      <c r="I60" s="18"/>
      <c r="K60" s="2"/>
    </row>
    <row r="61" spans="1:11" x14ac:dyDescent="0.2">
      <c r="A61" s="40"/>
      <c r="C61" s="31"/>
      <c r="D61" s="31"/>
      <c r="E61" s="31"/>
      <c r="F61" s="31"/>
      <c r="G61" s="31"/>
      <c r="H61" s="31"/>
      <c r="I61" s="18"/>
      <c r="K61" s="2"/>
    </row>
    <row r="62" spans="1:11" x14ac:dyDescent="0.2">
      <c r="A62" s="40"/>
      <c r="C62" s="31"/>
      <c r="D62" s="31"/>
      <c r="E62" s="31"/>
      <c r="F62" s="31"/>
      <c r="G62" s="31"/>
      <c r="H62" s="31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41"/>
      <c r="G64" s="41"/>
      <c r="H64" s="41"/>
      <c r="K64" s="2"/>
    </row>
    <row r="65" spans="1:11" x14ac:dyDescent="0.2">
      <c r="B65" s="22"/>
      <c r="C65" s="41"/>
      <c r="D65" s="41"/>
      <c r="E65" s="41"/>
      <c r="F65" s="41"/>
      <c r="G65" s="41"/>
      <c r="H65" s="41"/>
      <c r="K65" s="2"/>
    </row>
    <row r="66" spans="1:11" x14ac:dyDescent="0.2">
      <c r="B66" s="22"/>
      <c r="C66" s="41"/>
      <c r="D66" s="41"/>
      <c r="E66" s="41"/>
      <c r="F66" s="41"/>
      <c r="G66" s="41"/>
      <c r="H66" s="41"/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9">
    <tabColor rgb="FF92D050"/>
  </sheetPr>
  <dimension ref="A1:N68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  <col min="12" max="12" width="14.1640625" customWidth="1"/>
  </cols>
  <sheetData>
    <row r="1" spans="1:14" x14ac:dyDescent="0.2">
      <c r="A1" s="8" t="str">
        <f>'1'!$A$1</f>
        <v>Texas Windstorm Insurance Association</v>
      </c>
      <c r="B1" s="12"/>
      <c r="J1" s="7" t="s">
        <v>134</v>
      </c>
      <c r="K1" s="1"/>
      <c r="M1" t="s">
        <v>526</v>
      </c>
      <c r="N1" t="s">
        <v>562</v>
      </c>
    </row>
    <row r="2" spans="1:14" x14ac:dyDescent="0.2">
      <c r="A2" s="8" t="str">
        <f>'1'!$A$2</f>
        <v>Commercial Property - Wind &amp; Hail</v>
      </c>
      <c r="B2" s="12"/>
      <c r="J2" s="7" t="s">
        <v>21</v>
      </c>
      <c r="K2" s="2"/>
    </row>
    <row r="3" spans="1:14" x14ac:dyDescent="0.2">
      <c r="A3" s="8" t="str">
        <f>'1'!$A$3</f>
        <v>Rate Level Review</v>
      </c>
      <c r="B3" s="12"/>
      <c r="K3" s="2"/>
    </row>
    <row r="4" spans="1:14" x14ac:dyDescent="0.2">
      <c r="A4" t="s">
        <v>605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2" thickBot="1" x14ac:dyDescent="0.25">
      <c r="A7" s="6"/>
      <c r="B7" s="6"/>
      <c r="C7" s="6"/>
      <c r="D7" s="6"/>
      <c r="E7" s="6"/>
      <c r="K7" s="2"/>
    </row>
    <row r="8" spans="1:14" ht="12" thickTop="1" x14ac:dyDescent="0.2">
      <c r="K8" s="2"/>
    </row>
    <row r="9" spans="1:14" x14ac:dyDescent="0.2">
      <c r="C9" s="36" t="s">
        <v>109</v>
      </c>
      <c r="D9" t="s">
        <v>51</v>
      </c>
      <c r="K9" s="2"/>
      <c r="L9" s="24"/>
    </row>
    <row r="10" spans="1:14" x14ac:dyDescent="0.2">
      <c r="C10" t="s">
        <v>110</v>
      </c>
      <c r="D10" t="s">
        <v>132</v>
      </c>
      <c r="E10" t="s">
        <v>111</v>
      </c>
      <c r="K10" s="2"/>
      <c r="L10" s="12" t="s">
        <v>131</v>
      </c>
    </row>
    <row r="11" spans="1:14" x14ac:dyDescent="0.2">
      <c r="A11" s="9" t="s">
        <v>108</v>
      </c>
      <c r="B11" s="9"/>
      <c r="C11" s="9" t="str">
        <f>"as of "&amp;TEXT($L$11,"m/d/yy")</f>
        <v>as of 11/30/22</v>
      </c>
      <c r="D11" s="9" t="s">
        <v>133</v>
      </c>
      <c r="E11" s="9" t="s">
        <v>112</v>
      </c>
      <c r="K11" s="2"/>
      <c r="L11" s="282">
        <f>'[4]Hurr Models'!$C$1</f>
        <v>44895</v>
      </c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4" x14ac:dyDescent="0.2">
      <c r="K13" s="2"/>
    </row>
    <row r="14" spans="1:14" x14ac:dyDescent="0.2">
      <c r="A14" t="s">
        <v>116</v>
      </c>
      <c r="C14" s="272">
        <f>ROUND('[4]Hurr Models'!$E30/1000, 0)</f>
        <v>334112</v>
      </c>
      <c r="D14" s="272">
        <f>'[4]Hurr Models'!$K30</f>
        <v>1327128.2633</v>
      </c>
      <c r="E14" s="32">
        <f>ROUND(D14/C14,3)</f>
        <v>3.972</v>
      </c>
      <c r="G14" s="26"/>
      <c r="H14" s="18"/>
      <c r="K14" s="2"/>
    </row>
    <row r="15" spans="1:14" x14ac:dyDescent="0.2">
      <c r="A15" t="s">
        <v>117</v>
      </c>
      <c r="C15" s="272">
        <f>ROUND('[4]Hurr Models'!$E31/1000, 0)</f>
        <v>460868</v>
      </c>
      <c r="D15" s="272">
        <f>'[4]Hurr Models'!$K31</f>
        <v>1640521.1658999999</v>
      </c>
      <c r="E15" s="32">
        <f t="shared" ref="E15:E27" si="0">ROUND(D15/C15,3)</f>
        <v>3.56</v>
      </c>
      <c r="G15" s="26"/>
      <c r="H15" s="18"/>
      <c r="K15" s="2"/>
    </row>
    <row r="16" spans="1:14" x14ac:dyDescent="0.2">
      <c r="A16" t="s">
        <v>118</v>
      </c>
      <c r="C16" s="272">
        <f>ROUND('[4]Hurr Models'!$E32/1000, 0)</f>
        <v>131888</v>
      </c>
      <c r="D16" s="272">
        <f>'[4]Hurr Models'!$K32</f>
        <v>558142.4044</v>
      </c>
      <c r="E16" s="32">
        <f t="shared" si="0"/>
        <v>4.2320000000000002</v>
      </c>
      <c r="G16" s="26"/>
      <c r="H16" s="18"/>
      <c r="K16" s="2"/>
    </row>
    <row r="17" spans="1:13" x14ac:dyDescent="0.2">
      <c r="A17" t="s">
        <v>119</v>
      </c>
      <c r="C17" s="272">
        <f>ROUND('[4]Hurr Models'!$E33/1000, 0)</f>
        <v>1232168</v>
      </c>
      <c r="D17" s="272">
        <f>'[4]Hurr Models'!$K33</f>
        <v>5337849.4145</v>
      </c>
      <c r="E17" s="32">
        <f t="shared" si="0"/>
        <v>4.3319999999999999</v>
      </c>
      <c r="G17" s="26"/>
      <c r="H17" s="18"/>
      <c r="K17" s="2"/>
    </row>
    <row r="18" spans="1:13" x14ac:dyDescent="0.2">
      <c r="A18" t="s">
        <v>120</v>
      </c>
      <c r="C18" s="272">
        <f>ROUND('[4]Hurr Models'!$E34/1000, 0)</f>
        <v>66075</v>
      </c>
      <c r="D18" s="272">
        <f>'[4]Hurr Models'!$K34</f>
        <v>204908.6563</v>
      </c>
      <c r="E18" s="32">
        <f t="shared" si="0"/>
        <v>3.101</v>
      </c>
      <c r="G18" s="26"/>
      <c r="H18" s="18"/>
      <c r="K18" s="2"/>
    </row>
    <row r="19" spans="1:13" x14ac:dyDescent="0.2">
      <c r="A19" t="s">
        <v>121</v>
      </c>
      <c r="C19" s="272">
        <f>ROUND('[4]Hurr Models'!$E35/1000, 0)</f>
        <v>3140711</v>
      </c>
      <c r="D19" s="272">
        <f>'[4]Hurr Models'!$K35</f>
        <v>30433645.6809</v>
      </c>
      <c r="E19" s="32">
        <f t="shared" si="0"/>
        <v>9.69</v>
      </c>
      <c r="G19" s="26"/>
      <c r="H19" s="18"/>
      <c r="K19" s="2"/>
    </row>
    <row r="20" spans="1:13" x14ac:dyDescent="0.2">
      <c r="A20" t="s">
        <v>122</v>
      </c>
      <c r="C20" s="272">
        <f>ROUND('[4]Hurr Models'!$E36/1000, 0)</f>
        <v>123247</v>
      </c>
      <c r="D20" s="272">
        <f>'[4]Hurr Models'!$K36</f>
        <v>532285.98720000009</v>
      </c>
      <c r="E20" s="32">
        <f t="shared" si="0"/>
        <v>4.319</v>
      </c>
      <c r="G20" s="26"/>
      <c r="H20" s="18"/>
      <c r="K20" s="2"/>
    </row>
    <row r="21" spans="1:13" x14ac:dyDescent="0.2">
      <c r="A21" t="s">
        <v>123</v>
      </c>
      <c r="C21" s="272">
        <f>ROUND('[4]Hurr Models'!$E37/1000, 0)</f>
        <v>498050</v>
      </c>
      <c r="D21" s="272">
        <f>'[4]Hurr Models'!$K37</f>
        <v>1507700.4491999999</v>
      </c>
      <c r="E21" s="32">
        <f t="shared" si="0"/>
        <v>3.0270000000000001</v>
      </c>
      <c r="G21" s="26"/>
      <c r="H21" s="18"/>
      <c r="K21" s="2"/>
    </row>
    <row r="22" spans="1:13" x14ac:dyDescent="0.2">
      <c r="A22" t="s">
        <v>124</v>
      </c>
      <c r="C22" s="272">
        <f>ROUND('[4]Hurr Models'!$E38/1000, 0)</f>
        <v>694</v>
      </c>
      <c r="D22" s="272">
        <f>'[4]Hurr Models'!$K38</f>
        <v>935.28089999999997</v>
      </c>
      <c r="E22" s="32">
        <f t="shared" si="0"/>
        <v>1.3480000000000001</v>
      </c>
      <c r="G22" s="26"/>
      <c r="H22" s="18"/>
      <c r="K22" s="2"/>
    </row>
    <row r="23" spans="1:13" x14ac:dyDescent="0.2">
      <c r="A23" t="s">
        <v>125</v>
      </c>
      <c r="B23" s="12"/>
      <c r="C23" s="272">
        <f>ROUND('[4]Hurr Models'!$E39/1000, 0)</f>
        <v>22737</v>
      </c>
      <c r="D23" s="272">
        <f>'[4]Hurr Models'!$K39</f>
        <v>27400.575499999999</v>
      </c>
      <c r="E23" s="32">
        <f t="shared" si="0"/>
        <v>1.2050000000000001</v>
      </c>
      <c r="G23" s="26"/>
      <c r="H23" s="18"/>
      <c r="K23" s="2"/>
    </row>
    <row r="24" spans="1:13" x14ac:dyDescent="0.2">
      <c r="A24" t="s">
        <v>126</v>
      </c>
      <c r="B24" s="12"/>
      <c r="C24" s="272">
        <f>ROUND('[4]Hurr Models'!$E40/1000, 0)</f>
        <v>103140</v>
      </c>
      <c r="D24" s="272">
        <f>'[4]Hurr Models'!$K40</f>
        <v>508218.63670000003</v>
      </c>
      <c r="E24" s="32">
        <f t="shared" si="0"/>
        <v>4.9269999999999996</v>
      </c>
      <c r="G24" s="26"/>
      <c r="H24" s="18"/>
      <c r="K24" s="2"/>
    </row>
    <row r="25" spans="1:13" x14ac:dyDescent="0.2">
      <c r="A25" t="s">
        <v>127</v>
      </c>
      <c r="B25" s="12"/>
      <c r="C25" s="272">
        <f>ROUND('[4]Hurr Models'!$E41/1000, 0)</f>
        <v>2453934</v>
      </c>
      <c r="D25" s="272">
        <f>'[4]Hurr Models'!$K41</f>
        <v>10712796.0056</v>
      </c>
      <c r="E25" s="32">
        <f t="shared" si="0"/>
        <v>4.3659999999999997</v>
      </c>
      <c r="G25" s="26"/>
      <c r="H25" s="18"/>
      <c r="K25" s="2"/>
    </row>
    <row r="26" spans="1:13" x14ac:dyDescent="0.2">
      <c r="A26" t="s">
        <v>128</v>
      </c>
      <c r="C26" s="272">
        <f>ROUND('[4]Hurr Models'!$E42/1000, 0)</f>
        <v>18577</v>
      </c>
      <c r="D26" s="272">
        <f>'[4]Hurr Models'!$K42</f>
        <v>34597.249000000003</v>
      </c>
      <c r="E26" s="32">
        <f t="shared" si="0"/>
        <v>1.8620000000000001</v>
      </c>
      <c r="G26" s="26"/>
      <c r="H26" s="18"/>
      <c r="K26" s="2"/>
    </row>
    <row r="27" spans="1:13" x14ac:dyDescent="0.2">
      <c r="A27" t="s">
        <v>129</v>
      </c>
      <c r="C27" s="272">
        <f>ROUND('[4]Hurr Models'!$E43/1000, 0)</f>
        <v>133728</v>
      </c>
      <c r="D27" s="272">
        <f>'[4]Hurr Models'!$K43</f>
        <v>378128.59780000005</v>
      </c>
      <c r="E27" s="32">
        <f t="shared" si="0"/>
        <v>2.8279999999999998</v>
      </c>
      <c r="G27" s="26"/>
      <c r="H27" s="18"/>
      <c r="K27" s="2"/>
      <c r="L27" s="29"/>
    </row>
    <row r="28" spans="1:13" x14ac:dyDescent="0.2">
      <c r="A28" t="s">
        <v>130</v>
      </c>
      <c r="C28" s="272">
        <f>ROUND('[4]Hurr Models'!$E44/1000, 0)</f>
        <v>19550</v>
      </c>
      <c r="D28" s="272">
        <f>'[4]Hurr Models'!$K44</f>
        <v>58991.885799999996</v>
      </c>
      <c r="E28" s="32">
        <f>ROUND(D28/C28,3)</f>
        <v>3.0169999999999999</v>
      </c>
      <c r="G28" s="26"/>
      <c r="H28" s="18"/>
      <c r="K28" s="2"/>
      <c r="L28" s="29"/>
      <c r="M28" s="18"/>
    </row>
    <row r="29" spans="1:13" x14ac:dyDescent="0.2">
      <c r="A29" s="9"/>
      <c r="B29" s="23"/>
      <c r="C29" s="59"/>
      <c r="D29" s="59"/>
      <c r="E29" s="33"/>
      <c r="G29" s="18"/>
      <c r="H29" s="18"/>
      <c r="K29" s="2"/>
    </row>
    <row r="30" spans="1:13" x14ac:dyDescent="0.2">
      <c r="C30" s="18"/>
      <c r="D30" s="18"/>
      <c r="E30" s="12"/>
      <c r="G30" s="18"/>
      <c r="H30" s="18"/>
      <c r="K30" s="2"/>
    </row>
    <row r="31" spans="1:13" x14ac:dyDescent="0.2">
      <c r="A31" t="s">
        <v>8</v>
      </c>
      <c r="C31" s="26">
        <f>SUM(C14:C28)</f>
        <v>8739479</v>
      </c>
      <c r="D31" s="26">
        <f>SUM(D14:D28)</f>
        <v>53263250.252999984</v>
      </c>
      <c r="E31" s="32">
        <f>ROUND(D31/C31,3)</f>
        <v>6.0949999999999998</v>
      </c>
      <c r="G31" s="18"/>
      <c r="H31" s="18"/>
      <c r="K31" s="2"/>
    </row>
    <row r="32" spans="1:13" ht="12" thickBot="1" x14ac:dyDescent="0.25">
      <c r="A32" s="6"/>
      <c r="B32" s="6"/>
      <c r="C32" s="6"/>
      <c r="D32" s="6"/>
      <c r="E32" s="6"/>
      <c r="K32" s="2"/>
    </row>
    <row r="33" spans="1:11" ht="12" thickTop="1" x14ac:dyDescent="0.2">
      <c r="K33" s="2"/>
    </row>
    <row r="34" spans="1:11" x14ac:dyDescent="0.2">
      <c r="A34" t="s">
        <v>18</v>
      </c>
      <c r="K34" s="2"/>
    </row>
    <row r="35" spans="1:11" x14ac:dyDescent="0.2">
      <c r="B35" s="12" t="str">
        <f>C12&amp;" Provided by TWIA and Geo-coded by Verisk"</f>
        <v>(2) Provided by TWIA and Geo-coded by Verisk</v>
      </c>
      <c r="K35" s="2"/>
    </row>
    <row r="36" spans="1:11" x14ac:dyDescent="0.2">
      <c r="B36" s="12" t="str">
        <f>D12&amp;" Provided by Verisk"&amp;" Using Historical Event Frequencies and Excluding Storm Surge"</f>
        <v>(3) Provided by Verisk Using Historical Event Frequencies and Excluding Storm Surge</v>
      </c>
      <c r="K36" s="2"/>
    </row>
    <row r="37" spans="1:11" x14ac:dyDescent="0.2">
      <c r="B37" s="12" t="str">
        <f>E12&amp;" = "&amp;D12&amp;" / "&amp;C12</f>
        <v>(4) = (3) / (2)</v>
      </c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K60" s="2"/>
    </row>
    <row r="61" spans="1:11" x14ac:dyDescent="0.2">
      <c r="K61" s="2"/>
    </row>
    <row r="62" spans="1:11" x14ac:dyDescent="0.2">
      <c r="A62" s="40"/>
      <c r="C62" s="31"/>
      <c r="D62" s="31"/>
      <c r="E62" s="31"/>
      <c r="F62" s="18"/>
      <c r="G62" s="18"/>
      <c r="H62" s="18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21"/>
      <c r="G64" s="21"/>
      <c r="H64" s="21"/>
      <c r="K64" s="2"/>
    </row>
    <row r="65" spans="1:11" x14ac:dyDescent="0.2">
      <c r="B65" s="22"/>
      <c r="C65" s="41"/>
      <c r="D65" s="41"/>
      <c r="E65" s="41"/>
      <c r="F65" s="21"/>
      <c r="G65" s="21"/>
      <c r="H65" s="21"/>
      <c r="K65" s="2"/>
    </row>
    <row r="66" spans="1:11" x14ac:dyDescent="0.2">
      <c r="B66" s="22"/>
      <c r="C66" s="41"/>
      <c r="D66" s="41"/>
      <c r="E66" s="41"/>
      <c r="F66" s="21"/>
      <c r="G66" s="21"/>
      <c r="H66" s="21"/>
      <c r="K66" s="2"/>
    </row>
    <row r="67" spans="1:11" ht="12" thickBot="1" x14ac:dyDescent="0.25">
      <c r="B67" s="22"/>
      <c r="C67" s="41"/>
      <c r="D67" s="41"/>
      <c r="E67" s="41"/>
      <c r="F67" s="21"/>
      <c r="G67" s="21"/>
      <c r="H67" s="21"/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1">
    <tabColor rgb="FF92D050"/>
  </sheetPr>
  <dimension ref="A1:Q68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</cols>
  <sheetData>
    <row r="1" spans="1:17" x14ac:dyDescent="0.2">
      <c r="A1" s="8" t="str">
        <f>'1'!$A$1</f>
        <v>Texas Windstorm Insurance Association</v>
      </c>
      <c r="B1" s="12"/>
      <c r="J1" s="7" t="s">
        <v>134</v>
      </c>
      <c r="K1" s="1"/>
      <c r="M1" t="s">
        <v>526</v>
      </c>
      <c r="N1" t="s">
        <v>562</v>
      </c>
    </row>
    <row r="2" spans="1:17" x14ac:dyDescent="0.2">
      <c r="A2" s="8" t="str">
        <f>'1'!$A$2</f>
        <v>Commercial Property - Wind &amp; Hail</v>
      </c>
      <c r="B2" s="12"/>
      <c r="J2" s="7" t="s">
        <v>65</v>
      </c>
      <c r="K2" s="2"/>
    </row>
    <row r="3" spans="1:17" x14ac:dyDescent="0.2">
      <c r="A3" s="8" t="str">
        <f>'1'!$A$3</f>
        <v>Rate Level Review</v>
      </c>
      <c r="B3" s="12"/>
      <c r="K3" s="2"/>
    </row>
    <row r="4" spans="1:17" x14ac:dyDescent="0.2">
      <c r="A4" t="s">
        <v>137</v>
      </c>
      <c r="B4" s="12"/>
      <c r="K4" s="2"/>
    </row>
    <row r="5" spans="1:17" x14ac:dyDescent="0.2">
      <c r="B5" s="12"/>
      <c r="K5" s="2"/>
    </row>
    <row r="6" spans="1:17" x14ac:dyDescent="0.2">
      <c r="K6" s="2"/>
    </row>
    <row r="7" spans="1:17" ht="12" thickBot="1" x14ac:dyDescent="0.25">
      <c r="A7" s="6"/>
      <c r="B7" s="6"/>
      <c r="C7" s="6"/>
      <c r="D7" s="6"/>
      <c r="E7" s="6"/>
      <c r="K7" s="2"/>
    </row>
    <row r="8" spans="1:17" ht="12" thickTop="1" x14ac:dyDescent="0.2">
      <c r="K8" s="2"/>
    </row>
    <row r="9" spans="1:17" x14ac:dyDescent="0.2">
      <c r="C9" s="36" t="s">
        <v>109</v>
      </c>
      <c r="D9" t="s">
        <v>51</v>
      </c>
      <c r="K9" s="2"/>
      <c r="L9" s="24"/>
    </row>
    <row r="10" spans="1:17" x14ac:dyDescent="0.2">
      <c r="C10" t="s">
        <v>110</v>
      </c>
      <c r="D10" t="s">
        <v>132</v>
      </c>
      <c r="E10" t="s">
        <v>111</v>
      </c>
      <c r="K10" s="2"/>
      <c r="L10" s="12" t="s">
        <v>131</v>
      </c>
    </row>
    <row r="11" spans="1:17" x14ac:dyDescent="0.2">
      <c r="A11" s="9" t="s">
        <v>108</v>
      </c>
      <c r="B11" s="9"/>
      <c r="C11" s="9" t="str">
        <f>"as of "&amp;TEXT($L$11,"m/d/yy")</f>
        <v>as of 11/30/22</v>
      </c>
      <c r="D11" s="9" t="s">
        <v>133</v>
      </c>
      <c r="E11" s="9" t="s">
        <v>112</v>
      </c>
      <c r="K11" s="2"/>
      <c r="L11" s="49">
        <f>'8.1'!L11</f>
        <v>44895</v>
      </c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7" x14ac:dyDescent="0.2">
      <c r="K13" s="2"/>
    </row>
    <row r="14" spans="1:17" x14ac:dyDescent="0.2">
      <c r="A14" t="s">
        <v>116</v>
      </c>
      <c r="C14" s="272">
        <f>ROUND('[4]Hurr Models'!B5/1000,0)</f>
        <v>334112</v>
      </c>
      <c r="D14" s="272">
        <f>'[4]Hurr Models'!$K5</f>
        <v>1240174.9946000001</v>
      </c>
      <c r="E14" s="32">
        <f>ROUND(D14/C14,3)</f>
        <v>3.7120000000000002</v>
      </c>
      <c r="K14" s="2"/>
      <c r="P14" s="281"/>
      <c r="Q14" s="281"/>
    </row>
    <row r="15" spans="1:17" x14ac:dyDescent="0.2">
      <c r="A15" t="s">
        <v>117</v>
      </c>
      <c r="C15" s="272">
        <f>ROUND('[4]Hurr Models'!B6/1000,0)</f>
        <v>460868</v>
      </c>
      <c r="D15" s="272">
        <f>'[4]Hurr Models'!$K6</f>
        <v>1671477.1758999999</v>
      </c>
      <c r="E15" s="32">
        <f t="shared" ref="E15:E28" si="0">ROUND(D15/C15,3)</f>
        <v>3.6269999999999998</v>
      </c>
      <c r="K15" s="2"/>
      <c r="P15" s="281"/>
      <c r="Q15" s="281"/>
    </row>
    <row r="16" spans="1:17" x14ac:dyDescent="0.2">
      <c r="A16" t="s">
        <v>118</v>
      </c>
      <c r="C16" s="272">
        <f>ROUND('[4]Hurr Models'!B7/1000,0)</f>
        <v>131888</v>
      </c>
      <c r="D16" s="272">
        <f>'[4]Hurr Models'!$K7</f>
        <v>623291.9057</v>
      </c>
      <c r="E16" s="32">
        <f t="shared" si="0"/>
        <v>4.726</v>
      </c>
      <c r="K16" s="2"/>
      <c r="P16" s="281"/>
      <c r="Q16" s="281"/>
    </row>
    <row r="17" spans="1:17" x14ac:dyDescent="0.2">
      <c r="A17" t="s">
        <v>119</v>
      </c>
      <c r="C17" s="272">
        <f>ROUND('[4]Hurr Models'!B8/1000,0)</f>
        <v>1232168</v>
      </c>
      <c r="D17" s="272">
        <f>'[4]Hurr Models'!$K8</f>
        <v>6268646.7893000003</v>
      </c>
      <c r="E17" s="32">
        <f t="shared" si="0"/>
        <v>5.0869999999999997</v>
      </c>
      <c r="K17" s="2"/>
      <c r="P17" s="281"/>
      <c r="Q17" s="281"/>
    </row>
    <row r="18" spans="1:17" x14ac:dyDescent="0.2">
      <c r="A18" t="s">
        <v>120</v>
      </c>
      <c r="C18" s="272">
        <f>ROUND('[4]Hurr Models'!B9/1000,0)</f>
        <v>66075</v>
      </c>
      <c r="D18" s="272">
        <f>'[4]Hurr Models'!$K9</f>
        <v>199281.728</v>
      </c>
      <c r="E18" s="32">
        <f t="shared" si="0"/>
        <v>3.016</v>
      </c>
      <c r="K18" s="2"/>
      <c r="P18" s="281"/>
      <c r="Q18" s="281"/>
    </row>
    <row r="19" spans="1:17" x14ac:dyDescent="0.2">
      <c r="A19" t="s">
        <v>121</v>
      </c>
      <c r="C19" s="272">
        <f>ROUND('[4]Hurr Models'!B10/1000,0)</f>
        <v>3140711</v>
      </c>
      <c r="D19" s="272">
        <f>'[4]Hurr Models'!$K10</f>
        <v>20303971.8466</v>
      </c>
      <c r="E19" s="32">
        <f t="shared" si="0"/>
        <v>6.4649999999999999</v>
      </c>
      <c r="K19" s="2"/>
      <c r="P19" s="281"/>
      <c r="Q19" s="281"/>
    </row>
    <row r="20" spans="1:17" x14ac:dyDescent="0.2">
      <c r="A20" t="s">
        <v>122</v>
      </c>
      <c r="C20" s="272">
        <f>ROUND('[4]Hurr Models'!B11/1000,0)</f>
        <v>123247</v>
      </c>
      <c r="D20" s="272">
        <f>'[4]Hurr Models'!$K11</f>
        <v>474648.1054</v>
      </c>
      <c r="E20" s="32">
        <f t="shared" si="0"/>
        <v>3.851</v>
      </c>
      <c r="K20" s="2"/>
      <c r="P20" s="281"/>
      <c r="Q20" s="281"/>
    </row>
    <row r="21" spans="1:17" x14ac:dyDescent="0.2">
      <c r="A21" t="s">
        <v>123</v>
      </c>
      <c r="C21" s="272">
        <f>ROUND('[4]Hurr Models'!B12/1000,0)</f>
        <v>498050</v>
      </c>
      <c r="D21" s="272">
        <f>'[4]Hurr Models'!$K12</f>
        <v>1365264.1398</v>
      </c>
      <c r="E21" s="32">
        <f t="shared" si="0"/>
        <v>2.7410000000000001</v>
      </c>
      <c r="K21" s="2"/>
      <c r="P21" s="281"/>
      <c r="Q21" s="281"/>
    </row>
    <row r="22" spans="1:17" x14ac:dyDescent="0.2">
      <c r="A22" t="s">
        <v>124</v>
      </c>
      <c r="C22" s="272">
        <f>ROUND('[4]Hurr Models'!B13/1000,0)</f>
        <v>694</v>
      </c>
      <c r="D22" s="272">
        <f>'[4]Hurr Models'!$K13</f>
        <v>1608.7788</v>
      </c>
      <c r="E22" s="32">
        <f t="shared" si="0"/>
        <v>2.3180000000000001</v>
      </c>
      <c r="K22" s="2"/>
      <c r="P22" s="281"/>
      <c r="Q22" s="281"/>
    </row>
    <row r="23" spans="1:17" x14ac:dyDescent="0.2">
      <c r="A23" t="s">
        <v>125</v>
      </c>
      <c r="B23" s="12"/>
      <c r="C23" s="272">
        <f>ROUND('[4]Hurr Models'!B14/1000,0)</f>
        <v>22737</v>
      </c>
      <c r="D23" s="272">
        <f>'[4]Hurr Models'!$K14</f>
        <v>45572.033499999998</v>
      </c>
      <c r="E23" s="32">
        <f t="shared" si="0"/>
        <v>2.004</v>
      </c>
      <c r="K23" s="2"/>
      <c r="P23" s="281"/>
      <c r="Q23" s="281"/>
    </row>
    <row r="24" spans="1:17" x14ac:dyDescent="0.2">
      <c r="A24" t="s">
        <v>126</v>
      </c>
      <c r="B24" s="12"/>
      <c r="C24" s="272">
        <f>ROUND('[4]Hurr Models'!B15/1000,0)</f>
        <v>103140</v>
      </c>
      <c r="D24" s="272">
        <f>'[4]Hurr Models'!$K15</f>
        <v>420603.31040000002</v>
      </c>
      <c r="E24" s="32">
        <f t="shared" si="0"/>
        <v>4.0780000000000003</v>
      </c>
      <c r="K24" s="2"/>
      <c r="P24" s="281"/>
      <c r="Q24" s="281"/>
    </row>
    <row r="25" spans="1:17" x14ac:dyDescent="0.2">
      <c r="A25" t="s">
        <v>127</v>
      </c>
      <c r="B25" s="12"/>
      <c r="C25" s="272">
        <f>ROUND('[4]Hurr Models'!B16/1000,0)</f>
        <v>2453934</v>
      </c>
      <c r="D25" s="272">
        <f>'[4]Hurr Models'!$K16</f>
        <v>10481481.6812</v>
      </c>
      <c r="E25" s="32">
        <f t="shared" si="0"/>
        <v>4.2709999999999999</v>
      </c>
      <c r="K25" s="2"/>
      <c r="P25" s="281"/>
      <c r="Q25" s="281"/>
    </row>
    <row r="26" spans="1:17" x14ac:dyDescent="0.2">
      <c r="A26" t="s">
        <v>128</v>
      </c>
      <c r="C26" s="272">
        <f>ROUND('[4]Hurr Models'!B17/1000,0)</f>
        <v>18577</v>
      </c>
      <c r="D26" s="272">
        <f>'[4]Hurr Models'!$K17</f>
        <v>54443.624300000003</v>
      </c>
      <c r="E26" s="32">
        <f t="shared" si="0"/>
        <v>2.931</v>
      </c>
      <c r="K26" s="2"/>
      <c r="P26" s="281"/>
      <c r="Q26" s="281"/>
    </row>
    <row r="27" spans="1:17" x14ac:dyDescent="0.2">
      <c r="A27" t="s">
        <v>129</v>
      </c>
      <c r="C27" s="272">
        <f>ROUND('[4]Hurr Models'!B18/1000,0)</f>
        <v>133728</v>
      </c>
      <c r="D27" s="272">
        <f>'[4]Hurr Models'!$K18</f>
        <v>439386.66930000001</v>
      </c>
      <c r="E27" s="32">
        <f t="shared" si="0"/>
        <v>3.286</v>
      </c>
      <c r="K27" s="2"/>
      <c r="L27" s="29"/>
      <c r="P27" s="281"/>
      <c r="Q27" s="281"/>
    </row>
    <row r="28" spans="1:17" x14ac:dyDescent="0.2">
      <c r="A28" t="s">
        <v>130</v>
      </c>
      <c r="C28" s="272">
        <f>ROUND('[4]Hurr Models'!B19/1000,0)</f>
        <v>19550</v>
      </c>
      <c r="D28" s="272">
        <f>'[4]Hurr Models'!$K19</f>
        <v>74669.082299999995</v>
      </c>
      <c r="E28" s="32">
        <f t="shared" si="0"/>
        <v>3.819</v>
      </c>
      <c r="K28" s="2"/>
      <c r="L28" s="29"/>
      <c r="P28" s="281"/>
      <c r="Q28" s="281"/>
    </row>
    <row r="29" spans="1:17" x14ac:dyDescent="0.2">
      <c r="A29" s="9"/>
      <c r="B29" s="23"/>
      <c r="C29" s="59"/>
      <c r="D29" s="59"/>
      <c r="E29" s="33"/>
      <c r="K29" s="2"/>
    </row>
    <row r="30" spans="1:17" x14ac:dyDescent="0.2">
      <c r="C30" s="18"/>
      <c r="D30" s="18"/>
      <c r="E30" s="12"/>
      <c r="K30" s="2"/>
    </row>
    <row r="31" spans="1:17" x14ac:dyDescent="0.2">
      <c r="A31" t="s">
        <v>8</v>
      </c>
      <c r="C31" s="26">
        <f>SUM(C14:C28)</f>
        <v>8739479</v>
      </c>
      <c r="D31" s="26">
        <f>SUM(D14:D28)</f>
        <v>43664521.865100004</v>
      </c>
      <c r="E31" s="32">
        <f>ROUND(D31/C31,3)</f>
        <v>4.9960000000000004</v>
      </c>
      <c r="G31" s="18"/>
      <c r="K31" s="2"/>
    </row>
    <row r="32" spans="1:17" ht="12" thickBot="1" x14ac:dyDescent="0.25">
      <c r="A32" s="6"/>
      <c r="B32" s="6"/>
      <c r="C32" s="6"/>
      <c r="D32" s="6"/>
      <c r="E32" s="6"/>
      <c r="K32" s="2"/>
    </row>
    <row r="33" spans="1:11" ht="12" thickTop="1" x14ac:dyDescent="0.2">
      <c r="K33" s="2"/>
    </row>
    <row r="34" spans="1:11" x14ac:dyDescent="0.2">
      <c r="A34" t="s">
        <v>18</v>
      </c>
      <c r="K34" s="2"/>
    </row>
    <row r="35" spans="1:11" x14ac:dyDescent="0.2">
      <c r="B35" s="12" t="str">
        <f>C12&amp;" Provided by TWIA and Geo-coded by RMS"</f>
        <v>(2) Provided by TWIA and Geo-coded by RMS</v>
      </c>
      <c r="K35" s="2"/>
    </row>
    <row r="36" spans="1:11" x14ac:dyDescent="0.2">
      <c r="B36" s="12" t="str">
        <f>D12&amp;" Provided by RMS"&amp;" Using Historical Event Frequencies and Excluding Storm Surge"</f>
        <v>(3) Provided by RMS Using Historical Event Frequencies and Excluding Storm Surge</v>
      </c>
      <c r="K36" s="2"/>
    </row>
    <row r="37" spans="1:11" x14ac:dyDescent="0.2">
      <c r="B37" s="12" t="str">
        <f>E12&amp;" = "&amp;D12&amp;" / "&amp;C12</f>
        <v>(4) = (3) / (2)</v>
      </c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A54" s="40"/>
      <c r="C54" s="31"/>
      <c r="D54" s="31"/>
      <c r="E54" s="31"/>
      <c r="F54" s="31"/>
      <c r="G54" s="31"/>
      <c r="H54" s="18"/>
      <c r="I54" s="18"/>
      <c r="K54" s="2"/>
    </row>
    <row r="55" spans="1:11" x14ac:dyDescent="0.2">
      <c r="A55" s="40"/>
      <c r="C55" s="19"/>
      <c r="D55" s="19"/>
      <c r="E55" s="19"/>
      <c r="F55" s="19"/>
      <c r="G55" s="19"/>
      <c r="H55" s="19"/>
      <c r="I55" s="19"/>
      <c r="K55" s="2"/>
    </row>
    <row r="56" spans="1:11" x14ac:dyDescent="0.2">
      <c r="A56" s="40"/>
      <c r="C56" s="19"/>
      <c r="D56" s="19"/>
      <c r="E56" s="19"/>
      <c r="F56" s="19"/>
      <c r="G56" s="19"/>
      <c r="H56" s="19"/>
      <c r="I56" s="19"/>
      <c r="K56" s="2"/>
    </row>
    <row r="57" spans="1:11" x14ac:dyDescent="0.2">
      <c r="A57" s="40"/>
      <c r="C57" s="19"/>
      <c r="D57" s="19"/>
      <c r="E57" s="19"/>
      <c r="F57" s="19"/>
      <c r="G57" s="19"/>
      <c r="H57" s="19"/>
      <c r="I57" s="19"/>
      <c r="K57" s="2"/>
    </row>
    <row r="58" spans="1:11" x14ac:dyDescent="0.2">
      <c r="A58" s="40"/>
      <c r="C58" s="19"/>
      <c r="D58" s="19"/>
      <c r="E58" s="19"/>
      <c r="F58" s="19"/>
      <c r="G58" s="19"/>
      <c r="H58" s="19"/>
      <c r="I58" s="19"/>
      <c r="K58" s="2"/>
    </row>
    <row r="59" spans="1:11" x14ac:dyDescent="0.2">
      <c r="A59" s="40"/>
      <c r="C59" s="19"/>
      <c r="D59" s="19"/>
      <c r="E59" s="19"/>
      <c r="F59" s="19"/>
      <c r="G59" s="19"/>
      <c r="H59" s="19"/>
      <c r="I59" s="19"/>
      <c r="K59" s="2"/>
    </row>
    <row r="60" spans="1:11" x14ac:dyDescent="0.2">
      <c r="A60" s="40"/>
      <c r="C60" s="19"/>
      <c r="D60" s="19"/>
      <c r="E60" s="19"/>
      <c r="F60" s="19"/>
      <c r="G60" s="19"/>
      <c r="H60" s="19"/>
      <c r="I60" s="19"/>
      <c r="K60" s="2"/>
    </row>
    <row r="61" spans="1:11" x14ac:dyDescent="0.2">
      <c r="A61" s="40"/>
      <c r="C61" s="19"/>
      <c r="D61" s="19"/>
      <c r="E61" s="19"/>
      <c r="F61" s="19"/>
      <c r="G61" s="19"/>
      <c r="H61" s="19"/>
      <c r="I61" s="19"/>
      <c r="K61" s="2"/>
    </row>
    <row r="62" spans="1:11" x14ac:dyDescent="0.2">
      <c r="B62" s="22"/>
      <c r="C62" s="41"/>
      <c r="D62" s="41"/>
      <c r="E62" s="41"/>
      <c r="F62" s="41"/>
      <c r="G62" s="41"/>
      <c r="H62" s="21"/>
      <c r="K62" s="2"/>
    </row>
    <row r="63" spans="1:11" x14ac:dyDescent="0.2">
      <c r="B63" s="22"/>
      <c r="C63" s="41"/>
      <c r="D63" s="41"/>
      <c r="E63" s="41"/>
      <c r="F63" s="41"/>
      <c r="G63" s="41"/>
      <c r="H63" s="21"/>
      <c r="K63" s="2"/>
    </row>
    <row r="64" spans="1:11" x14ac:dyDescent="0.2">
      <c r="B64" s="22"/>
      <c r="C64" s="41"/>
      <c r="D64" s="41"/>
      <c r="E64" s="41"/>
      <c r="F64" s="41"/>
      <c r="G64" s="41"/>
      <c r="H64" s="21"/>
      <c r="K64" s="2"/>
    </row>
    <row r="65" spans="1:11" x14ac:dyDescent="0.2">
      <c r="B65" s="22"/>
      <c r="C65" s="41"/>
      <c r="D65" s="41"/>
      <c r="E65" s="41"/>
      <c r="F65" s="41"/>
      <c r="G65" s="41"/>
      <c r="H65" s="21"/>
      <c r="K65" s="2"/>
    </row>
    <row r="66" spans="1:11" x14ac:dyDescent="0.2">
      <c r="K66" s="2"/>
    </row>
    <row r="67" spans="1:11" ht="12" thickBot="1" x14ac:dyDescent="0.25"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2179-9DB9-4566-AC72-ACAE514552B6}">
  <sheetPr>
    <tabColor rgb="FF92D050"/>
  </sheetPr>
  <dimension ref="A1:N68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  <col min="12" max="12" width="14.1640625" customWidth="1"/>
  </cols>
  <sheetData>
    <row r="1" spans="1:14" x14ac:dyDescent="0.2">
      <c r="A1" s="8" t="str">
        <f>'1'!$A$1</f>
        <v>Texas Windstorm Insurance Association</v>
      </c>
      <c r="B1" s="12"/>
      <c r="J1" s="7" t="s">
        <v>134</v>
      </c>
      <c r="K1" s="1"/>
      <c r="M1" t="s">
        <v>526</v>
      </c>
      <c r="N1" t="s">
        <v>562</v>
      </c>
    </row>
    <row r="2" spans="1:14" x14ac:dyDescent="0.2">
      <c r="A2" s="8" t="str">
        <f>'1'!$A$2</f>
        <v>Commercial Property - Wind &amp; Hail</v>
      </c>
      <c r="B2" s="12"/>
      <c r="J2" s="7" t="s">
        <v>68</v>
      </c>
      <c r="K2" s="2"/>
    </row>
    <row r="3" spans="1:14" x14ac:dyDescent="0.2">
      <c r="A3" s="8" t="str">
        <f>'1'!$A$3</f>
        <v>Rate Level Review</v>
      </c>
      <c r="B3" s="12"/>
      <c r="K3" s="2"/>
    </row>
    <row r="4" spans="1:14" x14ac:dyDescent="0.2">
      <c r="A4" t="s">
        <v>596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2" thickBot="1" x14ac:dyDescent="0.25">
      <c r="A7" s="6"/>
      <c r="B7" s="6"/>
      <c r="C7" s="6"/>
      <c r="D7" s="6"/>
      <c r="E7" s="6"/>
      <c r="K7" s="2"/>
    </row>
    <row r="8" spans="1:14" ht="12" thickTop="1" x14ac:dyDescent="0.2">
      <c r="K8" s="2"/>
    </row>
    <row r="9" spans="1:14" x14ac:dyDescent="0.2">
      <c r="C9" s="36" t="s">
        <v>109</v>
      </c>
      <c r="D9" t="s">
        <v>51</v>
      </c>
      <c r="K9" s="2"/>
      <c r="L9" s="24"/>
    </row>
    <row r="10" spans="1:14" x14ac:dyDescent="0.2">
      <c r="C10" t="s">
        <v>110</v>
      </c>
      <c r="D10" t="s">
        <v>132</v>
      </c>
      <c r="E10" t="s">
        <v>111</v>
      </c>
      <c r="K10" s="2"/>
      <c r="L10" s="12" t="s">
        <v>131</v>
      </c>
    </row>
    <row r="11" spans="1:14" x14ac:dyDescent="0.2">
      <c r="A11" s="9" t="s">
        <v>108</v>
      </c>
      <c r="B11" s="9"/>
      <c r="C11" s="9" t="str">
        <f>"as of "&amp;TEXT($L$11,"m/d/yy")</f>
        <v>as of 11/30/22</v>
      </c>
      <c r="D11" s="9" t="s">
        <v>133</v>
      </c>
      <c r="E11" s="9" t="s">
        <v>112</v>
      </c>
      <c r="K11" s="2"/>
      <c r="L11" s="49">
        <f>'8.1'!L11</f>
        <v>44895</v>
      </c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4" x14ac:dyDescent="0.2">
      <c r="K13" s="2"/>
    </row>
    <row r="14" spans="1:14" x14ac:dyDescent="0.2">
      <c r="A14" t="s">
        <v>116</v>
      </c>
      <c r="C14" s="272">
        <f>ROUND('[4]Hurr Models'!B52/1000,0)</f>
        <v>334112</v>
      </c>
      <c r="D14" s="272">
        <f>'[4]Hurr Models'!H52</f>
        <v>909828.59210000001</v>
      </c>
      <c r="E14" s="32">
        <f>ROUND(D14/C14,3)</f>
        <v>2.7229999999999999</v>
      </c>
      <c r="G14" s="26"/>
      <c r="H14" s="18"/>
      <c r="K14" s="2"/>
    </row>
    <row r="15" spans="1:14" x14ac:dyDescent="0.2">
      <c r="A15" t="s">
        <v>117</v>
      </c>
      <c r="C15" s="272">
        <f>ROUND('[4]Hurr Models'!B53/1000,0)</f>
        <v>460868</v>
      </c>
      <c r="D15" s="272">
        <f>'[4]Hurr Models'!H53</f>
        <v>1384988.1153999979</v>
      </c>
      <c r="E15" s="32">
        <f t="shared" ref="E15:E28" si="0">ROUND(D15/C15,3)</f>
        <v>3.0049999999999999</v>
      </c>
      <c r="G15" s="26"/>
      <c r="H15" s="18"/>
      <c r="K15" s="2"/>
    </row>
    <row r="16" spans="1:14" x14ac:dyDescent="0.2">
      <c r="A16" t="s">
        <v>118</v>
      </c>
      <c r="C16" s="272">
        <f>ROUND('[4]Hurr Models'!B54/1000,0)</f>
        <v>131888</v>
      </c>
      <c r="D16" s="272">
        <f>'[4]Hurr Models'!H54</f>
        <v>439632.44680000021</v>
      </c>
      <c r="E16" s="32">
        <f t="shared" si="0"/>
        <v>3.3330000000000002</v>
      </c>
      <c r="G16" s="26"/>
      <c r="H16" s="18"/>
      <c r="K16" s="2"/>
    </row>
    <row r="17" spans="1:13" x14ac:dyDescent="0.2">
      <c r="A17" t="s">
        <v>119</v>
      </c>
      <c r="C17" s="272">
        <f>ROUND('[4]Hurr Models'!B55/1000,0)</f>
        <v>1232168</v>
      </c>
      <c r="D17" s="272">
        <f>'[4]Hurr Models'!H55</f>
        <v>4660043.2557999957</v>
      </c>
      <c r="E17" s="32">
        <f t="shared" si="0"/>
        <v>3.782</v>
      </c>
      <c r="G17" s="26"/>
      <c r="H17" s="18"/>
      <c r="K17" s="2"/>
    </row>
    <row r="18" spans="1:13" x14ac:dyDescent="0.2">
      <c r="A18" t="s">
        <v>120</v>
      </c>
      <c r="C18" s="272">
        <f>ROUND('[4]Hurr Models'!B56/1000,0)</f>
        <v>66075</v>
      </c>
      <c r="D18" s="272">
        <f>'[4]Hurr Models'!H56</f>
        <v>176612.86040000001</v>
      </c>
      <c r="E18" s="32">
        <f t="shared" si="0"/>
        <v>2.673</v>
      </c>
      <c r="G18" s="26"/>
      <c r="H18" s="18"/>
      <c r="K18" s="2"/>
    </row>
    <row r="19" spans="1:13" x14ac:dyDescent="0.2">
      <c r="A19" t="s">
        <v>121</v>
      </c>
      <c r="C19" s="272">
        <f>ROUND('[4]Hurr Models'!B57/1000,0)</f>
        <v>3140711</v>
      </c>
      <c r="D19" s="272">
        <f>'[4]Hurr Models'!H57</f>
        <v>11592307.88909997</v>
      </c>
      <c r="E19" s="32">
        <f t="shared" si="0"/>
        <v>3.6909999999999998</v>
      </c>
      <c r="G19" s="26"/>
      <c r="H19" s="18"/>
      <c r="K19" s="2"/>
    </row>
    <row r="20" spans="1:13" x14ac:dyDescent="0.2">
      <c r="A20" t="s">
        <v>122</v>
      </c>
      <c r="C20" s="272">
        <f>ROUND('[4]Hurr Models'!B58/1000,0)</f>
        <v>123247</v>
      </c>
      <c r="D20" s="272">
        <f>'[4]Hurr Models'!H58</f>
        <v>277680.60299999971</v>
      </c>
      <c r="E20" s="32">
        <f t="shared" si="0"/>
        <v>2.2530000000000001</v>
      </c>
      <c r="G20" s="26"/>
      <c r="H20" s="18"/>
      <c r="K20" s="2"/>
    </row>
    <row r="21" spans="1:13" x14ac:dyDescent="0.2">
      <c r="A21" t="s">
        <v>123</v>
      </c>
      <c r="C21" s="272">
        <f>ROUND('[4]Hurr Models'!B59/1000,0)</f>
        <v>498050</v>
      </c>
      <c r="D21" s="272">
        <f>'[4]Hurr Models'!H59</f>
        <v>977003.86919999949</v>
      </c>
      <c r="E21" s="32">
        <f t="shared" si="0"/>
        <v>1.962</v>
      </c>
      <c r="G21" s="26"/>
      <c r="H21" s="18"/>
      <c r="K21" s="2"/>
    </row>
    <row r="22" spans="1:13" x14ac:dyDescent="0.2">
      <c r="A22" t="s">
        <v>124</v>
      </c>
      <c r="C22" s="272">
        <f>ROUND('[4]Hurr Models'!B60/1000,0)</f>
        <v>694</v>
      </c>
      <c r="D22" s="272">
        <f>'[4]Hurr Models'!H60</f>
        <v>1678.9787000000001</v>
      </c>
      <c r="E22" s="32">
        <f t="shared" si="0"/>
        <v>2.419</v>
      </c>
      <c r="G22" s="26"/>
      <c r="H22" s="18"/>
      <c r="K22" s="2"/>
    </row>
    <row r="23" spans="1:13" x14ac:dyDescent="0.2">
      <c r="A23" t="s">
        <v>125</v>
      </c>
      <c r="B23" s="12"/>
      <c r="C23" s="272">
        <f>ROUND('[4]Hurr Models'!B61/1000,0)</f>
        <v>22737</v>
      </c>
      <c r="D23" s="272">
        <f>'[4]Hurr Models'!H61</f>
        <v>41111.998500000002</v>
      </c>
      <c r="E23" s="32">
        <f t="shared" si="0"/>
        <v>1.8080000000000001</v>
      </c>
      <c r="G23" s="26"/>
      <c r="H23" s="18"/>
      <c r="K23" s="2"/>
    </row>
    <row r="24" spans="1:13" x14ac:dyDescent="0.2">
      <c r="A24" t="s">
        <v>126</v>
      </c>
      <c r="B24" s="12"/>
      <c r="C24" s="272">
        <f>ROUND('[4]Hurr Models'!B62/1000,0)</f>
        <v>103140</v>
      </c>
      <c r="D24" s="272">
        <f>'[4]Hurr Models'!H62</f>
        <v>403605.07159999973</v>
      </c>
      <c r="E24" s="32">
        <f t="shared" si="0"/>
        <v>3.9129999999999998</v>
      </c>
      <c r="G24" s="26"/>
      <c r="H24" s="18"/>
      <c r="K24" s="2"/>
    </row>
    <row r="25" spans="1:13" x14ac:dyDescent="0.2">
      <c r="A25" t="s">
        <v>127</v>
      </c>
      <c r="B25" s="12"/>
      <c r="C25" s="272">
        <f>ROUND('[4]Hurr Models'!B63/1000,0)</f>
        <v>2453934</v>
      </c>
      <c r="D25" s="272">
        <f>'[4]Hurr Models'!H63</f>
        <v>7395285.5851000017</v>
      </c>
      <c r="E25" s="32">
        <f t="shared" si="0"/>
        <v>3.0139999999999998</v>
      </c>
      <c r="G25" s="26"/>
      <c r="H25" s="18"/>
      <c r="K25" s="2"/>
    </row>
    <row r="26" spans="1:13" x14ac:dyDescent="0.2">
      <c r="A26" t="s">
        <v>128</v>
      </c>
      <c r="C26" s="272">
        <f>ROUND('[4]Hurr Models'!B64/1000,0)</f>
        <v>18577</v>
      </c>
      <c r="D26" s="272">
        <f>'[4]Hurr Models'!H64</f>
        <v>48252.659000000007</v>
      </c>
      <c r="E26" s="32">
        <f t="shared" si="0"/>
        <v>2.597</v>
      </c>
      <c r="G26" s="26"/>
      <c r="H26" s="18"/>
      <c r="K26" s="2"/>
    </row>
    <row r="27" spans="1:13" x14ac:dyDescent="0.2">
      <c r="A27" t="s">
        <v>129</v>
      </c>
      <c r="C27" s="272">
        <f>ROUND('[4]Hurr Models'!B65/1000,0)</f>
        <v>133728</v>
      </c>
      <c r="D27" s="272">
        <f>'[4]Hurr Models'!H65</f>
        <v>334046.21999999974</v>
      </c>
      <c r="E27" s="32">
        <f t="shared" si="0"/>
        <v>2.4980000000000002</v>
      </c>
      <c r="G27" s="26"/>
      <c r="H27" s="18"/>
      <c r="K27" s="2"/>
      <c r="L27" s="29"/>
    </row>
    <row r="28" spans="1:13" x14ac:dyDescent="0.2">
      <c r="A28" t="s">
        <v>130</v>
      </c>
      <c r="C28" s="272">
        <f>ROUND('[4]Hurr Models'!B66/1000,0)</f>
        <v>19550</v>
      </c>
      <c r="D28" s="272">
        <f>'[4]Hurr Models'!H66</f>
        <v>59072.85379999999</v>
      </c>
      <c r="E28" s="32">
        <f t="shared" si="0"/>
        <v>3.0219999999999998</v>
      </c>
      <c r="G28" s="26"/>
      <c r="H28" s="18"/>
      <c r="K28" s="2"/>
      <c r="L28" s="29"/>
      <c r="M28" s="18"/>
    </row>
    <row r="29" spans="1:13" x14ac:dyDescent="0.2">
      <c r="A29" s="9"/>
      <c r="B29" s="23"/>
      <c r="C29" s="59"/>
      <c r="D29" s="59"/>
      <c r="E29" s="33"/>
      <c r="G29" s="18"/>
      <c r="H29" s="18"/>
      <c r="K29" s="2"/>
    </row>
    <row r="30" spans="1:13" x14ac:dyDescent="0.2">
      <c r="C30" s="18"/>
      <c r="D30" s="18"/>
      <c r="E30" s="12"/>
      <c r="G30" s="18"/>
      <c r="H30" s="18"/>
      <c r="K30" s="2"/>
    </row>
    <row r="31" spans="1:13" x14ac:dyDescent="0.2">
      <c r="A31" t="s">
        <v>8</v>
      </c>
      <c r="C31" s="26">
        <f>SUM(C14:C28)</f>
        <v>8739479</v>
      </c>
      <c r="D31" s="26">
        <f>SUM(D14:D28)</f>
        <v>28701150.998499967</v>
      </c>
      <c r="E31" s="32">
        <f>ROUND(D31/C31,3)</f>
        <v>3.2839999999999998</v>
      </c>
      <c r="G31" s="18"/>
      <c r="H31" s="18"/>
      <c r="K31" s="2"/>
    </row>
    <row r="32" spans="1:13" ht="12" thickBot="1" x14ac:dyDescent="0.25">
      <c r="A32" s="6"/>
      <c r="B32" s="6"/>
      <c r="C32" s="6"/>
      <c r="D32" s="6"/>
      <c r="E32" s="6"/>
      <c r="K32" s="2"/>
    </row>
    <row r="33" spans="1:11" ht="12" thickTop="1" x14ac:dyDescent="0.2">
      <c r="K33" s="2"/>
    </row>
    <row r="34" spans="1:11" x14ac:dyDescent="0.2">
      <c r="A34" t="s">
        <v>18</v>
      </c>
      <c r="K34" s="2"/>
    </row>
    <row r="35" spans="1:11" x14ac:dyDescent="0.2">
      <c r="B35" s="12" t="str">
        <f>C12&amp;" Provided by TWIA and Geo-coded by Impact Forecasting"</f>
        <v>(2) Provided by TWIA and Geo-coded by Impact Forecasting</v>
      </c>
      <c r="K35" s="2"/>
    </row>
    <row r="36" spans="1:11" x14ac:dyDescent="0.2">
      <c r="B36" s="12" t="str">
        <f>D12&amp;" Provided by Impact Forecasting"&amp;" Using Historical Event Frequencies and Excluding Storm Surge"</f>
        <v>(3) Provided by Impact Forecasting Using Historical Event Frequencies and Excluding Storm Surge</v>
      </c>
      <c r="K36" s="2"/>
    </row>
    <row r="37" spans="1:11" x14ac:dyDescent="0.2">
      <c r="B37" s="12" t="str">
        <f>E12&amp;" = "&amp;D12&amp;" / "&amp;C12</f>
        <v>(4) = (3) / (2)</v>
      </c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K60" s="2"/>
    </row>
    <row r="61" spans="1:11" x14ac:dyDescent="0.2">
      <c r="K61" s="2"/>
    </row>
    <row r="62" spans="1:11" x14ac:dyDescent="0.2">
      <c r="A62" s="40"/>
      <c r="C62" s="31"/>
      <c r="D62" s="31"/>
      <c r="E62" s="31"/>
      <c r="F62" s="18"/>
      <c r="G62" s="18"/>
      <c r="H62" s="18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21"/>
      <c r="G64" s="21"/>
      <c r="H64" s="21"/>
      <c r="K64" s="2"/>
    </row>
    <row r="65" spans="1:11" x14ac:dyDescent="0.2">
      <c r="B65" s="22"/>
      <c r="C65" s="41"/>
      <c r="D65" s="41"/>
      <c r="E65" s="41"/>
      <c r="F65" s="21"/>
      <c r="G65" s="21"/>
      <c r="H65" s="21"/>
      <c r="K65" s="2"/>
    </row>
    <row r="66" spans="1:11" x14ac:dyDescent="0.2">
      <c r="B66" s="22"/>
      <c r="C66" s="41"/>
      <c r="D66" s="41"/>
      <c r="E66" s="41"/>
      <c r="F66" s="21"/>
      <c r="G66" s="21"/>
      <c r="H66" s="21"/>
      <c r="K66" s="2"/>
    </row>
    <row r="67" spans="1:11" ht="12" thickBot="1" x14ac:dyDescent="0.25">
      <c r="B67" s="22"/>
      <c r="C67" s="41"/>
      <c r="D67" s="41"/>
      <c r="E67" s="41"/>
      <c r="F67" s="21"/>
      <c r="G67" s="21"/>
      <c r="H67" s="21"/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FFF3-50C4-4B30-BB8B-FC9A5C9E074E}">
  <sheetPr>
    <tabColor rgb="FF92D050"/>
  </sheetPr>
  <dimension ref="A1:N68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  <col min="12" max="12" width="14.1640625" customWidth="1"/>
  </cols>
  <sheetData>
    <row r="1" spans="1:14" x14ac:dyDescent="0.2">
      <c r="A1" s="8" t="str">
        <f>'1'!$A$1</f>
        <v>Texas Windstorm Insurance Association</v>
      </c>
      <c r="B1" s="12"/>
      <c r="J1" s="7" t="s">
        <v>134</v>
      </c>
      <c r="K1" s="1"/>
      <c r="M1" t="s">
        <v>526</v>
      </c>
      <c r="N1" t="s">
        <v>562</v>
      </c>
    </row>
    <row r="2" spans="1:14" x14ac:dyDescent="0.2">
      <c r="A2" s="8" t="str">
        <f>'1'!$A$2</f>
        <v>Commercial Property - Wind &amp; Hail</v>
      </c>
      <c r="B2" s="12"/>
      <c r="J2" s="7" t="s">
        <v>71</v>
      </c>
      <c r="K2" s="2"/>
    </row>
    <row r="3" spans="1:14" x14ac:dyDescent="0.2">
      <c r="A3" s="8" t="str">
        <f>'1'!$A$3</f>
        <v>Rate Level Review</v>
      </c>
      <c r="B3" s="12"/>
      <c r="K3" s="2"/>
    </row>
    <row r="4" spans="1:14" x14ac:dyDescent="0.2">
      <c r="A4" t="s">
        <v>593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2" thickBot="1" x14ac:dyDescent="0.25">
      <c r="A7" s="6"/>
      <c r="B7" s="6"/>
      <c r="C7" s="6"/>
      <c r="D7" s="6"/>
      <c r="E7" s="6"/>
      <c r="K7" s="2"/>
    </row>
    <row r="8" spans="1:14" ht="12" thickTop="1" x14ac:dyDescent="0.2">
      <c r="K8" s="2"/>
    </row>
    <row r="9" spans="1:14" x14ac:dyDescent="0.2">
      <c r="C9" s="36" t="s">
        <v>109</v>
      </c>
      <c r="D9" t="s">
        <v>51</v>
      </c>
      <c r="K9" s="2"/>
      <c r="L9" s="24"/>
    </row>
    <row r="10" spans="1:14" x14ac:dyDescent="0.2">
      <c r="C10" t="s">
        <v>110</v>
      </c>
      <c r="D10" t="s">
        <v>132</v>
      </c>
      <c r="E10" t="s">
        <v>111</v>
      </c>
      <c r="K10" s="2"/>
      <c r="L10" s="12" t="s">
        <v>131</v>
      </c>
    </row>
    <row r="11" spans="1:14" x14ac:dyDescent="0.2">
      <c r="A11" s="9" t="s">
        <v>108</v>
      </c>
      <c r="B11" s="9"/>
      <c r="C11" s="9" t="str">
        <f>"as of "&amp;TEXT($L$11,"m/d/yy")</f>
        <v>as of 11/30/22</v>
      </c>
      <c r="D11" s="9" t="s">
        <v>133</v>
      </c>
      <c r="E11" s="9" t="s">
        <v>112</v>
      </c>
      <c r="K11" s="2"/>
      <c r="L11" s="49">
        <f>'8.1'!L11</f>
        <v>44895</v>
      </c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4" x14ac:dyDescent="0.2">
      <c r="K13" s="2"/>
    </row>
    <row r="14" spans="1:14" x14ac:dyDescent="0.2">
      <c r="A14" t="s">
        <v>116</v>
      </c>
      <c r="C14" s="272">
        <f>ROUND('[4]Hurr Models'!B72/1000,0)</f>
        <v>334112</v>
      </c>
      <c r="D14" s="272">
        <f>'[4]Hurr Models'!H72</f>
        <v>1063257.3433164954</v>
      </c>
      <c r="E14" s="32">
        <f>ROUND(D14/C14,3)</f>
        <v>3.1819999999999999</v>
      </c>
      <c r="G14" s="26"/>
      <c r="H14" s="18"/>
      <c r="K14" s="2"/>
    </row>
    <row r="15" spans="1:14" x14ac:dyDescent="0.2">
      <c r="A15" t="s">
        <v>117</v>
      </c>
      <c r="C15" s="272">
        <f>ROUND('[4]Hurr Models'!B73/1000,0)</f>
        <v>460868</v>
      </c>
      <c r="D15" s="272">
        <f>'[4]Hurr Models'!H73</f>
        <v>1266109.797094956</v>
      </c>
      <c r="E15" s="32">
        <f t="shared" ref="E15:E27" si="0">ROUND(D15/C15,3)</f>
        <v>2.7469999999999999</v>
      </c>
      <c r="G15" s="26"/>
      <c r="H15" s="18"/>
      <c r="K15" s="2"/>
    </row>
    <row r="16" spans="1:14" x14ac:dyDescent="0.2">
      <c r="A16" t="s">
        <v>118</v>
      </c>
      <c r="C16" s="272">
        <f>ROUND('[4]Hurr Models'!B74/1000,0)</f>
        <v>131888</v>
      </c>
      <c r="D16" s="272">
        <f>'[4]Hurr Models'!H74</f>
        <v>457365.97869127244</v>
      </c>
      <c r="E16" s="32">
        <f t="shared" si="0"/>
        <v>3.468</v>
      </c>
      <c r="G16" s="26"/>
      <c r="H16" s="18"/>
      <c r="K16" s="2"/>
    </row>
    <row r="17" spans="1:13" x14ac:dyDescent="0.2">
      <c r="A17" t="s">
        <v>119</v>
      </c>
      <c r="C17" s="272">
        <f>ROUND('[4]Hurr Models'!B75/1000,0)</f>
        <v>1232168</v>
      </c>
      <c r="D17" s="272">
        <f>'[4]Hurr Models'!H75</f>
        <v>3466591.138523641</v>
      </c>
      <c r="E17" s="32">
        <f t="shared" si="0"/>
        <v>2.8130000000000002</v>
      </c>
      <c r="G17" s="26"/>
      <c r="H17" s="18"/>
      <c r="K17" s="2"/>
    </row>
    <row r="18" spans="1:13" x14ac:dyDescent="0.2">
      <c r="A18" t="s">
        <v>120</v>
      </c>
      <c r="C18" s="272">
        <f>ROUND('[4]Hurr Models'!B76/1000,0)</f>
        <v>66075</v>
      </c>
      <c r="D18" s="272">
        <f>'[4]Hurr Models'!H76</f>
        <v>170706.73869323736</v>
      </c>
      <c r="E18" s="32">
        <f t="shared" si="0"/>
        <v>2.5840000000000001</v>
      </c>
      <c r="G18" s="26"/>
      <c r="H18" s="18"/>
      <c r="K18" s="2"/>
    </row>
    <row r="19" spans="1:13" x14ac:dyDescent="0.2">
      <c r="A19" t="s">
        <v>121</v>
      </c>
      <c r="C19" s="272">
        <f>ROUND('[4]Hurr Models'!B77/1000,0)</f>
        <v>3140711</v>
      </c>
      <c r="D19" s="272">
        <f>'[4]Hurr Models'!H77</f>
        <v>15757646.145392261</v>
      </c>
      <c r="E19" s="32">
        <f t="shared" si="0"/>
        <v>5.0170000000000003</v>
      </c>
      <c r="G19" s="26"/>
      <c r="H19" s="18"/>
      <c r="K19" s="2"/>
    </row>
    <row r="20" spans="1:13" x14ac:dyDescent="0.2">
      <c r="A20" t="s">
        <v>122</v>
      </c>
      <c r="C20" s="272">
        <f>ROUND('[4]Hurr Models'!B78/1000,0)</f>
        <v>123247</v>
      </c>
      <c r="D20" s="272">
        <f>'[4]Hurr Models'!H78</f>
        <v>569769.59300826862</v>
      </c>
      <c r="E20" s="32">
        <f t="shared" si="0"/>
        <v>4.6230000000000002</v>
      </c>
      <c r="G20" s="26"/>
      <c r="H20" s="18"/>
      <c r="K20" s="2"/>
    </row>
    <row r="21" spans="1:13" x14ac:dyDescent="0.2">
      <c r="A21" t="s">
        <v>123</v>
      </c>
      <c r="C21" s="272">
        <f>ROUND('[4]Hurr Models'!B79/1000,0)</f>
        <v>498050</v>
      </c>
      <c r="D21" s="272">
        <f>'[4]Hurr Models'!H79</f>
        <v>1788183.8890517056</v>
      </c>
      <c r="E21" s="32">
        <f t="shared" si="0"/>
        <v>3.59</v>
      </c>
      <c r="G21" s="26"/>
      <c r="H21" s="18"/>
      <c r="K21" s="2"/>
    </row>
    <row r="22" spans="1:13" x14ac:dyDescent="0.2">
      <c r="A22" t="s">
        <v>124</v>
      </c>
      <c r="C22" s="272">
        <f>ROUND('[4]Hurr Models'!B80/1000,0)</f>
        <v>694</v>
      </c>
      <c r="D22" s="272">
        <f>'[4]Hurr Models'!H80</f>
        <v>1049.8725481033316</v>
      </c>
      <c r="E22" s="32">
        <f t="shared" si="0"/>
        <v>1.5129999999999999</v>
      </c>
      <c r="G22" s="26"/>
      <c r="H22" s="18"/>
      <c r="K22" s="2"/>
    </row>
    <row r="23" spans="1:13" x14ac:dyDescent="0.2">
      <c r="A23" t="s">
        <v>125</v>
      </c>
      <c r="B23" s="12"/>
      <c r="C23" s="272">
        <f>ROUND('[4]Hurr Models'!B81/1000,0)</f>
        <v>22737</v>
      </c>
      <c r="D23" s="272">
        <f>'[4]Hurr Models'!H81</f>
        <v>29083.630111828454</v>
      </c>
      <c r="E23" s="32">
        <f t="shared" si="0"/>
        <v>1.2789999999999999</v>
      </c>
      <c r="G23" s="26"/>
      <c r="H23" s="18"/>
      <c r="K23" s="2"/>
    </row>
    <row r="24" spans="1:13" x14ac:dyDescent="0.2">
      <c r="A24" t="s">
        <v>126</v>
      </c>
      <c r="B24" s="12"/>
      <c r="C24" s="272">
        <f>ROUND('[4]Hurr Models'!B82/1000,0)</f>
        <v>103140</v>
      </c>
      <c r="D24" s="272">
        <f>'[4]Hurr Models'!H82</f>
        <v>370879.46932430565</v>
      </c>
      <c r="E24" s="32">
        <f t="shared" si="0"/>
        <v>3.5960000000000001</v>
      </c>
      <c r="G24" s="26"/>
      <c r="H24" s="18"/>
      <c r="K24" s="2"/>
    </row>
    <row r="25" spans="1:13" x14ac:dyDescent="0.2">
      <c r="A25" t="s">
        <v>127</v>
      </c>
      <c r="B25" s="12"/>
      <c r="C25" s="272">
        <f>ROUND('[4]Hurr Models'!B83/1000,0)</f>
        <v>2453934</v>
      </c>
      <c r="D25" s="272">
        <f>'[4]Hurr Models'!H83</f>
        <v>6815632.7696599141</v>
      </c>
      <c r="E25" s="32">
        <f t="shared" si="0"/>
        <v>2.7770000000000001</v>
      </c>
      <c r="G25" s="26"/>
      <c r="H25" s="18"/>
      <c r="K25" s="2"/>
    </row>
    <row r="26" spans="1:13" x14ac:dyDescent="0.2">
      <c r="A26" t="s">
        <v>128</v>
      </c>
      <c r="C26" s="272">
        <f>ROUND('[4]Hurr Models'!B84/1000,0)</f>
        <v>18577</v>
      </c>
      <c r="D26" s="272">
        <f>'[4]Hurr Models'!H84</f>
        <v>42204.72278404238</v>
      </c>
      <c r="E26" s="32">
        <f t="shared" si="0"/>
        <v>2.2719999999999998</v>
      </c>
      <c r="G26" s="26"/>
      <c r="H26" s="18"/>
      <c r="K26" s="2"/>
    </row>
    <row r="27" spans="1:13" x14ac:dyDescent="0.2">
      <c r="A27" t="s">
        <v>129</v>
      </c>
      <c r="C27" s="272">
        <f>ROUND('[4]Hurr Models'!B85/1000,0)</f>
        <v>133728</v>
      </c>
      <c r="D27" s="272">
        <f>'[4]Hurr Models'!H85</f>
        <v>287655.72381281859</v>
      </c>
      <c r="E27" s="32">
        <f t="shared" si="0"/>
        <v>2.1509999999999998</v>
      </c>
      <c r="G27" s="26"/>
      <c r="H27" s="18"/>
      <c r="K27" s="2"/>
      <c r="L27" s="29"/>
    </row>
    <row r="28" spans="1:13" x14ac:dyDescent="0.2">
      <c r="A28" t="s">
        <v>130</v>
      </c>
      <c r="C28" s="272">
        <f>ROUND('[4]Hurr Models'!B86/1000,0)</f>
        <v>19550</v>
      </c>
      <c r="D28" s="272">
        <f>'[4]Hurr Models'!H86</f>
        <v>47627.199669588372</v>
      </c>
      <c r="E28" s="32">
        <f>ROUND(D28/C28,3)</f>
        <v>2.4359999999999999</v>
      </c>
      <c r="G28" s="26"/>
      <c r="H28" s="18"/>
      <c r="K28" s="2"/>
      <c r="L28" s="29"/>
      <c r="M28" s="18"/>
    </row>
    <row r="29" spans="1:13" x14ac:dyDescent="0.2">
      <c r="A29" s="9"/>
      <c r="B29" s="23"/>
      <c r="C29" s="59"/>
      <c r="D29" s="59"/>
      <c r="E29" s="33"/>
      <c r="G29" s="18"/>
      <c r="H29" s="18"/>
      <c r="K29" s="2"/>
    </row>
    <row r="30" spans="1:13" x14ac:dyDescent="0.2">
      <c r="C30" s="18"/>
      <c r="D30" s="18"/>
      <c r="E30" s="12"/>
      <c r="G30" s="18"/>
      <c r="H30" s="18"/>
      <c r="K30" s="2"/>
    </row>
    <row r="31" spans="1:13" x14ac:dyDescent="0.2">
      <c r="A31" t="s">
        <v>8</v>
      </c>
      <c r="C31" s="26">
        <f>SUM(C14:C28)</f>
        <v>8739479</v>
      </c>
      <c r="D31" s="26">
        <f>SUM(D14:D28)</f>
        <v>32133764.01168244</v>
      </c>
      <c r="E31" s="32">
        <f>ROUND(D31/C31,3)</f>
        <v>3.677</v>
      </c>
      <c r="G31" s="18"/>
      <c r="H31" s="18"/>
      <c r="K31" s="2"/>
    </row>
    <row r="32" spans="1:13" ht="12" thickBot="1" x14ac:dyDescent="0.25">
      <c r="A32" s="6"/>
      <c r="B32" s="6"/>
      <c r="C32" s="6"/>
      <c r="D32" s="6"/>
      <c r="E32" s="6"/>
      <c r="K32" s="2"/>
    </row>
    <row r="33" spans="1:11" ht="12" thickTop="1" x14ac:dyDescent="0.2">
      <c r="K33" s="2"/>
    </row>
    <row r="34" spans="1:11" x14ac:dyDescent="0.2">
      <c r="A34" t="s">
        <v>18</v>
      </c>
      <c r="K34" s="2"/>
    </row>
    <row r="35" spans="1:11" x14ac:dyDescent="0.2">
      <c r="B35" s="12" t="str">
        <f>C12&amp;" Provided by TWIA and Geo-coded by RQE"</f>
        <v>(2) Provided by TWIA and Geo-coded by RQE</v>
      </c>
      <c r="K35" s="2"/>
    </row>
    <row r="36" spans="1:11" x14ac:dyDescent="0.2">
      <c r="B36" s="12" t="str">
        <f>D12&amp;" Provided by CoreLogic RQE"&amp;" Using Historical Event Frequencies and Excluding Storm Surge"</f>
        <v>(3) Provided by CoreLogic RQE Using Historical Event Frequencies and Excluding Storm Surge</v>
      </c>
      <c r="K36" s="2"/>
    </row>
    <row r="37" spans="1:11" x14ac:dyDescent="0.2">
      <c r="B37" s="12" t="str">
        <f>E12&amp;" = "&amp;D12&amp;" / "&amp;C12</f>
        <v>(4) = (3) / (2)</v>
      </c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K60" s="2"/>
    </row>
    <row r="61" spans="1:11" x14ac:dyDescent="0.2">
      <c r="K61" s="2"/>
    </row>
    <row r="62" spans="1:11" x14ac:dyDescent="0.2">
      <c r="A62" s="40"/>
      <c r="C62" s="31"/>
      <c r="D62" s="31"/>
      <c r="E62" s="31"/>
      <c r="F62" s="18"/>
      <c r="G62" s="18"/>
      <c r="H62" s="18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21"/>
      <c r="G64" s="21"/>
      <c r="H64" s="21"/>
      <c r="K64" s="2"/>
    </row>
    <row r="65" spans="1:11" x14ac:dyDescent="0.2">
      <c r="B65" s="22"/>
      <c r="C65" s="41"/>
      <c r="D65" s="41"/>
      <c r="E65" s="41"/>
      <c r="F65" s="21"/>
      <c r="G65" s="21"/>
      <c r="H65" s="21"/>
      <c r="K65" s="2"/>
    </row>
    <row r="66" spans="1:11" x14ac:dyDescent="0.2">
      <c r="B66" s="22"/>
      <c r="C66" s="41"/>
      <c r="D66" s="41"/>
      <c r="E66" s="41"/>
      <c r="F66" s="21"/>
      <c r="G66" s="21"/>
      <c r="H66" s="21"/>
      <c r="K66" s="2"/>
    </row>
    <row r="67" spans="1:11" ht="12" thickBot="1" x14ac:dyDescent="0.25">
      <c r="B67" s="22"/>
      <c r="C67" s="41"/>
      <c r="D67" s="41"/>
      <c r="E67" s="41"/>
      <c r="F67" s="21"/>
      <c r="G67" s="21"/>
      <c r="H67" s="21"/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2">
    <tabColor rgb="FF92D050"/>
  </sheetPr>
  <dimension ref="A1:P71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6.33203125" customWidth="1"/>
    <col min="2" max="2" width="10.1640625" customWidth="1"/>
    <col min="3" max="3" width="20.1640625" customWidth="1"/>
    <col min="4" max="4" width="11.33203125" customWidth="1"/>
    <col min="5" max="5" width="6.33203125" customWidth="1"/>
    <col min="6" max="6" width="10.1640625" customWidth="1"/>
    <col min="7" max="7" width="20.1640625" customWidth="1"/>
    <col min="8" max="9" width="11.33203125" customWidth="1"/>
    <col min="10" max="10" width="14" customWidth="1"/>
  </cols>
  <sheetData>
    <row r="1" spans="1:16" x14ac:dyDescent="0.2">
      <c r="A1" s="8" t="str">
        <f>'1'!$A$1</f>
        <v>Texas Windstorm Insurance Association</v>
      </c>
      <c r="B1" s="8"/>
      <c r="J1" s="7" t="s">
        <v>135</v>
      </c>
      <c r="K1" s="1"/>
      <c r="O1" t="s">
        <v>526</v>
      </c>
      <c r="P1" t="s">
        <v>541</v>
      </c>
    </row>
    <row r="2" spans="1:16" x14ac:dyDescent="0.2">
      <c r="A2" s="8" t="str">
        <f>'1'!$A$2</f>
        <v>Commercial Property - Wind &amp; Hail</v>
      </c>
      <c r="B2" s="8"/>
      <c r="J2" s="7"/>
      <c r="K2" s="2"/>
      <c r="O2" t="s">
        <v>526</v>
      </c>
      <c r="P2" t="s">
        <v>542</v>
      </c>
    </row>
    <row r="3" spans="1:16" x14ac:dyDescent="0.2">
      <c r="A3" s="8" t="str">
        <f>'1'!$A$3</f>
        <v>Rate Level Review</v>
      </c>
      <c r="B3" s="8"/>
      <c r="K3" s="2"/>
      <c r="L3" s="11" t="s">
        <v>84</v>
      </c>
      <c r="M3" t="s">
        <v>85</v>
      </c>
    </row>
    <row r="4" spans="1:16" x14ac:dyDescent="0.2">
      <c r="A4" t="str">
        <f>"Texas Hurricanes "&amp;L4&amp;" - "&amp;YEAR(M4)</f>
        <v>Texas Hurricanes 1850 - 2022</v>
      </c>
      <c r="K4" s="2"/>
      <c r="L4" s="174">
        <v>1850</v>
      </c>
      <c r="M4" s="65">
        <v>44926</v>
      </c>
    </row>
    <row r="5" spans="1:16" x14ac:dyDescent="0.2">
      <c r="K5" s="2"/>
      <c r="L5" s="65">
        <v>25569</v>
      </c>
      <c r="M5" s="65">
        <v>44926</v>
      </c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F7" s="6"/>
      <c r="G7" s="6"/>
      <c r="K7" s="2"/>
    </row>
    <row r="8" spans="1:16" ht="12" thickTop="1" x14ac:dyDescent="0.2">
      <c r="K8" s="2"/>
    </row>
    <row r="9" spans="1:16" x14ac:dyDescent="0.2">
      <c r="C9" s="36"/>
      <c r="K9" s="2"/>
      <c r="L9" s="24"/>
    </row>
    <row r="10" spans="1:16" x14ac:dyDescent="0.2">
      <c r="A10" s="10" t="s">
        <v>343</v>
      </c>
      <c r="E10" s="10" t="s">
        <v>343</v>
      </c>
      <c r="K10" s="2"/>
      <c r="L10" s="11"/>
    </row>
    <row r="11" spans="1:16" x14ac:dyDescent="0.2">
      <c r="A11" s="9" t="s">
        <v>42</v>
      </c>
      <c r="B11" s="9" t="s">
        <v>342</v>
      </c>
      <c r="C11" s="9" t="s">
        <v>140</v>
      </c>
      <c r="E11" s="9" t="s">
        <v>42</v>
      </c>
      <c r="F11" s="9" t="s">
        <v>342</v>
      </c>
      <c r="G11" s="9" t="s">
        <v>140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E12" s="13" t="str">
        <f>A12</f>
        <v>(1)</v>
      </c>
      <c r="F12" s="13"/>
      <c r="G12" s="13" t="str">
        <f>C12</f>
        <v>(2)</v>
      </c>
      <c r="K12" s="2"/>
    </row>
    <row r="13" spans="1:16" x14ac:dyDescent="0.2">
      <c r="K13" s="2"/>
    </row>
    <row r="14" spans="1:16" x14ac:dyDescent="0.2">
      <c r="A14">
        <v>1851</v>
      </c>
      <c r="B14" t="s">
        <v>344</v>
      </c>
      <c r="E14">
        <v>1933</v>
      </c>
      <c r="F14" t="s">
        <v>345</v>
      </c>
      <c r="K14" s="2"/>
      <c r="L14" s="49"/>
      <c r="M14" s="49"/>
    </row>
    <row r="15" spans="1:16" x14ac:dyDescent="0.2">
      <c r="A15">
        <v>1854</v>
      </c>
      <c r="B15" t="s">
        <v>344</v>
      </c>
      <c r="E15">
        <v>1934</v>
      </c>
      <c r="F15" t="s">
        <v>346</v>
      </c>
      <c r="K15" s="2"/>
      <c r="M15" s="49"/>
    </row>
    <row r="16" spans="1:16" x14ac:dyDescent="0.2">
      <c r="A16">
        <v>1854</v>
      </c>
      <c r="B16" t="s">
        <v>345</v>
      </c>
      <c r="C16" t="s">
        <v>349</v>
      </c>
      <c r="E16">
        <v>1936</v>
      </c>
      <c r="F16" t="s">
        <v>344</v>
      </c>
      <c r="K16" s="2"/>
      <c r="M16" s="49"/>
    </row>
    <row r="17" spans="1:13" x14ac:dyDescent="0.2">
      <c r="A17">
        <v>1865</v>
      </c>
      <c r="B17" t="s">
        <v>345</v>
      </c>
      <c r="C17" t="s">
        <v>350</v>
      </c>
      <c r="E17">
        <v>1940</v>
      </c>
      <c r="F17" t="s">
        <v>348</v>
      </c>
      <c r="K17" s="2"/>
      <c r="M17" s="49"/>
    </row>
    <row r="18" spans="1:13" x14ac:dyDescent="0.2">
      <c r="A18">
        <v>1866</v>
      </c>
      <c r="B18" t="s">
        <v>346</v>
      </c>
      <c r="E18">
        <v>1941</v>
      </c>
      <c r="F18" t="s">
        <v>345</v>
      </c>
      <c r="K18" s="2"/>
      <c r="M18" s="49"/>
    </row>
    <row r="19" spans="1:13" x14ac:dyDescent="0.2">
      <c r="A19">
        <v>1867</v>
      </c>
      <c r="B19" t="s">
        <v>347</v>
      </c>
      <c r="C19" t="s">
        <v>351</v>
      </c>
      <c r="E19">
        <v>1942</v>
      </c>
      <c r="F19" t="s">
        <v>348</v>
      </c>
      <c r="K19" s="2"/>
      <c r="M19" s="49"/>
    </row>
    <row r="20" spans="1:13" x14ac:dyDescent="0.2">
      <c r="A20">
        <v>1869</v>
      </c>
      <c r="B20" t="s">
        <v>348</v>
      </c>
      <c r="C20" t="s">
        <v>352</v>
      </c>
      <c r="E20">
        <v>1942</v>
      </c>
      <c r="F20" t="s">
        <v>348</v>
      </c>
      <c r="K20" s="2"/>
      <c r="M20" s="49"/>
    </row>
    <row r="21" spans="1:13" x14ac:dyDescent="0.2">
      <c r="A21">
        <v>1875</v>
      </c>
      <c r="B21" t="s">
        <v>345</v>
      </c>
      <c r="E21">
        <v>1943</v>
      </c>
      <c r="F21" t="s">
        <v>346</v>
      </c>
      <c r="K21" s="2"/>
      <c r="M21" s="49"/>
    </row>
    <row r="22" spans="1:13" x14ac:dyDescent="0.2">
      <c r="A22">
        <v>1879</v>
      </c>
      <c r="B22" t="s">
        <v>348</v>
      </c>
      <c r="E22">
        <v>1945</v>
      </c>
      <c r="F22" t="s">
        <v>348</v>
      </c>
      <c r="K22" s="2"/>
      <c r="M22" s="49"/>
    </row>
    <row r="23" spans="1:13" x14ac:dyDescent="0.2">
      <c r="A23">
        <v>1880</v>
      </c>
      <c r="B23" t="s">
        <v>348</v>
      </c>
      <c r="E23">
        <v>1947</v>
      </c>
      <c r="F23" t="s">
        <v>348</v>
      </c>
      <c r="K23" s="2"/>
      <c r="M23" s="49"/>
    </row>
    <row r="24" spans="1:13" x14ac:dyDescent="0.2">
      <c r="A24">
        <v>1882</v>
      </c>
      <c r="B24" t="s">
        <v>345</v>
      </c>
      <c r="E24">
        <v>1949</v>
      </c>
      <c r="F24" t="s">
        <v>347</v>
      </c>
      <c r="K24" s="2"/>
      <c r="M24" s="49"/>
    </row>
    <row r="25" spans="1:13" x14ac:dyDescent="0.2">
      <c r="A25">
        <v>1886</v>
      </c>
      <c r="B25" t="s">
        <v>344</v>
      </c>
      <c r="E25">
        <v>1957</v>
      </c>
      <c r="F25" t="s">
        <v>344</v>
      </c>
      <c r="G25" t="s">
        <v>141</v>
      </c>
      <c r="K25" s="2"/>
      <c r="M25" s="49"/>
    </row>
    <row r="26" spans="1:13" x14ac:dyDescent="0.2">
      <c r="A26">
        <v>1886</v>
      </c>
      <c r="B26" t="s">
        <v>348</v>
      </c>
      <c r="C26" t="s">
        <v>353</v>
      </c>
      <c r="E26">
        <v>1959</v>
      </c>
      <c r="F26" t="s">
        <v>346</v>
      </c>
      <c r="G26" t="s">
        <v>142</v>
      </c>
      <c r="K26" s="2"/>
      <c r="M26" s="49"/>
    </row>
    <row r="27" spans="1:13" x14ac:dyDescent="0.2">
      <c r="A27">
        <v>1886</v>
      </c>
      <c r="B27" t="s">
        <v>345</v>
      </c>
      <c r="E27">
        <v>1961</v>
      </c>
      <c r="F27" t="s">
        <v>345</v>
      </c>
      <c r="G27" t="s">
        <v>143</v>
      </c>
      <c r="K27" s="2"/>
      <c r="M27" s="49"/>
    </row>
    <row r="28" spans="1:13" x14ac:dyDescent="0.2">
      <c r="A28">
        <v>1886</v>
      </c>
      <c r="B28" t="s">
        <v>347</v>
      </c>
      <c r="E28" s="9">
        <v>1963</v>
      </c>
      <c r="F28" s="9" t="s">
        <v>345</v>
      </c>
      <c r="G28" s="9" t="s">
        <v>144</v>
      </c>
      <c r="K28" s="2"/>
      <c r="M28" s="49"/>
    </row>
    <row r="29" spans="1:13" x14ac:dyDescent="0.2">
      <c r="A29">
        <v>1887</v>
      </c>
      <c r="B29" t="s">
        <v>345</v>
      </c>
      <c r="E29">
        <v>1967</v>
      </c>
      <c r="F29" t="s">
        <v>345</v>
      </c>
      <c r="G29" t="s">
        <v>356</v>
      </c>
      <c r="K29" s="2"/>
      <c r="M29" s="49"/>
    </row>
    <row r="30" spans="1:13" x14ac:dyDescent="0.2">
      <c r="A30">
        <v>1888</v>
      </c>
      <c r="B30" t="s">
        <v>344</v>
      </c>
      <c r="E30">
        <v>1970</v>
      </c>
      <c r="F30" t="s">
        <v>348</v>
      </c>
      <c r="G30" t="s">
        <v>145</v>
      </c>
      <c r="K30" s="2"/>
      <c r="M30" s="49"/>
    </row>
    <row r="31" spans="1:13" x14ac:dyDescent="0.2">
      <c r="A31">
        <v>1891</v>
      </c>
      <c r="B31" t="s">
        <v>346</v>
      </c>
      <c r="E31">
        <v>1971</v>
      </c>
      <c r="F31" t="s">
        <v>345</v>
      </c>
      <c r="G31" t="s">
        <v>146</v>
      </c>
      <c r="K31" s="2"/>
      <c r="M31" s="49"/>
    </row>
    <row r="32" spans="1:13" x14ac:dyDescent="0.2">
      <c r="A32">
        <v>1895</v>
      </c>
      <c r="B32" t="s">
        <v>348</v>
      </c>
      <c r="E32">
        <v>1980</v>
      </c>
      <c r="F32" t="s">
        <v>348</v>
      </c>
      <c r="G32" s="41" t="s">
        <v>147</v>
      </c>
      <c r="K32" s="2"/>
      <c r="M32" s="49"/>
    </row>
    <row r="33" spans="1:13" x14ac:dyDescent="0.2">
      <c r="A33">
        <v>1897</v>
      </c>
      <c r="B33" t="s">
        <v>345</v>
      </c>
      <c r="E33">
        <v>1983</v>
      </c>
      <c r="F33" t="s">
        <v>348</v>
      </c>
      <c r="G33" t="s">
        <v>148</v>
      </c>
      <c r="K33" s="2"/>
      <c r="M33" s="49"/>
    </row>
    <row r="34" spans="1:13" x14ac:dyDescent="0.2">
      <c r="A34">
        <v>1900</v>
      </c>
      <c r="B34" t="s">
        <v>345</v>
      </c>
      <c r="C34" t="s">
        <v>351</v>
      </c>
      <c r="E34">
        <v>1986</v>
      </c>
      <c r="F34" t="s">
        <v>344</v>
      </c>
      <c r="G34" t="s">
        <v>149</v>
      </c>
      <c r="K34" s="2"/>
      <c r="M34" s="49"/>
    </row>
    <row r="35" spans="1:13" x14ac:dyDescent="0.2">
      <c r="A35">
        <v>1909</v>
      </c>
      <c r="B35" t="s">
        <v>344</v>
      </c>
      <c r="E35">
        <v>1989</v>
      </c>
      <c r="F35" t="s">
        <v>348</v>
      </c>
      <c r="G35" t="s">
        <v>150</v>
      </c>
      <c r="K35" s="2"/>
      <c r="M35" s="49"/>
    </row>
    <row r="36" spans="1:13" x14ac:dyDescent="0.2">
      <c r="A36">
        <v>1909</v>
      </c>
      <c r="B36" t="s">
        <v>346</v>
      </c>
      <c r="C36" t="s">
        <v>354</v>
      </c>
      <c r="E36">
        <v>1989</v>
      </c>
      <c r="F36" t="s">
        <v>347</v>
      </c>
      <c r="G36" t="s">
        <v>151</v>
      </c>
      <c r="K36" s="2"/>
      <c r="M36" s="49"/>
    </row>
    <row r="37" spans="1:13" x14ac:dyDescent="0.2">
      <c r="A37">
        <v>1909</v>
      </c>
      <c r="B37" t="s">
        <v>348</v>
      </c>
      <c r="E37">
        <v>1999</v>
      </c>
      <c r="F37" t="s">
        <v>348</v>
      </c>
      <c r="G37" t="s">
        <v>357</v>
      </c>
      <c r="K37" s="2"/>
      <c r="M37" s="49"/>
    </row>
    <row r="38" spans="1:13" x14ac:dyDescent="0.2">
      <c r="A38">
        <v>1910</v>
      </c>
      <c r="B38" t="s">
        <v>345</v>
      </c>
      <c r="E38">
        <v>2003</v>
      </c>
      <c r="F38" t="s">
        <v>346</v>
      </c>
      <c r="G38" t="s">
        <v>306</v>
      </c>
      <c r="K38" s="2"/>
      <c r="M38" s="49"/>
    </row>
    <row r="39" spans="1:13" x14ac:dyDescent="0.2">
      <c r="A39">
        <v>1912</v>
      </c>
      <c r="B39" t="s">
        <v>347</v>
      </c>
      <c r="E39">
        <v>2005</v>
      </c>
      <c r="F39" t="s">
        <v>345</v>
      </c>
      <c r="G39" t="s">
        <v>320</v>
      </c>
      <c r="K39" s="2"/>
      <c r="M39" s="49"/>
    </row>
    <row r="40" spans="1:13" x14ac:dyDescent="0.2">
      <c r="A40">
        <v>1913</v>
      </c>
      <c r="B40" t="s">
        <v>344</v>
      </c>
      <c r="E40">
        <v>2007</v>
      </c>
      <c r="F40" t="s">
        <v>345</v>
      </c>
      <c r="G40" t="s">
        <v>361</v>
      </c>
      <c r="K40" s="2"/>
      <c r="M40" s="49"/>
    </row>
    <row r="41" spans="1:13" x14ac:dyDescent="0.2">
      <c r="A41">
        <v>1915</v>
      </c>
      <c r="B41" t="s">
        <v>348</v>
      </c>
      <c r="C41" t="s">
        <v>351</v>
      </c>
      <c r="E41">
        <v>2008</v>
      </c>
      <c r="F41" t="s">
        <v>346</v>
      </c>
      <c r="G41" t="s">
        <v>370</v>
      </c>
      <c r="K41" s="2"/>
      <c r="M41" s="49"/>
    </row>
    <row r="42" spans="1:13" x14ac:dyDescent="0.2">
      <c r="A42">
        <v>1916</v>
      </c>
      <c r="B42" t="s">
        <v>348</v>
      </c>
      <c r="E42">
        <v>2008</v>
      </c>
      <c r="F42" t="s">
        <v>345</v>
      </c>
      <c r="G42" t="s">
        <v>371</v>
      </c>
      <c r="K42" s="2"/>
      <c r="M42" s="49"/>
    </row>
    <row r="43" spans="1:13" x14ac:dyDescent="0.2">
      <c r="A43">
        <v>1919</v>
      </c>
      <c r="B43" t="s">
        <v>345</v>
      </c>
      <c r="E43">
        <v>2017</v>
      </c>
      <c r="F43" t="s">
        <v>348</v>
      </c>
      <c r="G43" t="s">
        <v>437</v>
      </c>
      <c r="K43" s="2"/>
      <c r="M43" s="49"/>
    </row>
    <row r="44" spans="1:13" x14ac:dyDescent="0.2">
      <c r="A44">
        <v>1921</v>
      </c>
      <c r="B44" t="s">
        <v>344</v>
      </c>
      <c r="E44">
        <v>2020</v>
      </c>
      <c r="F44" t="s">
        <v>346</v>
      </c>
      <c r="G44" t="s">
        <v>520</v>
      </c>
      <c r="K44" s="2"/>
    </row>
    <row r="45" spans="1:13" x14ac:dyDescent="0.2">
      <c r="A45">
        <v>1929</v>
      </c>
      <c r="B45" t="s">
        <v>344</v>
      </c>
      <c r="E45">
        <v>2020</v>
      </c>
      <c r="F45" t="s">
        <v>348</v>
      </c>
      <c r="G45" t="s">
        <v>521</v>
      </c>
      <c r="K45" s="2"/>
      <c r="M45" s="49"/>
    </row>
    <row r="46" spans="1:13" x14ac:dyDescent="0.2">
      <c r="A46">
        <v>1932</v>
      </c>
      <c r="B46" t="s">
        <v>348</v>
      </c>
      <c r="C46" t="s">
        <v>355</v>
      </c>
      <c r="E46">
        <v>2020</v>
      </c>
      <c r="F46" t="s">
        <v>347</v>
      </c>
      <c r="G46" t="s">
        <v>522</v>
      </c>
      <c r="K46" s="2"/>
    </row>
    <row r="47" spans="1:13" x14ac:dyDescent="0.2">
      <c r="A47">
        <v>1933</v>
      </c>
      <c r="B47" t="s">
        <v>348</v>
      </c>
      <c r="E47">
        <v>2021</v>
      </c>
      <c r="F47" t="s">
        <v>345</v>
      </c>
      <c r="G47" t="s">
        <v>529</v>
      </c>
      <c r="K47" s="2"/>
    </row>
    <row r="48" spans="1:13" x14ac:dyDescent="0.2">
      <c r="K48" s="2"/>
    </row>
    <row r="49" spans="1:13" x14ac:dyDescent="0.2">
      <c r="K49" s="2"/>
    </row>
    <row r="50" spans="1:13" x14ac:dyDescent="0.2">
      <c r="K50" s="2"/>
      <c r="M50" s="49"/>
    </row>
    <row r="51" spans="1:13" x14ac:dyDescent="0.2">
      <c r="A51" s="51" t="s">
        <v>152</v>
      </c>
      <c r="B51" s="51"/>
      <c r="C51" s="45" t="s">
        <v>153</v>
      </c>
      <c r="D51" s="45" t="s">
        <v>154</v>
      </c>
      <c r="E51" s="45" t="s">
        <v>259</v>
      </c>
      <c r="F51" s="45" t="s">
        <v>155</v>
      </c>
      <c r="G51" s="45"/>
      <c r="H51" s="21"/>
      <c r="K51" s="2"/>
    </row>
    <row r="52" spans="1:13" x14ac:dyDescent="0.2">
      <c r="A52" s="50"/>
      <c r="B52" s="50"/>
      <c r="C52" s="41"/>
      <c r="D52" s="41"/>
      <c r="E52" s="41"/>
      <c r="F52" s="41"/>
      <c r="G52" s="41"/>
      <c r="H52" s="21"/>
      <c r="K52" s="2"/>
    </row>
    <row r="53" spans="1:13" x14ac:dyDescent="0.2">
      <c r="A53" t="str">
        <f>TEXT(E53,"0.0")&amp;"-Year"</f>
        <v>53.0-Year</v>
      </c>
      <c r="C53" s="41" t="str">
        <f>TEXT(L5,"m/d/yyyy")&amp;" - "&amp;TEXT('6.1'!$M$5,"m/d/yyyy")</f>
        <v>1/1/1970 - 12/31/2022</v>
      </c>
      <c r="D53" s="12">
        <f>SUM(COUNTIF($A$14:$A$47,"&gt;=1970"),COUNTIF($E$14:$E$47,"&gt;=1970"))</f>
        <v>18</v>
      </c>
      <c r="E53" s="70">
        <f>YEAR(M5)-YEAR(L5)+1</f>
        <v>53</v>
      </c>
      <c r="G53" s="104">
        <f>ROUND(D53/E53,3)</f>
        <v>0.34</v>
      </c>
      <c r="H53" s="21"/>
      <c r="K53" s="2"/>
    </row>
    <row r="54" spans="1:13" x14ac:dyDescent="0.2">
      <c r="A54" t="str">
        <f>E54&amp;"-Year"</f>
        <v>172-Year</v>
      </c>
      <c r="C54" s="12" t="str">
        <f>MONTH(M4+1)&amp;"/1/"&amp;YEAR(M4+1)-E54&amp;" - "&amp;TEXT(M4,"m/d/yyyy")</f>
        <v>1/1/1851 - 12/31/2022</v>
      </c>
      <c r="D54" s="12">
        <f>SUM(COUNTA(A14:A47),COUNTA(E14:E47))</f>
        <v>68</v>
      </c>
      <c r="E54" s="70">
        <f>YEAR($M$4)-$L$4</f>
        <v>172</v>
      </c>
      <c r="G54" s="104">
        <f>ROUND(D54/E54,3)</f>
        <v>0.39500000000000002</v>
      </c>
      <c r="K54" s="2"/>
    </row>
    <row r="55" spans="1:13" ht="12" thickBot="1" x14ac:dyDescent="0.25">
      <c r="A55" s="6"/>
      <c r="B55" s="6"/>
      <c r="C55" s="6"/>
      <c r="D55" s="6"/>
      <c r="E55" s="6"/>
      <c r="F55" s="6"/>
      <c r="G55" s="6"/>
      <c r="K55" s="2"/>
    </row>
    <row r="56" spans="1:13" ht="12" thickTop="1" x14ac:dyDescent="0.2">
      <c r="K56" s="2"/>
    </row>
    <row r="57" spans="1:13" x14ac:dyDescent="0.2">
      <c r="A57" t="s">
        <v>18</v>
      </c>
      <c r="K57" s="2"/>
    </row>
    <row r="58" spans="1:13" x14ac:dyDescent="0.2">
      <c r="B58" t="str">
        <f>$A$12&amp;", "&amp;$C$12&amp;" from NOAA Technical Memorandum NWS-NHC-6, updated with actual experience through 2022"</f>
        <v>(1), (2) from NOAA Technical Memorandum NWS-NHC-6, updated with actual experience through 2022</v>
      </c>
      <c r="K58" s="2"/>
    </row>
    <row r="59" spans="1:13" x14ac:dyDescent="0.2">
      <c r="K59" s="2"/>
    </row>
    <row r="60" spans="1:13" x14ac:dyDescent="0.2">
      <c r="K60" s="2"/>
    </row>
    <row r="61" spans="1:13" x14ac:dyDescent="0.2">
      <c r="K61" s="2"/>
    </row>
    <row r="62" spans="1:13" x14ac:dyDescent="0.2">
      <c r="K62" s="2"/>
    </row>
    <row r="63" spans="1:13" x14ac:dyDescent="0.2">
      <c r="K63" s="2"/>
    </row>
    <row r="64" spans="1:13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3">
    <tabColor rgb="FF92D050"/>
  </sheetPr>
  <dimension ref="A1:O73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6" width="14" customWidth="1"/>
    <col min="7" max="9" width="11.33203125" customWidth="1"/>
    <col min="10" max="10" width="10.6640625" customWidth="1"/>
  </cols>
  <sheetData>
    <row r="1" spans="1:15" x14ac:dyDescent="0.2">
      <c r="A1" s="8" t="str">
        <f>'1'!$A$1</f>
        <v>Texas Windstorm Insurance Association</v>
      </c>
      <c r="B1" s="12"/>
      <c r="J1" s="7" t="s">
        <v>138</v>
      </c>
      <c r="K1" s="1"/>
      <c r="N1" s="7" t="s">
        <v>526</v>
      </c>
      <c r="O1" t="s">
        <v>540</v>
      </c>
    </row>
    <row r="2" spans="1:15" x14ac:dyDescent="0.2">
      <c r="A2" s="8" t="str">
        <f>'1'!$A$2</f>
        <v>Commercial Property - Wind &amp; Hail</v>
      </c>
      <c r="B2" s="12"/>
      <c r="J2" s="7" t="s">
        <v>21</v>
      </c>
      <c r="K2" s="2"/>
      <c r="N2" s="7" t="s">
        <v>526</v>
      </c>
      <c r="O2" t="s">
        <v>535</v>
      </c>
    </row>
    <row r="3" spans="1:15" x14ac:dyDescent="0.2">
      <c r="A3" s="8" t="str">
        <f>'1'!$A$3</f>
        <v>Rate Level Review</v>
      </c>
      <c r="B3" s="12"/>
      <c r="K3" s="2"/>
    </row>
    <row r="4" spans="1:15" x14ac:dyDescent="0.2">
      <c r="A4" t="s">
        <v>220</v>
      </c>
      <c r="B4" s="12"/>
      <c r="K4" s="2"/>
    </row>
    <row r="5" spans="1:15" x14ac:dyDescent="0.2">
      <c r="B5" s="12"/>
      <c r="K5" s="2"/>
    </row>
    <row r="6" spans="1:15" x14ac:dyDescent="0.2">
      <c r="K6" s="2"/>
    </row>
    <row r="7" spans="1:15" ht="12" thickBot="1" x14ac:dyDescent="0.25">
      <c r="A7" s="6"/>
      <c r="B7" s="6"/>
      <c r="C7" s="6"/>
      <c r="D7" s="6"/>
      <c r="E7" s="6"/>
      <c r="F7" s="6"/>
      <c r="K7" s="2"/>
    </row>
    <row r="8" spans="1:15" ht="12" thickTop="1" x14ac:dyDescent="0.2">
      <c r="K8" s="2"/>
    </row>
    <row r="9" spans="1:15" x14ac:dyDescent="0.2">
      <c r="C9" s="12" t="s">
        <v>221</v>
      </c>
      <c r="D9" t="s">
        <v>219</v>
      </c>
      <c r="E9" t="s">
        <v>181</v>
      </c>
      <c r="F9" t="s">
        <v>37</v>
      </c>
      <c r="K9" s="2"/>
      <c r="L9" s="24"/>
    </row>
    <row r="10" spans="1:15" x14ac:dyDescent="0.2">
      <c r="C10" t="s">
        <v>222</v>
      </c>
      <c r="D10" t="s">
        <v>211</v>
      </c>
      <c r="E10" t="s">
        <v>35</v>
      </c>
      <c r="F10" t="s">
        <v>35</v>
      </c>
      <c r="K10" s="2"/>
    </row>
    <row r="11" spans="1:15" x14ac:dyDescent="0.2">
      <c r="A11" s="9" t="s">
        <v>42</v>
      </c>
      <c r="B11" s="9"/>
      <c r="C11" s="9" t="s">
        <v>95</v>
      </c>
      <c r="D11" s="9" t="s">
        <v>104</v>
      </c>
      <c r="E11" s="9" t="s">
        <v>104</v>
      </c>
      <c r="F11" s="9" t="s">
        <v>104</v>
      </c>
      <c r="K11" s="2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K12" s="2"/>
    </row>
    <row r="13" spans="1:15" x14ac:dyDescent="0.2">
      <c r="K13" s="2"/>
    </row>
    <row r="14" spans="1:15" x14ac:dyDescent="0.2">
      <c r="A14" s="61">
        <v>1994</v>
      </c>
      <c r="B14" s="22"/>
      <c r="C14" s="18">
        <f>'12.2'!C14</f>
        <v>10672677</v>
      </c>
      <c r="D14" s="29">
        <f>'10.2'!O28</f>
        <v>3.2530000000000001</v>
      </c>
      <c r="E14" s="18">
        <f>ROUND(C14*D14,0)</f>
        <v>34718218</v>
      </c>
      <c r="F14" s="18">
        <f>ROUND(AVERAGE(E13:E14),0)</f>
        <v>34718218</v>
      </c>
      <c r="K14" s="2"/>
    </row>
    <row r="15" spans="1:15" x14ac:dyDescent="0.2">
      <c r="A15" t="str">
        <f>TEXT(A14+1,"#")</f>
        <v>1995</v>
      </c>
      <c r="B15" s="22"/>
      <c r="C15" s="18">
        <f>'12.2'!C15</f>
        <v>12865905</v>
      </c>
      <c r="D15" s="29">
        <f>'10.2'!O29</f>
        <v>3.2530000000000001</v>
      </c>
      <c r="E15" s="18">
        <f t="shared" ref="E15:E32" si="0">ROUND(C15*D15,0)</f>
        <v>41852789</v>
      </c>
      <c r="F15" s="18">
        <f>ROUND(AVERAGE(E14:E15),0)</f>
        <v>38285504</v>
      </c>
      <c r="K15" s="2"/>
      <c r="L15" s="31"/>
    </row>
    <row r="16" spans="1:15" x14ac:dyDescent="0.2">
      <c r="A16" t="str">
        <f t="shared" ref="A16:A42" si="1">TEXT(A15+1,"#")</f>
        <v>1996</v>
      </c>
      <c r="B16" s="22"/>
      <c r="C16" s="18">
        <f>'12.2'!C16</f>
        <v>15640660</v>
      </c>
      <c r="D16" s="29">
        <f>'10.2'!O30</f>
        <v>3.2530000000000001</v>
      </c>
      <c r="E16" s="18">
        <f t="shared" si="0"/>
        <v>50879067</v>
      </c>
      <c r="F16" s="18">
        <f>ROUND(AVERAGE(E15:E16),0)</f>
        <v>46365928</v>
      </c>
      <c r="K16" s="2"/>
    </row>
    <row r="17" spans="1:12" x14ac:dyDescent="0.2">
      <c r="A17" t="str">
        <f t="shared" si="1"/>
        <v>1997</v>
      </c>
      <c r="B17" s="22"/>
      <c r="C17" s="18">
        <f>'12.2'!C17</f>
        <v>16536186</v>
      </c>
      <c r="D17" s="29">
        <f>'10.2'!O31</f>
        <v>3.2530000000000001</v>
      </c>
      <c r="E17" s="18">
        <f t="shared" si="0"/>
        <v>53792213</v>
      </c>
      <c r="F17" s="18">
        <f t="shared" ref="F17:F31" si="2">ROUND(AVERAGE(E16:E17),0)</f>
        <v>52335640</v>
      </c>
      <c r="K17" s="2"/>
      <c r="L17" s="28"/>
    </row>
    <row r="18" spans="1:12" x14ac:dyDescent="0.2">
      <c r="A18" t="str">
        <f t="shared" si="1"/>
        <v>1998</v>
      </c>
      <c r="B18" s="22"/>
      <c r="C18" s="18">
        <f>'12.2'!C18</f>
        <v>16558977</v>
      </c>
      <c r="D18" s="29">
        <f>'10.2'!O32</f>
        <v>3.3530000000000002</v>
      </c>
      <c r="E18" s="18">
        <f t="shared" si="0"/>
        <v>55522250</v>
      </c>
      <c r="F18" s="18">
        <f t="shared" si="2"/>
        <v>54657232</v>
      </c>
      <c r="K18" s="2"/>
      <c r="L18" s="28"/>
    </row>
    <row r="19" spans="1:12" x14ac:dyDescent="0.2">
      <c r="A19" t="str">
        <f t="shared" si="1"/>
        <v>1999</v>
      </c>
      <c r="B19" s="22"/>
      <c r="C19" s="18">
        <f>'12.2'!C19</f>
        <v>17394142.049999997</v>
      </c>
      <c r="D19" s="29">
        <f>'10.2'!O33</f>
        <v>3.3530000000000002</v>
      </c>
      <c r="E19" s="18">
        <f t="shared" si="0"/>
        <v>58322558</v>
      </c>
      <c r="F19" s="18">
        <f>ROUND(AVERAGE(E18:E19),0)</f>
        <v>56922404</v>
      </c>
      <c r="K19" s="2"/>
      <c r="L19" s="28"/>
    </row>
    <row r="20" spans="1:12" x14ac:dyDescent="0.2">
      <c r="A20" t="str">
        <f t="shared" si="1"/>
        <v>2000</v>
      </c>
      <c r="B20" s="22"/>
      <c r="C20" s="18">
        <f>'12.2'!C20</f>
        <v>17332561</v>
      </c>
      <c r="D20" s="29">
        <f>'10.2'!O34</f>
        <v>3.077</v>
      </c>
      <c r="E20" s="18">
        <f t="shared" si="0"/>
        <v>53332290</v>
      </c>
      <c r="F20" s="18">
        <f t="shared" si="2"/>
        <v>55827424</v>
      </c>
      <c r="K20" s="2"/>
      <c r="L20" s="28"/>
    </row>
    <row r="21" spans="1:12" x14ac:dyDescent="0.2">
      <c r="A21" t="str">
        <f t="shared" si="1"/>
        <v>2001</v>
      </c>
      <c r="B21" s="22"/>
      <c r="C21" s="18">
        <f>'12.2'!C21</f>
        <v>17544251</v>
      </c>
      <c r="D21" s="29">
        <f>'10.2'!O35</f>
        <v>2.9580000000000002</v>
      </c>
      <c r="E21" s="18">
        <f t="shared" si="0"/>
        <v>51895894</v>
      </c>
      <c r="F21" s="18">
        <f>ROUND(AVERAGE(E20:E21),0)</f>
        <v>52614092</v>
      </c>
      <c r="K21" s="2"/>
      <c r="L21" s="28"/>
    </row>
    <row r="22" spans="1:12" x14ac:dyDescent="0.2">
      <c r="A22" t="str">
        <f t="shared" si="1"/>
        <v>2002</v>
      </c>
      <c r="B22" s="22"/>
      <c r="C22" s="18">
        <f>'12.2'!C22</f>
        <v>24013525</v>
      </c>
      <c r="D22" s="29">
        <f>'10.2'!O36</f>
        <v>2.8180000000000001</v>
      </c>
      <c r="E22" s="18">
        <f t="shared" si="0"/>
        <v>67670113</v>
      </c>
      <c r="F22" s="18">
        <f>ROUND(AVERAGE(E21:E22),0)</f>
        <v>59783004</v>
      </c>
      <c r="K22" s="2"/>
      <c r="L22" s="28"/>
    </row>
    <row r="23" spans="1:12" x14ac:dyDescent="0.2">
      <c r="A23" t="str">
        <f t="shared" si="1"/>
        <v>2003</v>
      </c>
      <c r="B23" s="22"/>
      <c r="C23" s="18">
        <f>'12.2'!C23</f>
        <v>29220514</v>
      </c>
      <c r="D23" s="29">
        <f>'10.2'!O37</f>
        <v>2.5619999999999998</v>
      </c>
      <c r="E23" s="18">
        <f t="shared" si="0"/>
        <v>74862957</v>
      </c>
      <c r="F23" s="18">
        <f>ROUND(AVERAGE(E22:E23),0)</f>
        <v>71266535</v>
      </c>
      <c r="K23" s="2"/>
      <c r="L23" s="28"/>
    </row>
    <row r="24" spans="1:12" x14ac:dyDescent="0.2">
      <c r="A24" t="str">
        <f t="shared" si="1"/>
        <v>2004</v>
      </c>
      <c r="B24" s="22"/>
      <c r="C24" s="18">
        <f>'12.2'!C24</f>
        <v>31009323</v>
      </c>
      <c r="D24" s="29">
        <f>'10.2'!O38</f>
        <v>2.3290000000000002</v>
      </c>
      <c r="E24" s="18">
        <f t="shared" si="0"/>
        <v>72220713</v>
      </c>
      <c r="F24" s="18">
        <f t="shared" si="2"/>
        <v>73541835</v>
      </c>
      <c r="K24" s="2"/>
      <c r="L24" t="s">
        <v>232</v>
      </c>
    </row>
    <row r="25" spans="1:12" x14ac:dyDescent="0.2">
      <c r="A25" t="str">
        <f t="shared" si="1"/>
        <v>2005</v>
      </c>
      <c r="C25" s="18">
        <f>'12.2'!C25</f>
        <v>35740174</v>
      </c>
      <c r="D25" s="29">
        <f>'10.2'!O39</f>
        <v>2.117</v>
      </c>
      <c r="E25" s="18">
        <f t="shared" si="0"/>
        <v>75661948</v>
      </c>
      <c r="F25" s="18">
        <f>ROUND(AVERAGE(E24:E25),0)</f>
        <v>73941331</v>
      </c>
      <c r="K25" s="2"/>
      <c r="L25" s="36">
        <f>'12.2'!$L$47</f>
        <v>44926</v>
      </c>
    </row>
    <row r="26" spans="1:12" x14ac:dyDescent="0.2">
      <c r="A26" t="str">
        <f t="shared" si="1"/>
        <v>2006</v>
      </c>
      <c r="B26" s="12"/>
      <c r="C26" s="18">
        <f>'12.2'!C26</f>
        <v>76847840</v>
      </c>
      <c r="D26" s="29">
        <f>'10.2'!O40</f>
        <v>1.964</v>
      </c>
      <c r="E26" s="18">
        <f t="shared" si="0"/>
        <v>150929158</v>
      </c>
      <c r="F26" s="18">
        <f t="shared" si="2"/>
        <v>113295553</v>
      </c>
      <c r="K26" s="2"/>
    </row>
    <row r="27" spans="1:12" x14ac:dyDescent="0.2">
      <c r="A27" t="str">
        <f t="shared" si="1"/>
        <v>2007</v>
      </c>
      <c r="C27" s="18">
        <f>'12.2'!C27</f>
        <v>110951718</v>
      </c>
      <c r="D27" s="29">
        <f>'10.2'!O41</f>
        <v>1.8</v>
      </c>
      <c r="E27" s="18">
        <f t="shared" si="0"/>
        <v>199713092</v>
      </c>
      <c r="F27" s="18">
        <f>ROUND(AVERAGE(E26:E27),0)</f>
        <v>175321125</v>
      </c>
      <c r="K27" s="2"/>
    </row>
    <row r="28" spans="1:12" x14ac:dyDescent="0.2">
      <c r="A28" t="str">
        <f t="shared" si="1"/>
        <v>2008</v>
      </c>
      <c r="C28" s="18">
        <f>'12.2'!C28</f>
        <v>98036118.420000017</v>
      </c>
      <c r="D28" s="29">
        <f>'10.2'!O42</f>
        <v>1.7150000000000001</v>
      </c>
      <c r="E28" s="18">
        <f t="shared" si="0"/>
        <v>168131943</v>
      </c>
      <c r="F28" s="18">
        <f>ROUND(AVERAGE(E27:E28),0)</f>
        <v>183922518</v>
      </c>
      <c r="K28" s="2"/>
    </row>
    <row r="29" spans="1:12" x14ac:dyDescent="0.2">
      <c r="A29" t="str">
        <f t="shared" si="1"/>
        <v>2009</v>
      </c>
      <c r="B29" s="22"/>
      <c r="C29" s="18">
        <f>'12.2'!C29</f>
        <v>111269572.63</v>
      </c>
      <c r="D29" s="29">
        <f>'10.2'!O43</f>
        <v>1.494</v>
      </c>
      <c r="E29" s="18">
        <f t="shared" si="0"/>
        <v>166236742</v>
      </c>
      <c r="F29" s="18">
        <f t="shared" si="2"/>
        <v>167184343</v>
      </c>
      <c r="K29" s="2"/>
    </row>
    <row r="30" spans="1:12" x14ac:dyDescent="0.2">
      <c r="A30" t="str">
        <f t="shared" si="1"/>
        <v>2010</v>
      </c>
      <c r="B30" s="22"/>
      <c r="C30" s="18">
        <f>'12.2'!C30</f>
        <v>102174679.52999991</v>
      </c>
      <c r="D30" s="29">
        <f>'10.2'!O44</f>
        <v>1.4770000000000001</v>
      </c>
      <c r="E30" s="18">
        <f t="shared" si="0"/>
        <v>150912002</v>
      </c>
      <c r="F30" s="18">
        <f>ROUND(AVERAGE(E29:E30),0)</f>
        <v>158574372</v>
      </c>
      <c r="K30" s="2"/>
      <c r="L30" s="29"/>
    </row>
    <row r="31" spans="1:12" x14ac:dyDescent="0.2">
      <c r="A31" t="str">
        <f t="shared" si="1"/>
        <v>2011</v>
      </c>
      <c r="B31" s="22"/>
      <c r="C31" s="18">
        <f>'12.2'!C31</f>
        <v>100017021</v>
      </c>
      <c r="D31" s="29">
        <f>'10.2'!O45</f>
        <v>1.407</v>
      </c>
      <c r="E31" s="18">
        <f t="shared" si="0"/>
        <v>140723949</v>
      </c>
      <c r="F31" s="18">
        <f t="shared" si="2"/>
        <v>145817976</v>
      </c>
      <c r="K31" s="2"/>
    </row>
    <row r="32" spans="1:12" x14ac:dyDescent="0.2">
      <c r="A32" t="str">
        <f t="shared" si="1"/>
        <v>2012</v>
      </c>
      <c r="B32" s="22"/>
      <c r="C32" s="18">
        <f>'12.2'!C32</f>
        <v>110524396.51999998</v>
      </c>
      <c r="D32" s="29">
        <f>'10.2'!O46</f>
        <v>1.34</v>
      </c>
      <c r="E32" s="18">
        <f t="shared" si="0"/>
        <v>148102691</v>
      </c>
      <c r="F32" s="18">
        <f t="shared" ref="F32:F37" si="3">ROUND(AVERAGE(E31:E32),0)</f>
        <v>144413320</v>
      </c>
      <c r="K32" s="2"/>
      <c r="L32" s="29"/>
    </row>
    <row r="33" spans="1:11" x14ac:dyDescent="0.2">
      <c r="A33" t="str">
        <f t="shared" si="1"/>
        <v>2013</v>
      </c>
      <c r="B33" s="22"/>
      <c r="C33" s="18">
        <f>'12.2'!C33</f>
        <v>112904624</v>
      </c>
      <c r="D33" s="29">
        <f>'10.2'!O47</f>
        <v>1.276</v>
      </c>
      <c r="E33" s="18">
        <f t="shared" ref="E33:E38" si="4">ROUND(C33*D33,0)</f>
        <v>144066300</v>
      </c>
      <c r="F33" s="18">
        <f>ROUND(AVERAGE(E32:E33),0)</f>
        <v>146084496</v>
      </c>
      <c r="K33" s="2"/>
    </row>
    <row r="34" spans="1:11" x14ac:dyDescent="0.2">
      <c r="A34" t="str">
        <f t="shared" si="1"/>
        <v>2014</v>
      </c>
      <c r="B34" s="22"/>
      <c r="C34" s="18">
        <f>'12.2'!C34</f>
        <v>104642688</v>
      </c>
      <c r="D34" s="29">
        <f>'10.2'!O48</f>
        <v>1.2150000000000001</v>
      </c>
      <c r="E34" s="18">
        <f t="shared" si="4"/>
        <v>127140866</v>
      </c>
      <c r="F34" s="18">
        <f t="shared" si="3"/>
        <v>135603583</v>
      </c>
      <c r="K34" s="2"/>
    </row>
    <row r="35" spans="1:11" x14ac:dyDescent="0.2">
      <c r="A35" t="str">
        <f t="shared" si="1"/>
        <v>2015</v>
      </c>
      <c r="B35" s="22"/>
      <c r="C35" s="18">
        <f>'12.2'!C35</f>
        <v>98715934</v>
      </c>
      <c r="D35" s="29">
        <f>'10.2'!O49</f>
        <v>1.1579999999999999</v>
      </c>
      <c r="E35" s="18">
        <f t="shared" si="4"/>
        <v>114313052</v>
      </c>
      <c r="F35" s="18">
        <f t="shared" si="3"/>
        <v>120726959</v>
      </c>
      <c r="K35" s="2"/>
    </row>
    <row r="36" spans="1:11" x14ac:dyDescent="0.2">
      <c r="A36" t="str">
        <f t="shared" si="1"/>
        <v>2016</v>
      </c>
      <c r="B36" s="22"/>
      <c r="C36" s="18">
        <f>'12.2'!C36</f>
        <v>88278690</v>
      </c>
      <c r="D36" s="29">
        <f>'10.2'!O50</f>
        <v>1.103</v>
      </c>
      <c r="E36" s="18">
        <f t="shared" si="4"/>
        <v>97371395</v>
      </c>
      <c r="F36" s="18">
        <f t="shared" si="3"/>
        <v>105842224</v>
      </c>
      <c r="K36" s="2"/>
    </row>
    <row r="37" spans="1:11" x14ac:dyDescent="0.2">
      <c r="A37" t="str">
        <f t="shared" si="1"/>
        <v>2017</v>
      </c>
      <c r="C37" s="18">
        <f>'12.2'!C37</f>
        <v>70749081</v>
      </c>
      <c r="D37" s="29">
        <f>'10.2'!O51</f>
        <v>1.103</v>
      </c>
      <c r="E37" s="18">
        <f t="shared" si="4"/>
        <v>78036236</v>
      </c>
      <c r="F37" s="18">
        <f t="shared" si="3"/>
        <v>87703816</v>
      </c>
      <c r="K37" s="2"/>
    </row>
    <row r="38" spans="1:11" x14ac:dyDescent="0.2">
      <c r="A38" t="str">
        <f t="shared" si="1"/>
        <v>2018</v>
      </c>
      <c r="C38" s="18">
        <f>'12.2'!C38</f>
        <v>65696833</v>
      </c>
      <c r="D38" s="29">
        <f>'10.2'!O52</f>
        <v>1.05</v>
      </c>
      <c r="E38" s="18">
        <f t="shared" si="4"/>
        <v>68981675</v>
      </c>
      <c r="F38" s="18">
        <f>ROUND(AVERAGE(E37:E38),0)</f>
        <v>73508956</v>
      </c>
      <c r="K38" s="2"/>
    </row>
    <row r="39" spans="1:11" x14ac:dyDescent="0.2">
      <c r="A39" t="str">
        <f t="shared" si="1"/>
        <v>2019</v>
      </c>
      <c r="C39" s="18">
        <f>'12.2'!C39</f>
        <v>59123729</v>
      </c>
      <c r="D39" s="29">
        <f>'10.2'!O53</f>
        <v>1.05</v>
      </c>
      <c r="E39" s="18">
        <f t="shared" ref="E39" si="5">ROUND(C39*D39,0)</f>
        <v>62079915</v>
      </c>
      <c r="F39" s="18">
        <f>ROUND(AVERAGE(E38:E39),0)</f>
        <v>65530795</v>
      </c>
      <c r="K39" s="2"/>
    </row>
    <row r="40" spans="1:11" x14ac:dyDescent="0.2">
      <c r="A40" t="str">
        <f t="shared" si="1"/>
        <v>2020</v>
      </c>
      <c r="C40" s="18">
        <f>'12.2'!C40</f>
        <v>60327052</v>
      </c>
      <c r="D40" s="29">
        <f>'10.2'!O54</f>
        <v>1.05</v>
      </c>
      <c r="E40" s="18">
        <f t="shared" ref="E40" si="6">ROUND(C40*D40,0)</f>
        <v>63343405</v>
      </c>
      <c r="F40" s="18">
        <f>ROUND(AVERAGE(E39:E40),0)</f>
        <v>62711660</v>
      </c>
      <c r="K40" s="2"/>
    </row>
    <row r="41" spans="1:11" x14ac:dyDescent="0.2">
      <c r="A41" t="str">
        <f t="shared" si="1"/>
        <v>2021</v>
      </c>
      <c r="C41" s="18">
        <f>'12.2'!C41</f>
        <v>63366551</v>
      </c>
      <c r="D41" s="29">
        <f>'10.2'!O55</f>
        <v>1.05</v>
      </c>
      <c r="E41" s="18">
        <f t="shared" ref="E41" si="7">ROUND(C41*D41,0)</f>
        <v>66534879</v>
      </c>
      <c r="F41" s="18">
        <f>ROUND(AVERAGE(E40:E41),0)</f>
        <v>64939142</v>
      </c>
      <c r="K41" s="2"/>
    </row>
    <row r="42" spans="1:11" x14ac:dyDescent="0.2">
      <c r="A42" t="str">
        <f t="shared" si="1"/>
        <v>2022</v>
      </c>
      <c r="C42" s="18">
        <f>'12.2'!C42</f>
        <v>88784127</v>
      </c>
      <c r="D42" s="29">
        <f>'10.2'!O56</f>
        <v>1</v>
      </c>
      <c r="E42" s="18">
        <f t="shared" ref="E42" si="8">ROUND(C42*D42,0)</f>
        <v>88784127</v>
      </c>
      <c r="F42" s="18">
        <f>ROUND(AVERAGE(E41:E42),0)</f>
        <v>77659503</v>
      </c>
      <c r="K42" s="2"/>
    </row>
    <row r="43" spans="1:11" x14ac:dyDescent="0.2">
      <c r="K43" s="2"/>
    </row>
    <row r="44" spans="1:11" x14ac:dyDescent="0.2">
      <c r="A44" t="s">
        <v>8</v>
      </c>
      <c r="C44" s="18">
        <f>SUM(C14:C42)</f>
        <v>1766939550.1499999</v>
      </c>
      <c r="D44" s="18"/>
      <c r="E44" s="18">
        <f>SUM(E14:E42)</f>
        <v>2726132437</v>
      </c>
      <c r="F44" s="18">
        <f>SUM(F14:F42)</f>
        <v>2699099488</v>
      </c>
      <c r="K44" s="2"/>
    </row>
    <row r="45" spans="1:11" ht="12" thickBot="1" x14ac:dyDescent="0.25">
      <c r="A45" s="6"/>
      <c r="B45" s="6"/>
      <c r="C45" s="6"/>
      <c r="D45" s="6"/>
      <c r="E45" s="6"/>
      <c r="F45" s="6"/>
      <c r="K45" s="2"/>
    </row>
    <row r="46" spans="1:11" ht="12" thickTop="1" x14ac:dyDescent="0.2">
      <c r="K46" s="2"/>
    </row>
    <row r="47" spans="1:11" x14ac:dyDescent="0.2">
      <c r="A47" t="s">
        <v>18</v>
      </c>
      <c r="K47" s="2"/>
    </row>
    <row r="48" spans="1:11" x14ac:dyDescent="0.2">
      <c r="B48" s="12" t="str">
        <f>C12&amp;" Provided by TWIA"</f>
        <v>(2) Provided by TWIA</v>
      </c>
      <c r="K48" s="2"/>
    </row>
    <row r="49" spans="2:11" x14ac:dyDescent="0.2">
      <c r="B49" s="12" t="str">
        <f>D12&amp;" "&amp;'10.2'!$O$1&amp;", "&amp;'10.2'!$O$2</f>
        <v>(3) Exhibit 10, Sheet 2</v>
      </c>
      <c r="K49" s="2"/>
    </row>
    <row r="50" spans="2:11" x14ac:dyDescent="0.2">
      <c r="B50" s="12" t="str">
        <f>E12&amp;" = "&amp;C12&amp;" * "&amp;D12&amp;" (calculated on a monthly basis)"</f>
        <v>(4) = (2) * (3) (calculated on a monthly basis)</v>
      </c>
      <c r="K50" s="2"/>
    </row>
    <row r="51" spans="2:11" x14ac:dyDescent="0.2">
      <c r="B51" s="12" t="str">
        <f>F12&amp;" Calculated from "&amp;E12&amp;", using annual uniform earning assumption for "&amp;A22&amp;" and prior and monthly for "&amp;A23&amp;" and after"</f>
        <v>(5) Calculated from (4), using annual uniform earning assumption for 2002 and prior and monthly for 2003 and after</v>
      </c>
      <c r="K51" s="2"/>
    </row>
    <row r="52" spans="2:11" x14ac:dyDescent="0.2">
      <c r="B52" s="12"/>
      <c r="K52" s="2"/>
    </row>
    <row r="53" spans="2:11" x14ac:dyDescent="0.2">
      <c r="K53" s="2"/>
    </row>
    <row r="54" spans="2:11" x14ac:dyDescent="0.2">
      <c r="K54" s="2"/>
    </row>
    <row r="55" spans="2:11" x14ac:dyDescent="0.2">
      <c r="K55" s="2"/>
    </row>
    <row r="56" spans="2:11" x14ac:dyDescent="0.2">
      <c r="K56" s="2"/>
    </row>
    <row r="57" spans="2:11" x14ac:dyDescent="0.2">
      <c r="K57" s="2"/>
    </row>
    <row r="58" spans="2:11" x14ac:dyDescent="0.2">
      <c r="K58" s="2"/>
    </row>
    <row r="59" spans="2:11" x14ac:dyDescent="0.2">
      <c r="K59" s="2"/>
    </row>
    <row r="60" spans="2:11" x14ac:dyDescent="0.2">
      <c r="K60" s="2"/>
    </row>
    <row r="61" spans="2:11" x14ac:dyDescent="0.2">
      <c r="K61" s="2"/>
    </row>
    <row r="62" spans="2:11" x14ac:dyDescent="0.2">
      <c r="K62" s="2"/>
    </row>
    <row r="63" spans="2:11" x14ac:dyDescent="0.2">
      <c r="K63" s="2"/>
    </row>
    <row r="64" spans="2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idden="1" x14ac:dyDescent="0.2">
      <c r="K71" s="2"/>
    </row>
    <row r="72" spans="1:11" ht="12" hidden="1" thickBot="1" x14ac:dyDescent="0.25">
      <c r="K72" s="2"/>
    </row>
    <row r="73" spans="1:11" ht="12" thickBot="1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4">
    <tabColor rgb="FF92D050"/>
  </sheetPr>
  <dimension ref="A1:U72"/>
  <sheetViews>
    <sheetView showGridLines="0" zoomScaleNormal="100" workbookViewId="0"/>
  </sheetViews>
  <sheetFormatPr defaultColWidth="11.33203125" defaultRowHeight="11.25" x14ac:dyDescent="0.2"/>
  <cols>
    <col min="1" max="1" width="7.1640625" customWidth="1"/>
    <col min="2" max="2" width="10.6640625" customWidth="1"/>
    <col min="3" max="3" width="9.1640625" customWidth="1"/>
    <col min="4" max="4" width="9.6640625" customWidth="1"/>
    <col min="5" max="5" width="10.6640625" customWidth="1"/>
    <col min="6" max="10" width="7" customWidth="1"/>
    <col min="11" max="12" width="6.6640625" customWidth="1"/>
    <col min="13" max="13" width="7" customWidth="1"/>
    <col min="14" max="14" width="8.5" customWidth="1"/>
    <col min="15" max="15" width="9.6640625" customWidth="1"/>
    <col min="17" max="17" width="8.6640625" customWidth="1"/>
  </cols>
  <sheetData>
    <row r="1" spans="1:21" x14ac:dyDescent="0.2">
      <c r="A1" s="8" t="str">
        <f>'1'!$A$1</f>
        <v>Texas Windstorm Insurance Association</v>
      </c>
      <c r="O1" s="7" t="s">
        <v>138</v>
      </c>
      <c r="P1" s="1"/>
      <c r="T1" t="s">
        <v>526</v>
      </c>
      <c r="U1" t="s">
        <v>539</v>
      </c>
    </row>
    <row r="2" spans="1:21" x14ac:dyDescent="0.2">
      <c r="A2" s="8" t="str">
        <f>'1'!$A$2</f>
        <v>Commercial Property - Wind &amp; Hail</v>
      </c>
      <c r="O2" s="7" t="s">
        <v>65</v>
      </c>
      <c r="P2" s="2"/>
    </row>
    <row r="3" spans="1:21" x14ac:dyDescent="0.2">
      <c r="A3" s="8" t="str">
        <f>'1'!$A$3</f>
        <v>Rate Level Review</v>
      </c>
      <c r="P3" s="2"/>
    </row>
    <row r="4" spans="1:21" x14ac:dyDescent="0.2">
      <c r="A4" t="s">
        <v>210</v>
      </c>
      <c r="P4" s="2"/>
    </row>
    <row r="5" spans="1:21" x14ac:dyDescent="0.2">
      <c r="P5" s="2"/>
    </row>
    <row r="6" spans="1:21" x14ac:dyDescent="0.2">
      <c r="P6" s="2"/>
    </row>
    <row r="7" spans="1:21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"/>
    </row>
    <row r="8" spans="1:21" ht="12" thickTop="1" x14ac:dyDescent="0.2">
      <c r="P8" s="2"/>
    </row>
    <row r="9" spans="1:21" x14ac:dyDescent="0.2">
      <c r="B9" s="10" t="s">
        <v>213</v>
      </c>
      <c r="N9" t="s">
        <v>51</v>
      </c>
      <c r="O9" t="s">
        <v>219</v>
      </c>
      <c r="P9" s="2"/>
    </row>
    <row r="10" spans="1:21" x14ac:dyDescent="0.2">
      <c r="B10" t="s">
        <v>212</v>
      </c>
      <c r="F10" t="s">
        <v>216</v>
      </c>
      <c r="J10" t="s">
        <v>217</v>
      </c>
      <c r="N10" t="s">
        <v>13</v>
      </c>
      <c r="O10" t="s">
        <v>211</v>
      </c>
      <c r="P10" s="2"/>
    </row>
    <row r="11" spans="1:21" x14ac:dyDescent="0.2">
      <c r="A11" s="9" t="s">
        <v>42</v>
      </c>
      <c r="B11" s="9" t="s">
        <v>214</v>
      </c>
      <c r="C11" s="9"/>
      <c r="D11" s="9"/>
      <c r="E11" s="9" t="s">
        <v>215</v>
      </c>
      <c r="F11" s="9" t="s">
        <v>214</v>
      </c>
      <c r="G11" s="9"/>
      <c r="H11" s="9"/>
      <c r="I11" s="9" t="s">
        <v>215</v>
      </c>
      <c r="J11" s="9" t="s">
        <v>214</v>
      </c>
      <c r="K11" s="9"/>
      <c r="L11" s="9"/>
      <c r="M11" s="9" t="s">
        <v>215</v>
      </c>
      <c r="N11" s="9" t="s">
        <v>218</v>
      </c>
      <c r="O11" s="9" t="s">
        <v>104</v>
      </c>
      <c r="P11" s="2"/>
    </row>
    <row r="12" spans="1:21" x14ac:dyDescent="0.2">
      <c r="A12" s="13" t="str">
        <f>TEXT(COLUMN(),"(#)")</f>
        <v>(1)</v>
      </c>
      <c r="B12" s="11" t="str">
        <f>TEXT(COLUMN()-1,"(#)")</f>
        <v>(1)</v>
      </c>
      <c r="C12" s="11" t="str">
        <f>TEXT(COLUMN()-1,"(#)")</f>
        <v>(2)</v>
      </c>
      <c r="D12" s="11" t="str">
        <f>TEXT(COLUMN()-1,"(#)")</f>
        <v>(3)</v>
      </c>
      <c r="E12" s="11" t="str">
        <f t="shared" ref="E12:O12" si="0">TEXT(COLUMN()-1,"(#)")</f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11" t="str">
        <f t="shared" si="0"/>
        <v>(12)</v>
      </c>
      <c r="N12" s="11" t="str">
        <f t="shared" si="0"/>
        <v>(13)</v>
      </c>
      <c r="O12" s="11" t="str">
        <f t="shared" si="0"/>
        <v>(14)</v>
      </c>
      <c r="P12" s="2"/>
    </row>
    <row r="13" spans="1:21" x14ac:dyDescent="0.2">
      <c r="P13" s="2"/>
    </row>
    <row r="14" spans="1:21" x14ac:dyDescent="0.2">
      <c r="A14" s="22">
        <v>1980</v>
      </c>
      <c r="B14" s="61" t="s">
        <v>192</v>
      </c>
      <c r="D14" s="12"/>
      <c r="E14" s="62">
        <v>29434</v>
      </c>
      <c r="F14" s="28">
        <f>ROUND(VLOOKUP(TEXT(B14,"m/d/yy"),'10.3'!$A$14:$D$42,4,0),3)</f>
        <v>1</v>
      </c>
      <c r="G14" s="28"/>
      <c r="H14" s="28"/>
      <c r="I14" s="28">
        <f>ROUND(VLOOKUP(TEXT(E14,"m/d/yy"),'10.3'!$A$14:$D$42,4,0),3)</f>
        <v>1.175</v>
      </c>
      <c r="J14" s="56">
        <f>ROUND(IF(E14&gt;DATE($A14,1,1),MONTH(E14)-1+(DAY(E14)-1)/30,12),1)</f>
        <v>7</v>
      </c>
      <c r="K14" s="56"/>
      <c r="L14" s="56"/>
      <c r="M14" s="56">
        <f>12-SUM(J14:L14)</f>
        <v>5</v>
      </c>
      <c r="N14" s="28">
        <f>ROUND(SUMPRODUCT(F14:I14,J14:M14)/12,3)</f>
        <v>1.073</v>
      </c>
      <c r="O14" s="28">
        <f t="shared" ref="O14:O54" si="1">ROUND(N$58/N14,3)</f>
        <v>4.8689999999999998</v>
      </c>
      <c r="P14" s="296"/>
      <c r="R14" s="22"/>
      <c r="S14" s="22"/>
      <c r="T14" s="22"/>
    </row>
    <row r="15" spans="1:21" x14ac:dyDescent="0.2">
      <c r="A15" s="22">
        <v>1981</v>
      </c>
      <c r="B15" s="62">
        <v>29434</v>
      </c>
      <c r="D15" s="12"/>
      <c r="E15" s="62">
        <v>29830</v>
      </c>
      <c r="F15" s="28">
        <f>ROUND(VLOOKUP(TEXT(B15,"m/d/yy"),'10.3'!$A$14:$D$42,4,0),3)</f>
        <v>1.175</v>
      </c>
      <c r="G15" s="28"/>
      <c r="H15" s="28"/>
      <c r="I15" s="28">
        <f>ROUND(VLOOKUP(TEXT(E15,"m/d/yy"),'10.3'!$A$14:$D$42,4,0),3)</f>
        <v>1.1319999999999999</v>
      </c>
      <c r="J15" s="56">
        <f>ROUND(IF(E15&gt;DATE($A15,1,1),MONTH(E15)-1+(DAY(E15)-1)/30,12),1)</f>
        <v>8</v>
      </c>
      <c r="K15" s="56"/>
      <c r="L15" s="56"/>
      <c r="M15" s="56">
        <f t="shared" ref="M15:M36" si="2">12-SUM(J15:L15)</f>
        <v>4</v>
      </c>
      <c r="N15" s="28">
        <f t="shared" ref="N15:N36" si="3">ROUND(SUMPRODUCT(F15:I15,J15:M15)/12,3)</f>
        <v>1.161</v>
      </c>
      <c r="O15" s="28">
        <f t="shared" si="1"/>
        <v>4.5</v>
      </c>
      <c r="P15" s="296"/>
      <c r="R15" s="22"/>
      <c r="S15" s="22"/>
      <c r="T15" s="22"/>
    </row>
    <row r="16" spans="1:21" x14ac:dyDescent="0.2">
      <c r="A16" s="22">
        <v>1982</v>
      </c>
      <c r="B16" s="62">
        <v>29830</v>
      </c>
      <c r="D16" s="12"/>
      <c r="E16" s="62">
        <v>30195</v>
      </c>
      <c r="F16" s="28">
        <f>ROUND(VLOOKUP(TEXT(B16,"m/d/yy"),'10.3'!$A$14:$D$42,4,0),3)</f>
        <v>1.1319999999999999</v>
      </c>
      <c r="G16" s="28"/>
      <c r="H16" s="28"/>
      <c r="I16" s="28">
        <f>ROUND(VLOOKUP(TEXT(E16,"m/d/yy"),'10.3'!$A$14:$D$42,4,0),3)</f>
        <v>1.4279999999999999</v>
      </c>
      <c r="J16" s="56">
        <f>ROUND(IF(E16&gt;DATE($A16,1,1),MONTH(E16)-1+(DAY(E16)-1)/30,12),1)</f>
        <v>8</v>
      </c>
      <c r="K16" s="56"/>
      <c r="L16" s="56"/>
      <c r="M16" s="56">
        <f t="shared" si="2"/>
        <v>4</v>
      </c>
      <c r="N16" s="28">
        <f t="shared" si="3"/>
        <v>1.2310000000000001</v>
      </c>
      <c r="O16" s="28">
        <f t="shared" si="1"/>
        <v>4.2439999999999998</v>
      </c>
      <c r="P16" s="296"/>
      <c r="R16" s="22"/>
      <c r="S16" s="22"/>
      <c r="T16" s="22"/>
    </row>
    <row r="17" spans="1:20" x14ac:dyDescent="0.2">
      <c r="A17" s="22">
        <v>1983</v>
      </c>
      <c r="B17" s="62">
        <v>30195</v>
      </c>
      <c r="D17" s="12"/>
      <c r="E17" s="62">
        <v>30599</v>
      </c>
      <c r="F17" s="28">
        <f>ROUND(VLOOKUP(TEXT(B17,"m/d/yy"),'10.3'!$A$14:$D$42,4,0),3)</f>
        <v>1.4279999999999999</v>
      </c>
      <c r="G17" s="28"/>
      <c r="H17" s="28"/>
      <c r="I17" s="28">
        <f>ROUND(VLOOKUP(TEXT(E17,"m/d/yy"),'10.3'!$A$14:$D$42,4,0),3)</f>
        <v>1.514</v>
      </c>
      <c r="J17" s="56">
        <f>ROUND(IF(E17&gt;DATE($A17,1,1),MONTH(E17)-1+(DAY(E17)-1)/30,12),1)</f>
        <v>9.3000000000000007</v>
      </c>
      <c r="K17" s="56"/>
      <c r="L17" s="56"/>
      <c r="M17" s="56">
        <f t="shared" si="2"/>
        <v>2.6999999999999993</v>
      </c>
      <c r="N17" s="28">
        <f t="shared" si="3"/>
        <v>1.4470000000000001</v>
      </c>
      <c r="O17" s="28">
        <f t="shared" si="1"/>
        <v>3.61</v>
      </c>
      <c r="P17" s="296"/>
      <c r="R17" s="22"/>
      <c r="S17" s="22"/>
      <c r="T17" s="22"/>
    </row>
    <row r="18" spans="1:20" x14ac:dyDescent="0.2">
      <c r="A18" s="22">
        <v>1984</v>
      </c>
      <c r="B18" s="62">
        <v>30599</v>
      </c>
      <c r="D18" s="12"/>
      <c r="E18" s="62">
        <v>30599</v>
      </c>
      <c r="F18" s="28">
        <f>ROUND(VLOOKUP(TEXT(B18,"m/d/yy"),'10.3'!$A$14:$D$42,4,0),3)</f>
        <v>1.514</v>
      </c>
      <c r="G18" s="28"/>
      <c r="H18" s="28"/>
      <c r="I18" s="28">
        <f>ROUND(VLOOKUP(TEXT(E18,"m/d/yy"),'10.3'!$A$14:$D$42,4,0),3)</f>
        <v>1.514</v>
      </c>
      <c r="J18" s="56">
        <f>ROUND(IF(E18&gt;DATE($A18,1,1),MONTH(E18)-1+(DAY(E18)-1)/30,12),1)</f>
        <v>12</v>
      </c>
      <c r="K18" s="56"/>
      <c r="L18" s="56"/>
      <c r="M18" s="56">
        <f t="shared" si="2"/>
        <v>0</v>
      </c>
      <c r="N18" s="28">
        <f t="shared" si="3"/>
        <v>1.514</v>
      </c>
      <c r="O18" s="28">
        <f t="shared" si="1"/>
        <v>3.4510000000000001</v>
      </c>
      <c r="P18" s="296"/>
      <c r="R18" s="22"/>
      <c r="S18" s="22"/>
      <c r="T18" s="22"/>
    </row>
    <row r="19" spans="1:20" x14ac:dyDescent="0.2">
      <c r="A19" s="22">
        <v>1985</v>
      </c>
      <c r="B19" s="62">
        <v>30599</v>
      </c>
      <c r="C19" s="62">
        <v>31107</v>
      </c>
      <c r="D19" s="62">
        <v>31121</v>
      </c>
      <c r="E19" s="62">
        <v>31366</v>
      </c>
      <c r="F19" s="28">
        <f>ROUND(VLOOKUP(TEXT(B19,"m/d/yy"),'10.3'!$A$14:$D$42,4,0),3)</f>
        <v>1.514</v>
      </c>
      <c r="G19" s="28">
        <f>ROUND(VLOOKUP(TEXT(C19,"m/d/yy"),'10.3'!$A$14:$D$42,4,0),3)</f>
        <v>1.8919999999999999</v>
      </c>
      <c r="H19" s="28">
        <f>ROUND(VLOOKUP(TEXT(D19,"m/d/yy"),'10.3'!$A$14:$D$42,4,0),3)</f>
        <v>2.4279999999999999</v>
      </c>
      <c r="I19" s="28">
        <f>ROUND(VLOOKUP(TEXT(E19,"m/d/yy"),'10.3'!$A$14:$D$42,4,0),3)</f>
        <v>2.6509999999999998</v>
      </c>
      <c r="J19" s="63">
        <f>ROUND(IF(C19&gt;DATE($A19,1,1),MONTH(C19)-1+(DAY(C19)-1)/30,12),1)</f>
        <v>2</v>
      </c>
      <c r="K19" s="63">
        <f>ROUND(IF(D19&gt;DATE($A19,1,1),MONTH(D19)-1+(DAY(D19)-1)/30,12)-J19,1)</f>
        <v>0.5</v>
      </c>
      <c r="L19" s="63">
        <f>ROUND(IF(E19&gt;DATE($A19,1,1),MONTH(E19)-1+(DAY(E19)-1)/30,12)-J19-K19,1)</f>
        <v>8</v>
      </c>
      <c r="M19" s="56">
        <f t="shared" si="2"/>
        <v>1.5</v>
      </c>
      <c r="N19" s="28">
        <f t="shared" si="3"/>
        <v>2.2810000000000001</v>
      </c>
      <c r="O19" s="28">
        <f t="shared" si="1"/>
        <v>2.29</v>
      </c>
      <c r="P19" s="296"/>
      <c r="R19" s="22"/>
      <c r="S19" s="22"/>
      <c r="T19" s="22"/>
    </row>
    <row r="20" spans="1:20" x14ac:dyDescent="0.2">
      <c r="A20" s="22">
        <v>1986</v>
      </c>
      <c r="B20" s="62">
        <v>31366</v>
      </c>
      <c r="D20" s="12"/>
      <c r="E20" s="62">
        <v>31366</v>
      </c>
      <c r="F20" s="28">
        <f>ROUND(VLOOKUP(TEXT(B20,"m/d/yy"),'10.3'!$A$14:$D$42,4,0),3)</f>
        <v>2.6509999999999998</v>
      </c>
      <c r="G20" s="28"/>
      <c r="H20" s="28"/>
      <c r="I20" s="28">
        <f>ROUND(VLOOKUP(TEXT(E20,"m/d/yy"),'10.3'!$A$14:$D$42,4,0),3)</f>
        <v>2.6509999999999998</v>
      </c>
      <c r="J20" s="56">
        <f t="shared" ref="J20:J36" si="4">ROUND(IF(E20&gt;DATE($A20,1,1),MONTH(E20)-1+(DAY(E20)-1)/30,12),1)</f>
        <v>12</v>
      </c>
      <c r="K20" s="56"/>
      <c r="L20" s="56"/>
      <c r="M20" s="56">
        <f t="shared" si="2"/>
        <v>0</v>
      </c>
      <c r="N20" s="28">
        <f t="shared" si="3"/>
        <v>2.6509999999999998</v>
      </c>
      <c r="O20" s="28">
        <f t="shared" si="1"/>
        <v>1.9710000000000001</v>
      </c>
      <c r="P20" s="296"/>
      <c r="R20" s="22"/>
      <c r="S20" s="22"/>
      <c r="T20" s="22"/>
    </row>
    <row r="21" spans="1:20" x14ac:dyDescent="0.2">
      <c r="A21" s="22">
        <v>1987</v>
      </c>
      <c r="B21" s="62">
        <v>31366</v>
      </c>
      <c r="D21" s="12"/>
      <c r="E21" s="62">
        <v>31959</v>
      </c>
      <c r="F21" s="28">
        <f>ROUND(VLOOKUP(TEXT(B21,"m/d/yy"),'10.3'!$A$14:$D$42,4,0),3)</f>
        <v>2.6509999999999998</v>
      </c>
      <c r="G21" s="28"/>
      <c r="H21" s="28"/>
      <c r="I21" s="28">
        <f>ROUND(VLOOKUP(TEXT(E21,"m/d/yy"),'10.3'!$A$14:$D$42,4,0),3)</f>
        <v>2.407</v>
      </c>
      <c r="J21" s="56">
        <f t="shared" si="4"/>
        <v>6</v>
      </c>
      <c r="K21" s="56"/>
      <c r="L21" s="56"/>
      <c r="M21" s="56">
        <f t="shared" si="2"/>
        <v>6</v>
      </c>
      <c r="N21" s="28">
        <f t="shared" si="3"/>
        <v>2.5289999999999999</v>
      </c>
      <c r="O21" s="28">
        <f t="shared" si="1"/>
        <v>2.0659999999999998</v>
      </c>
      <c r="P21" s="296"/>
      <c r="R21" s="22"/>
      <c r="S21" s="22"/>
      <c r="T21" s="22"/>
    </row>
    <row r="22" spans="1:20" x14ac:dyDescent="0.2">
      <c r="A22" s="22">
        <v>1988</v>
      </c>
      <c r="B22" s="62">
        <v>31959</v>
      </c>
      <c r="D22" s="12"/>
      <c r="E22" s="62">
        <v>32448</v>
      </c>
      <c r="F22" s="28">
        <f>ROUND(VLOOKUP(TEXT(B22,"m/d/yy"),'10.3'!$A$14:$D$42,4,0),3)</f>
        <v>2.407</v>
      </c>
      <c r="G22" s="28"/>
      <c r="H22" s="28"/>
      <c r="I22" s="28">
        <f>ROUND(VLOOKUP(TEXT(E22,"m/d/yy"),'10.3'!$A$14:$D$42,4,0),3)</f>
        <v>2.0750000000000002</v>
      </c>
      <c r="J22" s="56">
        <f t="shared" si="4"/>
        <v>10</v>
      </c>
      <c r="K22" s="56"/>
      <c r="L22" s="56"/>
      <c r="M22" s="56">
        <f t="shared" si="2"/>
        <v>2</v>
      </c>
      <c r="N22" s="28">
        <f t="shared" si="3"/>
        <v>2.3519999999999999</v>
      </c>
      <c r="O22" s="28">
        <f t="shared" si="1"/>
        <v>2.2210000000000001</v>
      </c>
      <c r="P22" s="296"/>
      <c r="R22" s="22"/>
      <c r="S22" s="22"/>
      <c r="T22" s="22"/>
    </row>
    <row r="23" spans="1:20" x14ac:dyDescent="0.2">
      <c r="A23" s="22">
        <v>1989</v>
      </c>
      <c r="B23" s="62">
        <v>32448</v>
      </c>
      <c r="D23" s="12"/>
      <c r="E23" s="62">
        <v>32448</v>
      </c>
      <c r="F23" s="28">
        <f>ROUND(VLOOKUP(TEXT(B23,"m/d/yy"),'10.3'!$A$14:$D$42,4,0),3)</f>
        <v>2.0750000000000002</v>
      </c>
      <c r="G23" s="28"/>
      <c r="H23" s="28"/>
      <c r="I23" s="28">
        <f>ROUND(VLOOKUP(TEXT(E23,"m/d/yy"),'10.3'!$A$14:$D$42,4,0),3)</f>
        <v>2.0750000000000002</v>
      </c>
      <c r="J23" s="56">
        <f t="shared" si="4"/>
        <v>12</v>
      </c>
      <c r="K23" s="56"/>
      <c r="L23" s="56"/>
      <c r="M23" s="56">
        <f t="shared" si="2"/>
        <v>0</v>
      </c>
      <c r="N23" s="28">
        <f t="shared" si="3"/>
        <v>2.0750000000000002</v>
      </c>
      <c r="O23" s="28">
        <f t="shared" si="1"/>
        <v>2.5179999999999998</v>
      </c>
      <c r="P23" s="296"/>
      <c r="R23" s="22"/>
      <c r="S23" s="22"/>
      <c r="T23" s="22"/>
    </row>
    <row r="24" spans="1:20" x14ac:dyDescent="0.2">
      <c r="A24" s="22">
        <v>1990</v>
      </c>
      <c r="B24" s="62">
        <v>32448</v>
      </c>
      <c r="D24" s="12"/>
      <c r="E24" s="62">
        <v>32933</v>
      </c>
      <c r="F24" s="28">
        <f>ROUND(VLOOKUP(TEXT(B24,"m/d/yy"),'10.3'!$A$14:$D$42,4,0),3)</f>
        <v>2.0750000000000002</v>
      </c>
      <c r="G24" s="28"/>
      <c r="H24" s="28"/>
      <c r="I24" s="28">
        <f>ROUND(VLOOKUP(TEXT(E24,"m/d/yy"),'10.3'!$A$14:$D$42,4,0),3)</f>
        <v>2.1040000000000001</v>
      </c>
      <c r="J24" s="56">
        <f t="shared" si="4"/>
        <v>2</v>
      </c>
      <c r="K24" s="56"/>
      <c r="L24" s="56"/>
      <c r="M24" s="56">
        <f t="shared" si="2"/>
        <v>10</v>
      </c>
      <c r="N24" s="28">
        <f t="shared" si="3"/>
        <v>2.0990000000000002</v>
      </c>
      <c r="O24" s="28">
        <f t="shared" si="1"/>
        <v>2.4889999999999999</v>
      </c>
      <c r="P24" s="296"/>
      <c r="R24" s="22"/>
      <c r="S24" s="22"/>
      <c r="T24" s="22"/>
    </row>
    <row r="25" spans="1:20" x14ac:dyDescent="0.2">
      <c r="A25" s="22">
        <v>1991</v>
      </c>
      <c r="B25" s="62">
        <v>32933</v>
      </c>
      <c r="D25" s="12"/>
      <c r="E25" s="62">
        <v>33329</v>
      </c>
      <c r="F25" s="28">
        <f>ROUND(VLOOKUP(TEXT(B25,"m/d/yy"),'10.3'!$A$14:$D$42,4,0),3)</f>
        <v>2.1040000000000001</v>
      </c>
      <c r="G25" s="28"/>
      <c r="H25" s="28"/>
      <c r="I25" s="28">
        <f>ROUND(VLOOKUP(TEXT(E25,"m/d/yy"),'10.3'!$A$14:$D$42,4,0),3)</f>
        <v>2.0830000000000002</v>
      </c>
      <c r="J25" s="56">
        <f t="shared" si="4"/>
        <v>3</v>
      </c>
      <c r="K25" s="56"/>
      <c r="L25" s="56"/>
      <c r="M25" s="56">
        <f t="shared" si="2"/>
        <v>9</v>
      </c>
      <c r="N25" s="28">
        <f t="shared" si="3"/>
        <v>2.0880000000000001</v>
      </c>
      <c r="O25" s="28">
        <f t="shared" si="1"/>
        <v>2.5019999999999998</v>
      </c>
      <c r="P25" s="296"/>
      <c r="R25" s="22"/>
      <c r="S25" s="22"/>
      <c r="T25" s="22"/>
    </row>
    <row r="26" spans="1:20" x14ac:dyDescent="0.2">
      <c r="A26" s="22">
        <v>1992</v>
      </c>
      <c r="B26" s="62">
        <v>33604</v>
      </c>
      <c r="D26" s="12"/>
      <c r="E26" s="62">
        <v>33604</v>
      </c>
      <c r="F26" s="28">
        <f>ROUND(VLOOKUP(TEXT(B26,"m/d/yy"),'10.3'!$A$14:$D$42,4,0),3)</f>
        <v>1.6060000000000001</v>
      </c>
      <c r="G26" s="28"/>
      <c r="H26" s="28"/>
      <c r="I26" s="28">
        <f>ROUND(VLOOKUP(TEXT(E26,"m/d/yy"),'10.3'!$A$14:$D$42,4,0),3)</f>
        <v>1.6060000000000001</v>
      </c>
      <c r="J26" s="56">
        <f t="shared" si="4"/>
        <v>12</v>
      </c>
      <c r="K26" s="56"/>
      <c r="L26" s="56"/>
      <c r="M26" s="56">
        <f t="shared" si="2"/>
        <v>0</v>
      </c>
      <c r="N26" s="28">
        <f t="shared" si="3"/>
        <v>1.6060000000000001</v>
      </c>
      <c r="O26" s="28">
        <f t="shared" si="1"/>
        <v>3.2530000000000001</v>
      </c>
      <c r="P26" s="296"/>
      <c r="Q26" s="22">
        <v>1992</v>
      </c>
      <c r="R26" s="22"/>
      <c r="S26" s="22"/>
      <c r="T26" s="22"/>
    </row>
    <row r="27" spans="1:20" x14ac:dyDescent="0.2">
      <c r="A27" s="22">
        <v>1993</v>
      </c>
      <c r="B27" s="62">
        <v>33604</v>
      </c>
      <c r="D27" s="12"/>
      <c r="E27" s="62">
        <v>34243</v>
      </c>
      <c r="F27" s="28">
        <f>ROUND(VLOOKUP(TEXT(B27,"m/d/yy"),'10.3'!$A$14:$D$42,4,0),3)</f>
        <v>1.6060000000000001</v>
      </c>
      <c r="G27" s="28"/>
      <c r="H27" s="28"/>
      <c r="I27" s="28">
        <f>ROUND(VLOOKUP(TEXT(E27,"m/d/yy"),'10.3'!$A$14:$D$42,4,0),3)</f>
        <v>1.6060000000000001</v>
      </c>
      <c r="J27" s="56">
        <f t="shared" si="4"/>
        <v>9</v>
      </c>
      <c r="K27" s="56"/>
      <c r="L27" s="56"/>
      <c r="M27" s="56">
        <f t="shared" si="2"/>
        <v>3</v>
      </c>
      <c r="N27" s="28">
        <f t="shared" si="3"/>
        <v>1.6060000000000001</v>
      </c>
      <c r="O27" s="28">
        <f t="shared" si="1"/>
        <v>3.2530000000000001</v>
      </c>
      <c r="P27" s="296"/>
      <c r="Q27" s="22">
        <v>1993</v>
      </c>
      <c r="R27" s="22"/>
      <c r="S27" s="22"/>
      <c r="T27" s="22"/>
    </row>
    <row r="28" spans="1:20" x14ac:dyDescent="0.2">
      <c r="A28" s="22">
        <v>1994</v>
      </c>
      <c r="B28" s="62">
        <v>34243</v>
      </c>
      <c r="D28" s="12"/>
      <c r="E28" s="62">
        <v>34243</v>
      </c>
      <c r="F28" s="28">
        <f>ROUND(VLOOKUP(TEXT(B28,"m/d/yy"),'10.3'!$A$14:$D$42,4,0),3)</f>
        <v>1.6060000000000001</v>
      </c>
      <c r="G28" s="28"/>
      <c r="H28" s="28"/>
      <c r="I28" s="28">
        <f>ROUND(VLOOKUP(TEXT(E28,"m/d/yy"),'10.3'!$A$14:$D$42,4,0),3)</f>
        <v>1.6060000000000001</v>
      </c>
      <c r="J28" s="56">
        <f t="shared" si="4"/>
        <v>12</v>
      </c>
      <c r="K28" s="56"/>
      <c r="L28" s="56"/>
      <c r="M28" s="56">
        <f t="shared" si="2"/>
        <v>0</v>
      </c>
      <c r="N28" s="28">
        <f t="shared" si="3"/>
        <v>1.6060000000000001</v>
      </c>
      <c r="O28" s="28">
        <f t="shared" si="1"/>
        <v>3.2530000000000001</v>
      </c>
      <c r="P28" s="296"/>
      <c r="Q28" s="22">
        <v>1994</v>
      </c>
      <c r="R28" s="22"/>
      <c r="S28" s="22"/>
      <c r="T28" s="22"/>
    </row>
    <row r="29" spans="1:20" x14ac:dyDescent="0.2">
      <c r="A29" s="22">
        <v>1995</v>
      </c>
      <c r="B29" s="62">
        <v>34243</v>
      </c>
      <c r="D29" s="12"/>
      <c r="E29" s="62">
        <v>34243</v>
      </c>
      <c r="F29" s="28">
        <f>ROUND(VLOOKUP(TEXT(B29,"m/d/yy"),'10.3'!$A$14:$D$42,4,0),3)</f>
        <v>1.6060000000000001</v>
      </c>
      <c r="G29" s="28"/>
      <c r="H29" s="28"/>
      <c r="I29" s="28">
        <f>ROUND(VLOOKUP(TEXT(E29,"m/d/yy"),'10.3'!$A$14:$D$42,4,0),3)</f>
        <v>1.6060000000000001</v>
      </c>
      <c r="J29" s="56">
        <f t="shared" si="4"/>
        <v>12</v>
      </c>
      <c r="K29" s="56"/>
      <c r="L29" s="56"/>
      <c r="M29" s="56">
        <f t="shared" si="2"/>
        <v>0</v>
      </c>
      <c r="N29" s="28">
        <f t="shared" si="3"/>
        <v>1.6060000000000001</v>
      </c>
      <c r="O29" s="28">
        <f t="shared" si="1"/>
        <v>3.2530000000000001</v>
      </c>
      <c r="P29" s="296"/>
      <c r="Q29" s="22">
        <v>1995</v>
      </c>
      <c r="R29" s="22"/>
      <c r="S29" s="22"/>
      <c r="T29" s="22"/>
    </row>
    <row r="30" spans="1:20" x14ac:dyDescent="0.2">
      <c r="A30" s="22">
        <v>1996</v>
      </c>
      <c r="B30" s="62">
        <v>34243</v>
      </c>
      <c r="D30" s="12"/>
      <c r="E30" s="62">
        <v>34243</v>
      </c>
      <c r="F30" s="28">
        <f>ROUND(VLOOKUP(TEXT(B30,"m/d/yy"),'10.3'!$A$14:$D$42,4,0),3)</f>
        <v>1.6060000000000001</v>
      </c>
      <c r="G30" s="28"/>
      <c r="H30" s="28"/>
      <c r="I30" s="28">
        <f>ROUND(VLOOKUP(TEXT(E30,"m/d/yy"),'10.3'!$A$14:$D$42,4,0),3)</f>
        <v>1.6060000000000001</v>
      </c>
      <c r="J30" s="56">
        <f t="shared" si="4"/>
        <v>12</v>
      </c>
      <c r="K30" s="56"/>
      <c r="L30" s="56"/>
      <c r="M30" s="56">
        <f t="shared" si="2"/>
        <v>0</v>
      </c>
      <c r="N30" s="28">
        <f>ROUND(SUMPRODUCT(F30:I30,J30:M30)/12,3)</f>
        <v>1.6060000000000001</v>
      </c>
      <c r="O30" s="28">
        <f t="shared" si="1"/>
        <v>3.2530000000000001</v>
      </c>
      <c r="P30" s="296"/>
      <c r="Q30" s="22">
        <v>1996</v>
      </c>
      <c r="R30" s="22"/>
      <c r="S30" s="22"/>
      <c r="T30" s="22"/>
    </row>
    <row r="31" spans="1:20" x14ac:dyDescent="0.2">
      <c r="A31" s="22">
        <v>1997</v>
      </c>
      <c r="B31" s="62">
        <v>34243</v>
      </c>
      <c r="D31" s="12"/>
      <c r="E31" s="62">
        <v>34243</v>
      </c>
      <c r="F31" s="28">
        <f>ROUND(VLOOKUP(TEXT(B31,"m/d/yy"),'10.3'!$A$14:$D$42,4,0),3)</f>
        <v>1.6060000000000001</v>
      </c>
      <c r="G31" s="28"/>
      <c r="H31" s="28"/>
      <c r="I31" s="28">
        <f>ROUND(VLOOKUP(TEXT(E31,"m/d/yy"),'10.3'!$A$14:$D$42,4,0),3)</f>
        <v>1.6060000000000001</v>
      </c>
      <c r="J31" s="56">
        <f t="shared" si="4"/>
        <v>12</v>
      </c>
      <c r="K31" s="56"/>
      <c r="L31" s="56"/>
      <c r="M31" s="56">
        <f t="shared" si="2"/>
        <v>0</v>
      </c>
      <c r="N31" s="28">
        <f t="shared" si="3"/>
        <v>1.6060000000000001</v>
      </c>
      <c r="O31" s="28">
        <f t="shared" si="1"/>
        <v>3.2530000000000001</v>
      </c>
      <c r="P31" s="296"/>
      <c r="Q31" s="22">
        <v>1997</v>
      </c>
      <c r="R31" s="22"/>
      <c r="S31" s="22"/>
      <c r="T31" s="22"/>
    </row>
    <row r="32" spans="1:20" x14ac:dyDescent="0.2">
      <c r="A32" s="22">
        <v>1998</v>
      </c>
      <c r="B32" s="62">
        <v>35796</v>
      </c>
      <c r="D32" s="12"/>
      <c r="E32" s="62">
        <v>35796</v>
      </c>
      <c r="F32" s="28">
        <f>ROUND(VLOOKUP(TEXT(B32,"m/d/yy"),'10.3'!$A$14:$D$42,4,0),3)</f>
        <v>1.5580000000000001</v>
      </c>
      <c r="G32" s="28"/>
      <c r="H32" s="28"/>
      <c r="I32" s="28">
        <f>ROUND(VLOOKUP(TEXT(E32,"m/d/yy"),'10.3'!$A$14:$D$42,4,0),3)</f>
        <v>1.5580000000000001</v>
      </c>
      <c r="J32" s="56">
        <f t="shared" si="4"/>
        <v>12</v>
      </c>
      <c r="K32" s="56"/>
      <c r="L32" s="56"/>
      <c r="M32" s="56">
        <f t="shared" si="2"/>
        <v>0</v>
      </c>
      <c r="N32" s="28">
        <f t="shared" si="3"/>
        <v>1.5580000000000001</v>
      </c>
      <c r="O32" s="28">
        <f t="shared" si="1"/>
        <v>3.3530000000000002</v>
      </c>
      <c r="P32" s="296"/>
      <c r="Q32" s="22">
        <v>1998</v>
      </c>
      <c r="R32" s="22"/>
      <c r="S32" s="22"/>
      <c r="T32" s="22"/>
    </row>
    <row r="33" spans="1:20" x14ac:dyDescent="0.2">
      <c r="A33" s="22">
        <v>1999</v>
      </c>
      <c r="B33" s="62">
        <v>35796</v>
      </c>
      <c r="D33" s="154"/>
      <c r="E33" s="62">
        <v>35796</v>
      </c>
      <c r="F33" s="28">
        <f>ROUND(VLOOKUP(TEXT(B33,"m/d/yy"),'10.3'!$A$14:$D$42,4,0),3)</f>
        <v>1.5580000000000001</v>
      </c>
      <c r="G33" s="28"/>
      <c r="H33" s="28"/>
      <c r="I33" s="28">
        <f>ROUND(VLOOKUP(TEXT(E33,"m/d/yy"),'10.3'!$A$14:$D$42,4,0),3)</f>
        <v>1.5580000000000001</v>
      </c>
      <c r="J33" s="56">
        <f t="shared" si="4"/>
        <v>12</v>
      </c>
      <c r="K33" s="56"/>
      <c r="L33" s="56"/>
      <c r="M33" s="56">
        <f t="shared" si="2"/>
        <v>0</v>
      </c>
      <c r="N33" s="28">
        <f t="shared" si="3"/>
        <v>1.5580000000000001</v>
      </c>
      <c r="O33" s="28">
        <f t="shared" si="1"/>
        <v>3.3530000000000002</v>
      </c>
      <c r="P33" s="296"/>
      <c r="Q33" s="22">
        <v>1999</v>
      </c>
      <c r="R33" s="22"/>
      <c r="S33" s="22"/>
      <c r="T33" s="22"/>
    </row>
    <row r="34" spans="1:20" x14ac:dyDescent="0.2">
      <c r="A34" s="22">
        <v>2000</v>
      </c>
      <c r="B34" s="62">
        <v>36526</v>
      </c>
      <c r="D34" s="12"/>
      <c r="E34" s="62">
        <v>36526</v>
      </c>
      <c r="F34" s="28">
        <f>ROUND(VLOOKUP(TEXT(B34,"m/d/yy"),'10.3'!$A$14:$D$42,4,0),3)</f>
        <v>1.698</v>
      </c>
      <c r="G34" s="28"/>
      <c r="H34" s="28"/>
      <c r="I34" s="28">
        <f>ROUND(VLOOKUP(TEXT(E34,"m/d/yy"),'10.3'!$A$14:$D$42,4,0),3)</f>
        <v>1.698</v>
      </c>
      <c r="J34" s="56">
        <f t="shared" si="4"/>
        <v>12</v>
      </c>
      <c r="K34" s="56"/>
      <c r="L34" s="56"/>
      <c r="M34" s="56">
        <f t="shared" si="2"/>
        <v>0</v>
      </c>
      <c r="N34" s="28">
        <f t="shared" si="3"/>
        <v>1.698</v>
      </c>
      <c r="O34" s="28">
        <f t="shared" si="1"/>
        <v>3.077</v>
      </c>
      <c r="P34" s="296"/>
      <c r="Q34" s="22">
        <v>2000</v>
      </c>
      <c r="R34" s="22"/>
      <c r="S34" s="22"/>
      <c r="T34" s="22"/>
    </row>
    <row r="35" spans="1:20" x14ac:dyDescent="0.2">
      <c r="A35" s="22">
        <v>2001</v>
      </c>
      <c r="B35" s="62">
        <v>36892</v>
      </c>
      <c r="D35" s="12"/>
      <c r="E35" s="62">
        <v>36892</v>
      </c>
      <c r="F35" s="28">
        <f>ROUND(VLOOKUP(TEXT(B35,"m/d/yy"),'10.3'!$A$14:$D$42,4,0),3)</f>
        <v>1.766</v>
      </c>
      <c r="G35" s="28"/>
      <c r="H35" s="28"/>
      <c r="I35" s="28">
        <f>ROUND(VLOOKUP(TEXT(E35,"m/d/yy"),'10.3'!$A$14:$D$42,4,0),3)</f>
        <v>1.766</v>
      </c>
      <c r="J35" s="56">
        <f t="shared" si="4"/>
        <v>12</v>
      </c>
      <c r="K35" s="56"/>
      <c r="L35" s="56"/>
      <c r="M35" s="56">
        <f t="shared" si="2"/>
        <v>0</v>
      </c>
      <c r="N35" s="28">
        <f t="shared" si="3"/>
        <v>1.766</v>
      </c>
      <c r="O35" s="28">
        <f t="shared" si="1"/>
        <v>2.9580000000000002</v>
      </c>
      <c r="P35" s="296"/>
      <c r="Q35" s="22">
        <v>2001</v>
      </c>
      <c r="R35" s="22"/>
      <c r="S35" s="22"/>
      <c r="T35" s="22"/>
    </row>
    <row r="36" spans="1:20" x14ac:dyDescent="0.2">
      <c r="A36" s="22">
        <v>2002</v>
      </c>
      <c r="B36" s="62">
        <v>37257</v>
      </c>
      <c r="D36" s="12"/>
      <c r="E36" s="62">
        <v>37257</v>
      </c>
      <c r="F36" s="28">
        <f>ROUND(VLOOKUP(TEXT(B36,"m/d/yy"),'10.3'!$A$14:$D$42,4,0),3)</f>
        <v>1.8540000000000001</v>
      </c>
      <c r="I36" s="28">
        <f>ROUND(VLOOKUP(TEXT(E36,"m/d/yy"),'10.3'!$A$14:$D$42,4,0),3)</f>
        <v>1.8540000000000001</v>
      </c>
      <c r="J36" s="56">
        <f t="shared" si="4"/>
        <v>12</v>
      </c>
      <c r="M36" s="56">
        <f t="shared" si="2"/>
        <v>0</v>
      </c>
      <c r="N36" s="28">
        <f t="shared" si="3"/>
        <v>1.8540000000000001</v>
      </c>
      <c r="O36" s="28">
        <f t="shared" si="1"/>
        <v>2.8180000000000001</v>
      </c>
      <c r="P36" s="296"/>
      <c r="Q36" s="22">
        <v>2002</v>
      </c>
      <c r="R36" s="22"/>
      <c r="S36" s="22"/>
      <c r="T36" s="22"/>
    </row>
    <row r="37" spans="1:20" x14ac:dyDescent="0.2">
      <c r="A37" s="22">
        <v>2003</v>
      </c>
      <c r="B37" s="62">
        <v>37622</v>
      </c>
      <c r="D37" s="12"/>
      <c r="E37" s="62">
        <v>37622</v>
      </c>
      <c r="F37" s="28">
        <f>ROUND(VLOOKUP(TEXT(B37,"m/d/yy"),'10.3'!$A$14:$D$42,4,0),3)</f>
        <v>2.0390000000000001</v>
      </c>
      <c r="I37" s="28">
        <f>ROUND(VLOOKUP(TEXT(E37,"m/d/yy"),'10.3'!$A$14:$D$42,4,0),3)</f>
        <v>2.0390000000000001</v>
      </c>
      <c r="J37" s="56">
        <f t="shared" ref="J37:J47" si="5">ROUND(IF(E37&gt;DATE($A37,1,1),MONTH(E37)-1+(DAY(E37)-1)/30,12),1)</f>
        <v>12</v>
      </c>
      <c r="M37" s="56">
        <f t="shared" ref="M37:M44" si="6">12-SUM(J37:L37)</f>
        <v>0</v>
      </c>
      <c r="N37" s="28">
        <f t="shared" ref="N37:N43" si="7">ROUND(SUMPRODUCT(F37:I37,J37:M37)/12,3)</f>
        <v>2.0390000000000001</v>
      </c>
      <c r="O37" s="28">
        <f t="shared" si="1"/>
        <v>2.5619999999999998</v>
      </c>
      <c r="P37" s="296"/>
      <c r="Q37" s="22">
        <v>2003</v>
      </c>
      <c r="R37" s="22"/>
      <c r="S37" s="22"/>
      <c r="T37" s="22"/>
    </row>
    <row r="38" spans="1:20" x14ac:dyDescent="0.2">
      <c r="A38" s="22">
        <v>2004</v>
      </c>
      <c r="B38" s="62">
        <v>37987</v>
      </c>
      <c r="D38" s="12"/>
      <c r="E38" s="62">
        <v>37987</v>
      </c>
      <c r="F38" s="28">
        <f>ROUND(VLOOKUP(TEXT(B38,"m/d/yy"),'10.3'!$A$14:$D$42,4,0),3)</f>
        <v>2.2429999999999999</v>
      </c>
      <c r="I38" s="28">
        <f>ROUND(VLOOKUP(TEXT(E38,"m/d/yy"),'10.3'!$A$14:$D$42,4,0),3)</f>
        <v>2.2429999999999999</v>
      </c>
      <c r="J38" s="56">
        <f t="shared" si="5"/>
        <v>12</v>
      </c>
      <c r="M38" s="56">
        <f t="shared" si="6"/>
        <v>0</v>
      </c>
      <c r="N38" s="28">
        <f t="shared" si="7"/>
        <v>2.2429999999999999</v>
      </c>
      <c r="O38" s="28">
        <f t="shared" si="1"/>
        <v>2.3290000000000002</v>
      </c>
      <c r="P38" s="296"/>
      <c r="Q38" s="22">
        <v>2004</v>
      </c>
      <c r="R38" s="22"/>
      <c r="S38" s="22"/>
      <c r="T38" s="22"/>
    </row>
    <row r="39" spans="1:20" x14ac:dyDescent="0.2">
      <c r="A39" s="22">
        <v>2005</v>
      </c>
      <c r="B39" s="62">
        <v>38353</v>
      </c>
      <c r="D39" s="12"/>
      <c r="E39" s="62">
        <v>38353</v>
      </c>
      <c r="F39" s="28">
        <f>ROUND(VLOOKUP(TEXT(B39,"m/d/yy"),'10.3'!$A$14:$D$42,4,0),3)</f>
        <v>2.468</v>
      </c>
      <c r="I39" s="28">
        <f>ROUND(VLOOKUP(TEXT(E39,"m/d/yy"),'10.3'!$A$14:$D$42,4,0),3)</f>
        <v>2.468</v>
      </c>
      <c r="J39" s="56">
        <f t="shared" si="5"/>
        <v>12</v>
      </c>
      <c r="M39" s="56">
        <f t="shared" si="6"/>
        <v>0</v>
      </c>
      <c r="N39" s="28">
        <f>ROUND(SUMPRODUCT(F39:I39,J39:M39)/12,3)</f>
        <v>2.468</v>
      </c>
      <c r="O39" s="28">
        <f t="shared" si="1"/>
        <v>2.117</v>
      </c>
      <c r="P39" s="296"/>
      <c r="Q39" s="22">
        <v>2005</v>
      </c>
      <c r="R39" s="22"/>
      <c r="S39" s="22"/>
      <c r="T39" s="22"/>
    </row>
    <row r="40" spans="1:20" x14ac:dyDescent="0.2">
      <c r="A40" s="22">
        <v>2006</v>
      </c>
      <c r="B40" s="62">
        <v>38718</v>
      </c>
      <c r="C40" s="62"/>
      <c r="D40" s="12"/>
      <c r="E40" s="62">
        <v>38961</v>
      </c>
      <c r="F40" s="28">
        <f>ROUND(VLOOKUP(TEXT(B40,"m/d/yy"),'10.3'!$A$14:$D$42,4,0),3)</f>
        <v>2.5910000000000002</v>
      </c>
      <c r="I40" s="28">
        <f>ROUND(VLOOKUP(TEXT(E40,"m/d/yy"),'10.3'!$A$14:$D$42,4,0),3)</f>
        <v>2.798</v>
      </c>
      <c r="J40" s="56">
        <f t="shared" si="5"/>
        <v>8</v>
      </c>
      <c r="K40" s="63"/>
      <c r="M40" s="56">
        <f t="shared" si="6"/>
        <v>4</v>
      </c>
      <c r="N40" s="28">
        <f t="shared" si="7"/>
        <v>2.66</v>
      </c>
      <c r="O40" s="28">
        <f t="shared" si="1"/>
        <v>1.964</v>
      </c>
      <c r="P40" s="296"/>
      <c r="Q40" s="22">
        <v>2006</v>
      </c>
      <c r="R40" s="22"/>
      <c r="S40" s="22"/>
      <c r="T40" s="22"/>
    </row>
    <row r="41" spans="1:20" x14ac:dyDescent="0.2">
      <c r="A41" s="22">
        <v>2007</v>
      </c>
      <c r="B41" s="62">
        <v>39083</v>
      </c>
      <c r="E41" s="62">
        <v>39083</v>
      </c>
      <c r="F41" s="28">
        <f>ROUND(VLOOKUP(TEXT(B41,"m/d/yy"),'10.3'!$A$14:$D$42,4,0),3)</f>
        <v>2.9020000000000001</v>
      </c>
      <c r="I41" s="28">
        <f>ROUND(VLOOKUP(TEXT(E41,"m/d/yy"),'10.3'!$A$14:$D$42,4,0),3)</f>
        <v>2.9020000000000001</v>
      </c>
      <c r="J41" s="56">
        <f t="shared" si="5"/>
        <v>12</v>
      </c>
      <c r="M41" s="56">
        <f t="shared" si="6"/>
        <v>0</v>
      </c>
      <c r="N41" s="28">
        <f t="shared" si="7"/>
        <v>2.9020000000000001</v>
      </c>
      <c r="O41" s="28">
        <f t="shared" si="1"/>
        <v>1.8</v>
      </c>
      <c r="P41" s="296"/>
      <c r="Q41" s="22">
        <v>2007</v>
      </c>
      <c r="R41" s="22"/>
      <c r="S41" s="22"/>
      <c r="T41" s="22"/>
    </row>
    <row r="42" spans="1:20" x14ac:dyDescent="0.2">
      <c r="A42" s="22">
        <v>2008</v>
      </c>
      <c r="B42" s="62">
        <v>39083</v>
      </c>
      <c r="C42" s="62"/>
      <c r="E42" s="62">
        <v>39479</v>
      </c>
      <c r="F42" s="28">
        <f>ROUND(VLOOKUP(TEXT(B42,"m/d/yy"),'10.3'!$A$14:$D$42,4,0),3)</f>
        <v>2.9020000000000001</v>
      </c>
      <c r="I42" s="28">
        <f>ROUND(VLOOKUP(TEXT(E42,"m/d/yy"),'10.3'!$A$14:$D$42,4,0),3)</f>
        <v>3.0590000000000002</v>
      </c>
      <c r="J42" s="56">
        <f t="shared" si="5"/>
        <v>1</v>
      </c>
      <c r="K42" s="63"/>
      <c r="M42" s="56">
        <f t="shared" si="6"/>
        <v>11</v>
      </c>
      <c r="N42" s="28">
        <f>ROUND(SUMPRODUCT(F42:I42,J42:M42)/12,3)</f>
        <v>3.0459999999999998</v>
      </c>
      <c r="O42" s="28">
        <f t="shared" si="1"/>
        <v>1.7150000000000001</v>
      </c>
      <c r="P42" s="296"/>
      <c r="Q42" s="22">
        <v>2008</v>
      </c>
      <c r="R42" s="22"/>
      <c r="S42" s="22"/>
      <c r="T42" s="22"/>
    </row>
    <row r="43" spans="1:20" x14ac:dyDescent="0.2">
      <c r="A43" s="22">
        <v>2009</v>
      </c>
      <c r="B43" s="62">
        <v>39479</v>
      </c>
      <c r="C43" s="62"/>
      <c r="E43" s="62">
        <v>39845</v>
      </c>
      <c r="F43" s="28">
        <f>ROUND(VLOOKUP(TEXT(B43,"m/d/yy"),'10.3'!$A$14:$D$42,4,0),3)</f>
        <v>3.0590000000000002</v>
      </c>
      <c r="I43" s="28">
        <f>ROUND(VLOOKUP(TEXT(E43,"m/d/yy"),'10.3'!$A$14:$D$42,4,0),3)</f>
        <v>3.536</v>
      </c>
      <c r="J43" s="56">
        <f t="shared" si="5"/>
        <v>1</v>
      </c>
      <c r="K43" s="63"/>
      <c r="M43" s="56">
        <f t="shared" si="6"/>
        <v>11</v>
      </c>
      <c r="N43" s="28">
        <f t="shared" si="7"/>
        <v>3.496</v>
      </c>
      <c r="O43" s="28">
        <f t="shared" si="1"/>
        <v>1.494</v>
      </c>
      <c r="P43" s="296"/>
      <c r="Q43" s="22">
        <v>2009</v>
      </c>
      <c r="R43" s="22"/>
      <c r="S43" s="22"/>
      <c r="T43" s="22"/>
    </row>
    <row r="44" spans="1:20" x14ac:dyDescent="0.2">
      <c r="A44" s="22">
        <v>2010</v>
      </c>
      <c r="B44" s="62">
        <v>39845</v>
      </c>
      <c r="C44" s="62"/>
      <c r="E44" s="62">
        <v>39845</v>
      </c>
      <c r="F44" s="28">
        <f>ROUND(VLOOKUP(TEXT(B44,"m/d/yy"),'10.3'!$A$14:$D$42,4,0),3)</f>
        <v>3.536</v>
      </c>
      <c r="I44" s="28">
        <f>ROUND(VLOOKUP(TEXT(E44,"m/d/yy"),'10.3'!$A$14:$D$42,4,0),3)</f>
        <v>3.536</v>
      </c>
      <c r="J44" s="56">
        <f t="shared" si="5"/>
        <v>12</v>
      </c>
      <c r="K44" s="63"/>
      <c r="M44" s="56">
        <f t="shared" si="6"/>
        <v>0</v>
      </c>
      <c r="N44" s="28">
        <f t="shared" ref="N44:N50" si="8">ROUND(SUMPRODUCT(F44:I44,J44:M44)/12,3)</f>
        <v>3.536</v>
      </c>
      <c r="O44" s="28">
        <f t="shared" si="1"/>
        <v>1.4770000000000001</v>
      </c>
      <c r="P44" s="296"/>
      <c r="Q44" s="22">
        <v>2010</v>
      </c>
      <c r="R44" s="22"/>
      <c r="S44" s="22"/>
      <c r="T44" s="22"/>
    </row>
    <row r="45" spans="1:20" x14ac:dyDescent="0.2">
      <c r="A45" s="22">
        <v>2011</v>
      </c>
      <c r="B45" s="62">
        <v>40544</v>
      </c>
      <c r="C45" s="62"/>
      <c r="E45" s="62">
        <v>40544</v>
      </c>
      <c r="F45" s="28">
        <f>ROUND(VLOOKUP(TEXT(B45,"m/d/yy"),'10.3'!$A$14:$D$42,4,0),3)</f>
        <v>3.7130000000000001</v>
      </c>
      <c r="I45" s="28">
        <f>ROUND(VLOOKUP(TEXT(E45,"m/d/yy"),'10.3'!$A$14:$D$42,4,0),3)</f>
        <v>3.7130000000000001</v>
      </c>
      <c r="J45" s="56">
        <f t="shared" si="5"/>
        <v>12</v>
      </c>
      <c r="M45" s="56">
        <v>0</v>
      </c>
      <c r="N45" s="28">
        <f t="shared" si="8"/>
        <v>3.7130000000000001</v>
      </c>
      <c r="O45" s="28">
        <f t="shared" si="1"/>
        <v>1.407</v>
      </c>
      <c r="P45" s="296"/>
      <c r="Q45" s="22">
        <v>2011</v>
      </c>
      <c r="R45" s="22"/>
      <c r="S45" s="22"/>
      <c r="T45" s="22"/>
    </row>
    <row r="46" spans="1:20" x14ac:dyDescent="0.2">
      <c r="A46" s="22">
        <v>2012</v>
      </c>
      <c r="B46" s="62">
        <v>40909</v>
      </c>
      <c r="C46" s="62"/>
      <c r="E46" s="62">
        <v>40909</v>
      </c>
      <c r="F46" s="28">
        <f>ROUND(VLOOKUP(TEXT(B46,"m/d/yy"),'10.3'!$A$14:$D$42,4,0),3)</f>
        <v>3.8980000000000001</v>
      </c>
      <c r="I46" s="28">
        <f>ROUND(VLOOKUP(TEXT(E46,"m/d/yy"),'10.3'!$A$14:$D$42,4,0),3)</f>
        <v>3.8980000000000001</v>
      </c>
      <c r="J46" s="56">
        <v>12</v>
      </c>
      <c r="K46" s="63"/>
      <c r="M46" s="56">
        <f>12-SUM(J46:L46)</f>
        <v>0</v>
      </c>
      <c r="N46" s="28">
        <f t="shared" si="8"/>
        <v>3.8980000000000001</v>
      </c>
      <c r="O46" s="28">
        <f t="shared" si="1"/>
        <v>1.34</v>
      </c>
      <c r="P46" s="296"/>
      <c r="Q46" s="22">
        <v>2012</v>
      </c>
      <c r="R46" s="22"/>
      <c r="S46" s="22"/>
      <c r="T46" s="22"/>
    </row>
    <row r="47" spans="1:20" x14ac:dyDescent="0.2">
      <c r="A47" s="22">
        <v>2013</v>
      </c>
      <c r="B47" s="62">
        <v>41275</v>
      </c>
      <c r="C47" s="62"/>
      <c r="E47" s="62">
        <v>41275</v>
      </c>
      <c r="F47" s="28">
        <f>ROUND(VLOOKUP(TEXT(B47,"m/d/yy"),'10.3'!$A$14:$D$42,4,0),3)</f>
        <v>4.093</v>
      </c>
      <c r="I47" s="28">
        <f>ROUND(VLOOKUP(TEXT(E47,"m/d/yy"),'10.3'!$A$14:$D$42,4,0),3)</f>
        <v>4.093</v>
      </c>
      <c r="J47" s="56">
        <f t="shared" si="5"/>
        <v>12</v>
      </c>
      <c r="M47" s="56">
        <v>0</v>
      </c>
      <c r="N47" s="28">
        <f t="shared" si="8"/>
        <v>4.093</v>
      </c>
      <c r="O47" s="28">
        <f t="shared" si="1"/>
        <v>1.276</v>
      </c>
      <c r="P47" s="296"/>
      <c r="Q47" s="22">
        <v>2013</v>
      </c>
      <c r="R47" s="262"/>
      <c r="S47" s="22"/>
      <c r="T47" s="22"/>
    </row>
    <row r="48" spans="1:20" x14ac:dyDescent="0.2">
      <c r="A48" s="22">
        <v>2014</v>
      </c>
      <c r="B48" s="62">
        <v>41640</v>
      </c>
      <c r="C48" s="62"/>
      <c r="E48" s="62">
        <v>41640</v>
      </c>
      <c r="F48" s="28">
        <f>ROUND(VLOOKUP(TEXT(B48,"m/d/yy"),'10.3'!$A$14:$D$43,4,0),3)</f>
        <v>4.298</v>
      </c>
      <c r="I48" s="28">
        <f>ROUND(VLOOKUP(TEXT(E48,"m/d/yy"),'10.3'!$A$14:$D$43,4,0),3)</f>
        <v>4.298</v>
      </c>
      <c r="J48" s="56">
        <f>ROUND(IF(E48&gt;DATE($A48,1,1),MONTH(E48)-1+(DAY(E48)-1)/30,12),1)</f>
        <v>12</v>
      </c>
      <c r="M48" s="56">
        <v>0</v>
      </c>
      <c r="N48" s="28">
        <f t="shared" si="8"/>
        <v>4.298</v>
      </c>
      <c r="O48" s="28">
        <f t="shared" si="1"/>
        <v>1.2150000000000001</v>
      </c>
      <c r="P48" s="296"/>
      <c r="Q48" s="22">
        <v>2014</v>
      </c>
      <c r="R48" s="262"/>
      <c r="S48" s="22"/>
      <c r="T48" s="22"/>
    </row>
    <row r="49" spans="1:17" x14ac:dyDescent="0.2">
      <c r="A49" s="22">
        <v>2015</v>
      </c>
      <c r="B49" s="62">
        <v>42005</v>
      </c>
      <c r="C49" s="62"/>
      <c r="E49" s="62">
        <v>42370</v>
      </c>
      <c r="F49" s="28">
        <f>'10.3'!D44</f>
        <v>4.5127887177469237</v>
      </c>
      <c r="I49" s="28">
        <f t="shared" ref="I49:I55" si="9">F49</f>
        <v>4.5127887177469237</v>
      </c>
      <c r="J49" s="56">
        <v>12</v>
      </c>
      <c r="M49" s="56">
        <v>0</v>
      </c>
      <c r="N49" s="28">
        <f t="shared" si="8"/>
        <v>4.5129999999999999</v>
      </c>
      <c r="O49" s="28">
        <f t="shared" si="1"/>
        <v>1.1579999999999999</v>
      </c>
      <c r="P49" s="296"/>
      <c r="Q49" s="22">
        <v>2015</v>
      </c>
    </row>
    <row r="50" spans="1:17" x14ac:dyDescent="0.2">
      <c r="A50" s="22">
        <v>2016</v>
      </c>
      <c r="B50" s="62">
        <v>42370</v>
      </c>
      <c r="C50" s="62"/>
      <c r="E50" s="62">
        <v>42736</v>
      </c>
      <c r="F50" s="28">
        <f>'10.3'!D45</f>
        <v>4.7384281536342705</v>
      </c>
      <c r="I50" s="28">
        <f t="shared" si="9"/>
        <v>4.7384281536342705</v>
      </c>
      <c r="J50" s="56">
        <v>12</v>
      </c>
      <c r="M50" s="56">
        <v>0</v>
      </c>
      <c r="N50" s="28">
        <f t="shared" si="8"/>
        <v>4.7380000000000004</v>
      </c>
      <c r="O50" s="28">
        <f t="shared" si="1"/>
        <v>1.103</v>
      </c>
      <c r="P50" s="296"/>
      <c r="Q50" s="22">
        <v>2016</v>
      </c>
    </row>
    <row r="51" spans="1:17" x14ac:dyDescent="0.2">
      <c r="A51" s="22">
        <v>2017</v>
      </c>
      <c r="B51" s="62">
        <v>42736</v>
      </c>
      <c r="C51" s="62"/>
      <c r="E51" s="62">
        <v>43101</v>
      </c>
      <c r="F51" s="28">
        <f>'10.3'!D46</f>
        <v>4.7384281536342705</v>
      </c>
      <c r="I51" s="28">
        <f t="shared" si="9"/>
        <v>4.7384281536342705</v>
      </c>
      <c r="J51" s="56">
        <v>12</v>
      </c>
      <c r="M51" s="56">
        <v>0</v>
      </c>
      <c r="N51" s="28">
        <f t="shared" ref="N51:N56" si="10">ROUND(SUMPRODUCT(F51:I51,J51:M51)/12,3)</f>
        <v>4.7380000000000004</v>
      </c>
      <c r="O51" s="28">
        <f>ROUND(N$58/N51,3)</f>
        <v>1.103</v>
      </c>
      <c r="P51" s="296"/>
      <c r="Q51" s="22">
        <v>2017</v>
      </c>
    </row>
    <row r="52" spans="1:17" x14ac:dyDescent="0.2">
      <c r="A52" s="22">
        <v>2018</v>
      </c>
      <c r="B52" s="62">
        <v>43101</v>
      </c>
      <c r="C52" s="62"/>
      <c r="E52" s="62">
        <v>43466</v>
      </c>
      <c r="F52" s="28">
        <f>'10.3'!D47</f>
        <v>4.9753495613159844</v>
      </c>
      <c r="I52" s="28">
        <f t="shared" si="9"/>
        <v>4.9753495613159844</v>
      </c>
      <c r="J52" s="56">
        <v>12</v>
      </c>
      <c r="M52" s="56">
        <v>0</v>
      </c>
      <c r="N52" s="28">
        <f t="shared" si="10"/>
        <v>4.9749999999999996</v>
      </c>
      <c r="O52" s="28">
        <f t="shared" si="1"/>
        <v>1.05</v>
      </c>
      <c r="P52" s="296"/>
      <c r="Q52" s="22">
        <v>2018</v>
      </c>
    </row>
    <row r="53" spans="1:17" x14ac:dyDescent="0.2">
      <c r="A53" s="22">
        <v>2019</v>
      </c>
      <c r="B53" s="62">
        <v>43466</v>
      </c>
      <c r="C53" s="62"/>
      <c r="E53" s="62">
        <v>43466</v>
      </c>
      <c r="F53" s="28">
        <f>'10.3'!D48</f>
        <v>4.9753495613159844</v>
      </c>
      <c r="I53" s="28">
        <f t="shared" si="9"/>
        <v>4.9753495613159844</v>
      </c>
      <c r="J53" s="56">
        <v>12</v>
      </c>
      <c r="M53" s="56">
        <v>0</v>
      </c>
      <c r="N53" s="28">
        <f t="shared" si="10"/>
        <v>4.9749999999999996</v>
      </c>
      <c r="O53" s="28">
        <f t="shared" si="1"/>
        <v>1.05</v>
      </c>
      <c r="P53" s="296"/>
      <c r="Q53" s="22">
        <v>2019</v>
      </c>
    </row>
    <row r="54" spans="1:17" x14ac:dyDescent="0.2">
      <c r="A54" s="22">
        <v>2020</v>
      </c>
      <c r="B54" s="62">
        <v>43831</v>
      </c>
      <c r="C54" s="62"/>
      <c r="E54" s="62">
        <v>43831</v>
      </c>
      <c r="F54" s="28">
        <f>'10.3'!D49</f>
        <v>4.9753495613159844</v>
      </c>
      <c r="I54" s="28">
        <f t="shared" si="9"/>
        <v>4.9753495613159844</v>
      </c>
      <c r="J54" s="56">
        <v>12</v>
      </c>
      <c r="M54" s="56">
        <v>0</v>
      </c>
      <c r="N54" s="28">
        <f t="shared" si="10"/>
        <v>4.9749999999999996</v>
      </c>
      <c r="O54" s="28">
        <f t="shared" si="1"/>
        <v>1.05</v>
      </c>
      <c r="P54" s="296"/>
      <c r="Q54" s="22">
        <v>2020</v>
      </c>
    </row>
    <row r="55" spans="1:17" x14ac:dyDescent="0.2">
      <c r="A55" s="22">
        <v>2021</v>
      </c>
      <c r="B55" s="62">
        <v>44197</v>
      </c>
      <c r="C55" s="62"/>
      <c r="E55" s="62">
        <v>44197</v>
      </c>
      <c r="F55" s="28">
        <f>'10.3'!D50</f>
        <v>4.9753495613159844</v>
      </c>
      <c r="I55" s="28">
        <f t="shared" si="9"/>
        <v>4.9753495613159844</v>
      </c>
      <c r="J55" s="56">
        <v>12</v>
      </c>
      <c r="M55" s="56">
        <v>0</v>
      </c>
      <c r="N55" s="28">
        <f t="shared" si="10"/>
        <v>4.9749999999999996</v>
      </c>
      <c r="O55" s="28">
        <f>ROUND(N$58/N55,3)</f>
        <v>1.05</v>
      </c>
      <c r="P55" s="2"/>
      <c r="Q55" s="22">
        <v>2021</v>
      </c>
    </row>
    <row r="56" spans="1:17" x14ac:dyDescent="0.2">
      <c r="A56" s="22">
        <v>2022</v>
      </c>
      <c r="B56" s="62">
        <v>44562</v>
      </c>
      <c r="C56" s="62"/>
      <c r="E56" s="62">
        <v>44562</v>
      </c>
      <c r="F56" s="28">
        <f>'10.3'!D51</f>
        <v>5.2241170393817837</v>
      </c>
      <c r="I56" s="28">
        <f t="shared" ref="I56" si="11">F56</f>
        <v>5.2241170393817837</v>
      </c>
      <c r="J56" s="56">
        <v>12</v>
      </c>
      <c r="M56" s="56">
        <v>0</v>
      </c>
      <c r="N56" s="28">
        <f t="shared" si="10"/>
        <v>5.2240000000000002</v>
      </c>
      <c r="O56" s="28">
        <f>ROUND(N$58/N56,3)</f>
        <v>1</v>
      </c>
      <c r="P56" s="2"/>
      <c r="Q56" s="22">
        <v>2022</v>
      </c>
    </row>
    <row r="57" spans="1:17" x14ac:dyDescent="0.2">
      <c r="A57" s="243"/>
      <c r="B57" s="244"/>
      <c r="C57" s="244"/>
      <c r="D57" s="243"/>
      <c r="E57" s="244"/>
      <c r="F57" s="245"/>
      <c r="G57" s="243"/>
      <c r="H57" s="243"/>
      <c r="I57" s="245"/>
      <c r="J57" s="246"/>
      <c r="K57" s="243"/>
      <c r="L57" s="243"/>
      <c r="M57" s="246"/>
      <c r="N57" s="245"/>
      <c r="O57" s="245"/>
      <c r="P57" s="2"/>
    </row>
    <row r="58" spans="1:17" x14ac:dyDescent="0.2">
      <c r="A58" t="s">
        <v>211</v>
      </c>
      <c r="B58" s="18"/>
      <c r="D58" s="18"/>
      <c r="E58" s="62"/>
      <c r="F58" s="29"/>
      <c r="G58" s="29"/>
      <c r="H58" s="29"/>
      <c r="I58" s="28">
        <f>'10.3'!D51</f>
        <v>5.2241170393817837</v>
      </c>
      <c r="J58" s="57"/>
      <c r="K58" s="57"/>
      <c r="L58" s="57"/>
      <c r="M58" s="57"/>
      <c r="N58" s="29">
        <f>I58</f>
        <v>5.2241170393817837</v>
      </c>
      <c r="O58" s="29">
        <v>1</v>
      </c>
      <c r="P58" s="2"/>
    </row>
    <row r="59" spans="1:17" ht="12" thickBo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2"/>
    </row>
    <row r="60" spans="1:17" ht="12" thickTop="1" x14ac:dyDescent="0.2">
      <c r="P60" s="2"/>
    </row>
    <row r="61" spans="1:17" x14ac:dyDescent="0.2">
      <c r="A61" t="s">
        <v>18</v>
      </c>
      <c r="P61" s="2"/>
    </row>
    <row r="62" spans="1:17" x14ac:dyDescent="0.2">
      <c r="B62" s="12" t="str">
        <f>B12&amp;" - "&amp;E12&amp;" Rates in effect and beginning and end of year (B.O.Y. and E.O.Y.)"</f>
        <v>(1) - (4) Rates in effect and beginning and end of year (B.O.Y. and E.O.Y.)</v>
      </c>
      <c r="P62" s="2"/>
    </row>
    <row r="63" spans="1:17" x14ac:dyDescent="0.2">
      <c r="B63" t="s">
        <v>363</v>
      </c>
      <c r="P63" s="2"/>
    </row>
    <row r="64" spans="1:17" x14ac:dyDescent="0.2">
      <c r="B64" t="s">
        <v>322</v>
      </c>
      <c r="P64" s="2"/>
    </row>
    <row r="65" spans="1:16" x14ac:dyDescent="0.2">
      <c r="B65" t="s">
        <v>364</v>
      </c>
      <c r="P65" s="2"/>
    </row>
    <row r="66" spans="1:16" x14ac:dyDescent="0.2">
      <c r="B66" t="s">
        <v>365</v>
      </c>
      <c r="P66" s="2"/>
    </row>
    <row r="67" spans="1:16" x14ac:dyDescent="0.2">
      <c r="B67" s="12" t="str">
        <f>F12&amp;" - "&amp;I12&amp;" Based on "&amp;'10.3'!$K$1&amp;", "&amp;'10.3'!$K$2</f>
        <v>(5) - (8) Based on Exhibit 10, Sheet 3</v>
      </c>
      <c r="P67" s="2"/>
    </row>
    <row r="68" spans="1:16" x14ac:dyDescent="0.2">
      <c r="B68" s="12" t="str">
        <f>J12&amp;" - "&amp;M12&amp;" Number of months that each of the rates were effective"</f>
        <v>(9) - (12) Number of months that each of the rates were effective</v>
      </c>
      <c r="P68" s="2"/>
    </row>
    <row r="69" spans="1:16" x14ac:dyDescent="0.2">
      <c r="B69" s="12" t="str">
        <f>N12&amp;" = Weighted average of "&amp;F12&amp;" - "&amp;I12&amp;" using "&amp;J12&amp;" - "&amp;M12&amp;" as weights"</f>
        <v>(13) = Weighted average of (5) - (8) using (9) - (12) as weights</v>
      </c>
      <c r="P69" s="2"/>
    </row>
    <row r="70" spans="1:16" ht="12" thickBot="1" x14ac:dyDescent="0.25">
      <c r="B70" s="12" t="str">
        <f>O12&amp;" = Current "&amp;N12&amp;" / "&amp;N12</f>
        <v>(14) = Current (13) / (13)</v>
      </c>
      <c r="P70" s="2"/>
    </row>
    <row r="71" spans="1:16" ht="12" hidden="1" thickBot="1" x14ac:dyDescent="0.25">
      <c r="P71" s="2"/>
    </row>
    <row r="72" spans="1:16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>
    <tabColor rgb="FF92D050"/>
  </sheetPr>
  <dimension ref="A1:Q65"/>
  <sheetViews>
    <sheetView showGridLines="0" zoomScaleNormal="100" workbookViewId="0"/>
  </sheetViews>
  <sheetFormatPr defaultColWidth="11.33203125" defaultRowHeight="11.25" x14ac:dyDescent="0.2"/>
  <cols>
    <col min="1" max="1" width="8.1640625" bestFit="1" customWidth="1"/>
    <col min="2" max="2" width="11.33203125" customWidth="1"/>
    <col min="3" max="4" width="15.33203125" customWidth="1"/>
    <col min="5" max="10" width="11.33203125" customWidth="1"/>
    <col min="11" max="11" width="3.33203125" customWidth="1"/>
  </cols>
  <sheetData>
    <row r="1" spans="1:17" x14ac:dyDescent="0.2">
      <c r="A1" s="8" t="str">
        <f>'1'!$A$1</f>
        <v>Texas Windstorm Insurance Association</v>
      </c>
      <c r="B1" s="12"/>
      <c r="K1" s="7" t="s">
        <v>138</v>
      </c>
      <c r="L1" s="1"/>
      <c r="P1" t="s">
        <v>526</v>
      </c>
      <c r="Q1" t="s">
        <v>536</v>
      </c>
    </row>
    <row r="2" spans="1:17" x14ac:dyDescent="0.2">
      <c r="A2" s="8" t="str">
        <f>'1'!$A$2</f>
        <v>Commercial Property - Wind &amp; Hail</v>
      </c>
      <c r="B2" s="12"/>
      <c r="K2" s="7" t="s">
        <v>68</v>
      </c>
      <c r="L2" s="2"/>
    </row>
    <row r="3" spans="1:17" x14ac:dyDescent="0.2">
      <c r="A3" s="8" t="str">
        <f>'1'!$A$3</f>
        <v>Rate Level Review</v>
      </c>
      <c r="B3" s="12"/>
      <c r="L3" s="2"/>
    </row>
    <row r="4" spans="1:17" x14ac:dyDescent="0.2">
      <c r="A4" t="s">
        <v>190</v>
      </c>
      <c r="B4" s="12"/>
      <c r="L4" s="2"/>
    </row>
    <row r="5" spans="1:17" x14ac:dyDescent="0.2">
      <c r="B5" s="12"/>
      <c r="L5" s="2"/>
    </row>
    <row r="6" spans="1:17" x14ac:dyDescent="0.2">
      <c r="L6" s="2"/>
    </row>
    <row r="7" spans="1:17" ht="12" thickBot="1" x14ac:dyDescent="0.25">
      <c r="A7" s="6"/>
      <c r="B7" s="6"/>
      <c r="C7" s="6"/>
      <c r="D7" s="6"/>
      <c r="L7" s="2"/>
    </row>
    <row r="8" spans="1:17" ht="12" thickTop="1" x14ac:dyDescent="0.2">
      <c r="L8" s="2"/>
    </row>
    <row r="9" spans="1:17" x14ac:dyDescent="0.2">
      <c r="C9" s="12"/>
      <c r="L9" s="2"/>
    </row>
    <row r="10" spans="1:17" x14ac:dyDescent="0.2">
      <c r="A10" t="s">
        <v>191</v>
      </c>
      <c r="C10" t="s">
        <v>13</v>
      </c>
      <c r="D10" t="s">
        <v>54</v>
      </c>
      <c r="L10" s="2"/>
    </row>
    <row r="11" spans="1:17" x14ac:dyDescent="0.2">
      <c r="A11" s="9" t="s">
        <v>139</v>
      </c>
      <c r="B11" s="9"/>
      <c r="C11" s="9" t="s">
        <v>14</v>
      </c>
      <c r="D11" s="9" t="s">
        <v>104</v>
      </c>
      <c r="L11" s="2"/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L12" s="2"/>
    </row>
    <row r="13" spans="1:17" x14ac:dyDescent="0.2">
      <c r="L13" s="2"/>
    </row>
    <row r="14" spans="1:17" x14ac:dyDescent="0.2">
      <c r="A14" t="s">
        <v>192</v>
      </c>
      <c r="B14" s="22"/>
      <c r="C14" s="31"/>
      <c r="D14" s="35">
        <v>1</v>
      </c>
      <c r="L14" s="2"/>
    </row>
    <row r="15" spans="1:17" x14ac:dyDescent="0.2">
      <c r="A15" s="155" t="s">
        <v>193</v>
      </c>
      <c r="B15" s="22"/>
      <c r="C15" s="42">
        <v>0.17499999999999999</v>
      </c>
      <c r="D15" s="29">
        <f>D14*(1+C15)</f>
        <v>1.175</v>
      </c>
      <c r="L15" s="2"/>
    </row>
    <row r="16" spans="1:17" x14ac:dyDescent="0.2">
      <c r="A16" s="155" t="s">
        <v>194</v>
      </c>
      <c r="B16" s="22"/>
      <c r="C16" s="42">
        <v>-3.6999999999999998E-2</v>
      </c>
      <c r="D16" s="29">
        <f t="shared" ref="D16:D39" si="0">D15*(1+C16)</f>
        <v>1.1315250000000001</v>
      </c>
      <c r="L16" s="2"/>
    </row>
    <row r="17" spans="1:13" x14ac:dyDescent="0.2">
      <c r="A17" s="155" t="s">
        <v>195</v>
      </c>
      <c r="B17" s="22"/>
      <c r="C17" s="42">
        <v>0.26200000000000001</v>
      </c>
      <c r="D17" s="29">
        <f t="shared" si="0"/>
        <v>1.4279845500000001</v>
      </c>
      <c r="L17" s="2"/>
    </row>
    <row r="18" spans="1:13" x14ac:dyDescent="0.2">
      <c r="A18" s="155" t="s">
        <v>196</v>
      </c>
      <c r="B18" s="22"/>
      <c r="C18" s="42">
        <v>0.06</v>
      </c>
      <c r="D18" s="29">
        <f t="shared" si="0"/>
        <v>1.5136636230000002</v>
      </c>
      <c r="L18" s="2"/>
    </row>
    <row r="19" spans="1:13" x14ac:dyDescent="0.2">
      <c r="A19" s="155" t="s">
        <v>197</v>
      </c>
      <c r="B19" s="22"/>
      <c r="C19" s="42">
        <v>0.25</v>
      </c>
      <c r="D19" s="29">
        <f t="shared" si="0"/>
        <v>1.8920795287500003</v>
      </c>
      <c r="L19" s="2"/>
      <c r="M19" t="s">
        <v>492</v>
      </c>
    </row>
    <row r="20" spans="1:13" x14ac:dyDescent="0.2">
      <c r="A20" s="155" t="s">
        <v>198</v>
      </c>
      <c r="B20" s="22"/>
      <c r="C20" s="42">
        <v>0.28299999999999997</v>
      </c>
      <c r="D20" s="29">
        <f t="shared" si="0"/>
        <v>2.4275380353862501</v>
      </c>
      <c r="L20" s="2"/>
      <c r="M20" t="s">
        <v>491</v>
      </c>
    </row>
    <row r="21" spans="1:13" x14ac:dyDescent="0.2">
      <c r="A21" s="155" t="s">
        <v>199</v>
      </c>
      <c r="B21" s="22"/>
      <c r="C21" s="42">
        <v>9.1999999999999998E-2</v>
      </c>
      <c r="D21" s="29">
        <f t="shared" si="0"/>
        <v>2.6508715346417855</v>
      </c>
      <c r="L21" s="2"/>
    </row>
    <row r="22" spans="1:13" x14ac:dyDescent="0.2">
      <c r="A22" s="155" t="s">
        <v>200</v>
      </c>
      <c r="B22" s="22"/>
      <c r="C22" s="42">
        <v>-9.1999999999999998E-2</v>
      </c>
      <c r="D22" s="29">
        <f t="shared" si="0"/>
        <v>2.4069913534547411</v>
      </c>
      <c r="L22" s="2"/>
    </row>
    <row r="23" spans="1:13" x14ac:dyDescent="0.2">
      <c r="A23" s="155" t="s">
        <v>201</v>
      </c>
      <c r="B23" s="22"/>
      <c r="C23" s="42">
        <v>-0.13800000000000001</v>
      </c>
      <c r="D23" s="29">
        <f t="shared" si="0"/>
        <v>2.0748265466779867</v>
      </c>
      <c r="L23" s="2"/>
    </row>
    <row r="24" spans="1:13" x14ac:dyDescent="0.2">
      <c r="A24" s="155" t="s">
        <v>202</v>
      </c>
      <c r="B24" s="22"/>
      <c r="C24" s="42">
        <v>1.4E-2</v>
      </c>
      <c r="D24" s="29">
        <f t="shared" si="0"/>
        <v>2.1038741183314786</v>
      </c>
      <c r="L24" s="2"/>
    </row>
    <row r="25" spans="1:13" x14ac:dyDescent="0.2">
      <c r="A25" s="155" t="s">
        <v>203</v>
      </c>
      <c r="B25" s="22"/>
      <c r="C25" s="42">
        <v>-0.01</v>
      </c>
      <c r="D25" s="29">
        <f t="shared" si="0"/>
        <v>2.082835377148164</v>
      </c>
      <c r="L25" s="2"/>
    </row>
    <row r="26" spans="1:13" x14ac:dyDescent="0.2">
      <c r="A26" s="155" t="s">
        <v>204</v>
      </c>
      <c r="B26" s="22"/>
      <c r="C26" s="42">
        <v>-0.22900000000000001</v>
      </c>
      <c r="D26" s="29">
        <f t="shared" si="0"/>
        <v>1.6058660757812344</v>
      </c>
      <c r="L26" s="2"/>
      <c r="M26" t="s">
        <v>493</v>
      </c>
    </row>
    <row r="27" spans="1:13" x14ac:dyDescent="0.2">
      <c r="A27" s="155" t="s">
        <v>205</v>
      </c>
      <c r="B27" s="22"/>
      <c r="C27" s="42">
        <v>0</v>
      </c>
      <c r="D27" s="29">
        <f t="shared" si="0"/>
        <v>1.6058660757812344</v>
      </c>
      <c r="L27" s="2"/>
    </row>
    <row r="28" spans="1:13" x14ac:dyDescent="0.2">
      <c r="A28" s="155" t="s">
        <v>206</v>
      </c>
      <c r="B28" s="22"/>
      <c r="C28" s="42">
        <v>-0.03</v>
      </c>
      <c r="D28" s="29">
        <f t="shared" si="0"/>
        <v>1.5576900935077973</v>
      </c>
      <c r="L28" s="2"/>
    </row>
    <row r="29" spans="1:13" x14ac:dyDescent="0.2">
      <c r="A29" s="155" t="s">
        <v>207</v>
      </c>
      <c r="B29" s="22"/>
      <c r="C29" s="42">
        <v>0.09</v>
      </c>
      <c r="D29" s="29">
        <f t="shared" si="0"/>
        <v>1.6978822019234991</v>
      </c>
      <c r="L29" s="2"/>
    </row>
    <row r="30" spans="1:13" x14ac:dyDescent="0.2">
      <c r="A30" s="155" t="s">
        <v>208</v>
      </c>
      <c r="B30" s="22"/>
      <c r="C30" s="42">
        <v>0.04</v>
      </c>
      <c r="D30" s="29">
        <f t="shared" si="0"/>
        <v>1.7657974900004392</v>
      </c>
      <c r="L30" s="2"/>
    </row>
    <row r="31" spans="1:13" x14ac:dyDescent="0.2">
      <c r="A31" s="155" t="s">
        <v>209</v>
      </c>
      <c r="B31" s="22"/>
      <c r="C31" s="42">
        <v>0.05</v>
      </c>
      <c r="D31" s="29">
        <f>D30*(1+C31)</f>
        <v>1.8540873645004612</v>
      </c>
      <c r="L31" s="2"/>
    </row>
    <row r="32" spans="1:13" x14ac:dyDescent="0.2">
      <c r="A32" s="155" t="s">
        <v>239</v>
      </c>
      <c r="B32" s="22"/>
      <c r="C32" s="42">
        <v>0.1</v>
      </c>
      <c r="D32" s="29">
        <f>D31*(1+C32)</f>
        <v>2.0394961009505073</v>
      </c>
      <c r="L32" s="2"/>
    </row>
    <row r="33" spans="1:12" x14ac:dyDescent="0.2">
      <c r="A33" s="155" t="s">
        <v>296</v>
      </c>
      <c r="B33" s="22"/>
      <c r="C33" s="42">
        <v>0.1</v>
      </c>
      <c r="D33" s="29">
        <f t="shared" si="0"/>
        <v>2.2434457110455583</v>
      </c>
      <c r="L33" s="2"/>
    </row>
    <row r="34" spans="1:12" x14ac:dyDescent="0.2">
      <c r="A34" s="155" t="s">
        <v>307</v>
      </c>
      <c r="B34" s="22"/>
      <c r="C34" s="42">
        <v>0.1</v>
      </c>
      <c r="D34" s="29">
        <f t="shared" si="0"/>
        <v>2.4677902821501143</v>
      </c>
      <c r="L34" s="2"/>
    </row>
    <row r="35" spans="1:12" x14ac:dyDescent="0.2">
      <c r="A35" s="155" t="s">
        <v>319</v>
      </c>
      <c r="C35" s="42">
        <v>0.05</v>
      </c>
      <c r="D35" s="29">
        <f t="shared" si="0"/>
        <v>2.5911797962576202</v>
      </c>
      <c r="L35" s="2"/>
    </row>
    <row r="36" spans="1:12" x14ac:dyDescent="0.2">
      <c r="A36" s="155" t="s">
        <v>331</v>
      </c>
      <c r="C36" s="42">
        <v>0.08</v>
      </c>
      <c r="D36" s="29">
        <f t="shared" si="0"/>
        <v>2.7984741799582298</v>
      </c>
      <c r="L36" s="2"/>
    </row>
    <row r="37" spans="1:12" x14ac:dyDescent="0.2">
      <c r="A37" s="155" t="s">
        <v>332</v>
      </c>
      <c r="C37" s="42">
        <v>3.7000000000000005E-2</v>
      </c>
      <c r="D37" s="29">
        <f t="shared" si="0"/>
        <v>2.9020177246166843</v>
      </c>
      <c r="L37" s="2"/>
    </row>
    <row r="38" spans="1:12" x14ac:dyDescent="0.2">
      <c r="A38" s="155" t="s">
        <v>362</v>
      </c>
      <c r="C38" s="42">
        <v>5.3999999999999999E-2</v>
      </c>
      <c r="D38" s="29">
        <f t="shared" si="0"/>
        <v>3.0587266817459855</v>
      </c>
      <c r="L38" s="2"/>
    </row>
    <row r="39" spans="1:12" x14ac:dyDescent="0.2">
      <c r="A39" s="155" t="s">
        <v>369</v>
      </c>
      <c r="C39" s="42">
        <v>0.156</v>
      </c>
      <c r="D39" s="29">
        <f t="shared" si="0"/>
        <v>3.5358880440983591</v>
      </c>
      <c r="L39" s="2"/>
    </row>
    <row r="40" spans="1:12" x14ac:dyDescent="0.2">
      <c r="A40" s="155" t="s">
        <v>390</v>
      </c>
      <c r="C40" s="42">
        <v>0.05</v>
      </c>
      <c r="D40" s="29">
        <f t="shared" ref="D40:D45" si="1">D39*(1+C40)</f>
        <v>3.712682446303277</v>
      </c>
      <c r="L40" s="2"/>
    </row>
    <row r="41" spans="1:12" x14ac:dyDescent="0.2">
      <c r="A41" s="155" t="s">
        <v>392</v>
      </c>
      <c r="C41" s="42">
        <v>0.05</v>
      </c>
      <c r="D41" s="29">
        <f t="shared" si="1"/>
        <v>3.8983165686184411</v>
      </c>
      <c r="L41" s="2"/>
    </row>
    <row r="42" spans="1:12" x14ac:dyDescent="0.2">
      <c r="A42" s="155" t="s">
        <v>393</v>
      </c>
      <c r="C42" s="42">
        <v>0.05</v>
      </c>
      <c r="D42" s="29">
        <f>D41*(1+C42)</f>
        <v>4.0932323970493636</v>
      </c>
      <c r="L42" s="2"/>
    </row>
    <row r="43" spans="1:12" x14ac:dyDescent="0.2">
      <c r="A43" s="155" t="s">
        <v>402</v>
      </c>
      <c r="C43" s="153">
        <f>C42</f>
        <v>0.05</v>
      </c>
      <c r="D43" s="29">
        <f t="shared" si="1"/>
        <v>4.2978940169018323</v>
      </c>
      <c r="L43" s="2"/>
    </row>
    <row r="44" spans="1:12" x14ac:dyDescent="0.2">
      <c r="A44" s="157" t="s">
        <v>431</v>
      </c>
      <c r="C44" s="153">
        <v>0.05</v>
      </c>
      <c r="D44" s="29">
        <f t="shared" si="1"/>
        <v>4.5127887177469237</v>
      </c>
      <c r="L44" s="2"/>
    </row>
    <row r="45" spans="1:12" x14ac:dyDescent="0.2">
      <c r="A45" s="157" t="s">
        <v>433</v>
      </c>
      <c r="C45" s="153">
        <v>0.05</v>
      </c>
      <c r="D45" s="29">
        <f t="shared" si="1"/>
        <v>4.7384281536342705</v>
      </c>
      <c r="L45" s="2"/>
    </row>
    <row r="46" spans="1:12" x14ac:dyDescent="0.2">
      <c r="A46" s="157" t="s">
        <v>441</v>
      </c>
      <c r="C46" s="153">
        <v>0</v>
      </c>
      <c r="D46" s="29">
        <f t="shared" ref="D46:D50" si="2">D45*(1+C46)</f>
        <v>4.7384281536342705</v>
      </c>
      <c r="L46" s="2"/>
    </row>
    <row r="47" spans="1:12" x14ac:dyDescent="0.2">
      <c r="A47" s="157" t="s">
        <v>442</v>
      </c>
      <c r="C47" s="153">
        <v>0.05</v>
      </c>
      <c r="D47" s="29">
        <f t="shared" si="2"/>
        <v>4.9753495613159844</v>
      </c>
      <c r="L47" s="2"/>
    </row>
    <row r="48" spans="1:12" x14ac:dyDescent="0.2">
      <c r="A48" s="157">
        <v>43466</v>
      </c>
      <c r="C48" s="153">
        <v>0</v>
      </c>
      <c r="D48" s="29">
        <f t="shared" si="2"/>
        <v>4.9753495613159844</v>
      </c>
      <c r="L48" s="2"/>
    </row>
    <row r="49" spans="1:12" x14ac:dyDescent="0.2">
      <c r="A49" s="157">
        <v>43831</v>
      </c>
      <c r="C49" s="153">
        <v>0</v>
      </c>
      <c r="D49" s="29">
        <f t="shared" si="2"/>
        <v>4.9753495613159844</v>
      </c>
      <c r="L49" s="2"/>
    </row>
    <row r="50" spans="1:12" x14ac:dyDescent="0.2">
      <c r="A50" s="157">
        <v>44197</v>
      </c>
      <c r="C50" s="153">
        <v>0</v>
      </c>
      <c r="D50" s="29">
        <f t="shared" si="2"/>
        <v>4.9753495613159844</v>
      </c>
      <c r="L50" s="2"/>
    </row>
    <row r="51" spans="1:12" x14ac:dyDescent="0.2">
      <c r="A51" s="157">
        <v>44562</v>
      </c>
      <c r="C51" s="153">
        <v>0.05</v>
      </c>
      <c r="D51" s="29">
        <f>D50*(1+C51)</f>
        <v>5.2241170393817837</v>
      </c>
      <c r="L51" s="2"/>
    </row>
    <row r="52" spans="1:12" ht="12" thickBot="1" x14ac:dyDescent="0.25">
      <c r="A52" s="165">
        <v>44927</v>
      </c>
      <c r="B52" s="6"/>
      <c r="C52" s="171">
        <v>0</v>
      </c>
      <c r="D52" s="132">
        <f>D51*(1+C52)</f>
        <v>5.2241170393817837</v>
      </c>
      <c r="L52" s="2"/>
    </row>
    <row r="53" spans="1:12" ht="12" thickTop="1" x14ac:dyDescent="0.2">
      <c r="L53" s="2"/>
    </row>
    <row r="54" spans="1:12" x14ac:dyDescent="0.2">
      <c r="A54" t="s">
        <v>18</v>
      </c>
      <c r="L54" s="2"/>
    </row>
    <row r="55" spans="1:12" x14ac:dyDescent="0.2">
      <c r="B55" s="12" t="str">
        <f>C12&amp;" Provided by TWIA, excludes 1/1/92 refund on in-force policies"</f>
        <v>(2) Provided by TWIA, excludes 1/1/92 refund on in-force policies</v>
      </c>
      <c r="L55" s="2"/>
    </row>
    <row r="56" spans="1:12" x14ac:dyDescent="0.2">
      <c r="B56" s="12" t="str">
        <f>D12&amp;" = Cumulation of "&amp;C12</f>
        <v>(3) = Cumulation of (2)</v>
      </c>
      <c r="L56" s="2"/>
    </row>
    <row r="57" spans="1:12" x14ac:dyDescent="0.2">
      <c r="B57" s="12"/>
      <c r="L57" s="2"/>
    </row>
    <row r="58" spans="1:12" x14ac:dyDescent="0.2">
      <c r="L58" s="2"/>
    </row>
    <row r="59" spans="1:12" x14ac:dyDescent="0.2">
      <c r="L59" s="2"/>
    </row>
    <row r="60" spans="1:12" x14ac:dyDescent="0.2"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ht="12" thickBot="1" x14ac:dyDescent="0.25">
      <c r="L64" s="2"/>
    </row>
    <row r="65" spans="1:12" ht="12" thickBot="1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6">
    <tabColor rgb="FF92D050"/>
  </sheetPr>
  <dimension ref="A1:P66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4.5" customWidth="1"/>
    <col min="2" max="2" width="3.5" customWidth="1"/>
    <col min="3" max="3" width="34.1640625" customWidth="1"/>
    <col min="4" max="7" width="12.33203125" customWidth="1"/>
    <col min="8" max="9" width="11.33203125" customWidth="1"/>
    <col min="10" max="10" width="7.5" customWidth="1"/>
    <col min="12" max="12" width="12.6640625" customWidth="1"/>
    <col min="13" max="13" width="22" customWidth="1"/>
    <col min="14" max="14" width="2.1640625" bestFit="1" customWidth="1"/>
    <col min="15" max="16" width="22.83203125" customWidth="1"/>
  </cols>
  <sheetData>
    <row r="1" spans="1:15" x14ac:dyDescent="0.2">
      <c r="A1" s="8" t="str">
        <f>'1'!$A$1</f>
        <v>Texas Windstorm Insurance Association</v>
      </c>
      <c r="B1" s="12"/>
      <c r="J1" s="7" t="s">
        <v>156</v>
      </c>
      <c r="K1" s="1"/>
      <c r="N1" t="s">
        <v>526</v>
      </c>
      <c r="O1" t="s">
        <v>537</v>
      </c>
    </row>
    <row r="2" spans="1:15" x14ac:dyDescent="0.2">
      <c r="A2" s="8" t="str">
        <f>'1'!$A$2</f>
        <v>Commercial Property - Wind &amp; Hail</v>
      </c>
      <c r="B2" s="12"/>
      <c r="J2" s="7" t="s">
        <v>21</v>
      </c>
      <c r="K2" s="2"/>
      <c r="N2" t="s">
        <v>526</v>
      </c>
      <c r="O2" t="s">
        <v>538</v>
      </c>
    </row>
    <row r="3" spans="1:15" x14ac:dyDescent="0.2">
      <c r="A3" s="8" t="str">
        <f>'1'!$A$3</f>
        <v>Rate Level Review</v>
      </c>
      <c r="B3" s="12"/>
      <c r="K3" s="2"/>
      <c r="N3" t="s">
        <v>526</v>
      </c>
      <c r="O3" t="s">
        <v>564</v>
      </c>
    </row>
    <row r="4" spans="1:15" x14ac:dyDescent="0.2">
      <c r="A4" t="s">
        <v>436</v>
      </c>
      <c r="B4" s="12"/>
      <c r="K4" s="2"/>
      <c r="N4" t="s">
        <v>526</v>
      </c>
      <c r="O4" t="s">
        <v>565</v>
      </c>
    </row>
    <row r="5" spans="1:15" x14ac:dyDescent="0.2">
      <c r="B5" s="12"/>
      <c r="K5" s="2"/>
    </row>
    <row r="6" spans="1:15" x14ac:dyDescent="0.2">
      <c r="K6" s="2"/>
    </row>
    <row r="7" spans="1:15" ht="12" thickBot="1" x14ac:dyDescent="0.25">
      <c r="A7" s="6"/>
      <c r="B7" s="6"/>
      <c r="C7" s="6"/>
      <c r="D7" s="6"/>
      <c r="E7" s="6"/>
      <c r="F7" s="6"/>
      <c r="G7" s="6"/>
      <c r="K7" s="2"/>
    </row>
    <row r="8" spans="1:15" ht="12" thickTop="1" x14ac:dyDescent="0.2">
      <c r="K8" s="2"/>
    </row>
    <row r="9" spans="1:15" x14ac:dyDescent="0.2">
      <c r="K9" s="2"/>
      <c r="L9" s="24"/>
    </row>
    <row r="10" spans="1:15" x14ac:dyDescent="0.2">
      <c r="K10" s="2"/>
      <c r="L10" t="s">
        <v>233</v>
      </c>
    </row>
    <row r="11" spans="1:15" x14ac:dyDescent="0.2">
      <c r="A11" s="9" t="s">
        <v>158</v>
      </c>
      <c r="B11" s="9"/>
      <c r="C11" s="9"/>
      <c r="D11" s="52">
        <f>E11-1</f>
        <v>2020</v>
      </c>
      <c r="E11" s="52">
        <f>F11-1</f>
        <v>2021</v>
      </c>
      <c r="F11" s="52">
        <f>YEAR(L11)</f>
        <v>2022</v>
      </c>
      <c r="G11" s="9" t="s">
        <v>53</v>
      </c>
      <c r="K11" s="2"/>
      <c r="L11" s="65">
        <v>44926</v>
      </c>
    </row>
    <row r="12" spans="1:15" x14ac:dyDescent="0.2">
      <c r="A12" s="13"/>
      <c r="B12" s="13"/>
      <c r="C12" s="13"/>
      <c r="D12" s="11"/>
      <c r="E12" s="11"/>
      <c r="F12" s="11"/>
      <c r="G12" s="11"/>
      <c r="K12" s="2"/>
    </row>
    <row r="13" spans="1:15" x14ac:dyDescent="0.2">
      <c r="K13" s="2"/>
    </row>
    <row r="14" spans="1:15" x14ac:dyDescent="0.2">
      <c r="A14" s="40" t="s">
        <v>159</v>
      </c>
      <c r="B14" t="s">
        <v>163</v>
      </c>
      <c r="D14" s="66">
        <v>369600488</v>
      </c>
      <c r="E14" s="66">
        <v>395112773</v>
      </c>
      <c r="F14" s="66">
        <v>518299032</v>
      </c>
      <c r="K14" s="2"/>
      <c r="L14" t="s">
        <v>434</v>
      </c>
    </row>
    <row r="15" spans="1:15" x14ac:dyDescent="0.2">
      <c r="A15" s="40" t="s">
        <v>160</v>
      </c>
      <c r="B15" t="s">
        <v>162</v>
      </c>
      <c r="D15" s="66">
        <v>369179093</v>
      </c>
      <c r="E15" s="66">
        <v>378504197</v>
      </c>
      <c r="F15" s="66">
        <v>443490204</v>
      </c>
      <c r="K15" s="2"/>
      <c r="L15" t="s">
        <v>434</v>
      </c>
    </row>
    <row r="16" spans="1:15" x14ac:dyDescent="0.2">
      <c r="K16" s="2"/>
    </row>
    <row r="17" spans="1:16" x14ac:dyDescent="0.2">
      <c r="A17" s="40" t="s">
        <v>161</v>
      </c>
      <c r="B17" t="s">
        <v>164</v>
      </c>
      <c r="K17" s="2"/>
    </row>
    <row r="18" spans="1:16" x14ac:dyDescent="0.2">
      <c r="C18" t="s">
        <v>165</v>
      </c>
      <c r="D18" s="31">
        <v>59103153</v>
      </c>
      <c r="E18" s="31">
        <v>63161029</v>
      </c>
      <c r="F18" s="31">
        <v>82854389</v>
      </c>
      <c r="K18" s="2"/>
      <c r="L18" t="s">
        <v>434</v>
      </c>
    </row>
    <row r="19" spans="1:16" x14ac:dyDescent="0.2">
      <c r="C19" t="s">
        <v>166</v>
      </c>
      <c r="D19" s="19">
        <f>D18/D$14</f>
        <v>0.15991091710896227</v>
      </c>
      <c r="E19" s="19">
        <f>E18/E$14</f>
        <v>0.15985570023574003</v>
      </c>
      <c r="F19" s="19">
        <f>F18/F$14</f>
        <v>0.15985827463401475</v>
      </c>
      <c r="G19" s="44">
        <f>ROUND(AVERAGE(D19:F19),3)</f>
        <v>0.16</v>
      </c>
      <c r="K19" s="2"/>
    </row>
    <row r="20" spans="1:16" x14ac:dyDescent="0.2">
      <c r="K20" s="2"/>
    </row>
    <row r="21" spans="1:16" x14ac:dyDescent="0.2">
      <c r="A21" s="40" t="s">
        <v>107</v>
      </c>
      <c r="B21" t="s">
        <v>167</v>
      </c>
      <c r="K21" s="2"/>
    </row>
    <row r="22" spans="1:16" x14ac:dyDescent="0.2">
      <c r="C22" t="s">
        <v>165</v>
      </c>
      <c r="D22" s="66">
        <v>0</v>
      </c>
      <c r="E22" s="66">
        <v>0</v>
      </c>
      <c r="F22" s="66">
        <v>0</v>
      </c>
      <c r="K22" s="2"/>
    </row>
    <row r="23" spans="1:16" x14ac:dyDescent="0.2">
      <c r="C23" t="s">
        <v>166</v>
      </c>
      <c r="D23" s="19">
        <f>D22/D$14</f>
        <v>0</v>
      </c>
      <c r="E23" s="19">
        <f>E22/E$14</f>
        <v>0</v>
      </c>
      <c r="F23" s="19">
        <f>F22/F$14</f>
        <v>0</v>
      </c>
      <c r="G23" s="44">
        <f>ROUND(AVERAGE(D23:F23),3)</f>
        <v>0</v>
      </c>
      <c r="K23" s="2"/>
    </row>
    <row r="24" spans="1:16" x14ac:dyDescent="0.2">
      <c r="K24" s="2"/>
      <c r="L24" s="283" t="s">
        <v>515</v>
      </c>
      <c r="M24" s="243"/>
      <c r="N24" s="284"/>
    </row>
    <row r="25" spans="1:16" x14ac:dyDescent="0.2">
      <c r="A25" s="40" t="s">
        <v>88</v>
      </c>
      <c r="B25" t="s">
        <v>168</v>
      </c>
      <c r="I25" s="18"/>
      <c r="K25" s="2"/>
      <c r="L25" s="285" t="s">
        <v>516</v>
      </c>
      <c r="M25" s="113">
        <v>25945723</v>
      </c>
      <c r="N25" s="286"/>
    </row>
    <row r="26" spans="1:16" x14ac:dyDescent="0.2">
      <c r="C26" t="s">
        <v>169</v>
      </c>
      <c r="D26" s="66">
        <v>31624678</v>
      </c>
      <c r="E26" s="66">
        <v>29979903</v>
      </c>
      <c r="F26" s="156">
        <f>SUM(M25:M27)</f>
        <v>35578580</v>
      </c>
      <c r="G26" s="22"/>
      <c r="I26" s="18"/>
      <c r="J26" s="18"/>
      <c r="K26" s="2"/>
      <c r="L26" s="285" t="s">
        <v>517</v>
      </c>
      <c r="M26" s="113">
        <v>7362540</v>
      </c>
      <c r="N26" s="286"/>
    </row>
    <row r="27" spans="1:16" x14ac:dyDescent="0.2">
      <c r="I27" s="18"/>
      <c r="K27" s="2"/>
      <c r="L27" s="287" t="s">
        <v>518</v>
      </c>
      <c r="M27" s="114">
        <v>2270317</v>
      </c>
      <c r="N27" s="288"/>
      <c r="O27" s="11"/>
      <c r="P27" s="11"/>
    </row>
    <row r="28" spans="1:16" x14ac:dyDescent="0.2">
      <c r="B28" t="s">
        <v>170</v>
      </c>
      <c r="K28" s="2"/>
      <c r="O28" s="297"/>
      <c r="P28" s="168"/>
    </row>
    <row r="29" spans="1:16" x14ac:dyDescent="0.2">
      <c r="C29" t="s">
        <v>171</v>
      </c>
      <c r="D29" s="31">
        <v>0</v>
      </c>
      <c r="E29" s="31">
        <v>0</v>
      </c>
      <c r="F29" s="31">
        <v>0</v>
      </c>
      <c r="K29" s="2"/>
      <c r="O29" s="297"/>
      <c r="P29" s="168"/>
    </row>
    <row r="30" spans="1:16" x14ac:dyDescent="0.2">
      <c r="K30" s="2"/>
      <c r="O30" s="168"/>
      <c r="P30" s="168"/>
    </row>
    <row r="31" spans="1:16" x14ac:dyDescent="0.2">
      <c r="C31" t="s">
        <v>172</v>
      </c>
      <c r="D31" s="26">
        <f>D26-SUM(D29)</f>
        <v>31624678</v>
      </c>
      <c r="E31" s="26">
        <f>E26-SUM(E29)</f>
        <v>29979903</v>
      </c>
      <c r="F31" s="26">
        <f>F26-SUM(F29)</f>
        <v>35578580</v>
      </c>
      <c r="K31" s="2"/>
      <c r="O31" s="168"/>
      <c r="P31" s="168"/>
    </row>
    <row r="32" spans="1:16" x14ac:dyDescent="0.2">
      <c r="B32" s="12"/>
      <c r="C32" t="s">
        <v>166</v>
      </c>
      <c r="D32" s="19">
        <f>D31/D$14</f>
        <v>8.5564492003592812E-2</v>
      </c>
      <c r="E32" s="19">
        <f t="shared" ref="E32:F32" si="0">E31/E$14</f>
        <v>7.5876825677817311E-2</v>
      </c>
      <c r="F32" s="19">
        <f t="shared" si="0"/>
        <v>6.8644889925243008E-2</v>
      </c>
      <c r="G32" s="264">
        <f>ROUND(0.25*D32+0.25*E32+0.5*F32,3)</f>
        <v>7.4999999999999997E-2</v>
      </c>
      <c r="H32" s="19"/>
      <c r="K32" s="2"/>
      <c r="L32" s="18"/>
    </row>
    <row r="33" spans="1:16" x14ac:dyDescent="0.2">
      <c r="B33" s="12"/>
      <c r="C33" s="12"/>
      <c r="D33" s="80"/>
      <c r="E33" s="80"/>
      <c r="F33" s="80"/>
      <c r="G33" s="80"/>
      <c r="K33" s="2"/>
      <c r="L33" s="18"/>
      <c r="M33" s="163"/>
      <c r="N33" s="19"/>
    </row>
    <row r="34" spans="1:16" x14ac:dyDescent="0.2">
      <c r="A34" s="40" t="s">
        <v>92</v>
      </c>
      <c r="B34" t="s">
        <v>173</v>
      </c>
      <c r="K34" s="2"/>
      <c r="L34" s="18"/>
    </row>
    <row r="35" spans="1:16" x14ac:dyDescent="0.2">
      <c r="B35" s="22"/>
      <c r="C35" t="s">
        <v>165</v>
      </c>
      <c r="D35" s="66">
        <v>6904349</v>
      </c>
      <c r="E35" s="66">
        <v>7364210</v>
      </c>
      <c r="F35" s="66">
        <v>9499183</v>
      </c>
      <c r="K35" s="2"/>
      <c r="L35" s="19"/>
    </row>
    <row r="36" spans="1:16" x14ac:dyDescent="0.2">
      <c r="B36" s="22"/>
      <c r="C36" t="s">
        <v>166</v>
      </c>
      <c r="D36" s="19">
        <f>D35/D$14</f>
        <v>1.8680573278896752E-2</v>
      </c>
      <c r="E36" s="19">
        <f>E35/E$14</f>
        <v>1.8638248376748882E-2</v>
      </c>
      <c r="F36" s="19">
        <f>F35/F$14</f>
        <v>1.8327610922491556E-2</v>
      </c>
      <c r="G36" s="44">
        <f>ROUND(AVERAGE(D36:F36),3)</f>
        <v>1.9E-2</v>
      </c>
      <c r="K36" s="2"/>
    </row>
    <row r="37" spans="1:16" x14ac:dyDescent="0.2">
      <c r="K37" s="2"/>
    </row>
    <row r="38" spans="1:16" x14ac:dyDescent="0.2">
      <c r="A38" s="40" t="s">
        <v>91</v>
      </c>
      <c r="B38" t="s">
        <v>174</v>
      </c>
      <c r="G38" s="41">
        <f>'11.2'!F34</f>
        <v>0.26385862569367358</v>
      </c>
      <c r="H38" s="19"/>
      <c r="K38" s="2"/>
      <c r="L38" s="11"/>
      <c r="M38" s="11"/>
      <c r="N38" s="11"/>
      <c r="O38" s="11"/>
      <c r="P38" s="11"/>
    </row>
    <row r="39" spans="1:16" x14ac:dyDescent="0.2">
      <c r="K39" s="2"/>
      <c r="L39" s="163"/>
      <c r="M39" s="163"/>
      <c r="N39" s="163"/>
      <c r="O39" s="163"/>
      <c r="P39" s="163"/>
    </row>
    <row r="40" spans="1:16" x14ac:dyDescent="0.2">
      <c r="A40" s="40" t="s">
        <v>90</v>
      </c>
      <c r="B40" t="s">
        <v>438</v>
      </c>
      <c r="G40" s="19">
        <v>0</v>
      </c>
      <c r="H40" s="19"/>
      <c r="K40" s="2"/>
      <c r="L40" s="163"/>
      <c r="M40" s="163"/>
      <c r="N40" s="163"/>
      <c r="O40" s="163"/>
      <c r="P40" s="163"/>
    </row>
    <row r="41" spans="1:16" x14ac:dyDescent="0.2">
      <c r="K41" s="2"/>
      <c r="L41" s="163"/>
      <c r="M41" s="163"/>
      <c r="N41" s="163"/>
      <c r="O41" s="163"/>
      <c r="P41" s="163"/>
    </row>
    <row r="42" spans="1:16" x14ac:dyDescent="0.2">
      <c r="A42" s="40" t="s">
        <v>89</v>
      </c>
      <c r="B42" t="s">
        <v>251</v>
      </c>
      <c r="C42" s="12"/>
      <c r="G42" s="19">
        <f>SUM(G32,G38,G40)</f>
        <v>0.33885862569367359</v>
      </c>
      <c r="K42" s="2"/>
      <c r="L42" s="163"/>
    </row>
    <row r="43" spans="1:16" x14ac:dyDescent="0.2">
      <c r="C43" s="12"/>
      <c r="K43" s="2"/>
    </row>
    <row r="44" spans="1:16" x14ac:dyDescent="0.2">
      <c r="A44" s="40" t="s">
        <v>83</v>
      </c>
      <c r="B44" t="s">
        <v>252</v>
      </c>
      <c r="G44" s="41">
        <f>SUM(G19,G23,G36)</f>
        <v>0.17899999999999999</v>
      </c>
      <c r="K44" s="2"/>
    </row>
    <row r="45" spans="1:16" x14ac:dyDescent="0.2">
      <c r="K45" s="2"/>
    </row>
    <row r="46" spans="1:16" x14ac:dyDescent="0.2">
      <c r="A46" s="40" t="s">
        <v>175</v>
      </c>
      <c r="B46" t="s">
        <v>439</v>
      </c>
      <c r="G46" s="44">
        <f>0.05</f>
        <v>0.05</v>
      </c>
      <c r="K46" s="2"/>
      <c r="M46" s="11"/>
    </row>
    <row r="47" spans="1:16" x14ac:dyDescent="0.2">
      <c r="K47" s="2"/>
      <c r="L47" s="168"/>
    </row>
    <row r="48" spans="1:16" x14ac:dyDescent="0.2">
      <c r="A48" s="40" t="s">
        <v>303</v>
      </c>
      <c r="B48" t="s">
        <v>475</v>
      </c>
      <c r="G48" s="19">
        <f>1-G44-G46</f>
        <v>0.77099999999999991</v>
      </c>
      <c r="K48" s="2"/>
    </row>
    <row r="49" spans="1:12" ht="12" thickBot="1" x14ac:dyDescent="0.25">
      <c r="A49" s="6"/>
      <c r="B49" s="6"/>
      <c r="C49" s="6"/>
      <c r="D49" s="6"/>
      <c r="E49" s="6"/>
      <c r="F49" s="6"/>
      <c r="G49" s="6"/>
      <c r="K49" s="2"/>
      <c r="L49" s="80"/>
    </row>
    <row r="50" spans="1:12" ht="12" thickTop="1" x14ac:dyDescent="0.2">
      <c r="K50" s="2"/>
    </row>
    <row r="51" spans="1:12" x14ac:dyDescent="0.2">
      <c r="A51" t="s">
        <v>18</v>
      </c>
      <c r="K51" s="2"/>
    </row>
    <row r="52" spans="1:12" x14ac:dyDescent="0.2">
      <c r="B52" t="str">
        <f>A14&amp;" - "&amp;A34&amp;" From TWIA's Statutory Annual Statements and Insurance Expense Exhibits"</f>
        <v>(1) - (6) From TWIA's Statutory Annual Statements and Insurance Expense Exhibits</v>
      </c>
      <c r="K52" s="2"/>
    </row>
    <row r="53" spans="1:12" x14ac:dyDescent="0.2">
      <c r="B53" s="12" t="str">
        <f>A38&amp;" "&amp;'11.2'!H1&amp;", "&amp;'11.2'!H2</f>
        <v>(7) Exhibit 11, Sheet 2</v>
      </c>
      <c r="K53" s="2"/>
    </row>
    <row r="54" spans="1:12" x14ac:dyDescent="0.2">
      <c r="B54" t="s">
        <v>625</v>
      </c>
      <c r="K54" s="2"/>
    </row>
    <row r="55" spans="1:12" x14ac:dyDescent="0.2">
      <c r="B55" s="40" t="s">
        <v>461</v>
      </c>
      <c r="K55" s="2"/>
    </row>
    <row r="56" spans="1:12" x14ac:dyDescent="0.2">
      <c r="B56" t="str">
        <f>A44&amp;" = "&amp;A17&amp;" + "&amp;A21&amp;" + "&amp;A34</f>
        <v>(10) = (3) + (4) + (6)</v>
      </c>
      <c r="K56" s="2"/>
    </row>
    <row r="57" spans="1:12" x14ac:dyDescent="0.2">
      <c r="B57" t="str">
        <f>A46&amp;" CRTF contribution selected judgmentally "</f>
        <v xml:space="preserve">(11) CRTF contribution selected judgmentally </v>
      </c>
      <c r="K57" s="2"/>
    </row>
    <row r="58" spans="1:12" x14ac:dyDescent="0.2">
      <c r="B58" t="str">
        <f>A48&amp;" = 100% - "&amp;A44&amp;" - "&amp;A46</f>
        <v>(12) = 100% - (10) - (11)</v>
      </c>
      <c r="K58" s="2"/>
    </row>
    <row r="59" spans="1:12" x14ac:dyDescent="0.2">
      <c r="K59" s="2"/>
    </row>
    <row r="60" spans="1:12" x14ac:dyDescent="0.2">
      <c r="K60" s="2"/>
    </row>
    <row r="61" spans="1:12" x14ac:dyDescent="0.2">
      <c r="K61" s="2"/>
    </row>
    <row r="62" spans="1:12" x14ac:dyDescent="0.2">
      <c r="K62" s="2"/>
    </row>
    <row r="63" spans="1:12" x14ac:dyDescent="0.2">
      <c r="G63" s="19"/>
      <c r="K63" s="2"/>
    </row>
    <row r="64" spans="1:12" x14ac:dyDescent="0.2">
      <c r="B64" s="12"/>
      <c r="C64" s="12"/>
      <c r="K64" s="2"/>
    </row>
    <row r="65" spans="1:11" ht="12" thickBot="1" x14ac:dyDescent="0.25">
      <c r="D65" s="31"/>
      <c r="E65" s="31"/>
      <c r="F65" s="31"/>
      <c r="K65" s="2"/>
    </row>
    <row r="66" spans="1:11" ht="12" thickBot="1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O69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5" x14ac:dyDescent="0.2">
      <c r="A1" s="8" t="str">
        <f>'1'!$A$1</f>
        <v>Texas Windstorm Insurance Association</v>
      </c>
      <c r="B1" s="12"/>
      <c r="J1" s="7" t="s">
        <v>20</v>
      </c>
      <c r="K1" s="1"/>
      <c r="N1" t="s">
        <v>526</v>
      </c>
      <c r="O1" t="s">
        <v>561</v>
      </c>
    </row>
    <row r="2" spans="1:15" x14ac:dyDescent="0.2">
      <c r="A2" s="8" t="str">
        <f>'1'!$A$2</f>
        <v>Commercial Property - Wind &amp; Hail</v>
      </c>
      <c r="B2" s="12"/>
      <c r="J2" s="7" t="s">
        <v>21</v>
      </c>
      <c r="K2" s="2"/>
    </row>
    <row r="3" spans="1:15" x14ac:dyDescent="0.2">
      <c r="A3" s="8" t="str">
        <f>'1'!$A$3</f>
        <v>Rate Level Review</v>
      </c>
      <c r="B3" s="12"/>
      <c r="J3" s="7"/>
      <c r="K3" s="2"/>
    </row>
    <row r="4" spans="1:15" x14ac:dyDescent="0.2">
      <c r="A4" t="s">
        <v>19</v>
      </c>
      <c r="B4" s="12"/>
      <c r="K4" s="2"/>
    </row>
    <row r="5" spans="1:15" x14ac:dyDescent="0.2">
      <c r="B5" s="12"/>
      <c r="K5" s="2"/>
    </row>
    <row r="6" spans="1:15" x14ac:dyDescent="0.2">
      <c r="K6" s="2"/>
    </row>
    <row r="7" spans="1:15" ht="12" thickBot="1" x14ac:dyDescent="0.25">
      <c r="A7" s="6"/>
      <c r="B7" s="6"/>
      <c r="C7" s="6"/>
      <c r="D7" s="6"/>
      <c r="E7" s="6"/>
      <c r="F7" s="6"/>
      <c r="G7" s="6"/>
      <c r="H7" s="6"/>
      <c r="K7" s="2"/>
      <c r="L7" t="s">
        <v>233</v>
      </c>
    </row>
    <row r="8" spans="1:15" ht="12" thickTop="1" x14ac:dyDescent="0.2">
      <c r="K8" s="2"/>
      <c r="L8" s="65">
        <v>44926</v>
      </c>
    </row>
    <row r="9" spans="1:15" x14ac:dyDescent="0.2">
      <c r="C9" s="12" t="s">
        <v>28</v>
      </c>
      <c r="E9" t="s">
        <v>31</v>
      </c>
      <c r="F9" t="s">
        <v>33</v>
      </c>
      <c r="G9" t="s">
        <v>37</v>
      </c>
      <c r="H9" t="s">
        <v>12</v>
      </c>
      <c r="K9" s="2"/>
      <c r="L9" s="24"/>
    </row>
    <row r="10" spans="1:15" x14ac:dyDescent="0.2">
      <c r="A10" t="s">
        <v>41</v>
      </c>
      <c r="C10" t="s">
        <v>7</v>
      </c>
      <c r="D10" t="s">
        <v>29</v>
      </c>
      <c r="E10" t="s">
        <v>32</v>
      </c>
      <c r="F10" t="s">
        <v>7</v>
      </c>
      <c r="G10" t="s">
        <v>35</v>
      </c>
      <c r="H10" t="s">
        <v>7</v>
      </c>
      <c r="K10" s="2"/>
    </row>
    <row r="11" spans="1:15" x14ac:dyDescent="0.2">
      <c r="A11" s="9" t="s">
        <v>42</v>
      </c>
      <c r="B11" s="9"/>
      <c r="C11" s="9" t="s">
        <v>34</v>
      </c>
      <c r="D11" s="9" t="s">
        <v>30</v>
      </c>
      <c r="E11" s="9" t="s">
        <v>30</v>
      </c>
      <c r="F11" s="9" t="s">
        <v>10</v>
      </c>
      <c r="G11" s="9" t="s">
        <v>104</v>
      </c>
      <c r="H11" s="9" t="s">
        <v>24</v>
      </c>
      <c r="K11" s="2"/>
    </row>
    <row r="12" spans="1:15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5" x14ac:dyDescent="0.2">
      <c r="K13" s="2"/>
    </row>
    <row r="14" spans="1:15" x14ac:dyDescent="0.2">
      <c r="A14" t="str">
        <f t="shared" ref="A14:A22" si="1">TEXT(A15-1,"#")</f>
        <v>2013</v>
      </c>
      <c r="B14" s="22"/>
      <c r="C14" s="18">
        <f>'2.2'!E14</f>
        <v>7351329</v>
      </c>
      <c r="D14" s="29">
        <f>'4.1'!$E$63</f>
        <v>0.28899999999999998</v>
      </c>
      <c r="E14" s="28">
        <f>'2.4'!G36</f>
        <v>1.171</v>
      </c>
      <c r="F14" s="18">
        <f>ROUND(C14*(1+D14)*E14,0)</f>
        <v>11096236</v>
      </c>
      <c r="G14" s="273">
        <f>'10.1'!F33</f>
        <v>146084496</v>
      </c>
      <c r="H14" s="19">
        <f>ROUND(F14/G14,3)</f>
        <v>7.5999999999999998E-2</v>
      </c>
      <c r="I14" s="19"/>
      <c r="K14" s="2"/>
    </row>
    <row r="15" spans="1:15" x14ac:dyDescent="0.2">
      <c r="A15" t="str">
        <f t="shared" si="1"/>
        <v>2014</v>
      </c>
      <c r="B15" s="22"/>
      <c r="C15" s="18">
        <f>'2.2'!E15</f>
        <v>1056281</v>
      </c>
      <c r="D15" s="29">
        <f t="shared" ref="D15:D23" si="2">D$14</f>
        <v>0.28899999999999998</v>
      </c>
      <c r="E15" s="28">
        <f>'2.4'!G37</f>
        <v>1.1459999999999999</v>
      </c>
      <c r="F15" s="18">
        <f t="shared" ref="F15:F23" si="3">ROUND(C15*(1+D15)*E15,0)</f>
        <v>1560332</v>
      </c>
      <c r="G15" s="273">
        <f>'10.1'!F34</f>
        <v>135603583</v>
      </c>
      <c r="H15" s="19">
        <f t="shared" ref="H15:H22" si="4">ROUND(F15/G15,3)</f>
        <v>1.2E-2</v>
      </c>
      <c r="I15" s="19"/>
      <c r="K15" s="2"/>
    </row>
    <row r="16" spans="1:15" x14ac:dyDescent="0.2">
      <c r="A16" t="str">
        <f t="shared" si="1"/>
        <v>2015</v>
      </c>
      <c r="B16" s="22"/>
      <c r="C16" s="18">
        <f>'2.2'!E16</f>
        <v>18718279</v>
      </c>
      <c r="D16" s="29">
        <f t="shared" si="2"/>
        <v>0.28899999999999998</v>
      </c>
      <c r="E16" s="28">
        <f>'2.4'!G38</f>
        <v>1.123</v>
      </c>
      <c r="F16" s="18">
        <f t="shared" si="3"/>
        <v>27095589</v>
      </c>
      <c r="G16" s="273">
        <f>'10.1'!F35</f>
        <v>120726959</v>
      </c>
      <c r="H16" s="19">
        <f t="shared" si="4"/>
        <v>0.224</v>
      </c>
      <c r="I16" s="19"/>
      <c r="K16" s="2"/>
    </row>
    <row r="17" spans="1:11" x14ac:dyDescent="0.2">
      <c r="A17" t="str">
        <f t="shared" si="1"/>
        <v>2016</v>
      </c>
      <c r="B17" s="22"/>
      <c r="C17" s="18">
        <f>'2.2'!E17</f>
        <v>2551122</v>
      </c>
      <c r="D17" s="29">
        <f t="shared" si="2"/>
        <v>0.28899999999999998</v>
      </c>
      <c r="E17" s="28">
        <f>'2.4'!G39</f>
        <v>1.121</v>
      </c>
      <c r="F17" s="18">
        <f t="shared" si="3"/>
        <v>3686292</v>
      </c>
      <c r="G17" s="273">
        <f>'10.1'!F36</f>
        <v>105842224</v>
      </c>
      <c r="H17" s="19">
        <f t="shared" si="4"/>
        <v>3.5000000000000003E-2</v>
      </c>
      <c r="I17" s="19"/>
      <c r="K17" s="2"/>
    </row>
    <row r="18" spans="1:11" x14ac:dyDescent="0.2">
      <c r="A18" t="str">
        <f t="shared" si="1"/>
        <v>2017</v>
      </c>
      <c r="B18" s="22"/>
      <c r="C18" s="18">
        <f>'2.2'!E18</f>
        <v>1998222</v>
      </c>
      <c r="D18" s="29">
        <f t="shared" si="2"/>
        <v>0.28899999999999998</v>
      </c>
      <c r="E18" s="28">
        <f>'2.4'!G40</f>
        <v>1.0940000000000001</v>
      </c>
      <c r="F18" s="18">
        <f t="shared" si="3"/>
        <v>2817825</v>
      </c>
      <c r="G18" s="273">
        <f>'10.1'!F37</f>
        <v>87703816</v>
      </c>
      <c r="H18" s="19">
        <f t="shared" si="4"/>
        <v>3.2000000000000001E-2</v>
      </c>
      <c r="I18" s="19"/>
      <c r="K18" s="2"/>
    </row>
    <row r="19" spans="1:11" x14ac:dyDescent="0.2">
      <c r="A19" t="str">
        <f t="shared" si="1"/>
        <v>2018</v>
      </c>
      <c r="B19" s="22"/>
      <c r="C19" s="18">
        <f>'2.2'!E19</f>
        <v>253368</v>
      </c>
      <c r="D19" s="29">
        <f t="shared" si="2"/>
        <v>0.28899999999999998</v>
      </c>
      <c r="E19" s="28">
        <f>'2.4'!G41</f>
        <v>1.0469999999999999</v>
      </c>
      <c r="F19" s="18">
        <f t="shared" si="3"/>
        <v>341941</v>
      </c>
      <c r="G19" s="273">
        <f>'10.1'!F38</f>
        <v>73508956</v>
      </c>
      <c r="H19" s="19">
        <f t="shared" si="4"/>
        <v>5.0000000000000001E-3</v>
      </c>
      <c r="I19" s="19"/>
      <c r="K19" s="2"/>
    </row>
    <row r="20" spans="1:11" x14ac:dyDescent="0.2">
      <c r="A20" t="str">
        <f t="shared" si="1"/>
        <v>2019</v>
      </c>
      <c r="B20" s="22"/>
      <c r="C20" s="18">
        <f>'2.2'!E20</f>
        <v>950344</v>
      </c>
      <c r="D20" s="29">
        <f t="shared" si="2"/>
        <v>0.28899999999999998</v>
      </c>
      <c r="E20" s="28">
        <f>'2.4'!G42</f>
        <v>1.0780000000000001</v>
      </c>
      <c r="F20" s="18">
        <f t="shared" si="3"/>
        <v>1320543</v>
      </c>
      <c r="G20" s="273">
        <f>'10.1'!F39</f>
        <v>65530795</v>
      </c>
      <c r="H20" s="19">
        <f t="shared" si="4"/>
        <v>0.02</v>
      </c>
      <c r="I20" s="19"/>
      <c r="K20" s="2"/>
    </row>
    <row r="21" spans="1:11" x14ac:dyDescent="0.2">
      <c r="A21" t="str">
        <f t="shared" si="1"/>
        <v>2020</v>
      </c>
      <c r="B21" s="22"/>
      <c r="C21" s="18">
        <f>'2.2'!E21</f>
        <v>616547</v>
      </c>
      <c r="D21" s="29">
        <f t="shared" si="2"/>
        <v>0.28899999999999998</v>
      </c>
      <c r="E21" s="28">
        <f>'2.4'!G43</f>
        <v>1.1519999999999999</v>
      </c>
      <c r="F21" s="18">
        <f t="shared" si="3"/>
        <v>915528</v>
      </c>
      <c r="G21" s="273">
        <f>'10.1'!F40</f>
        <v>62711660</v>
      </c>
      <c r="H21" s="19">
        <f t="shared" si="4"/>
        <v>1.4999999999999999E-2</v>
      </c>
      <c r="I21" s="19"/>
      <c r="K21" s="2"/>
    </row>
    <row r="22" spans="1:11" x14ac:dyDescent="0.2">
      <c r="A22" t="str">
        <f t="shared" si="1"/>
        <v>2021</v>
      </c>
      <c r="B22" s="22"/>
      <c r="C22" s="18">
        <f>'2.2'!E22</f>
        <v>794655</v>
      </c>
      <c r="D22" s="29">
        <f t="shared" si="2"/>
        <v>0.28899999999999998</v>
      </c>
      <c r="E22" s="28">
        <f>'2.4'!G44</f>
        <v>1.05</v>
      </c>
      <c r="F22" s="18">
        <f t="shared" si="3"/>
        <v>1075526</v>
      </c>
      <c r="G22" s="273">
        <f>'10.1'!F41</f>
        <v>64939142</v>
      </c>
      <c r="H22" s="19">
        <f t="shared" si="4"/>
        <v>1.7000000000000001E-2</v>
      </c>
      <c r="I22" s="19"/>
      <c r="K22" s="2"/>
    </row>
    <row r="23" spans="1:11" x14ac:dyDescent="0.2">
      <c r="A23" t="str">
        <f>TEXT(YEAR($L$8),"#")</f>
        <v>2022</v>
      </c>
      <c r="B23" s="22"/>
      <c r="C23" s="18">
        <f>'2.2'!E23</f>
        <v>1126248</v>
      </c>
      <c r="D23" s="29">
        <f t="shared" si="2"/>
        <v>0.28899999999999998</v>
      </c>
      <c r="E23" s="28">
        <f>'2.4'!G45</f>
        <v>1.0309999999999999</v>
      </c>
      <c r="F23" s="18">
        <f t="shared" si="3"/>
        <v>1496737</v>
      </c>
      <c r="G23" s="273">
        <f>'10.1'!F42</f>
        <v>77659503</v>
      </c>
      <c r="H23" s="19">
        <f>ROUND(F23/G23,3)</f>
        <v>1.9E-2</v>
      </c>
      <c r="I23" s="19"/>
      <c r="K23" s="2"/>
    </row>
    <row r="24" spans="1:11" x14ac:dyDescent="0.2">
      <c r="A24" s="9"/>
      <c r="B24" s="23"/>
      <c r="C24" s="25"/>
      <c r="D24" s="30"/>
      <c r="E24" s="47"/>
      <c r="F24" s="25"/>
      <c r="G24" s="25"/>
      <c r="H24" s="20"/>
      <c r="K24" s="2"/>
    </row>
    <row r="25" spans="1:11" x14ac:dyDescent="0.2">
      <c r="I25" s="19"/>
      <c r="K25" s="2"/>
    </row>
    <row r="26" spans="1:11" x14ac:dyDescent="0.2">
      <c r="A26" t="s">
        <v>8</v>
      </c>
      <c r="C26" s="18">
        <f>SUM(C14:C24)</f>
        <v>35416395</v>
      </c>
      <c r="F26" s="18">
        <f>SUM(F14:F24)</f>
        <v>51406549</v>
      </c>
      <c r="G26" s="18">
        <f>SUM(G14:G24)</f>
        <v>940311134</v>
      </c>
      <c r="H26" s="19">
        <f>ROUND(F26/G26,3)</f>
        <v>5.5E-2</v>
      </c>
      <c r="I26" s="19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K27" s="2"/>
    </row>
    <row r="28" spans="1:11" ht="12" thickTop="1" x14ac:dyDescent="0.2">
      <c r="K28" s="2"/>
    </row>
    <row r="29" spans="1:11" x14ac:dyDescent="0.2">
      <c r="A29" t="s">
        <v>18</v>
      </c>
      <c r="K29" s="2"/>
    </row>
    <row r="30" spans="1:11" x14ac:dyDescent="0.2">
      <c r="B30" s="12" t="str">
        <f>C12&amp;" "&amp;'2.2'!$K$1&amp;", "&amp;'2.2'!$K$2</f>
        <v>(2) Exhibit 2, Sheet 2</v>
      </c>
      <c r="K30" s="2"/>
    </row>
    <row r="31" spans="1:11" x14ac:dyDescent="0.2">
      <c r="B31" s="12" t="str">
        <f>D12&amp;" "&amp;'4.1'!$J$1&amp;", "&amp;'4.1'!$J$2</f>
        <v>(3) Exhibit 4, Sheet 1</v>
      </c>
      <c r="K31" s="2"/>
    </row>
    <row r="32" spans="1:11" x14ac:dyDescent="0.2">
      <c r="B32" s="12" t="str">
        <f>E12&amp;" = "&amp;'2.4'!$L$1&amp;", "&amp;'2.4'!$L$2</f>
        <v>(4) = Exhibit 2, Sheet 4</v>
      </c>
      <c r="K32" s="2"/>
    </row>
    <row r="33" spans="2:11" x14ac:dyDescent="0.2">
      <c r="B33" s="12" t="str">
        <f>F12&amp;" = "&amp;C12&amp;" * [1 + "&amp;D12&amp;"] * "&amp;E12</f>
        <v>(5) = (2) * [1 + (3)] * (4)</v>
      </c>
      <c r="K33" s="2"/>
    </row>
    <row r="34" spans="2:11" x14ac:dyDescent="0.2">
      <c r="B34" s="12" t="str">
        <f>G12&amp;" "&amp;'10.1'!$J$1&amp;", "&amp;'10.1'!$J$2</f>
        <v>(6) Exhibit 10, Sheet 1</v>
      </c>
      <c r="K34" s="2"/>
    </row>
    <row r="35" spans="2:11" x14ac:dyDescent="0.2">
      <c r="B35" s="12" t="str">
        <f>H12&amp;" = "&amp;F12&amp;" / "&amp;G12</f>
        <v>(7) = (5) / (6)</v>
      </c>
      <c r="K35" s="2"/>
    </row>
    <row r="36" spans="2:11" x14ac:dyDescent="0.2">
      <c r="B36" s="22"/>
      <c r="K36" s="2"/>
    </row>
    <row r="37" spans="2:11" x14ac:dyDescent="0.2">
      <c r="B37" s="22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U69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2" width="4.5" customWidth="1"/>
    <col min="3" max="3" width="54.5" customWidth="1"/>
    <col min="4" max="4" width="13.33203125" customWidth="1"/>
    <col min="5" max="5" width="11.33203125" customWidth="1"/>
    <col min="6" max="6" width="13.5" customWidth="1"/>
    <col min="7" max="7" width="11.33203125" customWidth="1"/>
    <col min="8" max="8" width="8.6640625" customWidth="1"/>
    <col min="10" max="10" width="23.5" customWidth="1"/>
    <col min="11" max="11" width="15.1640625" customWidth="1"/>
    <col min="15" max="15" width="13.5" customWidth="1"/>
    <col min="16" max="16" width="15.6640625" customWidth="1"/>
    <col min="17" max="19" width="11.5" bestFit="1" customWidth="1"/>
  </cols>
  <sheetData>
    <row r="1" spans="1:21" x14ac:dyDescent="0.2">
      <c r="A1" s="8" t="str">
        <f>'1'!$A$1</f>
        <v>Texas Windstorm Insurance Association</v>
      </c>
      <c r="C1" s="12"/>
      <c r="H1" s="110" t="s">
        <v>156</v>
      </c>
      <c r="I1" s="1"/>
      <c r="J1" s="303" t="s">
        <v>602</v>
      </c>
      <c r="K1" s="304">
        <f>'1'!H15</f>
        <v>0.22</v>
      </c>
      <c r="P1" t="s">
        <v>616</v>
      </c>
    </row>
    <row r="2" spans="1:21" ht="12.75" x14ac:dyDescent="0.2">
      <c r="A2" s="8" t="str">
        <f>'1'!$A$2</f>
        <v>Commercial Property - Wind &amp; Hail</v>
      </c>
      <c r="C2" s="12"/>
      <c r="D2" s="152"/>
      <c r="H2" s="110" t="s">
        <v>65</v>
      </c>
      <c r="I2" s="2"/>
      <c r="P2" t="s">
        <v>617</v>
      </c>
      <c r="U2" s="112"/>
    </row>
    <row r="3" spans="1:21" x14ac:dyDescent="0.2">
      <c r="A3" s="8" t="str">
        <f>'1'!$A$3</f>
        <v>Rate Level Review</v>
      </c>
      <c r="C3" s="12"/>
      <c r="H3" s="7"/>
      <c r="I3" s="2"/>
      <c r="P3" t="s">
        <v>618</v>
      </c>
      <c r="U3" s="22"/>
    </row>
    <row r="4" spans="1:21" x14ac:dyDescent="0.2">
      <c r="A4" t="s">
        <v>375</v>
      </c>
      <c r="C4" s="12"/>
      <c r="I4" s="2"/>
      <c r="J4" s="8"/>
      <c r="P4" s="18" t="s">
        <v>619</v>
      </c>
      <c r="Q4" s="18"/>
      <c r="R4" s="18"/>
      <c r="S4" s="18"/>
      <c r="U4" s="163"/>
    </row>
    <row r="5" spans="1:21" x14ac:dyDescent="0.2">
      <c r="A5" t="s">
        <v>621</v>
      </c>
      <c r="C5" s="12"/>
      <c r="I5" s="2"/>
      <c r="P5" t="s">
        <v>620</v>
      </c>
      <c r="U5" s="163"/>
    </row>
    <row r="6" spans="1:21" x14ac:dyDescent="0.2">
      <c r="I6" s="2"/>
      <c r="U6" s="173"/>
    </row>
    <row r="7" spans="1:21" ht="12" thickBot="1" x14ac:dyDescent="0.25">
      <c r="A7" s="6"/>
      <c r="B7" s="6"/>
      <c r="C7" s="6"/>
      <c r="D7" s="177" t="s">
        <v>524</v>
      </c>
      <c r="E7" s="266" t="s">
        <v>180</v>
      </c>
      <c r="F7" s="266" t="s">
        <v>179</v>
      </c>
      <c r="I7" s="2"/>
      <c r="U7" s="172"/>
    </row>
    <row r="8" spans="1:21" ht="12" thickTop="1" x14ac:dyDescent="0.2">
      <c r="D8" s="11"/>
      <c r="I8" s="2"/>
      <c r="J8" t="s">
        <v>376</v>
      </c>
      <c r="O8" s="49"/>
      <c r="P8" s="18"/>
      <c r="Q8" s="18"/>
      <c r="R8" s="18"/>
      <c r="S8" s="18"/>
      <c r="T8" s="18"/>
      <c r="U8" s="163"/>
    </row>
    <row r="9" spans="1:21" x14ac:dyDescent="0.2">
      <c r="I9" s="2"/>
      <c r="J9" t="s">
        <v>191</v>
      </c>
      <c r="K9" t="s">
        <v>377</v>
      </c>
      <c r="L9" t="s">
        <v>378</v>
      </c>
    </row>
    <row r="10" spans="1:21" x14ac:dyDescent="0.2">
      <c r="A10" s="40" t="s">
        <v>159</v>
      </c>
      <c r="B10" t="str">
        <f>YEAR($J$10)&amp;" - "&amp;YEAR($K$10)&amp;" Reinsurance Premium"</f>
        <v>2023 - 2024 Reinsurance Premium</v>
      </c>
      <c r="D10" s="31">
        <v>189725117</v>
      </c>
      <c r="E10" s="18">
        <f>$D$10*E22/($E$22+$F$22)</f>
        <v>154114998.57337597</v>
      </c>
      <c r="F10" s="18">
        <f>$D$10*F22/($E$22+$F$22)</f>
        <v>35610118.426623993</v>
      </c>
      <c r="G10" s="161"/>
      <c r="H10" s="18"/>
      <c r="I10" s="2"/>
      <c r="J10" s="166">
        <v>45078</v>
      </c>
      <c r="K10" s="166">
        <v>45443</v>
      </c>
      <c r="L10" s="89">
        <f>DATE(YEAR(K10+1),MONTH(K10+1)-6,1)</f>
        <v>45261</v>
      </c>
    </row>
    <row r="11" spans="1:21" x14ac:dyDescent="0.2">
      <c r="E11" s="18"/>
      <c r="F11" s="11"/>
      <c r="G11" s="161"/>
      <c r="I11" s="2"/>
    </row>
    <row r="12" spans="1:21" x14ac:dyDescent="0.2">
      <c r="A12" s="40" t="s">
        <v>379</v>
      </c>
      <c r="B12" t="s">
        <v>622</v>
      </c>
      <c r="E12" s="18"/>
      <c r="F12" s="11"/>
      <c r="G12" s="161"/>
      <c r="I12" s="2"/>
      <c r="J12" t="s">
        <v>380</v>
      </c>
    </row>
    <row r="13" spans="1:21" x14ac:dyDescent="0.2">
      <c r="C13" s="24" t="s">
        <v>601</v>
      </c>
      <c r="D13" s="18">
        <f>E13+F13</f>
        <v>41761157.163469538</v>
      </c>
      <c r="E13" s="18">
        <f>'[9]Ceded EL by LOB'!$F$14</f>
        <v>33855118.6019658</v>
      </c>
      <c r="F13" s="18">
        <f>'[9]Ceded EL by LOB'!$F$15</f>
        <v>7906038.56150374</v>
      </c>
      <c r="G13" s="161"/>
      <c r="H13" s="18"/>
      <c r="I13" s="2"/>
      <c r="J13" t="s">
        <v>253</v>
      </c>
      <c r="L13" t="s">
        <v>378</v>
      </c>
    </row>
    <row r="14" spans="1:21" x14ac:dyDescent="0.2">
      <c r="A14" s="40"/>
      <c r="F14" s="11"/>
      <c r="G14" s="161"/>
      <c r="H14" s="18"/>
      <c r="I14" s="2"/>
      <c r="J14" s="309">
        <f>'8.2'!L11</f>
        <v>44895</v>
      </c>
      <c r="L14" s="89">
        <f>J14+1</f>
        <v>44896</v>
      </c>
    </row>
    <row r="15" spans="1:21" x14ac:dyDescent="0.2">
      <c r="C15" s="12" t="s">
        <v>8</v>
      </c>
      <c r="D15" s="26">
        <f>SUM(D13:D13)</f>
        <v>41761157.163469538</v>
      </c>
      <c r="E15" s="26">
        <f t="shared" ref="E15:F15" si="0">SUM(E13:E13)</f>
        <v>33855118.6019658</v>
      </c>
      <c r="F15" s="26">
        <f t="shared" si="0"/>
        <v>7906038.56150374</v>
      </c>
      <c r="G15" s="161"/>
      <c r="I15" s="2"/>
    </row>
    <row r="16" spans="1:21" x14ac:dyDescent="0.2">
      <c r="F16" s="11"/>
      <c r="G16" s="161"/>
      <c r="I16" s="2"/>
    </row>
    <row r="17" spans="1:12" x14ac:dyDescent="0.2">
      <c r="A17" s="40" t="s">
        <v>382</v>
      </c>
      <c r="B17" t="s">
        <v>383</v>
      </c>
      <c r="E17" s="18"/>
      <c r="F17" s="11"/>
      <c r="G17" s="161"/>
      <c r="I17" s="2"/>
      <c r="J17" t="s">
        <v>381</v>
      </c>
    </row>
    <row r="18" spans="1:12" x14ac:dyDescent="0.2">
      <c r="C18" s="12" t="str">
        <f>C13</f>
        <v>100% of $2243M XS $2265M</v>
      </c>
      <c r="D18" s="18">
        <f>E18+F18</f>
        <v>28675634.269272711</v>
      </c>
      <c r="E18" s="18">
        <f>'[9]Ceded EL by LOB'!$F$8</f>
        <v>23361164.528170601</v>
      </c>
      <c r="F18" s="18">
        <f>'[9]Ceded EL by LOB'!$F$9</f>
        <v>5314469.7411021097</v>
      </c>
      <c r="G18" s="161"/>
      <c r="H18" s="18"/>
      <c r="I18" s="2"/>
      <c r="J18" s="96">
        <f>SUM('[10]202305'!$U$53:$W$53)/SUM('[10]202305'!$U$41:$W$41)</f>
        <v>1.1970451957619965</v>
      </c>
      <c r="K18" s="80"/>
    </row>
    <row r="19" spans="1:12" x14ac:dyDescent="0.2">
      <c r="A19" s="40"/>
      <c r="F19" s="11"/>
      <c r="G19" s="161"/>
      <c r="H19" s="18"/>
      <c r="I19" s="2"/>
      <c r="J19" t="s">
        <v>254</v>
      </c>
    </row>
    <row r="20" spans="1:12" x14ac:dyDescent="0.2">
      <c r="C20" s="12" t="s">
        <v>8</v>
      </c>
      <c r="D20" s="26">
        <f>SUM(D18:D18)</f>
        <v>28675634.269272711</v>
      </c>
      <c r="E20" s="26">
        <f>SUM(E18:E18)</f>
        <v>23361164.528170601</v>
      </c>
      <c r="F20" s="26">
        <f t="shared" ref="F20" si="1">SUM(F18:F18)</f>
        <v>5314469.7411021097</v>
      </c>
      <c r="G20" s="161"/>
      <c r="I20" s="2"/>
      <c r="J20" s="96">
        <f>ROUND(YEAR(L10)-YEAR(L14)+(MONTH(L10)-MONTH(L14))/12,3)</f>
        <v>1</v>
      </c>
    </row>
    <row r="21" spans="1:12" x14ac:dyDescent="0.2">
      <c r="E21" s="169"/>
      <c r="F21" s="11"/>
      <c r="G21" s="161"/>
      <c r="I21" s="2"/>
    </row>
    <row r="22" spans="1:12" x14ac:dyDescent="0.2">
      <c r="A22" s="40" t="s">
        <v>384</v>
      </c>
      <c r="B22" t="s">
        <v>385</v>
      </c>
      <c r="D22" s="159">
        <f>AVERAGE(D20,D15)</f>
        <v>35218395.716371126</v>
      </c>
      <c r="E22" s="159">
        <f>AVERAGE(E20,E15)</f>
        <v>28608141.5650682</v>
      </c>
      <c r="F22" s="159">
        <f>AVERAGE(F20,F15)</f>
        <v>6610254.1513029244</v>
      </c>
      <c r="G22" s="161"/>
      <c r="I22" s="2"/>
      <c r="J22" t="s">
        <v>615</v>
      </c>
    </row>
    <row r="23" spans="1:12" x14ac:dyDescent="0.2">
      <c r="I23" s="2"/>
      <c r="J23" t="s">
        <v>180</v>
      </c>
      <c r="K23" t="s">
        <v>179</v>
      </c>
    </row>
    <row r="24" spans="1:12" x14ac:dyDescent="0.2">
      <c r="A24" s="40" t="s">
        <v>161</v>
      </c>
      <c r="B24" t="s">
        <v>386</v>
      </c>
      <c r="D24" s="41">
        <f>J18-1</f>
        <v>0.19704519576199653</v>
      </c>
      <c r="E24" s="41">
        <f>D24</f>
        <v>0.19704519576199653</v>
      </c>
      <c r="F24" s="41">
        <f>E24</f>
        <v>0.19704519576199653</v>
      </c>
      <c r="I24" s="2"/>
      <c r="J24" s="179">
        <f>'[5]10.2'!$E$28</f>
        <v>377501954.41666698</v>
      </c>
      <c r="K24" s="168">
        <f>'10.1'!$F$42</f>
        <v>77659503</v>
      </c>
    </row>
    <row r="25" spans="1:12" x14ac:dyDescent="0.2">
      <c r="I25" s="2"/>
      <c r="J25" s="40"/>
    </row>
    <row r="26" spans="1:12" x14ac:dyDescent="0.2">
      <c r="A26" s="40" t="s">
        <v>107</v>
      </c>
      <c r="B26" t="s">
        <v>387</v>
      </c>
      <c r="D26" s="18">
        <f>ROUND(D22*(1+D24)^$J$20,0)</f>
        <v>42158011</v>
      </c>
      <c r="E26" s="18">
        <f>ROUND(E22*(1+E24)^$J$20,0)</f>
        <v>34245238</v>
      </c>
      <c r="F26" s="18">
        <f t="shared" ref="F26" si="2">ROUND(F22*(1+F24)^$J$20,0)</f>
        <v>7912773</v>
      </c>
      <c r="I26" s="2"/>
      <c r="K26" s="179"/>
      <c r="L26" s="18"/>
    </row>
    <row r="27" spans="1:12" x14ac:dyDescent="0.2">
      <c r="I27" s="2"/>
    </row>
    <row r="28" spans="1:12" x14ac:dyDescent="0.2">
      <c r="A28" s="40" t="s">
        <v>88</v>
      </c>
      <c r="B28" t="s">
        <v>388</v>
      </c>
      <c r="D28" s="18">
        <f>D10-D26*J35</f>
        <v>140863982.25099999</v>
      </c>
      <c r="E28" s="18">
        <f>E10-E26*J35</f>
        <v>114424767.73137596</v>
      </c>
      <c r="F28" s="18">
        <f>F10-F26*J35</f>
        <v>26439214.519623995</v>
      </c>
      <c r="I28" s="2"/>
      <c r="J28" t="s">
        <v>232</v>
      </c>
      <c r="L28" t="s">
        <v>378</v>
      </c>
    </row>
    <row r="29" spans="1:12" x14ac:dyDescent="0.2">
      <c r="I29" s="2"/>
      <c r="J29" s="309">
        <f>'10.1'!$L$25</f>
        <v>44926</v>
      </c>
      <c r="L29" s="89">
        <f>DATE(YEAR(J29+1),MONTH(J29+1)-6,1)</f>
        <v>44743</v>
      </c>
    </row>
    <row r="30" spans="1:12" x14ac:dyDescent="0.2">
      <c r="A30" s="40" t="s">
        <v>92</v>
      </c>
      <c r="B30" s="12" t="str">
        <f>"TWIA "&amp;TEXT(YEAR($J$29),"#")&amp;" Earned Premium at Present Rates"</f>
        <v>TWIA 2022 Earned Premium at Present Rates</v>
      </c>
      <c r="D30" s="26">
        <f>SUM($J$24,$K$24)</f>
        <v>455161457.41666698</v>
      </c>
      <c r="E30" s="18">
        <f>J24</f>
        <v>377501954.41666698</v>
      </c>
      <c r="F30" s="18">
        <f>K24</f>
        <v>77659503</v>
      </c>
      <c r="I30" s="2"/>
    </row>
    <row r="31" spans="1:12" x14ac:dyDescent="0.2">
      <c r="I31" s="2"/>
      <c r="J31" s="28"/>
      <c r="L31" s="198"/>
    </row>
    <row r="32" spans="1:12" x14ac:dyDescent="0.2">
      <c r="A32" s="40" t="s">
        <v>91</v>
      </c>
      <c r="B32" t="str">
        <f>YEAR($J$10)&amp;" - "&amp;YEAR($K$10)&amp;" TWIA Prospective Earned Premium at Present Rates"</f>
        <v>2023 - 2024 TWIA Prospective Earned Premium at Present Rates</v>
      </c>
      <c r="D32" s="26">
        <f>ROUND(D30*(D24+1)^$J$33,0)</f>
        <v>587283942</v>
      </c>
      <c r="E32" s="26">
        <f>ROUND(E30*(E24+1)^$J$33,0)</f>
        <v>487081742</v>
      </c>
      <c r="F32" s="26">
        <f>ROUND(F30*(F24+1)^$J$33,0)</f>
        <v>100202199</v>
      </c>
      <c r="I32" s="2"/>
      <c r="J32" t="s">
        <v>254</v>
      </c>
    </row>
    <row r="33" spans="1:12" x14ac:dyDescent="0.2">
      <c r="C33" s="12"/>
      <c r="I33" s="2"/>
      <c r="J33" s="96">
        <f>ROUND(YEAR(L10)-YEAR(L29)+(MONTH(L10)-MONTH(L29))/12,3)</f>
        <v>1.417</v>
      </c>
      <c r="L33" s="36"/>
    </row>
    <row r="34" spans="1:12" x14ac:dyDescent="0.2">
      <c r="A34" s="40" t="s">
        <v>90</v>
      </c>
      <c r="B34" t="s">
        <v>389</v>
      </c>
      <c r="D34" s="41">
        <f>D28/D32</f>
        <v>0.23985668971517696</v>
      </c>
      <c r="E34" s="41">
        <f>E28/E32</f>
        <v>0.23491902460054839</v>
      </c>
      <c r="F34" s="41">
        <f>F28/F32</f>
        <v>0.26385862569367358</v>
      </c>
      <c r="I34" s="2"/>
      <c r="J34" t="s">
        <v>468</v>
      </c>
    </row>
    <row r="35" spans="1:12" ht="12" thickBot="1" x14ac:dyDescent="0.25">
      <c r="A35" s="6"/>
      <c r="B35" s="6"/>
      <c r="C35" s="6"/>
      <c r="D35" s="6"/>
      <c r="E35" s="6"/>
      <c r="F35" s="6"/>
      <c r="I35" s="2"/>
      <c r="J35" s="7">
        <f>1+'5'!D14</f>
        <v>1.159</v>
      </c>
    </row>
    <row r="36" spans="1:12" ht="12" thickTop="1" x14ac:dyDescent="0.2">
      <c r="I36" s="2"/>
    </row>
    <row r="37" spans="1:12" x14ac:dyDescent="0.2">
      <c r="A37" t="s">
        <v>18</v>
      </c>
      <c r="I37" s="2"/>
      <c r="K37" s="18"/>
    </row>
    <row r="38" spans="1:12" x14ac:dyDescent="0.2">
      <c r="B38" t="str">
        <f>A10&amp;" From TWIA reinsurance contract effective "&amp;TEXT($J$10,"m/d/yyyy")&amp;" through "&amp;TEXT($K$10,"m/d/yyyy")</f>
        <v>(1) From TWIA reinsurance contract effective 6/1/2023 through 5/31/2024</v>
      </c>
      <c r="C38" s="12"/>
      <c r="I38" s="2"/>
      <c r="K38" s="18"/>
    </row>
    <row r="39" spans="1:12" x14ac:dyDescent="0.2">
      <c r="B39" t="str">
        <f>A12&amp;" Provided by Aon, based on Verisk model using TWIA exposures as of "&amp;TEXT($J$14,"mm/dd/yyyy")</f>
        <v>(2a) Provided by Aon, based on Verisk model using TWIA exposures as of 11/30/2022</v>
      </c>
      <c r="C39" s="12"/>
      <c r="I39" s="2"/>
    </row>
    <row r="40" spans="1:12" x14ac:dyDescent="0.2">
      <c r="B40" t="str">
        <f>A17&amp;" Provided by Aon, based on RMS model using TWIA exposures as of "&amp;TEXT($J$14,"mm/dd/yyyy")</f>
        <v>(2b) Provided by Aon, based on RMS model using TWIA exposures as of 11/30/2022</v>
      </c>
      <c r="C40" s="12"/>
      <c r="I40" s="2"/>
    </row>
    <row r="41" spans="1:12" x14ac:dyDescent="0.2">
      <c r="B41" t="str">
        <f>A22&amp;" Selected equal to the average of the modeled average annual losses"</f>
        <v>(2c) Selected equal to the average of the modeled average annual losses</v>
      </c>
      <c r="I41" s="2"/>
    </row>
    <row r="42" spans="1:12" x14ac:dyDescent="0.2">
      <c r="B42" t="str">
        <f>A24&amp;" Selected based on projections communicated to reinsurers"</f>
        <v>(3) Selected based on projections communicated to reinsurers</v>
      </c>
      <c r="I42" s="2"/>
    </row>
    <row r="43" spans="1:12" x14ac:dyDescent="0.2">
      <c r="B43" t="str">
        <f>A26&amp;" = "&amp;A22&amp;" * [(1+ "&amp;A24&amp;") ^ "&amp;TEXT($J$20,"0.000")&amp;"]"&amp;" (projected exposure growth from "&amp;TEXT(J14,"m/d/yyyy")&amp;" to "&amp;TEXT(L10,"m/d/yyyy")</f>
        <v>(4) = (2c) * [(1+ (3)) ^ 1.000] (projected exposure growth from 11/30/2022 to 12/1/2023</v>
      </c>
      <c r="I43" s="2"/>
    </row>
    <row r="44" spans="1:12" x14ac:dyDescent="0.2">
      <c r="B44" t="str">
        <f>A28&amp;" = "&amp;A10&amp;" - "&amp;A26&amp;" * "&amp;J35&amp;". "&amp;J35&amp;" is the LAE loading."</f>
        <v>(5) = (1) - (4) * 1.159. 1.159 is the LAE loading.</v>
      </c>
      <c r="I44" s="2"/>
    </row>
    <row r="45" spans="1:12" x14ac:dyDescent="0.2">
      <c r="B45" t="str">
        <f>A30&amp;" = Commercial Exhibit 10, Sheet 1 + Residential Exhibit 10, Sheet 2, calendar year ending "&amp;TEXT(J29,"m/d/yyyy")</f>
        <v>(6) = Commercial Exhibit 10, Sheet 1 + Residential Exhibit 10, Sheet 2, calendar year ending 12/31/2022</v>
      </c>
      <c r="C45" s="12"/>
      <c r="I45" s="2"/>
    </row>
    <row r="46" spans="1:12" x14ac:dyDescent="0.2">
      <c r="B46" t="str">
        <f>A32&amp;" = "&amp;A30&amp;" adjusted for exposure growth trend * [(1+ "&amp;A24&amp;") ^ "&amp;TEXT($J$33,"0.000")&amp;"] (projected exposure growth from "&amp;TEXT($L$29,"m/d/yyyy")&amp;" to "&amp;TEXT($L$10,"m/d/yyyy")&amp;")"</f>
        <v>(7) = (6) adjusted for exposure growth trend * [(1+ (3)) ^ 1.417] (projected exposure growth from 7/1/2022 to 12/1/2023)</v>
      </c>
      <c r="C46" s="12"/>
      <c r="I46" s="2"/>
    </row>
    <row r="47" spans="1:12" x14ac:dyDescent="0.2">
      <c r="B47" t="str">
        <f>A34&amp;" = "&amp;A28&amp;" / "&amp;A32</f>
        <v>(8) = (5) / (7)</v>
      </c>
      <c r="C47" s="12"/>
      <c r="I47" s="2"/>
    </row>
    <row r="48" spans="1:12" x14ac:dyDescent="0.2">
      <c r="C48" s="12"/>
      <c r="I48" s="2"/>
    </row>
    <row r="49" spans="1:9" x14ac:dyDescent="0.2">
      <c r="A49" s="40"/>
      <c r="C49" s="24"/>
      <c r="D49" s="31"/>
      <c r="I49" s="2"/>
    </row>
    <row r="50" spans="1:9" x14ac:dyDescent="0.2">
      <c r="C50" s="12"/>
      <c r="D50" s="31"/>
      <c r="I50" s="2"/>
    </row>
    <row r="51" spans="1:9" x14ac:dyDescent="0.2">
      <c r="C51" s="12"/>
      <c r="D51" s="31"/>
      <c r="I51" s="2"/>
    </row>
    <row r="52" spans="1:9" x14ac:dyDescent="0.2">
      <c r="C52" s="24"/>
      <c r="D52" s="31"/>
      <c r="I52" s="2"/>
    </row>
    <row r="53" spans="1:9" x14ac:dyDescent="0.2">
      <c r="C53" s="12"/>
      <c r="I53" s="2"/>
    </row>
    <row r="54" spans="1:9" x14ac:dyDescent="0.2">
      <c r="A54" s="40"/>
      <c r="D54" s="41"/>
      <c r="I54" s="2"/>
    </row>
    <row r="55" spans="1:9" x14ac:dyDescent="0.2">
      <c r="I55" s="2"/>
    </row>
    <row r="56" spans="1:9" x14ac:dyDescent="0.2">
      <c r="A56" s="40"/>
      <c r="D56" s="18"/>
      <c r="I56" s="2"/>
    </row>
    <row r="57" spans="1:9" x14ac:dyDescent="0.2">
      <c r="I57" s="2"/>
    </row>
    <row r="58" spans="1:9" x14ac:dyDescent="0.2">
      <c r="I58" s="2"/>
    </row>
    <row r="59" spans="1:9" x14ac:dyDescent="0.2">
      <c r="A59" s="40"/>
      <c r="B59" s="40"/>
      <c r="D59" s="31"/>
      <c r="E59" s="18"/>
      <c r="F59" s="18"/>
      <c r="G59" s="18"/>
      <c r="I59" s="2"/>
    </row>
    <row r="60" spans="1:9" x14ac:dyDescent="0.2">
      <c r="A60" s="40"/>
      <c r="B60" s="40"/>
      <c r="D60" s="31"/>
      <c r="E60" s="18"/>
      <c r="F60" s="18"/>
      <c r="G60" s="18"/>
      <c r="I60" s="2"/>
    </row>
    <row r="61" spans="1:9" x14ac:dyDescent="0.2">
      <c r="A61" s="40"/>
      <c r="B61" s="40"/>
      <c r="D61" s="31"/>
      <c r="E61" s="18"/>
      <c r="F61" s="18"/>
      <c r="G61" s="18"/>
      <c r="I61" s="2"/>
    </row>
    <row r="62" spans="1:9" x14ac:dyDescent="0.2">
      <c r="A62" s="40"/>
      <c r="B62" s="40"/>
      <c r="D62" s="31"/>
      <c r="E62" s="18"/>
      <c r="F62" s="18"/>
      <c r="G62" s="18"/>
      <c r="I62" s="2"/>
    </row>
    <row r="63" spans="1:9" x14ac:dyDescent="0.2">
      <c r="A63" s="40"/>
      <c r="B63" s="40"/>
      <c r="D63" s="31"/>
      <c r="E63" s="18"/>
      <c r="F63" s="18"/>
      <c r="G63" s="18"/>
      <c r="I63" s="2"/>
    </row>
    <row r="64" spans="1:9" x14ac:dyDescent="0.2">
      <c r="A64" s="40"/>
      <c r="B64" s="40"/>
      <c r="D64" s="31"/>
      <c r="E64" s="18"/>
      <c r="F64" s="18"/>
      <c r="G64" s="18"/>
      <c r="I64" s="2"/>
    </row>
    <row r="65" spans="1:9" x14ac:dyDescent="0.2">
      <c r="A65" s="40"/>
      <c r="B65" s="40"/>
      <c r="D65" s="19"/>
      <c r="E65" s="19"/>
      <c r="F65" s="19"/>
      <c r="G65" s="19"/>
      <c r="I65" s="2"/>
    </row>
    <row r="66" spans="1:9" x14ac:dyDescent="0.2">
      <c r="C66" s="22"/>
      <c r="D66" s="41"/>
      <c r="E66" s="37"/>
      <c r="F66" s="37"/>
      <c r="G66" s="37"/>
      <c r="I66" s="2"/>
    </row>
    <row r="67" spans="1:9" x14ac:dyDescent="0.2">
      <c r="C67" s="22"/>
      <c r="D67" s="41"/>
      <c r="E67" s="37"/>
      <c r="F67" s="37"/>
      <c r="G67" s="37"/>
      <c r="I67" s="2"/>
    </row>
    <row r="68" spans="1:9" ht="12" thickBot="1" x14ac:dyDescent="0.25">
      <c r="C68" s="22"/>
      <c r="D68" s="41"/>
      <c r="E68" s="37"/>
      <c r="F68" s="37"/>
      <c r="G68" s="37"/>
      <c r="I68" s="2"/>
    </row>
    <row r="69" spans="1:9" ht="12" thickBot="1" x14ac:dyDescent="0.25">
      <c r="A69" s="4"/>
      <c r="B69" s="5"/>
      <c r="C69" s="5"/>
      <c r="D69" s="5"/>
      <c r="E69" s="5"/>
      <c r="F69" s="5"/>
      <c r="G69" s="5"/>
      <c r="H69" s="5"/>
      <c r="I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7">
    <tabColor rgb="FF92D050"/>
  </sheetPr>
  <dimension ref="A1:Q43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5.1640625" bestFit="1" customWidth="1"/>
    <col min="2" max="2" width="10" customWidth="1"/>
    <col min="3" max="6" width="14.6640625" customWidth="1"/>
    <col min="7" max="7" width="15.6640625" customWidth="1"/>
    <col min="8" max="8" width="19.33203125" customWidth="1"/>
    <col min="9" max="9" width="12.33203125" customWidth="1"/>
    <col min="11" max="11" width="5.6640625" customWidth="1"/>
    <col min="13" max="13" width="18.6640625" customWidth="1"/>
    <col min="15" max="15" width="5.5" customWidth="1"/>
    <col min="16" max="16" width="11.1640625" customWidth="1"/>
    <col min="17" max="17" width="13.6640625" customWidth="1"/>
  </cols>
  <sheetData>
    <row r="1" spans="1:17" x14ac:dyDescent="0.2">
      <c r="A1" s="8" t="str">
        <f>'1'!$A$1</f>
        <v>Texas Windstorm Insurance Association</v>
      </c>
      <c r="B1" s="12"/>
      <c r="I1" s="7" t="s">
        <v>157</v>
      </c>
      <c r="J1" s="1"/>
      <c r="K1" s="291" t="s">
        <v>526</v>
      </c>
      <c r="L1" s="292" t="s">
        <v>586</v>
      </c>
      <c r="N1" t="s">
        <v>526</v>
      </c>
      <c r="O1" t="s">
        <v>534</v>
      </c>
    </row>
    <row r="2" spans="1:17" x14ac:dyDescent="0.2">
      <c r="A2" s="8" t="str">
        <f>'1'!$A$2</f>
        <v>Commercial Property - Wind &amp; Hail</v>
      </c>
      <c r="B2" s="12"/>
      <c r="I2" s="7" t="s">
        <v>21</v>
      </c>
      <c r="J2" s="2"/>
      <c r="K2" s="293" t="s">
        <v>526</v>
      </c>
      <c r="L2" s="143" t="s">
        <v>587</v>
      </c>
      <c r="N2" t="s">
        <v>526</v>
      </c>
      <c r="O2" t="s">
        <v>535</v>
      </c>
    </row>
    <row r="3" spans="1:17" ht="12" thickBot="1" x14ac:dyDescent="0.25">
      <c r="A3" s="8" t="str">
        <f>'1'!$A$3</f>
        <v>Rate Level Review</v>
      </c>
      <c r="B3" s="12"/>
      <c r="J3" s="2"/>
      <c r="K3" s="294" t="s">
        <v>526</v>
      </c>
      <c r="L3" s="295" t="s">
        <v>588</v>
      </c>
    </row>
    <row r="4" spans="1:17" x14ac:dyDescent="0.2">
      <c r="A4" t="s">
        <v>185</v>
      </c>
      <c r="B4" s="12"/>
      <c r="J4" s="2"/>
    </row>
    <row r="5" spans="1:17" x14ac:dyDescent="0.2">
      <c r="B5" s="12"/>
      <c r="J5" s="2"/>
    </row>
    <row r="6" spans="1:17" x14ac:dyDescent="0.2">
      <c r="J6" s="2"/>
    </row>
    <row r="7" spans="1:17" ht="12" thickBot="1" x14ac:dyDescent="0.25">
      <c r="A7" s="6"/>
      <c r="B7" s="6"/>
      <c r="C7" s="6"/>
      <c r="D7" s="6"/>
      <c r="E7" s="6"/>
      <c r="F7" s="6"/>
      <c r="G7" s="6"/>
      <c r="J7" s="2"/>
    </row>
    <row r="8" spans="1:17" ht="12" thickTop="1" x14ac:dyDescent="0.2">
      <c r="J8" s="2"/>
    </row>
    <row r="9" spans="1:17" x14ac:dyDescent="0.2">
      <c r="C9" s="10" t="s">
        <v>186</v>
      </c>
      <c r="F9" t="s">
        <v>187</v>
      </c>
      <c r="J9" s="2"/>
      <c r="K9" s="24"/>
      <c r="L9" s="10"/>
      <c r="P9" s="112"/>
    </row>
    <row r="10" spans="1:17" x14ac:dyDescent="0.2">
      <c r="A10" t="s">
        <v>41</v>
      </c>
      <c r="C10" t="s">
        <v>179</v>
      </c>
      <c r="F10" t="s">
        <v>188</v>
      </c>
      <c r="J10" s="2"/>
      <c r="K10" s="12"/>
    </row>
    <row r="11" spans="1:17" x14ac:dyDescent="0.2">
      <c r="A11" s="9" t="s">
        <v>42</v>
      </c>
      <c r="B11" s="9"/>
      <c r="C11" s="9" t="s">
        <v>189</v>
      </c>
      <c r="D11" s="9" t="s">
        <v>180</v>
      </c>
      <c r="E11" s="9" t="s">
        <v>8</v>
      </c>
      <c r="F11" s="9" t="s">
        <v>43</v>
      </c>
      <c r="G11" s="9" t="s">
        <v>183</v>
      </c>
      <c r="J11" s="2"/>
      <c r="K11" s="36"/>
      <c r="P11" s="18"/>
      <c r="Q11" s="18"/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  <c r="P12" s="18"/>
      <c r="Q12" s="18"/>
    </row>
    <row r="13" spans="1:17" x14ac:dyDescent="0.2">
      <c r="J13" s="2"/>
    </row>
    <row r="14" spans="1:17" x14ac:dyDescent="0.2">
      <c r="A14" t="s">
        <v>373</v>
      </c>
      <c r="C14" s="272">
        <f>ROUND('[4]TWIA 3'!L5,0)</f>
        <v>857250899</v>
      </c>
      <c r="D14" s="272">
        <f>ROUND('[4]TWIA 3'!M5,0)</f>
        <v>1709221198</v>
      </c>
      <c r="E14" s="26">
        <f t="shared" ref="E14:E21" si="0">SUM(C14:D14)</f>
        <v>2566472097</v>
      </c>
      <c r="F14" s="31">
        <v>2562744000</v>
      </c>
      <c r="G14" s="53">
        <f t="shared" ref="G14:G21" si="1">E14-F14</f>
        <v>3728097</v>
      </c>
      <c r="H14" s="19"/>
      <c r="J14" s="2"/>
      <c r="L14" s="113"/>
      <c r="M14" s="113"/>
      <c r="P14" s="18"/>
      <c r="Q14" s="18"/>
    </row>
    <row r="15" spans="1:17" x14ac:dyDescent="0.2">
      <c r="A15" t="s">
        <v>397</v>
      </c>
      <c r="C15" s="272">
        <f>ROUND('[4]TWIA 3'!L6,0)</f>
        <v>2553456</v>
      </c>
      <c r="D15" s="272">
        <f>ROUND('[4]TWIA 3'!M6,0)</f>
        <v>8479585</v>
      </c>
      <c r="E15" s="26">
        <f>SUM(C15:D15)</f>
        <v>11033041</v>
      </c>
      <c r="F15" s="31">
        <v>10403000</v>
      </c>
      <c r="G15" s="53">
        <f t="shared" si="1"/>
        <v>630041</v>
      </c>
      <c r="H15" s="19"/>
      <c r="J15" s="2"/>
      <c r="L15" s="113"/>
      <c r="M15" s="113"/>
      <c r="P15" s="18"/>
      <c r="Q15" s="18"/>
    </row>
    <row r="16" spans="1:17" x14ac:dyDescent="0.2">
      <c r="A16" t="s">
        <v>398</v>
      </c>
      <c r="C16" s="272">
        <f>ROUND('[4]TWIA 3'!L7,0)</f>
        <v>7478289</v>
      </c>
      <c r="D16" s="272">
        <f>ROUND('[4]TWIA 3'!M7,0)</f>
        <v>10958718</v>
      </c>
      <c r="E16" s="26">
        <f t="shared" si="0"/>
        <v>18437007</v>
      </c>
      <c r="F16" s="31">
        <v>18005000</v>
      </c>
      <c r="G16" s="53">
        <f t="shared" si="1"/>
        <v>432007</v>
      </c>
      <c r="H16" s="19"/>
      <c r="J16" s="2"/>
      <c r="L16" s="113"/>
      <c r="M16" s="113"/>
      <c r="P16" s="18"/>
      <c r="Q16" s="18"/>
    </row>
    <row r="17" spans="1:17" x14ac:dyDescent="0.2">
      <c r="A17" t="s">
        <v>401</v>
      </c>
      <c r="C17" s="272">
        <f>ROUND('[4]TWIA 3'!L8,0)</f>
        <v>19217587</v>
      </c>
      <c r="D17" s="272">
        <f>ROUND('[4]TWIA 3'!M8,0)</f>
        <v>76982258</v>
      </c>
      <c r="E17" s="26">
        <f t="shared" si="0"/>
        <v>96199845</v>
      </c>
      <c r="F17" s="31">
        <v>96073000</v>
      </c>
      <c r="G17" s="53">
        <f t="shared" si="1"/>
        <v>126845</v>
      </c>
      <c r="H17" s="19"/>
      <c r="J17" s="2"/>
      <c r="L17" s="113"/>
      <c r="M17" s="113"/>
      <c r="P17" s="18"/>
      <c r="Q17" s="18"/>
    </row>
    <row r="18" spans="1:17" x14ac:dyDescent="0.2">
      <c r="A18">
        <v>2012</v>
      </c>
      <c r="C18" s="272">
        <f>ROUND('[4]TWIA 3'!L9,0)</f>
        <v>14459642</v>
      </c>
      <c r="D18" s="272">
        <f>ROUND('[4]TWIA 3'!M9,0)</f>
        <v>52352045</v>
      </c>
      <c r="E18" s="26">
        <f t="shared" si="0"/>
        <v>66811687</v>
      </c>
      <c r="F18" s="31">
        <v>66741000</v>
      </c>
      <c r="G18" s="53">
        <f t="shared" si="1"/>
        <v>70687</v>
      </c>
      <c r="H18" s="19"/>
      <c r="J18" s="2"/>
      <c r="L18" s="113"/>
      <c r="M18" s="113"/>
      <c r="P18" s="18"/>
      <c r="Q18" s="18"/>
    </row>
    <row r="19" spans="1:17" x14ac:dyDescent="0.2">
      <c r="A19">
        <v>2013</v>
      </c>
      <c r="C19" s="272">
        <f>ROUND('[4]TWIA 3'!L10,0)</f>
        <v>7351329</v>
      </c>
      <c r="D19" s="272">
        <f>ROUND('[4]TWIA 3'!M10,0)</f>
        <v>63532058</v>
      </c>
      <c r="E19" s="26">
        <f t="shared" si="0"/>
        <v>70883387</v>
      </c>
      <c r="F19" s="31">
        <v>70836000</v>
      </c>
      <c r="G19" s="53">
        <f t="shared" si="1"/>
        <v>47387</v>
      </c>
      <c r="H19" s="19"/>
      <c r="J19" s="2"/>
      <c r="L19" s="113"/>
      <c r="M19" s="113"/>
      <c r="P19" s="18"/>
      <c r="Q19" s="18"/>
    </row>
    <row r="20" spans="1:17" x14ac:dyDescent="0.2">
      <c r="A20">
        <v>2014</v>
      </c>
      <c r="C20" s="272">
        <f>ROUND('[4]TWIA 3'!L11,0)</f>
        <v>1056281</v>
      </c>
      <c r="D20" s="272">
        <f>ROUND('[4]TWIA 3'!M11,0)</f>
        <v>6098077</v>
      </c>
      <c r="E20" s="26">
        <f t="shared" si="0"/>
        <v>7154358</v>
      </c>
      <c r="F20" s="113">
        <v>7005000</v>
      </c>
      <c r="G20" s="53">
        <f>E20-F20</f>
        <v>149358</v>
      </c>
      <c r="H20" s="19"/>
      <c r="J20" s="2"/>
      <c r="L20" s="113"/>
      <c r="M20" s="113"/>
      <c r="P20" s="18"/>
      <c r="Q20" s="18"/>
    </row>
    <row r="21" spans="1:17" x14ac:dyDescent="0.2">
      <c r="A21">
        <v>2015</v>
      </c>
      <c r="B21" s="22"/>
      <c r="C21" s="272">
        <f>ROUND('[4]TWIA 3'!L12,0)</f>
        <v>18718279</v>
      </c>
      <c r="D21" s="272">
        <f>ROUND('[4]TWIA 3'!M12,0)</f>
        <v>120286469</v>
      </c>
      <c r="E21" s="26">
        <f t="shared" si="0"/>
        <v>139004748</v>
      </c>
      <c r="F21" s="113">
        <v>138697000</v>
      </c>
      <c r="G21" s="53">
        <f t="shared" si="1"/>
        <v>307748</v>
      </c>
      <c r="H21" s="19"/>
      <c r="J21" s="2"/>
      <c r="L21" s="113"/>
      <c r="M21" s="113"/>
      <c r="P21" s="18"/>
      <c r="Q21" s="18"/>
    </row>
    <row r="22" spans="1:17" x14ac:dyDescent="0.2">
      <c r="A22">
        <v>2016</v>
      </c>
      <c r="C22" s="272">
        <f>ROUND('[4]TWIA 3'!L13,0)</f>
        <v>2551122</v>
      </c>
      <c r="D22" s="272">
        <f>ROUND('[4]TWIA 3'!M13,0)</f>
        <v>25645895</v>
      </c>
      <c r="E22" s="26">
        <f t="shared" ref="E22:E27" si="2">SUM(C22:D22)</f>
        <v>28197017</v>
      </c>
      <c r="F22" s="113">
        <v>28422000</v>
      </c>
      <c r="G22" s="53">
        <f t="shared" ref="G22:G28" si="3">E22-F22</f>
        <v>-224983</v>
      </c>
      <c r="H22" s="19"/>
      <c r="J22" s="2"/>
      <c r="K22" s="22"/>
      <c r="L22" s="113"/>
      <c r="M22" s="113"/>
      <c r="O22" s="22"/>
      <c r="P22" s="18"/>
      <c r="Q22" s="18"/>
    </row>
    <row r="23" spans="1:17" x14ac:dyDescent="0.2">
      <c r="A23">
        <v>2017</v>
      </c>
      <c r="B23" s="22"/>
      <c r="C23" s="272">
        <f>ROUND('[4]TWIA 3'!L14,0)</f>
        <v>468420772</v>
      </c>
      <c r="D23" s="272">
        <f>ROUND('[4]TWIA 3'!M14,0)</f>
        <v>932622203</v>
      </c>
      <c r="E23" s="26">
        <f t="shared" si="2"/>
        <v>1401042975</v>
      </c>
      <c r="F23" s="113">
        <v>1400645000</v>
      </c>
      <c r="G23" s="98">
        <f t="shared" si="3"/>
        <v>397975</v>
      </c>
      <c r="H23" s="19"/>
      <c r="J23" s="2"/>
      <c r="K23" s="22"/>
      <c r="L23" s="113"/>
      <c r="M23" s="113"/>
      <c r="O23" s="11"/>
      <c r="P23" s="18"/>
      <c r="Q23" s="18"/>
    </row>
    <row r="24" spans="1:17" x14ac:dyDescent="0.2">
      <c r="A24">
        <v>2018</v>
      </c>
      <c r="B24" s="22"/>
      <c r="C24" s="272">
        <f>ROUND('[4]TWIA 3'!L15,0)</f>
        <v>251357</v>
      </c>
      <c r="D24" s="272">
        <f>ROUND('[4]TWIA 3'!M15,0)</f>
        <v>11852645</v>
      </c>
      <c r="E24" s="26">
        <f t="shared" si="2"/>
        <v>12104002</v>
      </c>
      <c r="F24" s="113">
        <v>12087000</v>
      </c>
      <c r="G24" s="98">
        <f t="shared" si="3"/>
        <v>17002</v>
      </c>
      <c r="H24" s="19"/>
      <c r="J24" s="2"/>
      <c r="K24" s="22"/>
      <c r="L24" s="113"/>
      <c r="M24" s="113"/>
      <c r="O24" s="11"/>
      <c r="P24" s="18"/>
      <c r="Q24" s="18"/>
    </row>
    <row r="25" spans="1:17" x14ac:dyDescent="0.2">
      <c r="A25">
        <v>2019</v>
      </c>
      <c r="B25" s="22"/>
      <c r="C25" s="272">
        <f>ROUND('[4]TWIA 3'!L16,0)</f>
        <v>941867</v>
      </c>
      <c r="D25" s="272">
        <f>ROUND('[4]TWIA 3'!M16,0)</f>
        <v>16646543</v>
      </c>
      <c r="E25" s="26">
        <f t="shared" si="2"/>
        <v>17588410</v>
      </c>
      <c r="F25" s="113">
        <v>17588000</v>
      </c>
      <c r="G25" s="98">
        <f t="shared" si="3"/>
        <v>410</v>
      </c>
      <c r="H25" s="19"/>
      <c r="J25" s="2"/>
      <c r="K25" s="22"/>
      <c r="L25" s="113"/>
      <c r="M25" s="113"/>
      <c r="O25" s="11"/>
      <c r="P25" s="18"/>
      <c r="Q25" s="18"/>
    </row>
    <row r="26" spans="1:17" x14ac:dyDescent="0.2">
      <c r="A26">
        <v>2020</v>
      </c>
      <c r="B26" s="22"/>
      <c r="C26" s="272">
        <f>ROUND('[4]TWIA 3'!L17,0)</f>
        <v>6333803</v>
      </c>
      <c r="D26" s="272">
        <f>ROUND('[4]TWIA 3'!M17,0)</f>
        <v>56407146</v>
      </c>
      <c r="E26" s="26">
        <f t="shared" si="2"/>
        <v>62740949</v>
      </c>
      <c r="F26" s="113">
        <v>62616000</v>
      </c>
      <c r="G26" s="98">
        <f t="shared" si="3"/>
        <v>124949</v>
      </c>
      <c r="H26" s="19"/>
      <c r="J26" s="2"/>
      <c r="K26" s="22"/>
      <c r="L26" s="113"/>
      <c r="M26" s="113"/>
      <c r="O26" s="11"/>
      <c r="P26" s="18"/>
      <c r="Q26" s="18"/>
    </row>
    <row r="27" spans="1:17" x14ac:dyDescent="0.2">
      <c r="A27">
        <v>2021</v>
      </c>
      <c r="B27" s="22"/>
      <c r="C27" s="272">
        <f>ROUND('[4]TWIA 3'!L18,0)</f>
        <v>7332387</v>
      </c>
      <c r="D27" s="272">
        <f>ROUND('[4]TWIA 3'!M18,0)</f>
        <v>55574802</v>
      </c>
      <c r="E27" s="26">
        <f t="shared" si="2"/>
        <v>62907189</v>
      </c>
      <c r="F27" s="113">
        <v>61894000</v>
      </c>
      <c r="G27" s="98">
        <f t="shared" si="3"/>
        <v>1013189</v>
      </c>
      <c r="H27" s="19"/>
      <c r="J27" s="2"/>
      <c r="K27" s="22"/>
      <c r="L27" s="113"/>
      <c r="M27" s="113"/>
      <c r="O27" s="11"/>
      <c r="P27" s="18"/>
      <c r="Q27" s="18"/>
    </row>
    <row r="28" spans="1:17" x14ac:dyDescent="0.2">
      <c r="A28" s="9">
        <v>2022</v>
      </c>
      <c r="B28" s="23"/>
      <c r="C28" s="274">
        <f>ROUND('[4]TWIA 3'!L19,0)</f>
        <v>841111</v>
      </c>
      <c r="D28" s="274">
        <f>ROUND('[4]TWIA 3'!M19,0)</f>
        <v>18066308</v>
      </c>
      <c r="E28" s="27">
        <f t="shared" ref="E28" si="4">SUM(C28:D28)</f>
        <v>18907419</v>
      </c>
      <c r="F28" s="114">
        <v>19961000</v>
      </c>
      <c r="G28" s="54">
        <f t="shared" si="3"/>
        <v>-1053581</v>
      </c>
      <c r="H28" s="19"/>
      <c r="J28" s="2"/>
      <c r="K28" s="22"/>
      <c r="L28" s="113"/>
      <c r="M28" s="113"/>
      <c r="O28" s="11"/>
      <c r="P28" s="18"/>
      <c r="Q28" s="18"/>
    </row>
    <row r="29" spans="1:17" x14ac:dyDescent="0.2">
      <c r="C29" s="18"/>
      <c r="D29" s="12"/>
      <c r="E29" s="18"/>
      <c r="F29" s="18"/>
      <c r="G29" s="55"/>
      <c r="H29" s="19"/>
      <c r="J29" s="2"/>
      <c r="K29" s="19"/>
    </row>
    <row r="30" spans="1:17" x14ac:dyDescent="0.2">
      <c r="A30" t="s">
        <v>8</v>
      </c>
      <c r="C30" s="46">
        <f>SUM(C14:C28)</f>
        <v>1414758181</v>
      </c>
      <c r="D30" s="46">
        <f t="shared" ref="D30:G30" si="5">SUM(D14:D28)</f>
        <v>3164725950</v>
      </c>
      <c r="E30" s="46">
        <f t="shared" si="5"/>
        <v>4579484131</v>
      </c>
      <c r="F30" s="46">
        <f t="shared" si="5"/>
        <v>4573717000</v>
      </c>
      <c r="G30" s="46">
        <f t="shared" si="5"/>
        <v>5767131</v>
      </c>
      <c r="H30" s="19"/>
      <c r="J30" s="2"/>
      <c r="L30" s="46"/>
      <c r="M30" s="46"/>
    </row>
    <row r="31" spans="1:17" ht="12" thickBot="1" x14ac:dyDescent="0.25">
      <c r="A31" s="6"/>
      <c r="B31" s="6"/>
      <c r="C31" s="6"/>
      <c r="D31" s="6"/>
      <c r="E31" s="6"/>
      <c r="F31" s="6"/>
      <c r="G31" s="6"/>
      <c r="J31" s="2"/>
    </row>
    <row r="32" spans="1:17" ht="12" thickTop="1" x14ac:dyDescent="0.2">
      <c r="J32" s="2"/>
    </row>
    <row r="33" spans="1:13" x14ac:dyDescent="0.2">
      <c r="A33" t="s">
        <v>18</v>
      </c>
      <c r="J33" s="2"/>
    </row>
    <row r="34" spans="1:13" x14ac:dyDescent="0.2">
      <c r="B34" s="12" t="str">
        <f>C12&amp;", "&amp;D12&amp;" Provided by TWIA, as of "&amp;TEXT($K$35,"m/d/yyyy")</f>
        <v>(2), (3) Provided by TWIA, as of 12/31/2022</v>
      </c>
      <c r="J34" s="2"/>
      <c r="K34" t="s">
        <v>232</v>
      </c>
    </row>
    <row r="35" spans="1:13" x14ac:dyDescent="0.2">
      <c r="B35" s="12" t="str">
        <f>E12&amp;" = "&amp;C12&amp;" + "&amp;D12</f>
        <v>(4) = (2) + (3)</v>
      </c>
      <c r="J35" s="2"/>
      <c r="K35" s="64">
        <v>44926</v>
      </c>
    </row>
    <row r="36" spans="1:13" x14ac:dyDescent="0.2">
      <c r="B36" s="12" t="str">
        <f>F12&amp;" Based on TWIA "&amp;TEXT(YEAR('2.1'!$L$8),"#")&amp;" Annual Statement"</f>
        <v>(5) Based on TWIA 2022 Annual Statement</v>
      </c>
      <c r="J36" s="2"/>
    </row>
    <row r="37" spans="1:13" x14ac:dyDescent="0.2">
      <c r="B37" s="12" t="str">
        <f>G12&amp;" = "&amp;E12&amp;" - "&amp;F12</f>
        <v>(6) = (4) - (5)</v>
      </c>
      <c r="J37" s="2"/>
    </row>
    <row r="38" spans="1:13" x14ac:dyDescent="0.2">
      <c r="B38" s="12"/>
      <c r="J38" s="2"/>
      <c r="L38" s="18"/>
      <c r="M38" s="18"/>
    </row>
    <row r="39" spans="1:13" x14ac:dyDescent="0.2">
      <c r="D39" s="41"/>
      <c r="E39" s="41"/>
      <c r="F39" s="41"/>
      <c r="G39" s="21"/>
      <c r="J39" s="2"/>
      <c r="L39" s="18"/>
      <c r="M39" s="18"/>
    </row>
    <row r="40" spans="1:13" x14ac:dyDescent="0.2">
      <c r="B40" s="22"/>
      <c r="C40" s="41"/>
      <c r="D40" s="41"/>
      <c r="E40" s="41"/>
      <c r="F40" s="41"/>
      <c r="G40" s="21"/>
      <c r="J40" s="2"/>
    </row>
    <row r="41" spans="1:13" x14ac:dyDescent="0.2">
      <c r="B41" s="22"/>
      <c r="C41" s="41"/>
      <c r="D41" s="41"/>
      <c r="E41" s="41"/>
      <c r="F41" s="41"/>
      <c r="G41" s="21"/>
      <c r="J41" s="2"/>
    </row>
    <row r="42" spans="1:13" ht="12" thickBot="1" x14ac:dyDescent="0.25">
      <c r="J42" s="2"/>
    </row>
    <row r="43" spans="1:13" ht="12" thickBot="1" x14ac:dyDescent="0.25">
      <c r="A43" s="4"/>
      <c r="B43" s="5"/>
      <c r="C43" s="5"/>
      <c r="D43" s="5"/>
      <c r="E43" s="5"/>
      <c r="F43" s="5"/>
      <c r="G43" s="5"/>
      <c r="H43" s="5"/>
      <c r="I43" s="5"/>
      <c r="J4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8">
    <tabColor rgb="FF92D050"/>
  </sheetPr>
  <dimension ref="A1:P72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0" customWidth="1"/>
    <col min="3" max="8" width="14.6640625" customWidth="1"/>
    <col min="9" max="9" width="11.33203125" customWidth="1"/>
    <col min="10" max="10" width="5.6640625" customWidth="1"/>
    <col min="12" max="12" width="10" customWidth="1"/>
    <col min="14" max="14" width="25.832031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157</v>
      </c>
      <c r="K1" s="1"/>
      <c r="L1" s="291" t="s">
        <v>526</v>
      </c>
      <c r="M1" s="292" t="s">
        <v>586</v>
      </c>
      <c r="O1" t="s">
        <v>526</v>
      </c>
      <c r="P1" t="s">
        <v>534</v>
      </c>
    </row>
    <row r="2" spans="1:16" x14ac:dyDescent="0.2">
      <c r="A2" s="8" t="str">
        <f>'1'!$A$2</f>
        <v>Commercial Property - Wind &amp; Hail</v>
      </c>
      <c r="B2" s="12"/>
      <c r="J2" s="7" t="s">
        <v>65</v>
      </c>
      <c r="K2" s="2"/>
      <c r="L2" s="293" t="s">
        <v>526</v>
      </c>
      <c r="M2" s="143" t="s">
        <v>587</v>
      </c>
      <c r="O2" t="s">
        <v>526</v>
      </c>
      <c r="P2" t="s">
        <v>535</v>
      </c>
    </row>
    <row r="3" spans="1:16" ht="12" thickBot="1" x14ac:dyDescent="0.25">
      <c r="A3" s="8" t="str">
        <f>'1'!$A$3</f>
        <v>Rate Level Review</v>
      </c>
      <c r="B3" s="12"/>
      <c r="K3" s="2"/>
      <c r="L3" s="294" t="s">
        <v>526</v>
      </c>
      <c r="M3" s="295" t="s">
        <v>588</v>
      </c>
    </row>
    <row r="4" spans="1:16" x14ac:dyDescent="0.2">
      <c r="A4" t="s">
        <v>176</v>
      </c>
      <c r="B4" s="12"/>
      <c r="K4" s="2"/>
    </row>
    <row r="5" spans="1:16" x14ac:dyDescent="0.2">
      <c r="B5" s="12"/>
      <c r="D5" t="s">
        <v>310</v>
      </c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F7" s="6"/>
      <c r="G7" s="6"/>
      <c r="K7" s="2"/>
    </row>
    <row r="8" spans="1:16" ht="12" thickTop="1" x14ac:dyDescent="0.2">
      <c r="K8" s="2"/>
    </row>
    <row r="9" spans="1:16" x14ac:dyDescent="0.2">
      <c r="C9" s="10" t="s">
        <v>178</v>
      </c>
      <c r="F9" t="s">
        <v>132</v>
      </c>
      <c r="K9" s="2"/>
      <c r="L9" s="24"/>
    </row>
    <row r="10" spans="1:16" x14ac:dyDescent="0.2">
      <c r="A10" t="s">
        <v>177</v>
      </c>
      <c r="F10" t="s">
        <v>182</v>
      </c>
      <c r="K10" s="2"/>
      <c r="L10" s="12"/>
    </row>
    <row r="11" spans="1:16" x14ac:dyDescent="0.2">
      <c r="A11" s="9" t="s">
        <v>42</v>
      </c>
      <c r="B11" s="9"/>
      <c r="C11" s="9" t="s">
        <v>179</v>
      </c>
      <c r="D11" s="9" t="s">
        <v>180</v>
      </c>
      <c r="E11" s="9" t="s">
        <v>8</v>
      </c>
      <c r="F11" s="9" t="s">
        <v>181</v>
      </c>
      <c r="G11" s="9" t="s">
        <v>183</v>
      </c>
      <c r="K11" s="2"/>
      <c r="L11" s="36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H12" s="11"/>
      <c r="I12" s="11"/>
      <c r="K12" s="2"/>
    </row>
    <row r="13" spans="1:16" x14ac:dyDescent="0.2">
      <c r="K13" s="2"/>
    </row>
    <row r="14" spans="1:16" x14ac:dyDescent="0.2">
      <c r="A14" s="61">
        <v>1994</v>
      </c>
      <c r="B14" s="12"/>
      <c r="C14" s="31">
        <v>10672677</v>
      </c>
      <c r="D14" s="31">
        <v>15758330</v>
      </c>
      <c r="E14" s="26">
        <f>SUM(C14:D14)</f>
        <v>26431007</v>
      </c>
      <c r="F14" s="31">
        <v>26510501</v>
      </c>
      <c r="G14" s="53">
        <f>E14-F14</f>
        <v>-79494</v>
      </c>
      <c r="H14" s="53"/>
      <c r="I14" s="53"/>
      <c r="K14" s="2"/>
      <c r="L14" s="19">
        <f>G14/F14</f>
        <v>-2.9985853530267118E-3</v>
      </c>
    </row>
    <row r="15" spans="1:16" x14ac:dyDescent="0.2">
      <c r="A15" t="str">
        <f>TEXT(A14+1,"#")</f>
        <v>1995</v>
      </c>
      <c r="B15" s="12"/>
      <c r="C15" s="31">
        <v>12865905</v>
      </c>
      <c r="D15" s="31">
        <v>19259265</v>
      </c>
      <c r="E15" s="26">
        <f t="shared" ref="E15:E30" si="0">SUM(C15:D15)</f>
        <v>32125170</v>
      </c>
      <c r="F15" s="31">
        <v>32419287</v>
      </c>
      <c r="G15" s="53">
        <f t="shared" ref="G15:G42" si="1">E15-F15</f>
        <v>-294117</v>
      </c>
      <c r="H15" s="53"/>
      <c r="I15" s="53"/>
      <c r="K15" s="2"/>
      <c r="L15" s="19">
        <f t="shared" ref="L15:L35" si="2">G15/F15</f>
        <v>-9.0722846557359516E-3</v>
      </c>
    </row>
    <row r="16" spans="1:16" x14ac:dyDescent="0.2">
      <c r="A16" t="str">
        <f t="shared" ref="A16:A42" si="3">TEXT(A15+1,"#")</f>
        <v>1996</v>
      </c>
      <c r="C16" s="31">
        <v>15640660</v>
      </c>
      <c r="D16" s="31">
        <v>24504127</v>
      </c>
      <c r="E16" s="26">
        <f t="shared" si="0"/>
        <v>40144787</v>
      </c>
      <c r="F16" s="31">
        <v>40358575</v>
      </c>
      <c r="G16" s="53">
        <f t="shared" si="1"/>
        <v>-213788</v>
      </c>
      <c r="H16" s="53"/>
      <c r="I16" s="53"/>
      <c r="K16" s="2"/>
      <c r="L16" s="19">
        <f t="shared" si="2"/>
        <v>-5.2972137891389871E-3</v>
      </c>
    </row>
    <row r="17" spans="1:12" x14ac:dyDescent="0.2">
      <c r="A17" t="str">
        <f t="shared" si="3"/>
        <v>1997</v>
      </c>
      <c r="C17" s="31">
        <v>16536186</v>
      </c>
      <c r="D17" s="31">
        <v>25783455</v>
      </c>
      <c r="E17" s="26">
        <f t="shared" si="0"/>
        <v>42319641</v>
      </c>
      <c r="F17" s="31">
        <v>42462844</v>
      </c>
      <c r="G17" s="53">
        <f t="shared" si="1"/>
        <v>-143203</v>
      </c>
      <c r="H17" s="53"/>
      <c r="I17" s="53"/>
      <c r="K17" s="2"/>
      <c r="L17" s="19">
        <f t="shared" si="2"/>
        <v>-3.3724307302638512E-3</v>
      </c>
    </row>
    <row r="18" spans="1:12" x14ac:dyDescent="0.2">
      <c r="A18" t="str">
        <f t="shared" si="3"/>
        <v>1998</v>
      </c>
      <c r="C18" s="31">
        <v>16558977</v>
      </c>
      <c r="D18" s="31">
        <v>27833800</v>
      </c>
      <c r="E18" s="26">
        <f t="shared" si="0"/>
        <v>44392777</v>
      </c>
      <c r="F18" s="31">
        <v>44410914</v>
      </c>
      <c r="G18" s="53">
        <f t="shared" si="1"/>
        <v>-18137</v>
      </c>
      <c r="H18" s="53"/>
      <c r="I18" s="53"/>
      <c r="K18" s="2"/>
      <c r="L18" s="19">
        <f t="shared" si="2"/>
        <v>-4.0839060416545357E-4</v>
      </c>
    </row>
    <row r="19" spans="1:12" x14ac:dyDescent="0.2">
      <c r="A19" t="str">
        <f t="shared" si="3"/>
        <v>1999</v>
      </c>
      <c r="C19" s="31">
        <v>17394142.049999997</v>
      </c>
      <c r="D19" s="31">
        <v>27168992</v>
      </c>
      <c r="E19" s="26">
        <f t="shared" si="0"/>
        <v>44563134.049999997</v>
      </c>
      <c r="F19" s="31">
        <v>44581218</v>
      </c>
      <c r="G19" s="53">
        <f t="shared" si="1"/>
        <v>-18083.95000000298</v>
      </c>
      <c r="H19" s="53"/>
      <c r="I19" s="53"/>
      <c r="K19" s="2"/>
      <c r="L19" s="19">
        <f t="shared" si="2"/>
        <v>-4.0564055472874203E-4</v>
      </c>
    </row>
    <row r="20" spans="1:12" x14ac:dyDescent="0.2">
      <c r="A20" t="str">
        <f t="shared" si="3"/>
        <v>2000</v>
      </c>
      <c r="C20" s="31">
        <v>17332561</v>
      </c>
      <c r="D20" s="31">
        <v>29762296</v>
      </c>
      <c r="E20" s="26">
        <f t="shared" si="0"/>
        <v>47094857</v>
      </c>
      <c r="F20" s="31">
        <v>48012426</v>
      </c>
      <c r="G20" s="53">
        <f t="shared" si="1"/>
        <v>-917569</v>
      </c>
      <c r="H20" s="53"/>
      <c r="I20" s="53"/>
      <c r="K20" s="2"/>
      <c r="L20" s="19">
        <f t="shared" si="2"/>
        <v>-1.911107345419288E-2</v>
      </c>
    </row>
    <row r="21" spans="1:12" x14ac:dyDescent="0.2">
      <c r="A21" t="str">
        <f t="shared" si="3"/>
        <v>2001</v>
      </c>
      <c r="C21" s="31">
        <v>17544251</v>
      </c>
      <c r="D21" s="31">
        <v>36220622.519999996</v>
      </c>
      <c r="E21" s="26">
        <f t="shared" si="0"/>
        <v>53764873.519999996</v>
      </c>
      <c r="F21" s="31">
        <v>54630727</v>
      </c>
      <c r="G21" s="53">
        <f t="shared" si="1"/>
        <v>-865853.48000000417</v>
      </c>
      <c r="H21" s="53"/>
      <c r="I21" s="53"/>
      <c r="K21" s="2"/>
      <c r="L21" s="19">
        <f t="shared" si="2"/>
        <v>-1.584920295862078E-2</v>
      </c>
    </row>
    <row r="22" spans="1:12" x14ac:dyDescent="0.2">
      <c r="A22" t="str">
        <f t="shared" si="3"/>
        <v>2002</v>
      </c>
      <c r="C22" s="113">
        <v>24013525</v>
      </c>
      <c r="D22" s="113">
        <v>48856422.25</v>
      </c>
      <c r="E22" s="26">
        <f>SUM(C22:D22)</f>
        <v>72869947.25</v>
      </c>
      <c r="F22" s="31">
        <v>72967831</v>
      </c>
      <c r="G22" s="53">
        <f t="shared" si="1"/>
        <v>-97883.75</v>
      </c>
      <c r="H22" s="53"/>
      <c r="I22" s="53"/>
      <c r="K22" s="2"/>
      <c r="L22" s="19">
        <f t="shared" si="2"/>
        <v>-1.3414644324565438E-3</v>
      </c>
    </row>
    <row r="23" spans="1:12" x14ac:dyDescent="0.2">
      <c r="A23" t="str">
        <f t="shared" si="3"/>
        <v>2003</v>
      </c>
      <c r="C23" s="272">
        <f>'[4]TWIA 5'!C285</f>
        <v>29220514</v>
      </c>
      <c r="D23" s="272">
        <f>'[4]TWIA 5'!D285</f>
        <v>58573191</v>
      </c>
      <c r="E23" s="26">
        <f>SUM(C23:D23)</f>
        <v>87793705</v>
      </c>
      <c r="F23" s="31">
        <v>87987279</v>
      </c>
      <c r="G23" s="53">
        <f t="shared" si="1"/>
        <v>-193574</v>
      </c>
      <c r="H23" s="53"/>
      <c r="I23" s="53"/>
      <c r="K23" s="2"/>
      <c r="L23" s="19">
        <f t="shared" si="2"/>
        <v>-2.2000225737177303E-3</v>
      </c>
    </row>
    <row r="24" spans="1:12" x14ac:dyDescent="0.2">
      <c r="A24" t="str">
        <f t="shared" si="3"/>
        <v>2004</v>
      </c>
      <c r="C24" s="272">
        <f>'[4]TWIA 5'!C286</f>
        <v>31009323</v>
      </c>
      <c r="D24" s="272">
        <f>'[4]TWIA 5'!D286</f>
        <v>71292702</v>
      </c>
      <c r="E24" s="26">
        <f>SUM(C24:D24)</f>
        <v>102302025</v>
      </c>
      <c r="F24" s="31">
        <v>102384351</v>
      </c>
      <c r="G24" s="53">
        <f t="shared" si="1"/>
        <v>-82326</v>
      </c>
      <c r="H24" s="53"/>
      <c r="I24" s="53"/>
      <c r="K24" s="2"/>
      <c r="L24" s="19">
        <f t="shared" si="2"/>
        <v>-8.0408772625808805E-4</v>
      </c>
    </row>
    <row r="25" spans="1:12" x14ac:dyDescent="0.2">
      <c r="A25" t="str">
        <f t="shared" si="3"/>
        <v>2005</v>
      </c>
      <c r="C25" s="272">
        <f>'[4]TWIA 5'!C287</f>
        <v>35740174</v>
      </c>
      <c r="D25" s="272">
        <f>'[4]TWIA 5'!D287</f>
        <v>78094458</v>
      </c>
      <c r="E25" s="26">
        <f t="shared" si="0"/>
        <v>113834632</v>
      </c>
      <c r="F25" s="31">
        <v>113927701</v>
      </c>
      <c r="G25" s="53">
        <f t="shared" si="1"/>
        <v>-93069</v>
      </c>
      <c r="H25" s="53"/>
      <c r="I25" s="53"/>
      <c r="K25" s="2"/>
      <c r="L25" s="19">
        <f t="shared" si="2"/>
        <v>-8.169128243885129E-4</v>
      </c>
    </row>
    <row r="26" spans="1:12" x14ac:dyDescent="0.2">
      <c r="A26" t="str">
        <f t="shared" si="3"/>
        <v>2006</v>
      </c>
      <c r="C26" s="272">
        <f>'[4]TWIA 5'!C288</f>
        <v>76847840</v>
      </c>
      <c r="D26" s="272">
        <f>'[4]TWIA 5'!D288</f>
        <v>119658576</v>
      </c>
      <c r="E26" s="26">
        <f>SUM(C26:D26)</f>
        <v>196506416</v>
      </c>
      <c r="F26" s="31">
        <v>196833235</v>
      </c>
      <c r="G26" s="53">
        <f t="shared" si="1"/>
        <v>-326819</v>
      </c>
      <c r="H26" s="53"/>
      <c r="I26" s="53"/>
      <c r="K26" s="2"/>
      <c r="L26" s="19">
        <f t="shared" si="2"/>
        <v>-1.6603852494727325E-3</v>
      </c>
    </row>
    <row r="27" spans="1:12" x14ac:dyDescent="0.2">
      <c r="A27" t="str">
        <f t="shared" si="3"/>
        <v>2007</v>
      </c>
      <c r="C27" s="272">
        <f>'[4]TWIA 5'!C289</f>
        <v>110951718</v>
      </c>
      <c r="D27" s="272">
        <f>'[4]TWIA 5'!D289</f>
        <v>203561196</v>
      </c>
      <c r="E27" s="26">
        <f t="shared" si="0"/>
        <v>314512914</v>
      </c>
      <c r="F27" s="31">
        <v>315139307</v>
      </c>
      <c r="G27" s="53">
        <f t="shared" si="1"/>
        <v>-626393</v>
      </c>
      <c r="H27" s="53"/>
      <c r="I27" s="53"/>
      <c r="K27" s="2"/>
      <c r="L27" s="19">
        <f t="shared" si="2"/>
        <v>-1.9876701702590213E-3</v>
      </c>
    </row>
    <row r="28" spans="1:12" x14ac:dyDescent="0.2">
      <c r="A28" t="str">
        <f t="shared" si="3"/>
        <v>2008</v>
      </c>
      <c r="B28" s="22"/>
      <c r="C28" s="272">
        <f>'[4]TWIA 5'!C290</f>
        <v>98036118.420000017</v>
      </c>
      <c r="D28" s="272">
        <f>'[4]TWIA 5'!D290</f>
        <v>232925989.76999998</v>
      </c>
      <c r="E28" s="26">
        <f t="shared" si="0"/>
        <v>330962108.19</v>
      </c>
      <c r="F28" s="31">
        <v>331057645</v>
      </c>
      <c r="G28" s="53">
        <f t="shared" si="1"/>
        <v>-95536.810000002384</v>
      </c>
      <c r="H28" s="53"/>
      <c r="I28" s="98"/>
      <c r="K28" s="2"/>
      <c r="L28" s="19">
        <f t="shared" si="2"/>
        <v>-2.8858058843499109E-4</v>
      </c>
    </row>
    <row r="29" spans="1:12" x14ac:dyDescent="0.2">
      <c r="A29" t="str">
        <f t="shared" si="3"/>
        <v>2009</v>
      </c>
      <c r="C29" s="272">
        <f>'[4]TWIA 5'!C291</f>
        <v>111269572.63</v>
      </c>
      <c r="D29" s="272">
        <f>'[4]TWIA 5'!D291</f>
        <v>269535059.02999997</v>
      </c>
      <c r="E29" s="26">
        <f t="shared" si="0"/>
        <v>380804631.65999997</v>
      </c>
      <c r="F29" s="31">
        <v>382342402</v>
      </c>
      <c r="G29" s="53">
        <f t="shared" si="1"/>
        <v>-1537770.3400000334</v>
      </c>
      <c r="H29" s="53"/>
      <c r="K29" s="2"/>
      <c r="L29" s="19">
        <f t="shared" si="2"/>
        <v>-4.021971750860197E-3</v>
      </c>
    </row>
    <row r="30" spans="1:12" x14ac:dyDescent="0.2">
      <c r="A30" t="str">
        <f t="shared" si="3"/>
        <v>2010</v>
      </c>
      <c r="C30" s="272">
        <f>'[4]TWIA 5'!C292</f>
        <v>102174679.52999991</v>
      </c>
      <c r="D30" s="272">
        <f>'[4]TWIA 5'!D292</f>
        <v>278116922.00999999</v>
      </c>
      <c r="E30" s="26">
        <f t="shared" si="0"/>
        <v>380291601.5399999</v>
      </c>
      <c r="F30" s="31">
        <v>385549582</v>
      </c>
      <c r="G30" s="53">
        <f t="shared" si="1"/>
        <v>-5257980.4600000978</v>
      </c>
      <c r="H30" s="53"/>
      <c r="K30" s="2"/>
      <c r="L30" s="19">
        <f t="shared" si="2"/>
        <v>-1.3637624589617887E-2</v>
      </c>
    </row>
    <row r="31" spans="1:12" x14ac:dyDescent="0.2">
      <c r="A31" t="str">
        <f t="shared" si="3"/>
        <v>2011</v>
      </c>
      <c r="C31" s="272">
        <f>'[4]TWIA 5'!C293</f>
        <v>100017021</v>
      </c>
      <c r="D31" s="272">
        <f>'[4]TWIA 5'!D293</f>
        <v>307494236.20000005</v>
      </c>
      <c r="E31" s="26">
        <f t="shared" ref="E31:E42" si="4">SUM(C31:D31)</f>
        <v>407511257.20000005</v>
      </c>
      <c r="F31" s="31">
        <v>403748164</v>
      </c>
      <c r="G31" s="53">
        <f t="shared" si="1"/>
        <v>3763093.2000000477</v>
      </c>
      <c r="H31" s="53"/>
      <c r="K31" s="2"/>
      <c r="L31" s="19">
        <f t="shared" si="2"/>
        <v>9.3203970582019721E-3</v>
      </c>
    </row>
    <row r="32" spans="1:12" x14ac:dyDescent="0.2">
      <c r="A32" t="str">
        <f t="shared" si="3"/>
        <v>2012</v>
      </c>
      <c r="C32" s="272">
        <f>'[4]TWIA 5'!C294</f>
        <v>110524396.51999998</v>
      </c>
      <c r="D32" s="272">
        <f>'[4]TWIA 5'!D294</f>
        <v>335795725.19999981</v>
      </c>
      <c r="E32" s="26">
        <f t="shared" si="4"/>
        <v>446320121.71999979</v>
      </c>
      <c r="F32" s="31">
        <v>443479701</v>
      </c>
      <c r="G32" s="53">
        <f t="shared" si="1"/>
        <v>2840420.7199997902</v>
      </c>
      <c r="H32" s="53"/>
      <c r="I32" s="98"/>
      <c r="K32" s="2"/>
      <c r="L32" s="19">
        <f t="shared" si="2"/>
        <v>6.4048494521732127E-3</v>
      </c>
    </row>
    <row r="33" spans="1:12" x14ac:dyDescent="0.2">
      <c r="A33" t="str">
        <f t="shared" si="3"/>
        <v>2013</v>
      </c>
      <c r="B33" s="22"/>
      <c r="C33" s="272">
        <f>'[4]TWIA 5'!C295</f>
        <v>112904624</v>
      </c>
      <c r="D33" s="272">
        <f>'[4]TWIA 5'!D295</f>
        <v>360838080.7099998</v>
      </c>
      <c r="E33" s="26">
        <f t="shared" si="4"/>
        <v>473742704.7099998</v>
      </c>
      <c r="F33" s="31">
        <v>472739474</v>
      </c>
      <c r="G33" s="53">
        <f t="shared" si="1"/>
        <v>1003230.7099997997</v>
      </c>
      <c r="H33" s="53"/>
      <c r="K33" s="2"/>
      <c r="L33" s="19">
        <f t="shared" si="2"/>
        <v>2.1221640357449814E-3</v>
      </c>
    </row>
    <row r="34" spans="1:12" x14ac:dyDescent="0.2">
      <c r="A34" t="str">
        <f t="shared" si="3"/>
        <v>2014</v>
      </c>
      <c r="B34" s="22"/>
      <c r="C34" s="272">
        <f>'[4]TWIA 5'!C296</f>
        <v>104642688</v>
      </c>
      <c r="D34" s="272">
        <f>'[4]TWIA 5'!D296</f>
        <v>389333918.13999987</v>
      </c>
      <c r="E34" s="26">
        <f t="shared" si="4"/>
        <v>493976606.13999987</v>
      </c>
      <c r="F34" s="31">
        <v>494036010</v>
      </c>
      <c r="G34" s="53">
        <f t="shared" si="1"/>
        <v>-59403.860000133514</v>
      </c>
      <c r="H34" s="53"/>
      <c r="K34" s="2"/>
      <c r="L34" s="19">
        <f t="shared" si="2"/>
        <v>-1.2024196373890541E-4</v>
      </c>
    </row>
    <row r="35" spans="1:12" x14ac:dyDescent="0.2">
      <c r="A35" t="str">
        <f t="shared" si="3"/>
        <v>2015</v>
      </c>
      <c r="B35" s="22"/>
      <c r="C35" s="272">
        <f>'[4]TWIA 5'!C297</f>
        <v>98715934</v>
      </c>
      <c r="D35" s="272">
        <f>'[4]TWIA 5'!D297</f>
        <v>407969846.0800004</v>
      </c>
      <c r="E35" s="26">
        <f t="shared" si="4"/>
        <v>506685780.0800004</v>
      </c>
      <c r="F35" s="31">
        <v>503824316</v>
      </c>
      <c r="G35" s="53">
        <f t="shared" si="1"/>
        <v>2861464.0800004005</v>
      </c>
      <c r="H35" s="53"/>
      <c r="K35" s="2"/>
      <c r="L35" s="19">
        <f t="shared" si="2"/>
        <v>5.6794878475067501E-3</v>
      </c>
    </row>
    <row r="36" spans="1:12" x14ac:dyDescent="0.2">
      <c r="A36" t="str">
        <f t="shared" si="3"/>
        <v>2016</v>
      </c>
      <c r="B36" s="22"/>
      <c r="C36" s="272">
        <f>'[4]TWIA 5'!C298</f>
        <v>88278690</v>
      </c>
      <c r="D36" s="272">
        <f>'[4]TWIA 5'!D298</f>
        <v>399074847</v>
      </c>
      <c r="E36" s="26">
        <f t="shared" si="4"/>
        <v>487353537</v>
      </c>
      <c r="F36" s="31">
        <v>487353537</v>
      </c>
      <c r="G36" s="98">
        <f t="shared" si="1"/>
        <v>0</v>
      </c>
      <c r="H36" s="53"/>
      <c r="K36" s="2"/>
      <c r="L36" s="19">
        <f>G36/F36</f>
        <v>0</v>
      </c>
    </row>
    <row r="37" spans="1:12" x14ac:dyDescent="0.2">
      <c r="A37" t="str">
        <f t="shared" si="3"/>
        <v>2017</v>
      </c>
      <c r="B37" s="22"/>
      <c r="C37" s="272">
        <f>'[4]TWIA 5'!C299</f>
        <v>70749081</v>
      </c>
      <c r="D37" s="272">
        <f>'[4]TWIA 5'!D299</f>
        <v>352368052</v>
      </c>
      <c r="E37" s="26">
        <f t="shared" si="4"/>
        <v>423117133</v>
      </c>
      <c r="F37" s="31">
        <v>423074138</v>
      </c>
      <c r="G37" s="98">
        <f t="shared" si="1"/>
        <v>42995</v>
      </c>
      <c r="H37" s="53"/>
      <c r="K37" s="2"/>
      <c r="L37" s="19">
        <f t="shared" ref="L37:L40" si="5">G37/F37</f>
        <v>1.0162521444409348E-4</v>
      </c>
    </row>
    <row r="38" spans="1:12" x14ac:dyDescent="0.2">
      <c r="A38" t="str">
        <f t="shared" si="3"/>
        <v>2018</v>
      </c>
      <c r="C38" s="272">
        <f>'[4]TWIA 5'!C300</f>
        <v>65696833</v>
      </c>
      <c r="D38" s="272">
        <f>'[4]TWIA 5'!D300</f>
        <v>331676957</v>
      </c>
      <c r="E38" s="26">
        <f t="shared" si="4"/>
        <v>397373790</v>
      </c>
      <c r="F38" s="113">
        <v>395551679</v>
      </c>
      <c r="G38" s="98">
        <f t="shared" si="1"/>
        <v>1822111</v>
      </c>
      <c r="K38" s="2"/>
      <c r="L38" s="19">
        <f t="shared" si="5"/>
        <v>4.6065055383066643E-3</v>
      </c>
    </row>
    <row r="39" spans="1:12" x14ac:dyDescent="0.2">
      <c r="A39" t="str">
        <f t="shared" si="3"/>
        <v>2019</v>
      </c>
      <c r="C39" s="272">
        <f>'[4]TWIA 5'!C301</f>
        <v>59123729</v>
      </c>
      <c r="D39" s="272">
        <f>'[4]TWIA 5'!D301</f>
        <v>314907158.99999952</v>
      </c>
      <c r="E39" s="26">
        <f t="shared" si="4"/>
        <v>374030887.99999952</v>
      </c>
      <c r="F39" s="113">
        <v>372016601</v>
      </c>
      <c r="G39" s="98">
        <f t="shared" si="1"/>
        <v>2014286.9999995232</v>
      </c>
      <c r="H39" s="221"/>
      <c r="K39" s="2"/>
      <c r="L39" s="19">
        <f t="shared" si="5"/>
        <v>5.4145083702851291E-3</v>
      </c>
    </row>
    <row r="40" spans="1:12" x14ac:dyDescent="0.2">
      <c r="A40" t="str">
        <f t="shared" si="3"/>
        <v>2020</v>
      </c>
      <c r="C40" s="272">
        <f>'[4]TWIA 5'!C302</f>
        <v>60327052</v>
      </c>
      <c r="D40" s="272">
        <f>'[4]TWIA 5'!D302</f>
        <v>310312753</v>
      </c>
      <c r="E40" s="26">
        <f t="shared" si="4"/>
        <v>370639805</v>
      </c>
      <c r="F40" s="113">
        <v>369600488</v>
      </c>
      <c r="G40" s="98">
        <f t="shared" si="1"/>
        <v>1039317</v>
      </c>
      <c r="H40" s="221"/>
      <c r="K40" s="2"/>
      <c r="L40" s="19">
        <f t="shared" si="5"/>
        <v>2.8120011573144893E-3</v>
      </c>
    </row>
    <row r="41" spans="1:12" x14ac:dyDescent="0.2">
      <c r="A41" t="str">
        <f t="shared" si="3"/>
        <v>2021</v>
      </c>
      <c r="C41" s="272">
        <f>'[4]TWIA 5'!C303</f>
        <v>63366551</v>
      </c>
      <c r="D41" s="272">
        <f>'[4]TWIA 5'!D303</f>
        <v>331736850</v>
      </c>
      <c r="E41" s="26">
        <f t="shared" si="4"/>
        <v>395103401</v>
      </c>
      <c r="F41" s="113">
        <v>395112773</v>
      </c>
      <c r="G41" s="98">
        <f t="shared" si="1"/>
        <v>-9372</v>
      </c>
      <c r="H41" s="221"/>
      <c r="K41" s="2"/>
      <c r="L41" s="19">
        <f>G41/F41</f>
        <v>-2.3719810242631666E-5</v>
      </c>
    </row>
    <row r="42" spans="1:12" x14ac:dyDescent="0.2">
      <c r="A42" s="9" t="str">
        <f t="shared" si="3"/>
        <v>2022</v>
      </c>
      <c r="B42" s="9"/>
      <c r="C42" s="274">
        <f>'[4]TWIA 5'!C304</f>
        <v>88784127</v>
      </c>
      <c r="D42" s="274">
        <f>'[4]TWIA 5'!D304</f>
        <v>429663068</v>
      </c>
      <c r="E42" s="27">
        <f t="shared" si="4"/>
        <v>518447195</v>
      </c>
      <c r="F42" s="114">
        <v>518299032</v>
      </c>
      <c r="G42" s="54">
        <f t="shared" si="1"/>
        <v>148163</v>
      </c>
      <c r="H42" s="221"/>
      <c r="K42" s="2"/>
      <c r="L42" s="19">
        <f>G42/F42</f>
        <v>2.8586393346765888E-4</v>
      </c>
    </row>
    <row r="43" spans="1:12" x14ac:dyDescent="0.2">
      <c r="C43" s="18"/>
      <c r="D43" s="12"/>
      <c r="E43" s="18"/>
      <c r="F43" s="18"/>
      <c r="G43" s="18"/>
      <c r="H43" s="55"/>
      <c r="I43" s="55"/>
      <c r="K43" s="2"/>
    </row>
    <row r="44" spans="1:12" x14ac:dyDescent="0.2">
      <c r="A44" t="s">
        <v>8</v>
      </c>
      <c r="C44" s="46">
        <f>SUM(C14:C42)</f>
        <v>1766939550.1499999</v>
      </c>
      <c r="D44" s="46">
        <f t="shared" ref="D44:G44" si="6">SUM(D14:D42)</f>
        <v>5838076895.9099998</v>
      </c>
      <c r="E44" s="46">
        <f t="shared" si="6"/>
        <v>7605016446.0599995</v>
      </c>
      <c r="F44" s="46">
        <f t="shared" si="6"/>
        <v>7600411738</v>
      </c>
      <c r="G44" s="46">
        <f t="shared" si="6"/>
        <v>4604708.0599992871</v>
      </c>
      <c r="H44" s="53"/>
      <c r="I44" s="53"/>
      <c r="K44" s="2"/>
    </row>
    <row r="45" spans="1:12" ht="12" thickBot="1" x14ac:dyDescent="0.25">
      <c r="A45" s="6"/>
      <c r="B45" s="6"/>
      <c r="C45" s="6"/>
      <c r="D45" s="6"/>
      <c r="E45" s="6"/>
      <c r="F45" s="6"/>
      <c r="G45" s="6"/>
      <c r="K45" s="2"/>
    </row>
    <row r="46" spans="1:12" ht="12" thickTop="1" x14ac:dyDescent="0.2">
      <c r="K46" s="2"/>
      <c r="L46" t="s">
        <v>232</v>
      </c>
    </row>
    <row r="47" spans="1:12" x14ac:dyDescent="0.2">
      <c r="A47" t="s">
        <v>18</v>
      </c>
      <c r="K47" s="2"/>
      <c r="L47" s="65">
        <v>44926</v>
      </c>
    </row>
    <row r="48" spans="1:12" x14ac:dyDescent="0.2">
      <c r="B48" s="12" t="str">
        <f>C12&amp;", "&amp;D12&amp;" Provided by TWIA, as of "&amp;TEXT($L$47,"m/d/yyyy")</f>
        <v>(2), (3) Provided by TWIA, as of 12/31/2022</v>
      </c>
      <c r="K48" s="2"/>
    </row>
    <row r="49" spans="1:11" x14ac:dyDescent="0.2">
      <c r="B49" s="12" t="str">
        <f>E12&amp;" = "&amp;C12&amp;" + "&amp;D12</f>
        <v>(4) = (2) + (3)</v>
      </c>
      <c r="K49" s="2"/>
    </row>
    <row r="50" spans="1:11" x14ac:dyDescent="0.2">
      <c r="B50" s="12" t="str">
        <f>F12&amp;" Based on TWIA Annual Statements"</f>
        <v>(5) Based on TWIA Annual Statements</v>
      </c>
      <c r="K50" s="2"/>
    </row>
    <row r="51" spans="1:11" x14ac:dyDescent="0.2">
      <c r="B51" s="12" t="str">
        <f>G12&amp;" = "&amp;E12&amp;" - "&amp;F12</f>
        <v>(6) = (4) - (5)</v>
      </c>
      <c r="K51" s="2"/>
    </row>
    <row r="52" spans="1:11" x14ac:dyDescent="0.2">
      <c r="B52" s="12"/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C59" s="12"/>
      <c r="K59" s="2"/>
    </row>
    <row r="60" spans="1:11" x14ac:dyDescent="0.2">
      <c r="K60" s="2"/>
    </row>
    <row r="61" spans="1:11" x14ac:dyDescent="0.2">
      <c r="K61" s="2"/>
    </row>
    <row r="62" spans="1:11" x14ac:dyDescent="0.2">
      <c r="K62" s="2"/>
    </row>
    <row r="63" spans="1:11" x14ac:dyDescent="0.2">
      <c r="A63" s="40"/>
      <c r="C63" s="31"/>
      <c r="E63" s="31"/>
      <c r="F63" s="31"/>
      <c r="G63" s="18"/>
      <c r="H63" s="18"/>
      <c r="I63" s="18"/>
      <c r="K63" s="2"/>
    </row>
    <row r="64" spans="1:11" x14ac:dyDescent="0.2">
      <c r="A64" s="40"/>
      <c r="C64" s="19"/>
      <c r="E64" s="19"/>
      <c r="F64" s="19"/>
      <c r="G64" s="19"/>
      <c r="H64" s="19"/>
      <c r="I64" s="19"/>
      <c r="K64" s="2"/>
    </row>
    <row r="65" spans="1:11" x14ac:dyDescent="0.2">
      <c r="B65" s="22"/>
      <c r="C65" s="41"/>
      <c r="E65" s="41"/>
      <c r="F65" s="41"/>
      <c r="G65" s="21"/>
      <c r="K65" s="2"/>
    </row>
    <row r="66" spans="1:11" x14ac:dyDescent="0.2">
      <c r="B66" s="22"/>
      <c r="C66" s="41"/>
      <c r="E66" s="41"/>
      <c r="F66" s="41"/>
      <c r="G66" s="21"/>
      <c r="K66" s="2"/>
    </row>
    <row r="67" spans="1:11" x14ac:dyDescent="0.2">
      <c r="B67" s="22"/>
      <c r="C67" s="41"/>
      <c r="E67" s="41"/>
      <c r="F67" s="41"/>
      <c r="G67" s="21"/>
      <c r="K67" s="2"/>
    </row>
    <row r="68" spans="1:11" x14ac:dyDescent="0.2">
      <c r="B68" s="22"/>
      <c r="C68" s="41"/>
      <c r="E68" s="41"/>
      <c r="F68" s="41"/>
      <c r="G68" s="21"/>
      <c r="K68" s="2"/>
    </row>
    <row r="69" spans="1:11" x14ac:dyDescent="0.2">
      <c r="B69" s="22"/>
      <c r="C69" s="41"/>
      <c r="E69" s="41"/>
      <c r="F69" s="41"/>
      <c r="G69" s="21"/>
      <c r="K69" s="2"/>
    </row>
    <row r="70" spans="1:11" ht="12" thickBot="1" x14ac:dyDescent="0.25">
      <c r="B70" s="22"/>
      <c r="C70" s="41"/>
      <c r="E70" s="41"/>
      <c r="F70" s="41"/>
      <c r="G70" s="21"/>
      <c r="K70" s="2"/>
    </row>
    <row r="71" spans="1:11" ht="12" hidden="1" thickBot="1" x14ac:dyDescent="0.25">
      <c r="B71" s="22"/>
      <c r="C71" s="41"/>
      <c r="E71" s="41"/>
      <c r="F71" s="41"/>
      <c r="G71" s="21"/>
      <c r="K71" s="2"/>
    </row>
    <row r="72" spans="1:11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M57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10" width="11.33203125" customWidth="1"/>
    <col min="11" max="11" width="2.332031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20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65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40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12" t="s">
        <v>221</v>
      </c>
      <c r="E9" t="s">
        <v>28</v>
      </c>
      <c r="L9" s="2"/>
      <c r="M9" s="24"/>
    </row>
    <row r="10" spans="1:13" x14ac:dyDescent="0.2">
      <c r="A10" t="s">
        <v>41</v>
      </c>
      <c r="C10" t="s">
        <v>7</v>
      </c>
      <c r="D10" t="s">
        <v>44</v>
      </c>
      <c r="E10" t="s">
        <v>7</v>
      </c>
      <c r="L10" s="2"/>
    </row>
    <row r="11" spans="1:13" x14ac:dyDescent="0.2">
      <c r="A11" s="9" t="s">
        <v>42</v>
      </c>
      <c r="B11" s="9"/>
      <c r="C11" s="9" t="s">
        <v>43</v>
      </c>
      <c r="D11" s="9" t="s">
        <v>30</v>
      </c>
      <c r="E11" s="9" t="s">
        <v>34</v>
      </c>
      <c r="L11" s="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tr">
        <f t="shared" ref="A14:A22" si="0">TEXT(A15-1,"#")</f>
        <v>2013</v>
      </c>
      <c r="B14" s="22"/>
      <c r="C14" s="18">
        <f>'2.3'!C14</f>
        <v>7351329.1600000001</v>
      </c>
      <c r="D14" s="193">
        <v>1</v>
      </c>
      <c r="E14" s="26">
        <f>ROUND(C14*D14,0)</f>
        <v>7351329</v>
      </c>
      <c r="L14" s="2"/>
      <c r="M14" s="28"/>
    </row>
    <row r="15" spans="1:13" x14ac:dyDescent="0.2">
      <c r="A15" t="str">
        <f t="shared" si="0"/>
        <v>2014</v>
      </c>
      <c r="B15" s="22"/>
      <c r="C15" s="18">
        <f>'2.3'!C15</f>
        <v>1056280.8</v>
      </c>
      <c r="D15" s="162">
        <f>D$14</f>
        <v>1</v>
      </c>
      <c r="E15" s="26">
        <f t="shared" ref="E15:E22" si="1">ROUND(C15*D15,0)</f>
        <v>1056281</v>
      </c>
      <c r="L15" s="2"/>
      <c r="M15" s="28"/>
    </row>
    <row r="16" spans="1:13" x14ac:dyDescent="0.2">
      <c r="A16" t="str">
        <f t="shared" si="0"/>
        <v>2015</v>
      </c>
      <c r="B16" s="22"/>
      <c r="C16" s="18">
        <f>'2.3'!C16</f>
        <v>18718278.780000001</v>
      </c>
      <c r="D16" s="162">
        <f>D$14</f>
        <v>1</v>
      </c>
      <c r="E16" s="26">
        <f t="shared" si="1"/>
        <v>18718279</v>
      </c>
      <c r="L16" s="2"/>
      <c r="M16" s="28"/>
    </row>
    <row r="17" spans="1:13" x14ac:dyDescent="0.2">
      <c r="A17" t="str">
        <f t="shared" si="0"/>
        <v>2016</v>
      </c>
      <c r="B17" s="22"/>
      <c r="C17" s="18">
        <f>'2.3'!C17</f>
        <v>2551121.67</v>
      </c>
      <c r="D17" s="162">
        <f>D$14</f>
        <v>1</v>
      </c>
      <c r="E17" s="26">
        <f t="shared" si="1"/>
        <v>2551122</v>
      </c>
      <c r="L17" s="2"/>
      <c r="M17" s="28"/>
    </row>
    <row r="18" spans="1:13" x14ac:dyDescent="0.2">
      <c r="A18" t="str">
        <f t="shared" si="0"/>
        <v>2017</v>
      </c>
      <c r="B18" s="22"/>
      <c r="C18" s="18">
        <f>'2.3'!C18</f>
        <v>2000222</v>
      </c>
      <c r="D18" s="162">
        <f>INDEX('3.1'!$C$48:$K$48,11-MATCH(A18,A$14:A$23))</f>
        <v>0.999</v>
      </c>
      <c r="E18" s="26">
        <f t="shared" si="1"/>
        <v>1998222</v>
      </c>
      <c r="L18" s="2"/>
      <c r="M18" s="28"/>
    </row>
    <row r="19" spans="1:13" x14ac:dyDescent="0.2">
      <c r="A19" t="str">
        <f t="shared" si="0"/>
        <v>2018</v>
      </c>
      <c r="B19" s="22"/>
      <c r="C19" s="18">
        <f>'2.3'!C19</f>
        <v>251357.35</v>
      </c>
      <c r="D19" s="162">
        <f>INDEX('3.1'!$C$48:$K$48,11-MATCH(A19,A$14:A$23))</f>
        <v>1.008</v>
      </c>
      <c r="E19" s="26">
        <f t="shared" si="1"/>
        <v>253368</v>
      </c>
      <c r="L19" s="2"/>
      <c r="M19" s="28"/>
    </row>
    <row r="20" spans="1:13" x14ac:dyDescent="0.2">
      <c r="A20" t="str">
        <f t="shared" si="0"/>
        <v>2019</v>
      </c>
      <c r="B20" s="22"/>
      <c r="C20" s="18">
        <f>'2.3'!C20</f>
        <v>941867.1</v>
      </c>
      <c r="D20" s="162">
        <f>INDEX('3.1'!$C$48:$K$48,11-MATCH(A20,A$14:A$23))</f>
        <v>1.0089999999999999</v>
      </c>
      <c r="E20" s="26">
        <f t="shared" si="1"/>
        <v>950344</v>
      </c>
      <c r="L20" s="2"/>
      <c r="M20" s="28"/>
    </row>
    <row r="21" spans="1:13" x14ac:dyDescent="0.2">
      <c r="A21" t="str">
        <f t="shared" si="0"/>
        <v>2020</v>
      </c>
      <c r="B21" s="22"/>
      <c r="C21" s="18">
        <f>'2.3'!C21</f>
        <v>594548.32999999996</v>
      </c>
      <c r="D21" s="162">
        <f>INDEX('3.1'!$C$48:$K$48,11-MATCH(A21,A$14:A$23))</f>
        <v>1.0369999999999999</v>
      </c>
      <c r="E21" s="26">
        <f>ROUND(C21*D21,0)</f>
        <v>616547</v>
      </c>
      <c r="L21" s="2"/>
      <c r="M21" s="28"/>
    </row>
    <row r="22" spans="1:13" x14ac:dyDescent="0.2">
      <c r="A22" t="str">
        <f t="shared" si="0"/>
        <v>2021</v>
      </c>
      <c r="B22" s="22"/>
      <c r="C22" s="18">
        <f>'2.3'!C22</f>
        <v>712056.7</v>
      </c>
      <c r="D22" s="162">
        <f>INDEX('3.1'!$C$48:$K$48,11-MATCH(A22,A$14:A$23))</f>
        <v>1.1160000000000001</v>
      </c>
      <c r="E22" s="26">
        <f t="shared" si="1"/>
        <v>794655</v>
      </c>
      <c r="L22" s="2"/>
      <c r="M22" s="28"/>
    </row>
    <row r="23" spans="1:13" x14ac:dyDescent="0.2">
      <c r="A23" s="22">
        <f>YEAR(M29)</f>
        <v>2022</v>
      </c>
      <c r="B23" s="22"/>
      <c r="C23" s="18">
        <f>'2.3'!C23</f>
        <v>841111.11</v>
      </c>
      <c r="D23" s="162">
        <f>INDEX('3.1'!$C$48:$K$48,11-MATCH(A23,A$14:A$23))</f>
        <v>1.339</v>
      </c>
      <c r="E23" s="26">
        <f>ROUND(C23*D23,0)</f>
        <v>1126248</v>
      </c>
      <c r="L23" s="2"/>
      <c r="M23" s="28"/>
    </row>
    <row r="24" spans="1:13" x14ac:dyDescent="0.2">
      <c r="A24" s="9"/>
      <c r="B24" s="23"/>
      <c r="C24" s="25"/>
      <c r="D24" s="111"/>
      <c r="E24" s="27"/>
      <c r="L24" s="2"/>
    </row>
    <row r="25" spans="1:13" x14ac:dyDescent="0.2">
      <c r="L25" s="2"/>
    </row>
    <row r="26" spans="1:13" x14ac:dyDescent="0.2">
      <c r="A26" t="s">
        <v>8</v>
      </c>
      <c r="C26" s="18">
        <f>SUM(C14:C24)</f>
        <v>35018173.000000007</v>
      </c>
      <c r="E26" s="18">
        <f>SUM(E14:E24)</f>
        <v>35416395</v>
      </c>
      <c r="L26" s="2"/>
    </row>
    <row r="27" spans="1:13" ht="12" thickBot="1" x14ac:dyDescent="0.25">
      <c r="A27" s="6"/>
      <c r="B27" s="6"/>
      <c r="C27" s="6"/>
      <c r="D27" s="6"/>
      <c r="E27" s="6"/>
      <c r="L27" s="2"/>
    </row>
    <row r="28" spans="1:13" ht="12" thickTop="1" x14ac:dyDescent="0.2">
      <c r="L28" s="2"/>
    </row>
    <row r="29" spans="1:13" x14ac:dyDescent="0.2">
      <c r="A29" t="s">
        <v>18</v>
      </c>
      <c r="L29" s="2"/>
      <c r="M29" s="36">
        <f>'2.1'!L8</f>
        <v>44926</v>
      </c>
    </row>
    <row r="30" spans="1:13" x14ac:dyDescent="0.2">
      <c r="B30" s="12" t="str">
        <f>C12&amp;" "&amp;'2.3'!$K$1&amp;", "&amp;'2.3'!$K$2&amp;", as of "&amp;TEXT(M29,"m/d/yy")</f>
        <v>(2) Exhibit 2, Sheet 3, as of 12/31/22</v>
      </c>
      <c r="L30" s="2"/>
    </row>
    <row r="31" spans="1:13" x14ac:dyDescent="0.2">
      <c r="B31" s="12" t="str">
        <f>D12&amp;" "&amp;'3.1'!$K$1&amp;", "&amp;'3.1'!$K$2</f>
        <v>(3) Exhibit 3, Sheet 1</v>
      </c>
      <c r="L31" s="2"/>
    </row>
    <row r="32" spans="1:13" x14ac:dyDescent="0.2">
      <c r="B32" s="12" t="str">
        <f>E12&amp;" = "&amp;C12&amp;" * "&amp;D12</f>
        <v>(4) = (2) * (3)</v>
      </c>
      <c r="L32" s="2"/>
    </row>
    <row r="33" spans="2:12" x14ac:dyDescent="0.2">
      <c r="B33" s="12"/>
      <c r="L33" s="2"/>
    </row>
    <row r="34" spans="2:12" x14ac:dyDescent="0.2">
      <c r="B34" s="12"/>
      <c r="L34" s="2"/>
    </row>
    <row r="35" spans="2:12" x14ac:dyDescent="0.2">
      <c r="L35" s="2"/>
    </row>
    <row r="36" spans="2:12" x14ac:dyDescent="0.2">
      <c r="L36" s="2"/>
    </row>
    <row r="37" spans="2:12" x14ac:dyDescent="0.2">
      <c r="L37" s="2"/>
    </row>
    <row r="38" spans="2:12" x14ac:dyDescent="0.2">
      <c r="L38" s="2"/>
    </row>
    <row r="39" spans="2:12" x14ac:dyDescent="0.2">
      <c r="L39" s="2"/>
    </row>
    <row r="40" spans="2:12" x14ac:dyDescent="0.2">
      <c r="L40" s="2"/>
    </row>
    <row r="41" spans="2:12" x14ac:dyDescent="0.2">
      <c r="L41" s="2"/>
    </row>
    <row r="42" spans="2:12" x14ac:dyDescent="0.2">
      <c r="L42" s="2"/>
    </row>
    <row r="43" spans="2:12" x14ac:dyDescent="0.2">
      <c r="L43" s="2"/>
    </row>
    <row r="44" spans="2:12" x14ac:dyDescent="0.2">
      <c r="L44" s="2"/>
    </row>
    <row r="45" spans="2:12" x14ac:dyDescent="0.2">
      <c r="L45" s="2"/>
    </row>
    <row r="46" spans="2:12" x14ac:dyDescent="0.2">
      <c r="L46" s="2"/>
    </row>
    <row r="47" spans="2:12" x14ac:dyDescent="0.2">
      <c r="L47" s="2"/>
    </row>
    <row r="48" spans="2:12" x14ac:dyDescent="0.2">
      <c r="L48" s="2"/>
    </row>
    <row r="49" spans="1:12" x14ac:dyDescent="0.2">
      <c r="L49" s="2"/>
    </row>
    <row r="50" spans="1:12" x14ac:dyDescent="0.2">
      <c r="L50" s="2"/>
    </row>
    <row r="51" spans="1:12" x14ac:dyDescent="0.2">
      <c r="L51" s="2"/>
    </row>
    <row r="52" spans="1:12" x14ac:dyDescent="0.2">
      <c r="L52" s="2"/>
    </row>
    <row r="53" spans="1:12" x14ac:dyDescent="0.2">
      <c r="L53" s="2"/>
    </row>
    <row r="54" spans="1:12" x14ac:dyDescent="0.2">
      <c r="L54" s="2"/>
    </row>
    <row r="55" spans="1:12" x14ac:dyDescent="0.2">
      <c r="L55" s="2"/>
    </row>
    <row r="56" spans="1:12" ht="12" thickBot="1" x14ac:dyDescent="0.25">
      <c r="L56" s="2"/>
    </row>
    <row r="57" spans="1:12" ht="12" thickBot="1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P69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  <col min="12" max="12" width="11.33203125" customWidth="1"/>
    <col min="13" max="13" width="12.6640625" customWidth="1"/>
  </cols>
  <sheetData>
    <row r="1" spans="1:16" x14ac:dyDescent="0.2">
      <c r="A1" s="8" t="str">
        <f>'1'!$A$1</f>
        <v>Texas Windstorm Insurance Association</v>
      </c>
      <c r="B1" s="12"/>
      <c r="K1" s="7" t="s">
        <v>20</v>
      </c>
      <c r="L1" s="1"/>
      <c r="O1" t="s">
        <v>526</v>
      </c>
      <c r="P1" t="s">
        <v>531</v>
      </c>
    </row>
    <row r="2" spans="1:16" x14ac:dyDescent="0.2">
      <c r="A2" s="8" t="str">
        <f>'1'!$A$2</f>
        <v>Commercial Property - Wind &amp; Hail</v>
      </c>
      <c r="B2" s="12"/>
      <c r="K2" s="7" t="s">
        <v>68</v>
      </c>
      <c r="L2" s="2"/>
    </row>
    <row r="3" spans="1:16" x14ac:dyDescent="0.2">
      <c r="A3" s="8" t="str">
        <f>'1'!$A$3</f>
        <v>Rate Level Review</v>
      </c>
      <c r="B3" s="12"/>
      <c r="L3" s="2"/>
    </row>
    <row r="4" spans="1:16" x14ac:dyDescent="0.2">
      <c r="A4" t="str">
        <f>"Summary of TWIA Historical Paid Loss as of "&amp;TEXT(M26,"m/d/yy")</f>
        <v>Summary of TWIA Historical Paid Loss as of 12/31/22</v>
      </c>
      <c r="B4" s="12"/>
      <c r="L4" s="2"/>
    </row>
    <row r="5" spans="1:16" x14ac:dyDescent="0.2">
      <c r="B5" s="12"/>
      <c r="L5" s="2"/>
    </row>
    <row r="6" spans="1:16" x14ac:dyDescent="0.2">
      <c r="L6" s="2"/>
    </row>
    <row r="7" spans="1:16" ht="12" thickBot="1" x14ac:dyDescent="0.25">
      <c r="A7" s="6"/>
      <c r="B7" s="6"/>
      <c r="C7" s="6"/>
      <c r="D7" s="6"/>
      <c r="E7" s="6"/>
      <c r="L7" s="2"/>
    </row>
    <row r="8" spans="1:16" ht="12" thickTop="1" x14ac:dyDescent="0.2">
      <c r="L8" s="2"/>
    </row>
    <row r="9" spans="1:16" x14ac:dyDescent="0.2">
      <c r="C9" s="10" t="s">
        <v>45</v>
      </c>
      <c r="L9" s="2"/>
      <c r="M9" s="10"/>
    </row>
    <row r="10" spans="1:16" x14ac:dyDescent="0.2">
      <c r="A10" t="s">
        <v>41</v>
      </c>
      <c r="L10" s="2"/>
    </row>
    <row r="11" spans="1:16" x14ac:dyDescent="0.2">
      <c r="A11" s="9" t="s">
        <v>42</v>
      </c>
      <c r="B11" s="9"/>
      <c r="C11" s="9" t="s">
        <v>7</v>
      </c>
      <c r="D11" s="9" t="s">
        <v>5</v>
      </c>
      <c r="E11" s="9" t="s">
        <v>8</v>
      </c>
      <c r="L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6" x14ac:dyDescent="0.2">
      <c r="L13" s="2"/>
    </row>
    <row r="14" spans="1:16" x14ac:dyDescent="0.2">
      <c r="A14" t="str">
        <f>TEXT(A15-1,"#")</f>
        <v>2013</v>
      </c>
      <c r="B14" s="22"/>
      <c r="C14" s="272">
        <f>'[4]TWIA 3'!H10</f>
        <v>7351329.1600000001</v>
      </c>
      <c r="D14" s="272">
        <f>'[4]TWIA 3'!$J10</f>
        <v>0</v>
      </c>
      <c r="E14" s="26">
        <f>C14+D14</f>
        <v>7351329.1600000001</v>
      </c>
      <c r="L14" s="2"/>
    </row>
    <row r="15" spans="1:16" x14ac:dyDescent="0.2">
      <c r="A15" t="str">
        <f t="shared" ref="A15:A22" si="0">TEXT(A16-1,"#")</f>
        <v>2014</v>
      </c>
      <c r="B15" s="22"/>
      <c r="C15" s="272">
        <f>'[4]TWIA 3'!H11</f>
        <v>1056280.8</v>
      </c>
      <c r="D15" s="272">
        <f>'[4]TWIA 3'!$J11</f>
        <v>0</v>
      </c>
      <c r="E15" s="26">
        <f t="shared" ref="E15:E23" si="1">C15+D15</f>
        <v>1056280.8</v>
      </c>
      <c r="L15" s="2"/>
    </row>
    <row r="16" spans="1:16" x14ac:dyDescent="0.2">
      <c r="A16" t="str">
        <f t="shared" si="0"/>
        <v>2015</v>
      </c>
      <c r="B16" s="22"/>
      <c r="C16" s="272">
        <f>'[4]TWIA 3'!H12</f>
        <v>18718278.780000001</v>
      </c>
      <c r="D16" s="272">
        <f>'[4]TWIA 3'!$J12</f>
        <v>0</v>
      </c>
      <c r="E16" s="26">
        <f t="shared" si="1"/>
        <v>18718278.780000001</v>
      </c>
      <c r="L16" s="2"/>
    </row>
    <row r="17" spans="1:14" x14ac:dyDescent="0.2">
      <c r="A17" t="str">
        <f t="shared" si="0"/>
        <v>2016</v>
      </c>
      <c r="B17" s="22"/>
      <c r="C17" s="272">
        <f>'[4]TWIA 3'!H13</f>
        <v>2551121.67</v>
      </c>
      <c r="D17" s="272">
        <f>'[4]TWIA 3'!$J13</f>
        <v>0</v>
      </c>
      <c r="E17" s="26">
        <f t="shared" si="1"/>
        <v>2551121.67</v>
      </c>
      <c r="L17" s="2"/>
    </row>
    <row r="18" spans="1:14" x14ac:dyDescent="0.2">
      <c r="A18" t="str">
        <f t="shared" si="0"/>
        <v>2017</v>
      </c>
      <c r="B18" s="22"/>
      <c r="C18" s="272">
        <f>'[4]TWIA 3'!H14</f>
        <v>2000222</v>
      </c>
      <c r="D18" s="272">
        <f>'[4]TWIA 3'!$J14</f>
        <v>466420549.82999998</v>
      </c>
      <c r="E18" s="26">
        <f t="shared" si="1"/>
        <v>468420771.82999998</v>
      </c>
      <c r="L18" s="2"/>
    </row>
    <row r="19" spans="1:14" x14ac:dyDescent="0.2">
      <c r="A19" t="str">
        <f t="shared" si="0"/>
        <v>2018</v>
      </c>
      <c r="B19" s="22"/>
      <c r="C19" s="272">
        <f>'[4]TWIA 3'!H15</f>
        <v>251357.35</v>
      </c>
      <c r="D19" s="272">
        <f>'[4]TWIA 3'!$J15</f>
        <v>0</v>
      </c>
      <c r="E19" s="26">
        <f t="shared" si="1"/>
        <v>251357.35</v>
      </c>
      <c r="L19" s="2"/>
    </row>
    <row r="20" spans="1:14" x14ac:dyDescent="0.2">
      <c r="A20" t="str">
        <f t="shared" si="0"/>
        <v>2019</v>
      </c>
      <c r="B20" s="22"/>
      <c r="C20" s="272">
        <f>'[4]TWIA 3'!H16</f>
        <v>941867.1</v>
      </c>
      <c r="D20" s="272">
        <f>'[4]TWIA 3'!$J16</f>
        <v>0</v>
      </c>
      <c r="E20" s="26">
        <f t="shared" si="1"/>
        <v>941867.1</v>
      </c>
      <c r="L20" s="2"/>
    </row>
    <row r="21" spans="1:14" x14ac:dyDescent="0.2">
      <c r="A21" t="str">
        <f t="shared" si="0"/>
        <v>2020</v>
      </c>
      <c r="B21" s="22"/>
      <c r="C21" s="272">
        <f>'[4]TWIA 3'!H17</f>
        <v>594548.32999999996</v>
      </c>
      <c r="D21" s="272">
        <f>'[4]TWIA 3'!$J17</f>
        <v>5739254.9500000002</v>
      </c>
      <c r="E21" s="26">
        <f t="shared" si="1"/>
        <v>6333803.2800000003</v>
      </c>
      <c r="L21" s="2"/>
    </row>
    <row r="22" spans="1:14" x14ac:dyDescent="0.2">
      <c r="A22" t="str">
        <f t="shared" si="0"/>
        <v>2021</v>
      </c>
      <c r="B22" s="22"/>
      <c r="C22" s="272">
        <f>'[4]TWIA 3'!H18</f>
        <v>712056.7</v>
      </c>
      <c r="D22" s="272">
        <f>'[4]TWIA 3'!$J18</f>
        <v>6620330.29</v>
      </c>
      <c r="E22" s="26">
        <f t="shared" si="1"/>
        <v>7332386.9900000002</v>
      </c>
      <c r="L22" s="2"/>
    </row>
    <row r="23" spans="1:14" x14ac:dyDescent="0.2">
      <c r="A23" t="str">
        <f>TEXT(YEAR($M$26),"#")</f>
        <v>2022</v>
      </c>
      <c r="B23" s="22"/>
      <c r="C23" s="272">
        <f>'[4]TWIA 3'!H19</f>
        <v>841111.11</v>
      </c>
      <c r="D23" s="272">
        <f>'[4]TWIA 3'!$J19</f>
        <v>0</v>
      </c>
      <c r="E23" s="26">
        <f t="shared" si="1"/>
        <v>841111.11</v>
      </c>
      <c r="L23" s="2"/>
    </row>
    <row r="24" spans="1:14" x14ac:dyDescent="0.2">
      <c r="A24" s="23"/>
      <c r="B24" s="23"/>
      <c r="C24" s="48"/>
      <c r="D24" s="48"/>
      <c r="E24" s="27"/>
      <c r="L24" s="2"/>
    </row>
    <row r="25" spans="1:14" x14ac:dyDescent="0.2">
      <c r="L25" s="2"/>
      <c r="M25" t="s">
        <v>232</v>
      </c>
    </row>
    <row r="26" spans="1:14" x14ac:dyDescent="0.2">
      <c r="A26" t="s">
        <v>8</v>
      </c>
      <c r="C26" s="18">
        <f>SUM(C14:C24)</f>
        <v>35018173.000000007</v>
      </c>
      <c r="D26" s="18">
        <f>SUM(D14:D24)</f>
        <v>478780135.06999999</v>
      </c>
      <c r="E26" s="18">
        <f>SUM(E14:E24)</f>
        <v>513798308.07000005</v>
      </c>
      <c r="L26" s="2"/>
      <c r="M26" s="65">
        <v>44926</v>
      </c>
      <c r="N26" s="64"/>
    </row>
    <row r="27" spans="1:14" ht="12" thickBot="1" x14ac:dyDescent="0.25">
      <c r="A27" s="6"/>
      <c r="B27" s="6"/>
      <c r="C27" s="6"/>
      <c r="D27" s="6"/>
      <c r="E27" s="6"/>
      <c r="L27" s="2"/>
    </row>
    <row r="28" spans="1:14" ht="12" thickTop="1" x14ac:dyDescent="0.2">
      <c r="L28" s="2"/>
    </row>
    <row r="29" spans="1:14" x14ac:dyDescent="0.2">
      <c r="A29" t="s">
        <v>18</v>
      </c>
      <c r="L29" s="2"/>
    </row>
    <row r="30" spans="1:14" x14ac:dyDescent="0.2">
      <c r="B30" s="12" t="str">
        <f>C12&amp;", "&amp;D12&amp;" Provided by TWIA, includes commercial and farm"</f>
        <v>(2), (3) Provided by TWIA, includes commercial and farm</v>
      </c>
      <c r="C30" s="12"/>
      <c r="L30" s="2"/>
    </row>
    <row r="31" spans="1:14" x14ac:dyDescent="0.2">
      <c r="B31" s="12" t="str">
        <f>E12&amp;" = "&amp;C12&amp;" + "&amp;D12</f>
        <v>(4) = (2) + (3)</v>
      </c>
      <c r="L31" s="2"/>
    </row>
    <row r="32" spans="1:14" x14ac:dyDescent="0.2">
      <c r="L32" s="2"/>
    </row>
    <row r="33" spans="2:12" x14ac:dyDescent="0.2">
      <c r="B33" s="12"/>
      <c r="L33" s="2"/>
    </row>
    <row r="34" spans="2:12" x14ac:dyDescent="0.2">
      <c r="B34" s="12"/>
      <c r="L34" s="2"/>
    </row>
    <row r="35" spans="2:12" x14ac:dyDescent="0.2">
      <c r="L35" s="2"/>
    </row>
    <row r="36" spans="2:12" x14ac:dyDescent="0.2">
      <c r="B36" s="22"/>
      <c r="L36" s="2"/>
    </row>
    <row r="37" spans="2:12" x14ac:dyDescent="0.2">
      <c r="B37" s="22"/>
      <c r="L37" s="2"/>
    </row>
    <row r="38" spans="2:12" x14ac:dyDescent="0.2">
      <c r="L38" s="2"/>
    </row>
    <row r="39" spans="2:12" x14ac:dyDescent="0.2">
      <c r="L39" s="2"/>
    </row>
    <row r="40" spans="2:12" x14ac:dyDescent="0.2">
      <c r="L40" s="2"/>
    </row>
    <row r="41" spans="2:12" x14ac:dyDescent="0.2">
      <c r="L41" s="2"/>
    </row>
    <row r="42" spans="2:12" x14ac:dyDescent="0.2">
      <c r="L42" s="2"/>
    </row>
    <row r="43" spans="2:12" x14ac:dyDescent="0.2">
      <c r="L43" s="2"/>
    </row>
    <row r="44" spans="2:12" x14ac:dyDescent="0.2">
      <c r="L44" s="2"/>
    </row>
    <row r="45" spans="2:12" x14ac:dyDescent="0.2">
      <c r="L45" s="2"/>
    </row>
    <row r="46" spans="2:12" x14ac:dyDescent="0.2">
      <c r="L46" s="2"/>
    </row>
    <row r="47" spans="2:12" x14ac:dyDescent="0.2">
      <c r="L47" s="2"/>
    </row>
    <row r="48" spans="2:12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Q66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8.33203125" style="85" bestFit="1" customWidth="1"/>
    <col min="2" max="2" width="10.6640625" style="85" customWidth="1"/>
    <col min="3" max="11" width="11.33203125" style="85" customWidth="1"/>
    <col min="12" max="12" width="0.6640625" style="85" customWidth="1"/>
    <col min="13" max="13" width="11.33203125" style="85" customWidth="1"/>
    <col min="14" max="14" width="11.33203125" customWidth="1"/>
    <col min="15" max="16384" width="11.33203125" style="85"/>
  </cols>
  <sheetData>
    <row r="1" spans="1:17" x14ac:dyDescent="0.2">
      <c r="A1" s="8" t="str">
        <f>'1'!$A$1</f>
        <v>Texas Windstorm Insurance Association</v>
      </c>
      <c r="B1"/>
      <c r="C1"/>
      <c r="D1"/>
      <c r="E1"/>
      <c r="F1"/>
      <c r="G1"/>
      <c r="H1"/>
      <c r="I1"/>
      <c r="J1"/>
      <c r="K1"/>
      <c r="L1" s="7" t="s">
        <v>20</v>
      </c>
      <c r="M1" s="84"/>
      <c r="N1" s="85"/>
      <c r="P1" s="85" t="s">
        <v>526</v>
      </c>
      <c r="Q1" s="85" t="s">
        <v>528</v>
      </c>
    </row>
    <row r="2" spans="1:17" x14ac:dyDescent="0.2">
      <c r="A2" s="8" t="str">
        <f>'1'!$A$2</f>
        <v>Commercial Property - Wind &amp; Hail</v>
      </c>
      <c r="B2"/>
      <c r="C2"/>
      <c r="D2"/>
      <c r="E2"/>
      <c r="F2"/>
      <c r="G2"/>
      <c r="H2"/>
      <c r="I2"/>
      <c r="J2"/>
      <c r="K2"/>
      <c r="L2" s="7" t="s">
        <v>71</v>
      </c>
      <c r="M2" s="86"/>
      <c r="N2" s="85"/>
      <c r="P2" s="85" t="s">
        <v>526</v>
      </c>
      <c r="Q2" s="85" t="s">
        <v>567</v>
      </c>
    </row>
    <row r="3" spans="1:17" x14ac:dyDescent="0.2">
      <c r="A3" s="8" t="str">
        <f>'1'!$A$3</f>
        <v>Rate Level Review</v>
      </c>
      <c r="B3"/>
      <c r="C3"/>
      <c r="D3"/>
      <c r="E3"/>
      <c r="F3"/>
      <c r="G3"/>
      <c r="H3"/>
      <c r="I3"/>
      <c r="J3"/>
      <c r="K3"/>
      <c r="L3" s="7"/>
      <c r="M3" s="86"/>
      <c r="N3" s="85"/>
      <c r="P3" s="85" t="s">
        <v>526</v>
      </c>
      <c r="Q3" s="85" t="s">
        <v>568</v>
      </c>
    </row>
    <row r="4" spans="1:17" x14ac:dyDescent="0.2">
      <c r="A4" t="s">
        <v>297</v>
      </c>
      <c r="B4"/>
      <c r="C4"/>
      <c r="D4"/>
      <c r="E4"/>
      <c r="F4"/>
      <c r="G4"/>
      <c r="H4"/>
      <c r="I4"/>
      <c r="J4"/>
      <c r="K4"/>
      <c r="L4"/>
      <c r="M4" s="86"/>
      <c r="N4" s="85"/>
      <c r="P4" s="85" t="s">
        <v>526</v>
      </c>
      <c r="Q4" s="85" t="s">
        <v>569</v>
      </c>
    </row>
    <row r="5" spans="1:17" x14ac:dyDescent="0.2">
      <c r="A5"/>
      <c r="B5"/>
      <c r="C5"/>
      <c r="D5"/>
      <c r="E5"/>
      <c r="F5"/>
      <c r="G5"/>
      <c r="H5"/>
      <c r="I5"/>
      <c r="J5"/>
      <c r="K5"/>
      <c r="L5"/>
      <c r="M5" s="86"/>
      <c r="N5" s="85"/>
    </row>
    <row r="6" spans="1:17" x14ac:dyDescent="0.2">
      <c r="A6"/>
      <c r="B6"/>
      <c r="C6"/>
      <c r="D6"/>
      <c r="E6"/>
      <c r="F6"/>
      <c r="G6"/>
      <c r="H6"/>
      <c r="I6"/>
      <c r="J6"/>
      <c r="K6"/>
      <c r="L6"/>
      <c r="M6" s="86"/>
      <c r="N6" s="85"/>
    </row>
    <row r="7" spans="1:17" ht="12" thickBot="1" x14ac:dyDescent="0.25">
      <c r="A7" s="6"/>
      <c r="B7" s="6"/>
      <c r="C7" s="6"/>
      <c r="D7" s="6"/>
      <c r="E7" s="6"/>
      <c r="F7" s="6"/>
      <c r="G7" s="6"/>
      <c r="H7" s="6"/>
      <c r="I7" s="6"/>
      <c r="J7"/>
      <c r="K7"/>
      <c r="L7"/>
      <c r="M7" s="86"/>
      <c r="N7" t="s">
        <v>232</v>
      </c>
    </row>
    <row r="8" spans="1:17" ht="12" thickTop="1" x14ac:dyDescent="0.2">
      <c r="A8"/>
      <c r="B8"/>
      <c r="C8" t="s">
        <v>51</v>
      </c>
      <c r="D8"/>
      <c r="E8"/>
      <c r="F8"/>
      <c r="G8"/>
      <c r="H8"/>
      <c r="I8"/>
      <c r="J8"/>
      <c r="K8"/>
      <c r="L8"/>
      <c r="M8" s="86"/>
      <c r="N8" s="65">
        <v>44926</v>
      </c>
    </row>
    <row r="9" spans="1:17" x14ac:dyDescent="0.2">
      <c r="A9"/>
      <c r="B9"/>
      <c r="C9" t="s">
        <v>450</v>
      </c>
      <c r="D9"/>
      <c r="E9"/>
      <c r="F9"/>
      <c r="G9"/>
      <c r="H9"/>
      <c r="I9"/>
      <c r="J9"/>
      <c r="K9"/>
      <c r="L9"/>
      <c r="M9" s="86"/>
    </row>
    <row r="10" spans="1:17" x14ac:dyDescent="0.2">
      <c r="A10" t="s">
        <v>258</v>
      </c>
      <c r="B10"/>
      <c r="C10" s="85" t="s">
        <v>466</v>
      </c>
      <c r="D10"/>
      <c r="E10"/>
      <c r="F10"/>
      <c r="G10"/>
      <c r="H10"/>
      <c r="I10"/>
      <c r="J10"/>
      <c r="K10"/>
      <c r="L10"/>
      <c r="M10" s="86"/>
    </row>
    <row r="11" spans="1:17" x14ac:dyDescent="0.2">
      <c r="A11" s="9" t="s">
        <v>260</v>
      </c>
      <c r="B11" s="9"/>
      <c r="C11" s="188" t="s">
        <v>451</v>
      </c>
      <c r="D11"/>
      <c r="E11"/>
      <c r="F11"/>
      <c r="G11"/>
      <c r="H11"/>
      <c r="I11"/>
      <c r="J11"/>
      <c r="K11"/>
      <c r="L11"/>
      <c r="M11" s="86"/>
    </row>
    <row r="12" spans="1:17" x14ac:dyDescent="0.2">
      <c r="A12" s="87" t="s">
        <v>159</v>
      </c>
      <c r="B12" s="13"/>
      <c r="C12" s="43" t="s">
        <v>160</v>
      </c>
      <c r="J12"/>
      <c r="K12"/>
      <c r="L12"/>
      <c r="M12" s="86"/>
    </row>
    <row r="13" spans="1:17" x14ac:dyDescent="0.2">
      <c r="A13"/>
      <c r="B13"/>
      <c r="C13"/>
      <c r="D13" s="88" t="s">
        <v>161</v>
      </c>
      <c r="E13" t="s">
        <v>298</v>
      </c>
      <c r="F13"/>
      <c r="G13"/>
      <c r="H13"/>
      <c r="I13" s="89">
        <v>44743</v>
      </c>
      <c r="J13"/>
      <c r="K13"/>
      <c r="L13"/>
      <c r="M13" s="86"/>
    </row>
    <row r="14" spans="1:17" x14ac:dyDescent="0.2">
      <c r="A14" t="str">
        <f>A36&amp;" / 4"</f>
        <v>2013 / 4</v>
      </c>
      <c r="C14" s="97">
        <f>ROUND('3.2 premium trend'!H16,2)</f>
        <v>4465.3900000000003</v>
      </c>
      <c r="D14" s="88" t="s">
        <v>107</v>
      </c>
      <c r="E14" t="s">
        <v>299</v>
      </c>
      <c r="I14" s="89">
        <v>44743</v>
      </c>
      <c r="J14"/>
      <c r="K14"/>
      <c r="L14"/>
      <c r="M14" s="86"/>
    </row>
    <row r="15" spans="1:17" x14ac:dyDescent="0.2">
      <c r="A15" t="str">
        <f t="shared" ref="A15:A23" si="0">A37&amp;" / 4"</f>
        <v>2014 / 4</v>
      </c>
      <c r="C15" s="97">
        <f>ROUND('3.2 premium trend'!$H$20,2)</f>
        <v>4496.26</v>
      </c>
      <c r="D15" s="88" t="s">
        <v>88</v>
      </c>
      <c r="E15" t="s">
        <v>300</v>
      </c>
      <c r="F15"/>
      <c r="G15"/>
      <c r="H15"/>
      <c r="I15" s="89">
        <v>45658</v>
      </c>
      <c r="J15"/>
      <c r="K15"/>
      <c r="L15"/>
      <c r="M15" s="86"/>
    </row>
    <row r="16" spans="1:17" x14ac:dyDescent="0.2">
      <c r="A16" t="str">
        <f t="shared" si="0"/>
        <v>2015 / 4</v>
      </c>
      <c r="B16" s="22"/>
      <c r="C16" s="97">
        <f>ROUND('3.2 premium trend'!$H$24,2)</f>
        <v>4477.63</v>
      </c>
      <c r="D16" s="88" t="s">
        <v>92</v>
      </c>
      <c r="E16" t="s">
        <v>301</v>
      </c>
      <c r="F16"/>
      <c r="G16"/>
      <c r="H16"/>
      <c r="I16" s="29">
        <f>YEAR(I15)-YEAR(I13+1)+(MONTH(I15)-MONTH(I13+1))/12</f>
        <v>2.5</v>
      </c>
      <c r="J16"/>
      <c r="K16"/>
      <c r="L16"/>
      <c r="M16" s="86"/>
      <c r="N16" s="49"/>
    </row>
    <row r="17" spans="1:13" x14ac:dyDescent="0.2">
      <c r="A17" t="str">
        <f t="shared" si="0"/>
        <v>2016 / 4</v>
      </c>
      <c r="B17" s="22"/>
      <c r="C17" s="97">
        <f>ROUND('3.2 premium trend'!$H$28,2)</f>
        <v>4465.2299999999996</v>
      </c>
      <c r="D17" s="88" t="s">
        <v>91</v>
      </c>
      <c r="E17" s="85" t="s">
        <v>302</v>
      </c>
      <c r="I17" s="29">
        <f>YEAR(I15)-YEAR(I14+1)+(MONTH(I15)-MONTH(I14+1))/12</f>
        <v>2.5</v>
      </c>
      <c r="J17"/>
      <c r="K17"/>
      <c r="L17"/>
      <c r="M17" s="86"/>
    </row>
    <row r="18" spans="1:13" x14ac:dyDescent="0.2">
      <c r="A18" t="str">
        <f t="shared" si="0"/>
        <v>2017 / 4</v>
      </c>
      <c r="B18" s="22"/>
      <c r="C18" s="97">
        <f>ROUND('3.2 premium trend'!$H$32,2)</f>
        <v>4426</v>
      </c>
      <c r="D18" s="88" t="s">
        <v>90</v>
      </c>
      <c r="E18" t="s">
        <v>255</v>
      </c>
      <c r="F18"/>
      <c r="G18"/>
      <c r="H18"/>
      <c r="I18" s="41">
        <f>'3.2 premium trend'!$L$58</f>
        <v>5.7000000000000002E-2</v>
      </c>
      <c r="J18"/>
      <c r="K18"/>
      <c r="L18"/>
      <c r="M18" s="86"/>
    </row>
    <row r="19" spans="1:13" x14ac:dyDescent="0.2">
      <c r="A19" t="str">
        <f t="shared" si="0"/>
        <v>2018 / 4</v>
      </c>
      <c r="B19" s="22"/>
      <c r="C19" s="97">
        <f>ROUND('3.2 premium trend'!$H$36,2)</f>
        <v>4385.54</v>
      </c>
      <c r="D19" s="88" t="s">
        <v>89</v>
      </c>
      <c r="E19" t="s">
        <v>318</v>
      </c>
      <c r="F19"/>
      <c r="G19"/>
      <c r="H19"/>
      <c r="I19" s="41">
        <f>'3.3a'!$H$28</f>
        <v>7.0000000000000007E-2</v>
      </c>
      <c r="J19"/>
      <c r="K19"/>
      <c r="L19"/>
      <c r="M19" s="86"/>
    </row>
    <row r="20" spans="1:13" x14ac:dyDescent="0.2">
      <c r="A20" t="str">
        <f t="shared" si="0"/>
        <v>2019 / 4</v>
      </c>
      <c r="B20" s="22"/>
      <c r="C20" s="97">
        <f>ROUND('3.2 premium trend'!$H$40,2)</f>
        <v>4601.7700000000004</v>
      </c>
      <c r="D20"/>
      <c r="E20"/>
      <c r="F20"/>
      <c r="G20"/>
      <c r="H20"/>
      <c r="I20"/>
      <c r="J20"/>
      <c r="K20"/>
      <c r="L20"/>
      <c r="M20" s="86"/>
    </row>
    <row r="21" spans="1:13" x14ac:dyDescent="0.2">
      <c r="A21" t="str">
        <f t="shared" si="0"/>
        <v>2020 / 4</v>
      </c>
      <c r="C21" s="97">
        <f>ROUND('3.2 premium trend'!$H$44,2)</f>
        <v>4930.8500000000004</v>
      </c>
      <c r="J21"/>
      <c r="K21"/>
      <c r="L21"/>
      <c r="M21" s="86"/>
    </row>
    <row r="22" spans="1:13" x14ac:dyDescent="0.2">
      <c r="A22" t="str">
        <f t="shared" si="0"/>
        <v>2021 / 4</v>
      </c>
      <c r="B22"/>
      <c r="C22" s="97">
        <f>ROUND('3.2 premium trend'!$H$48,2)</f>
        <v>5052.8999999999996</v>
      </c>
      <c r="I22" s="146"/>
      <c r="J22"/>
      <c r="K22"/>
      <c r="L22"/>
      <c r="M22" s="86"/>
    </row>
    <row r="23" spans="1:13" x14ac:dyDescent="0.2">
      <c r="A23" t="str">
        <f t="shared" si="0"/>
        <v>2022 / 4</v>
      </c>
      <c r="B23"/>
      <c r="C23" s="97">
        <f>ROUND('3.2 premium trend'!$H$52,2)</f>
        <v>5737.33</v>
      </c>
      <c r="J23"/>
      <c r="K23"/>
      <c r="L23"/>
      <c r="M23" s="86"/>
    </row>
    <row r="24" spans="1:13" x14ac:dyDescent="0.2">
      <c r="A24" s="9"/>
      <c r="B24" s="23"/>
      <c r="C24" s="90"/>
      <c r="K24"/>
      <c r="L24"/>
      <c r="M24" s="86"/>
    </row>
    <row r="25" spans="1:13" x14ac:dyDescent="0.2">
      <c r="K25"/>
      <c r="L25"/>
      <c r="M25" s="86"/>
    </row>
    <row r="26" spans="1:13" x14ac:dyDescent="0.2">
      <c r="K26"/>
      <c r="L26"/>
      <c r="M26" s="86"/>
    </row>
    <row r="27" spans="1:13" x14ac:dyDescent="0.2">
      <c r="K27"/>
      <c r="L27"/>
      <c r="M27" s="86"/>
    </row>
    <row r="28" spans="1:13" x14ac:dyDescent="0.2">
      <c r="K28"/>
      <c r="L28"/>
      <c r="M28" s="86"/>
    </row>
    <row r="29" spans="1:13" x14ac:dyDescent="0.2">
      <c r="K29"/>
      <c r="L29"/>
      <c r="M29" s="86"/>
    </row>
    <row r="30" spans="1:13" x14ac:dyDescent="0.2">
      <c r="A30"/>
      <c r="B30" s="22"/>
      <c r="C30" s="91"/>
      <c r="D30" s="29"/>
      <c r="E30" s="29"/>
      <c r="F30" s="29"/>
      <c r="G30" s="29"/>
      <c r="H30"/>
      <c r="I30"/>
      <c r="J30"/>
      <c r="K30"/>
      <c r="L30"/>
      <c r="M30" s="86"/>
    </row>
    <row r="31" spans="1:13" x14ac:dyDescent="0.2">
      <c r="A31"/>
      <c r="B31"/>
      <c r="C31" t="s">
        <v>211</v>
      </c>
      <c r="D31" t="s">
        <v>211</v>
      </c>
      <c r="E31" t="s">
        <v>256</v>
      </c>
      <c r="F31" t="s">
        <v>256</v>
      </c>
      <c r="G31" t="s">
        <v>31</v>
      </c>
      <c r="H31"/>
      <c r="I31"/>
      <c r="J31"/>
      <c r="K31"/>
      <c r="L31"/>
      <c r="M31" s="86"/>
    </row>
    <row r="32" spans="1:13" x14ac:dyDescent="0.2">
      <c r="A32" t="s">
        <v>41</v>
      </c>
      <c r="B32"/>
      <c r="C32" t="s">
        <v>95</v>
      </c>
      <c r="D32" t="s">
        <v>34</v>
      </c>
      <c r="E32" t="s">
        <v>95</v>
      </c>
      <c r="F32" t="s">
        <v>34</v>
      </c>
      <c r="G32" t="s">
        <v>32</v>
      </c>
      <c r="H32"/>
      <c r="I32"/>
      <c r="J32"/>
      <c r="K32"/>
      <c r="L32"/>
      <c r="M32" s="86"/>
    </row>
    <row r="33" spans="1:13" x14ac:dyDescent="0.2">
      <c r="A33" s="9" t="s">
        <v>42</v>
      </c>
      <c r="B33" s="9"/>
      <c r="C33" s="9" t="s">
        <v>32</v>
      </c>
      <c r="D33" s="9" t="s">
        <v>32</v>
      </c>
      <c r="E33" s="9" t="s">
        <v>32</v>
      </c>
      <c r="F33" s="9" t="s">
        <v>32</v>
      </c>
      <c r="G33" s="9" t="s">
        <v>30</v>
      </c>
      <c r="H33"/>
      <c r="I33"/>
      <c r="J33"/>
      <c r="K33"/>
      <c r="L33"/>
      <c r="M33" s="86"/>
    </row>
    <row r="34" spans="1:13" x14ac:dyDescent="0.2">
      <c r="A34" s="87" t="s">
        <v>83</v>
      </c>
      <c r="B34" s="13"/>
      <c r="C34" s="87" t="s">
        <v>175</v>
      </c>
      <c r="D34" s="87" t="s">
        <v>303</v>
      </c>
      <c r="E34" s="43" t="s">
        <v>304</v>
      </c>
      <c r="F34" s="43" t="s">
        <v>305</v>
      </c>
      <c r="G34" s="43" t="s">
        <v>262</v>
      </c>
      <c r="H34"/>
      <c r="I34"/>
      <c r="J34"/>
      <c r="K34"/>
      <c r="L34"/>
      <c r="M34" s="86"/>
    </row>
    <row r="35" spans="1:13" x14ac:dyDescent="0.2">
      <c r="A35"/>
      <c r="B35"/>
      <c r="C35"/>
      <c r="D35"/>
      <c r="E35"/>
      <c r="F35"/>
      <c r="G35"/>
      <c r="H35"/>
      <c r="I35"/>
      <c r="J35"/>
      <c r="K35"/>
      <c r="L35"/>
      <c r="M35" s="86"/>
    </row>
    <row r="36" spans="1:13" x14ac:dyDescent="0.2">
      <c r="A36" t="str">
        <f t="shared" ref="A36:A44" si="1">TEXT(A37-1,"#")</f>
        <v>2013</v>
      </c>
      <c r="B36" s="22"/>
      <c r="C36" s="28">
        <f>C$23/C14</f>
        <v>1.2848441009631857</v>
      </c>
      <c r="D36" s="28">
        <f>'3.3a'!H14</f>
        <v>1.4590000000000001</v>
      </c>
      <c r="E36" s="29">
        <f>(1+I$18)^I$16</f>
        <v>1.1486493423569513</v>
      </c>
      <c r="F36" s="29">
        <f t="shared" ref="F36:F45" si="2">(1+I$19)^I$17</f>
        <v>1.1842937687499671</v>
      </c>
      <c r="G36" s="29">
        <f>ROUND(PRODUCT(D36,F36)/PRODUCT(C36,E36),3)</f>
        <v>1.171</v>
      </c>
      <c r="H36"/>
      <c r="I36"/>
      <c r="J36"/>
      <c r="K36"/>
      <c r="L36"/>
      <c r="M36" s="86"/>
    </row>
    <row r="37" spans="1:13" x14ac:dyDescent="0.2">
      <c r="A37" t="str">
        <f t="shared" si="1"/>
        <v>2014</v>
      </c>
      <c r="B37"/>
      <c r="C37" s="28">
        <f t="shared" ref="C37:C45" si="3">C$23/C15</f>
        <v>1.2760227388985512</v>
      </c>
      <c r="D37" s="28">
        <f>'3.3a'!H15</f>
        <v>1.4179999999999999</v>
      </c>
      <c r="E37" s="29">
        <f t="shared" ref="E37:E45" si="4">(1+I$18)^I$16</f>
        <v>1.1486493423569513</v>
      </c>
      <c r="F37" s="29">
        <f t="shared" si="2"/>
        <v>1.1842937687499671</v>
      </c>
      <c r="G37" s="29">
        <f t="shared" ref="G37:G44" si="5">ROUND(PRODUCT(D37,F37)/PRODUCT(C37,E37),3)</f>
        <v>1.1459999999999999</v>
      </c>
      <c r="H37"/>
      <c r="I37"/>
      <c r="J37"/>
      <c r="K37"/>
      <c r="L37"/>
      <c r="M37" s="86"/>
    </row>
    <row r="38" spans="1:13" x14ac:dyDescent="0.2">
      <c r="A38" t="str">
        <f t="shared" si="1"/>
        <v>2015</v>
      </c>
      <c r="B38"/>
      <c r="C38" s="28">
        <f t="shared" si="3"/>
        <v>1.28133186529481</v>
      </c>
      <c r="D38" s="28">
        <f>'3.3a'!H16</f>
        <v>1.3959999999999999</v>
      </c>
      <c r="E38" s="29">
        <f t="shared" si="4"/>
        <v>1.1486493423569513</v>
      </c>
      <c r="F38" s="29">
        <f t="shared" si="2"/>
        <v>1.1842937687499671</v>
      </c>
      <c r="G38" s="29">
        <f t="shared" si="5"/>
        <v>1.123</v>
      </c>
      <c r="H38"/>
      <c r="I38"/>
      <c r="J38"/>
      <c r="K38"/>
      <c r="L38"/>
      <c r="M38" s="86"/>
    </row>
    <row r="39" spans="1:13" x14ac:dyDescent="0.2">
      <c r="A39" t="str">
        <f t="shared" si="1"/>
        <v>2016</v>
      </c>
      <c r="B39"/>
      <c r="C39" s="28">
        <f t="shared" si="3"/>
        <v>1.2848901400375794</v>
      </c>
      <c r="D39" s="28">
        <f>'3.3a'!H17</f>
        <v>1.397</v>
      </c>
      <c r="E39" s="29">
        <f t="shared" si="4"/>
        <v>1.1486493423569513</v>
      </c>
      <c r="F39" s="29">
        <f t="shared" si="2"/>
        <v>1.1842937687499671</v>
      </c>
      <c r="G39" s="29">
        <f t="shared" si="5"/>
        <v>1.121</v>
      </c>
      <c r="H39"/>
      <c r="I39"/>
      <c r="J39"/>
      <c r="K39"/>
      <c r="L39"/>
      <c r="M39" s="86"/>
    </row>
    <row r="40" spans="1:13" x14ac:dyDescent="0.2">
      <c r="A40" t="str">
        <f t="shared" si="1"/>
        <v>2017</v>
      </c>
      <c r="B40"/>
      <c r="C40" s="28">
        <f t="shared" si="3"/>
        <v>1.2962788070492544</v>
      </c>
      <c r="D40" s="28">
        <f>'3.3a'!H18</f>
        <v>1.3759999999999999</v>
      </c>
      <c r="E40" s="29">
        <f t="shared" si="4"/>
        <v>1.1486493423569513</v>
      </c>
      <c r="F40" s="29">
        <f t="shared" si="2"/>
        <v>1.1842937687499671</v>
      </c>
      <c r="G40" s="29">
        <f t="shared" si="5"/>
        <v>1.0940000000000001</v>
      </c>
      <c r="H40"/>
      <c r="I40"/>
      <c r="J40"/>
      <c r="K40"/>
      <c r="L40"/>
      <c r="M40" s="86"/>
    </row>
    <row r="41" spans="1:13" x14ac:dyDescent="0.2">
      <c r="A41" t="str">
        <f t="shared" si="1"/>
        <v>2018</v>
      </c>
      <c r="B41"/>
      <c r="C41" s="28">
        <f t="shared" si="3"/>
        <v>1.3082379820957055</v>
      </c>
      <c r="D41" s="28">
        <f>'3.3a'!H19</f>
        <v>1.329</v>
      </c>
      <c r="E41" s="29">
        <f t="shared" si="4"/>
        <v>1.1486493423569513</v>
      </c>
      <c r="F41" s="29">
        <f t="shared" si="2"/>
        <v>1.1842937687499671</v>
      </c>
      <c r="G41" s="29">
        <f t="shared" si="5"/>
        <v>1.0469999999999999</v>
      </c>
      <c r="H41"/>
      <c r="I41"/>
      <c r="J41"/>
      <c r="K41"/>
      <c r="L41"/>
      <c r="M41" s="86"/>
    </row>
    <row r="42" spans="1:13" x14ac:dyDescent="0.2">
      <c r="A42" t="str">
        <f t="shared" si="1"/>
        <v>2019</v>
      </c>
      <c r="B42"/>
      <c r="C42" s="28">
        <f t="shared" si="3"/>
        <v>1.2467659183314246</v>
      </c>
      <c r="D42" s="28">
        <f>'3.3a'!H20</f>
        <v>1.304</v>
      </c>
      <c r="E42" s="29">
        <f t="shared" si="4"/>
        <v>1.1486493423569513</v>
      </c>
      <c r="F42" s="29">
        <f t="shared" si="2"/>
        <v>1.1842937687499671</v>
      </c>
      <c r="G42" s="29">
        <f t="shared" si="5"/>
        <v>1.0780000000000001</v>
      </c>
      <c r="H42"/>
      <c r="I42"/>
      <c r="J42"/>
      <c r="K42"/>
      <c r="L42"/>
      <c r="M42" s="86"/>
    </row>
    <row r="43" spans="1:13" x14ac:dyDescent="0.2">
      <c r="A43" t="str">
        <f t="shared" si="1"/>
        <v>2020</v>
      </c>
      <c r="B43"/>
      <c r="C43" s="28">
        <f t="shared" si="3"/>
        <v>1.1635580072401308</v>
      </c>
      <c r="D43" s="28">
        <f>'3.3a'!H21</f>
        <v>1.3</v>
      </c>
      <c r="E43" s="29">
        <f t="shared" si="4"/>
        <v>1.1486493423569513</v>
      </c>
      <c r="F43" s="29">
        <f t="shared" si="2"/>
        <v>1.1842937687499671</v>
      </c>
      <c r="G43" s="29">
        <f t="shared" si="5"/>
        <v>1.1519999999999999</v>
      </c>
      <c r="H43"/>
      <c r="I43"/>
      <c r="J43"/>
      <c r="K43"/>
      <c r="L43"/>
      <c r="M43" s="86"/>
    </row>
    <row r="44" spans="1:13" x14ac:dyDescent="0.2">
      <c r="A44" t="str">
        <f t="shared" si="1"/>
        <v>2021</v>
      </c>
      <c r="B44"/>
      <c r="C44" s="28">
        <f t="shared" si="3"/>
        <v>1.135452908230917</v>
      </c>
      <c r="D44" s="28">
        <f>'3.3a'!H22</f>
        <v>1.1559999999999999</v>
      </c>
      <c r="E44" s="29">
        <f t="shared" si="4"/>
        <v>1.1486493423569513</v>
      </c>
      <c r="F44" s="29">
        <f t="shared" si="2"/>
        <v>1.1842937687499671</v>
      </c>
      <c r="G44" s="29">
        <f t="shared" si="5"/>
        <v>1.05</v>
      </c>
      <c r="H44"/>
      <c r="I44"/>
      <c r="J44"/>
      <c r="K44"/>
      <c r="L44"/>
      <c r="M44" s="86"/>
    </row>
    <row r="45" spans="1:13" x14ac:dyDescent="0.2">
      <c r="A45" t="str">
        <f>TEXT(YEAR($N$8),"#")</f>
        <v>2022</v>
      </c>
      <c r="B45"/>
      <c r="C45" s="28">
        <f t="shared" si="3"/>
        <v>1</v>
      </c>
      <c r="D45" s="28">
        <f>'3.3a'!H23</f>
        <v>1</v>
      </c>
      <c r="E45" s="29">
        <f t="shared" si="4"/>
        <v>1.1486493423569513</v>
      </c>
      <c r="F45" s="29">
        <f t="shared" si="2"/>
        <v>1.1842937687499671</v>
      </c>
      <c r="G45" s="29">
        <f>ROUND(PRODUCT(D45,F45)/PRODUCT(C45,E45),3)</f>
        <v>1.0309999999999999</v>
      </c>
      <c r="H45"/>
      <c r="I45"/>
      <c r="J45"/>
      <c r="K45"/>
      <c r="L45"/>
      <c r="M45" s="86"/>
    </row>
    <row r="46" spans="1:13" ht="12" thickBot="1" x14ac:dyDescent="0.25">
      <c r="A46" s="6"/>
      <c r="B46" s="6"/>
      <c r="C46" s="132"/>
      <c r="D46" s="132"/>
      <c r="E46" s="132"/>
      <c r="F46" s="132"/>
      <c r="G46" s="132"/>
      <c r="H46" s="6"/>
      <c r="I46" s="6"/>
      <c r="J46"/>
      <c r="K46"/>
      <c r="L46"/>
      <c r="M46" s="86"/>
    </row>
    <row r="47" spans="1:13" ht="12" thickTop="1" x14ac:dyDescent="0.2">
      <c r="A47"/>
      <c r="B47"/>
      <c r="C47"/>
      <c r="D47"/>
      <c r="E47"/>
      <c r="F47"/>
      <c r="G47"/>
      <c r="H47"/>
      <c r="I47"/>
      <c r="J47"/>
      <c r="K47"/>
      <c r="L47"/>
      <c r="M47" s="86"/>
    </row>
    <row r="48" spans="1:13" x14ac:dyDescent="0.2">
      <c r="A48" t="s">
        <v>18</v>
      </c>
      <c r="B48"/>
      <c r="C48"/>
      <c r="D48"/>
      <c r="E48"/>
      <c r="F48"/>
      <c r="G48"/>
      <c r="H48"/>
      <c r="I48"/>
      <c r="J48"/>
      <c r="K48"/>
      <c r="L48"/>
      <c r="M48" s="86"/>
    </row>
    <row r="49" spans="1:13" x14ac:dyDescent="0.2">
      <c r="A49"/>
      <c r="B49" t="str">
        <f>C12&amp;" "&amp;'3.2 premium trend'!$L$1&amp;", "&amp;'3.2 premium trend'!$L$2&amp;" "&amp;'3.2 premium trend'!$H$12</f>
        <v>(2) Exhibit 3, Sheet 2 (7)</v>
      </c>
      <c r="C49"/>
      <c r="D49"/>
      <c r="E49"/>
      <c r="F49"/>
      <c r="G49"/>
      <c r="H49"/>
      <c r="I49"/>
      <c r="J49"/>
      <c r="K49"/>
      <c r="L49"/>
      <c r="M49" s="86"/>
    </row>
    <row r="50" spans="1:13" x14ac:dyDescent="0.2">
      <c r="A50"/>
      <c r="B50" t="str">
        <f>D13&amp;" Latest Year / Quarter Ending Date - 6 Months"</f>
        <v>(3) Latest Year / Quarter Ending Date - 6 Months</v>
      </c>
      <c r="C50"/>
      <c r="D50"/>
      <c r="E50"/>
      <c r="F50"/>
      <c r="G50"/>
      <c r="H50"/>
      <c r="I50"/>
      <c r="J50"/>
      <c r="K50"/>
      <c r="L50"/>
      <c r="M50" s="86"/>
    </row>
    <row r="51" spans="1:13" x14ac:dyDescent="0.2">
      <c r="A51"/>
      <c r="B51" t="str">
        <f>D14&amp;" Latest Accident Year Ending Date - 6 Months"</f>
        <v>(4) Latest Accident Year Ending Date - 6 Months</v>
      </c>
      <c r="C51"/>
      <c r="D51"/>
      <c r="E51"/>
      <c r="F51"/>
      <c r="G51"/>
      <c r="H51"/>
      <c r="I51"/>
      <c r="J51"/>
      <c r="K51"/>
      <c r="L51"/>
      <c r="M51" s="86"/>
    </row>
    <row r="52" spans="1:13" x14ac:dyDescent="0.2">
      <c r="A52"/>
      <c r="B52" t="str">
        <f>D15&amp;" Rate Effective Date + 12 Months"</f>
        <v>(5) Rate Effective Date + 12 Months</v>
      </c>
      <c r="C52"/>
      <c r="D52"/>
      <c r="E52"/>
      <c r="F52"/>
      <c r="G52"/>
      <c r="H52"/>
      <c r="I52"/>
      <c r="J52"/>
      <c r="K52"/>
      <c r="L52"/>
      <c r="M52" s="86"/>
    </row>
    <row r="53" spans="1:13" x14ac:dyDescent="0.2">
      <c r="A53"/>
      <c r="B53" t="str">
        <f>D16&amp;" = "&amp;D15&amp;" - "&amp;D13</f>
        <v>(6) = (5) - (3)</v>
      </c>
      <c r="C53"/>
      <c r="D53"/>
      <c r="E53"/>
      <c r="F53"/>
      <c r="G53"/>
      <c r="H53"/>
      <c r="I53"/>
      <c r="J53"/>
      <c r="K53"/>
      <c r="L53"/>
      <c r="M53" s="86"/>
    </row>
    <row r="54" spans="1:13" x14ac:dyDescent="0.2">
      <c r="A54"/>
      <c r="B54" t="str">
        <f>D17&amp;" = "&amp;D15&amp;" - "&amp;D14</f>
        <v>(7) = (5) - (4)</v>
      </c>
      <c r="C54"/>
      <c r="D54"/>
      <c r="E54"/>
      <c r="F54"/>
      <c r="G54"/>
      <c r="H54"/>
      <c r="I54"/>
      <c r="J54"/>
      <c r="K54"/>
      <c r="L54"/>
      <c r="M54" s="86"/>
    </row>
    <row r="55" spans="1:13" x14ac:dyDescent="0.2">
      <c r="A55"/>
      <c r="B55" t="str">
        <f>D18&amp;" "&amp;'3.2 premium trend'!$L$1&amp;", "&amp;'3.2 premium trend'!$L$2</f>
        <v>(8) Exhibit 3, Sheet 2</v>
      </c>
      <c r="C55"/>
      <c r="D55"/>
      <c r="E55"/>
      <c r="F55"/>
      <c r="G55"/>
      <c r="H55"/>
      <c r="I55"/>
      <c r="J55"/>
      <c r="K55"/>
      <c r="L55"/>
      <c r="M55" s="86"/>
    </row>
    <row r="56" spans="1:13" x14ac:dyDescent="0.2">
      <c r="A56"/>
      <c r="B56" t="str">
        <f>D19&amp;" "&amp;'3.3a'!$L$1&amp;", "&amp;'3.3a'!$L$2</f>
        <v>(9) Exhibit 3, Sheet 3a</v>
      </c>
      <c r="C56"/>
      <c r="D56"/>
      <c r="E56"/>
      <c r="F56"/>
      <c r="G56"/>
      <c r="H56"/>
      <c r="I56"/>
      <c r="J56"/>
      <c r="K56"/>
      <c r="L56"/>
      <c r="M56" s="86"/>
    </row>
    <row r="57" spans="1:13" x14ac:dyDescent="0.2">
      <c r="A57"/>
      <c r="B57" s="130" t="str">
        <f>C34&amp;" = "&amp;C12&amp;" Indexed to "&amp;A23</f>
        <v>(11) = (2) Indexed to 2022 / 4</v>
      </c>
      <c r="C57" s="131"/>
      <c r="D57" s="131"/>
      <c r="E57"/>
      <c r="F57"/>
      <c r="G57"/>
      <c r="H57"/>
      <c r="I57"/>
      <c r="J57"/>
      <c r="K57"/>
      <c r="L57"/>
      <c r="M57" s="86"/>
    </row>
    <row r="58" spans="1:13" x14ac:dyDescent="0.2">
      <c r="A58"/>
      <c r="B58" t="str">
        <f>D34&amp;" "&amp;'3.3a'!$L$1&amp;", "&amp;'3.3a'!$L$2</f>
        <v>(12) Exhibit 3, Sheet 3a</v>
      </c>
      <c r="C58"/>
      <c r="D58"/>
      <c r="E58"/>
      <c r="F58"/>
      <c r="G58"/>
      <c r="H58"/>
      <c r="I58"/>
      <c r="J58"/>
      <c r="K58"/>
      <c r="L58"/>
      <c r="M58" s="86"/>
    </row>
    <row r="59" spans="1:13" x14ac:dyDescent="0.2">
      <c r="A59"/>
      <c r="B59" t="str">
        <f>E34&amp;" = [1 + "&amp;D18&amp;"] ^ "&amp;D16</f>
        <v>(13) = [1 + (8)] ^ (6)</v>
      </c>
      <c r="C59"/>
      <c r="D59"/>
      <c r="E59"/>
      <c r="F59"/>
      <c r="G59"/>
      <c r="H59"/>
      <c r="I59"/>
      <c r="J59"/>
      <c r="K59"/>
      <c r="L59"/>
      <c r="M59" s="86"/>
    </row>
    <row r="60" spans="1:13" x14ac:dyDescent="0.2">
      <c r="A60"/>
      <c r="B60" t="str">
        <f>F34&amp;" = [1 + "&amp;D19&amp;"] ^ "&amp;D17</f>
        <v>(14) = [1 + (9)] ^ (7)</v>
      </c>
      <c r="C60"/>
      <c r="D60"/>
      <c r="E60"/>
      <c r="F60"/>
      <c r="G60"/>
      <c r="H60"/>
      <c r="I60"/>
      <c r="J60"/>
      <c r="K60"/>
      <c r="L60"/>
      <c r="M60" s="86"/>
    </row>
    <row r="61" spans="1:13" x14ac:dyDescent="0.2">
      <c r="A61"/>
      <c r="B61" t="str">
        <f>G34&amp;" = ["&amp;D34&amp;" * "&amp;F34&amp;"] / ["&amp;C34&amp;" * "&amp;E34&amp;"]"</f>
        <v>(15) = [(12) * (14)] / [(11) * (13)]</v>
      </c>
      <c r="C61"/>
      <c r="D61"/>
      <c r="E61"/>
      <c r="F61"/>
      <c r="G61"/>
      <c r="H61"/>
      <c r="I61"/>
      <c r="J61"/>
      <c r="K61"/>
      <c r="L61"/>
      <c r="M61" s="86"/>
    </row>
    <row r="62" spans="1:13" ht="12" thickBot="1" x14ac:dyDescent="0.25">
      <c r="A62"/>
      <c r="C62"/>
      <c r="D62"/>
      <c r="E62"/>
      <c r="F62"/>
      <c r="G62"/>
      <c r="H62"/>
      <c r="I62"/>
      <c r="J62"/>
      <c r="K62"/>
      <c r="L62"/>
      <c r="M62" s="86"/>
    </row>
    <row r="63" spans="1:13" ht="12" thickBot="1" x14ac:dyDescent="0.25">
      <c r="A63" s="92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4"/>
    </row>
    <row r="66" spans="2:2" x14ac:dyDescent="0.2">
      <c r="B66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D13:D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S69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2.5" bestFit="1" customWidth="1"/>
    <col min="2" max="2" width="11.6640625" customWidth="1"/>
    <col min="3" max="9" width="12.6640625" customWidth="1"/>
    <col min="10" max="10" width="11.33203125" customWidth="1"/>
    <col min="11" max="11" width="5.6640625" customWidth="1"/>
  </cols>
  <sheetData>
    <row r="1" spans="1:18" x14ac:dyDescent="0.2">
      <c r="A1" s="8" t="str">
        <f>'1'!$A$1</f>
        <v>Texas Windstorm Insurance Association</v>
      </c>
      <c r="B1" s="12"/>
      <c r="K1" s="7" t="s">
        <v>47</v>
      </c>
      <c r="L1" s="1"/>
      <c r="O1" t="s">
        <v>526</v>
      </c>
      <c r="P1" t="s">
        <v>533</v>
      </c>
    </row>
    <row r="2" spans="1:18" x14ac:dyDescent="0.2">
      <c r="A2" s="8" t="str">
        <f>'1'!$A$2</f>
        <v>Commercial Property - Wind &amp; Hail</v>
      </c>
      <c r="B2" s="12"/>
      <c r="K2" s="7" t="s">
        <v>21</v>
      </c>
      <c r="L2" s="2"/>
      <c r="O2" t="s">
        <v>526</v>
      </c>
      <c r="P2" t="s">
        <v>532</v>
      </c>
    </row>
    <row r="3" spans="1:18" x14ac:dyDescent="0.2">
      <c r="A3" s="8" t="str">
        <f>'1'!$A$3</f>
        <v>Rate Level Review</v>
      </c>
      <c r="B3" s="12"/>
      <c r="F3" s="131"/>
      <c r="L3" s="2"/>
    </row>
    <row r="4" spans="1:18" x14ac:dyDescent="0.2">
      <c r="A4" t="s">
        <v>46</v>
      </c>
      <c r="B4" s="12"/>
      <c r="L4" s="2"/>
    </row>
    <row r="5" spans="1:18" x14ac:dyDescent="0.2">
      <c r="A5" t="s">
        <v>231</v>
      </c>
      <c r="B5" s="12"/>
      <c r="L5" s="2"/>
    </row>
    <row r="6" spans="1:18" x14ac:dyDescent="0.2">
      <c r="L6" s="2"/>
    </row>
    <row r="7" spans="1:18" ht="12" thickBot="1" x14ac:dyDescent="0.25">
      <c r="A7" s="6"/>
      <c r="B7" s="6"/>
      <c r="C7" s="6"/>
      <c r="D7" s="6"/>
      <c r="E7" s="6"/>
      <c r="F7" s="6"/>
      <c r="G7" s="6"/>
      <c r="H7" s="6"/>
      <c r="I7" s="6"/>
      <c r="L7" s="2"/>
    </row>
    <row r="8" spans="1:18" ht="12" thickTop="1" x14ac:dyDescent="0.2">
      <c r="L8" s="2"/>
    </row>
    <row r="9" spans="1:18" x14ac:dyDescent="0.2">
      <c r="C9" s="10" t="s">
        <v>48</v>
      </c>
      <c r="L9" s="2"/>
      <c r="M9" s="24"/>
    </row>
    <row r="10" spans="1:18" x14ac:dyDescent="0.2">
      <c r="A10" t="s">
        <v>41</v>
      </c>
      <c r="L10" s="2"/>
      <c r="M10" t="s">
        <v>49</v>
      </c>
    </row>
    <row r="11" spans="1:18" x14ac:dyDescent="0.2">
      <c r="A11" s="9" t="s">
        <v>42</v>
      </c>
      <c r="B11" s="9"/>
      <c r="C11" s="23">
        <f>$M$11</f>
        <v>12</v>
      </c>
      <c r="D11" s="23">
        <f t="shared" ref="D11:I11" si="0">C11+12</f>
        <v>24</v>
      </c>
      <c r="E11" s="23">
        <f t="shared" si="0"/>
        <v>36</v>
      </c>
      <c r="F11" s="23">
        <f t="shared" si="0"/>
        <v>48</v>
      </c>
      <c r="G11" s="23">
        <f t="shared" si="0"/>
        <v>60</v>
      </c>
      <c r="H11" s="23">
        <f t="shared" si="0"/>
        <v>72</v>
      </c>
      <c r="I11" s="23">
        <f t="shared" si="0"/>
        <v>84</v>
      </c>
      <c r="J11" s="22"/>
      <c r="L11" s="2"/>
      <c r="M11" s="70">
        <f>ROUND((YEAR($N$23)-YEAR($M$23)+1)*12+MONTH($N$23)-MONTH($M$23),0)</f>
        <v>12</v>
      </c>
    </row>
    <row r="12" spans="1:18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/>
      <c r="L12" s="2"/>
    </row>
    <row r="13" spans="1:18" x14ac:dyDescent="0.2">
      <c r="L13" s="2"/>
      <c r="M13" s="113"/>
      <c r="N13" s="113"/>
      <c r="O13" s="113"/>
      <c r="P13" s="113"/>
      <c r="Q13" s="113"/>
      <c r="R13" s="113"/>
    </row>
    <row r="14" spans="1:18" x14ac:dyDescent="0.2">
      <c r="A14" t="str">
        <f t="shared" ref="A14:A22" si="2">TEXT(A15-1,"#")</f>
        <v>2013</v>
      </c>
      <c r="B14" s="22"/>
      <c r="C14" s="113">
        <v>6886</v>
      </c>
      <c r="D14" s="113">
        <v>7243</v>
      </c>
      <c r="E14" s="113">
        <v>7338</v>
      </c>
      <c r="F14" s="113">
        <v>7351</v>
      </c>
      <c r="G14" s="113">
        <v>7351</v>
      </c>
      <c r="H14" s="113">
        <v>7351</v>
      </c>
      <c r="I14" s="137">
        <f>ROUND('2.3'!$C14/1000,0)</f>
        <v>7351</v>
      </c>
      <c r="J14" s="26"/>
      <c r="L14" s="2"/>
      <c r="M14" s="113"/>
      <c r="N14" s="113"/>
      <c r="O14" s="113"/>
      <c r="P14" s="113"/>
      <c r="Q14" s="113"/>
      <c r="R14" s="113"/>
    </row>
    <row r="15" spans="1:18" x14ac:dyDescent="0.2">
      <c r="A15" t="str">
        <f t="shared" si="2"/>
        <v>2014</v>
      </c>
      <c r="B15" s="22"/>
      <c r="C15" s="31">
        <v>641</v>
      </c>
      <c r="D15" s="113">
        <v>875</v>
      </c>
      <c r="E15" s="113">
        <v>1015</v>
      </c>
      <c r="F15" s="113">
        <v>1056</v>
      </c>
      <c r="G15" s="113">
        <v>1056</v>
      </c>
      <c r="H15" s="113">
        <v>1056</v>
      </c>
      <c r="I15" s="137">
        <f>ROUND('2.3'!$C15/1000,0)</f>
        <v>1056</v>
      </c>
      <c r="J15" s="26"/>
      <c r="L15" s="2"/>
      <c r="M15" s="113"/>
      <c r="N15" s="113"/>
      <c r="O15" s="113"/>
      <c r="P15" s="113"/>
      <c r="Q15" s="113"/>
      <c r="R15" s="113"/>
    </row>
    <row r="16" spans="1:18" x14ac:dyDescent="0.2">
      <c r="A16" t="str">
        <f t="shared" si="2"/>
        <v>2015</v>
      </c>
      <c r="B16" s="22"/>
      <c r="C16" s="31">
        <v>15923</v>
      </c>
      <c r="D16" s="113">
        <v>17690</v>
      </c>
      <c r="E16" s="113">
        <v>17780</v>
      </c>
      <c r="F16" s="113">
        <v>18644</v>
      </c>
      <c r="G16" s="113">
        <v>18644</v>
      </c>
      <c r="H16" s="113">
        <v>18673</v>
      </c>
      <c r="I16" s="137">
        <f>ROUND('2.3'!$C16/1000,0)</f>
        <v>18718</v>
      </c>
      <c r="J16" s="26"/>
      <c r="L16" s="2"/>
      <c r="M16" s="113"/>
      <c r="N16" s="113"/>
      <c r="O16" s="113"/>
      <c r="P16" s="113"/>
      <c r="Q16" s="113"/>
      <c r="R16" s="113"/>
    </row>
    <row r="17" spans="1:19" x14ac:dyDescent="0.2">
      <c r="A17" t="str">
        <f>TEXT(A18-1,"#")</f>
        <v>2016</v>
      </c>
      <c r="B17" s="22"/>
      <c r="C17" s="31">
        <v>2055</v>
      </c>
      <c r="D17" s="113">
        <v>2479</v>
      </c>
      <c r="E17" s="113">
        <v>2584</v>
      </c>
      <c r="F17" s="113">
        <v>2597</v>
      </c>
      <c r="G17" s="113">
        <v>2597</v>
      </c>
      <c r="H17" s="113">
        <v>2597</v>
      </c>
      <c r="I17" s="137">
        <f>ROUND('2.3'!$C17/1000,0)</f>
        <v>2551</v>
      </c>
      <c r="J17" s="26"/>
      <c r="L17" s="2"/>
      <c r="M17" s="113"/>
      <c r="N17" s="113"/>
      <c r="O17" s="113"/>
      <c r="P17" s="113"/>
      <c r="Q17" s="113"/>
      <c r="R17" s="113"/>
    </row>
    <row r="18" spans="1:19" x14ac:dyDescent="0.2">
      <c r="A18" t="str">
        <f t="shared" si="2"/>
        <v>2017</v>
      </c>
      <c r="B18" s="22"/>
      <c r="C18" s="31">
        <v>1599</v>
      </c>
      <c r="D18" s="113">
        <v>1963</v>
      </c>
      <c r="E18" s="113">
        <v>1979</v>
      </c>
      <c r="F18" s="113">
        <v>1999</v>
      </c>
      <c r="G18" s="113">
        <v>1999</v>
      </c>
      <c r="H18" s="26">
        <f>ROUND('2.3'!C18/1000,0)</f>
        <v>2000</v>
      </c>
      <c r="I18" s="137"/>
      <c r="J18" s="26"/>
      <c r="L18" s="2"/>
      <c r="M18" s="113"/>
      <c r="N18" s="113"/>
      <c r="O18" s="113"/>
      <c r="P18" s="113"/>
      <c r="Q18" s="113"/>
      <c r="R18" s="113"/>
    </row>
    <row r="19" spans="1:19" x14ac:dyDescent="0.2">
      <c r="A19" t="str">
        <f t="shared" si="2"/>
        <v>2018</v>
      </c>
      <c r="B19" s="22"/>
      <c r="C19" s="31">
        <v>165</v>
      </c>
      <c r="D19" s="113">
        <v>187</v>
      </c>
      <c r="E19" s="113">
        <v>238</v>
      </c>
      <c r="F19" s="113">
        <v>251</v>
      </c>
      <c r="G19" s="26">
        <f>ROUND('2.3'!C19/1000,0)</f>
        <v>251</v>
      </c>
      <c r="H19" s="26"/>
      <c r="I19" s="133"/>
      <c r="J19" s="31"/>
      <c r="L19" s="2"/>
      <c r="M19" s="113"/>
      <c r="N19" s="113"/>
      <c r="O19" s="113"/>
      <c r="P19" s="113"/>
      <c r="Q19" s="113"/>
      <c r="R19" s="113"/>
    </row>
    <row r="20" spans="1:19" x14ac:dyDescent="0.2">
      <c r="A20" t="str">
        <f t="shared" si="2"/>
        <v>2019</v>
      </c>
      <c r="B20" s="22"/>
      <c r="C20" s="31">
        <v>807</v>
      </c>
      <c r="D20" s="113">
        <v>875</v>
      </c>
      <c r="E20" s="113">
        <v>887</v>
      </c>
      <c r="F20" s="26">
        <f>ROUND('2.3'!C20/1000,0)</f>
        <v>942</v>
      </c>
      <c r="G20" s="31"/>
      <c r="H20" s="31"/>
      <c r="I20" s="133"/>
      <c r="J20" s="31"/>
      <c r="L20" s="2"/>
      <c r="M20" s="113"/>
      <c r="N20" s="113"/>
      <c r="O20" s="113"/>
      <c r="P20" s="113"/>
      <c r="Q20" s="113"/>
      <c r="R20" s="113"/>
    </row>
    <row r="21" spans="1:19" x14ac:dyDescent="0.2">
      <c r="A21" t="str">
        <f t="shared" si="2"/>
        <v>2020</v>
      </c>
      <c r="B21" s="22"/>
      <c r="C21" s="31">
        <v>393</v>
      </c>
      <c r="D21" s="113">
        <v>595</v>
      </c>
      <c r="E21" s="26">
        <f>ROUND('2.3'!C21/1000,0)</f>
        <v>595</v>
      </c>
      <c r="F21" s="31"/>
      <c r="G21" s="31"/>
      <c r="H21" s="31"/>
      <c r="I21" s="133"/>
      <c r="J21" s="31"/>
      <c r="L21" s="2"/>
      <c r="M21" s="113"/>
      <c r="N21" s="113"/>
      <c r="O21" s="113"/>
      <c r="P21" s="113"/>
      <c r="Q21" s="113"/>
      <c r="R21" s="113"/>
    </row>
    <row r="22" spans="1:19" x14ac:dyDescent="0.2">
      <c r="A22" t="str">
        <f t="shared" si="2"/>
        <v>2021</v>
      </c>
      <c r="B22" s="22"/>
      <c r="C22" s="31">
        <v>561</v>
      </c>
      <c r="D22" s="26">
        <f>ROUND('2.3'!C22/1000,0)</f>
        <v>712</v>
      </c>
      <c r="E22" s="31"/>
      <c r="F22" s="31"/>
      <c r="G22" s="31"/>
      <c r="H22" s="31"/>
      <c r="I22" s="133"/>
      <c r="J22" s="31"/>
      <c r="L22" s="2"/>
      <c r="M22" t="s">
        <v>245</v>
      </c>
      <c r="N22" t="s">
        <v>246</v>
      </c>
    </row>
    <row r="23" spans="1:19" x14ac:dyDescent="0.2">
      <c r="A23" t="str">
        <f>TEXT(YEAR($M$23),"#")</f>
        <v>2022</v>
      </c>
      <c r="B23" s="22"/>
      <c r="C23" s="160">
        <f>ROUND('2.3'!$C23/1000,0)</f>
        <v>841</v>
      </c>
      <c r="D23" s="137"/>
      <c r="E23" s="133"/>
      <c r="F23" s="133"/>
      <c r="G23" s="133"/>
      <c r="H23" s="133"/>
      <c r="I23" s="133"/>
      <c r="J23" s="31"/>
      <c r="L23" s="2"/>
      <c r="M23" s="36">
        <f>'2.3'!$M$26</f>
        <v>44926</v>
      </c>
      <c r="N23" s="36">
        <f>'2.3'!$M$26</f>
        <v>44926</v>
      </c>
    </row>
    <row r="24" spans="1:19" x14ac:dyDescent="0.2">
      <c r="A24" s="9"/>
      <c r="B24" s="23"/>
      <c r="C24" s="27"/>
      <c r="D24" s="48"/>
      <c r="E24" s="48"/>
      <c r="F24" s="48"/>
      <c r="G24" s="48"/>
      <c r="H24" s="48"/>
      <c r="I24" s="48"/>
      <c r="L24" s="2"/>
    </row>
    <row r="25" spans="1:19" x14ac:dyDescent="0.2">
      <c r="L25" s="2"/>
    </row>
    <row r="26" spans="1:19" x14ac:dyDescent="0.2">
      <c r="C26" s="10" t="s">
        <v>50</v>
      </c>
      <c r="L26" s="2"/>
      <c r="M26" s="18"/>
      <c r="N26" s="18"/>
      <c r="O26" s="18"/>
      <c r="P26" s="18"/>
      <c r="Q26" s="18"/>
      <c r="R26" s="18"/>
    </row>
    <row r="27" spans="1:19" x14ac:dyDescent="0.2">
      <c r="A27" t="s">
        <v>41</v>
      </c>
      <c r="L27" s="2"/>
      <c r="M27" s="144"/>
      <c r="N27" s="134"/>
      <c r="O27" s="134"/>
      <c r="P27" s="134"/>
      <c r="Q27" s="134"/>
      <c r="R27" s="134"/>
      <c r="S27" s="134"/>
    </row>
    <row r="28" spans="1:19" x14ac:dyDescent="0.2">
      <c r="A28" s="9" t="s">
        <v>42</v>
      </c>
      <c r="B28" s="9"/>
      <c r="C28" s="9" t="str">
        <f t="shared" ref="C28:H28" si="3">C11&amp;" - "&amp;D11</f>
        <v>12 - 24</v>
      </c>
      <c r="D28" s="9" t="str">
        <f t="shared" si="3"/>
        <v>24 - 36</v>
      </c>
      <c r="E28" s="9" t="str">
        <f t="shared" si="3"/>
        <v>36 - 48</v>
      </c>
      <c r="F28" s="9" t="str">
        <f t="shared" si="3"/>
        <v>48 - 60</v>
      </c>
      <c r="G28" s="9" t="str">
        <f t="shared" si="3"/>
        <v>60 - 72</v>
      </c>
      <c r="H28" s="9" t="str">
        <f t="shared" si="3"/>
        <v>72 - 84</v>
      </c>
      <c r="I28" s="9" t="str">
        <f>I11&amp;" - Ult"</f>
        <v>84 - Ult</v>
      </c>
      <c r="L28" s="2"/>
      <c r="M28" s="144"/>
      <c r="N28" s="134"/>
      <c r="O28" s="134"/>
      <c r="P28" s="134"/>
      <c r="Q28" s="134"/>
      <c r="R28" s="134"/>
      <c r="S28" s="135"/>
    </row>
    <row r="29" spans="1:19" x14ac:dyDescent="0.2">
      <c r="A29" s="13" t="str">
        <f>TEXT(COLUMN(),"(#)")</f>
        <v>(1)</v>
      </c>
      <c r="B29" s="13"/>
      <c r="C29" s="11" t="str">
        <f t="shared" ref="C29:I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1"/>
      <c r="L29" s="2"/>
      <c r="M29" s="144"/>
      <c r="N29" s="134"/>
      <c r="O29" s="134"/>
      <c r="P29" s="134"/>
      <c r="Q29" s="134"/>
      <c r="R29" s="134"/>
      <c r="S29" s="134"/>
    </row>
    <row r="30" spans="1:19" x14ac:dyDescent="0.2">
      <c r="L30" s="2"/>
      <c r="M30" s="144"/>
      <c r="N30" s="134"/>
      <c r="O30" s="134"/>
      <c r="P30" s="134"/>
      <c r="Q30" s="134"/>
      <c r="R30" s="134"/>
      <c r="S30" s="134"/>
    </row>
    <row r="31" spans="1:19" ht="12.75" x14ac:dyDescent="0.2">
      <c r="A31" t="str">
        <f>A14</f>
        <v>2013</v>
      </c>
      <c r="B31" s="22"/>
      <c r="C31" s="32">
        <f t="shared" ref="C31:C36" si="5">IF(ISNUMBER(D14),D14/C14,"")</f>
        <v>1.051844321812373</v>
      </c>
      <c r="D31" s="32">
        <f t="shared" ref="D31:I31" si="6">IF(ISNUMBER(E14),E14/D14,"")</f>
        <v>1.0131161121082424</v>
      </c>
      <c r="E31" s="32">
        <f t="shared" si="6"/>
        <v>1.0017715998909784</v>
      </c>
      <c r="F31" s="32">
        <f t="shared" si="6"/>
        <v>1</v>
      </c>
      <c r="G31" s="32">
        <f t="shared" si="6"/>
        <v>1</v>
      </c>
      <c r="H31" s="32">
        <f t="shared" si="6"/>
        <v>1</v>
      </c>
      <c r="I31" s="32" t="str">
        <f t="shared" si="6"/>
        <v/>
      </c>
      <c r="J31" s="32"/>
      <c r="L31" s="2"/>
      <c r="M31" s="144"/>
      <c r="N31" s="134"/>
      <c r="O31" s="134"/>
      <c r="P31" s="134"/>
      <c r="Q31" s="134"/>
      <c r="R31" s="134"/>
      <c r="S31" s="136"/>
    </row>
    <row r="32" spans="1:19" ht="12.75" x14ac:dyDescent="0.2">
      <c r="A32" t="str">
        <f t="shared" ref="A32:A39" si="7">A15</f>
        <v>2014</v>
      </c>
      <c r="B32" s="22"/>
      <c r="C32" s="32">
        <f t="shared" si="5"/>
        <v>1.3650546021840875</v>
      </c>
      <c r="D32" s="32">
        <f t="shared" ref="D32:H39" si="8">IF(ISNUMBER(E15),E15/D15,"")</f>
        <v>1.1599999999999999</v>
      </c>
      <c r="E32" s="32">
        <f t="shared" si="8"/>
        <v>1.0403940886699508</v>
      </c>
      <c r="F32" s="32">
        <f t="shared" si="8"/>
        <v>1</v>
      </c>
      <c r="G32" s="32">
        <f t="shared" si="8"/>
        <v>1</v>
      </c>
      <c r="H32" s="32">
        <f t="shared" si="8"/>
        <v>1</v>
      </c>
      <c r="I32" s="32" t="str">
        <f>IF(ISNUMBER(#REF!),#REF!/I15,"")</f>
        <v/>
      </c>
      <c r="J32" s="32"/>
      <c r="L32" s="2"/>
      <c r="M32" s="144"/>
      <c r="N32" s="134"/>
      <c r="O32" s="134"/>
      <c r="P32" s="134"/>
      <c r="Q32" s="134"/>
      <c r="R32" s="145"/>
      <c r="S32" s="136"/>
    </row>
    <row r="33" spans="1:19" ht="12.75" x14ac:dyDescent="0.2">
      <c r="A33" t="str">
        <f t="shared" si="7"/>
        <v>2015</v>
      </c>
      <c r="B33" s="22"/>
      <c r="C33" s="32">
        <f t="shared" si="5"/>
        <v>1.1109715505872009</v>
      </c>
      <c r="D33" s="32">
        <f t="shared" si="8"/>
        <v>1.0050876201243641</v>
      </c>
      <c r="E33" s="32">
        <f t="shared" si="8"/>
        <v>1.04859392575928</v>
      </c>
      <c r="F33" s="32">
        <f t="shared" si="8"/>
        <v>1</v>
      </c>
      <c r="G33" s="32">
        <f t="shared" si="8"/>
        <v>1.0015554602016734</v>
      </c>
      <c r="H33" s="32">
        <f t="shared" si="8"/>
        <v>1.0024098966422106</v>
      </c>
      <c r="I33" s="32" t="str">
        <f>IF(ISNUMBER(#REF!),#REF!/I16,"")</f>
        <v/>
      </c>
      <c r="J33" s="32"/>
      <c r="L33" s="2"/>
      <c r="M33" s="144"/>
      <c r="N33" s="134"/>
      <c r="O33" s="134"/>
      <c r="P33" s="134"/>
      <c r="Q33" s="145"/>
      <c r="R33" s="145"/>
      <c r="S33" s="136"/>
    </row>
    <row r="34" spans="1:19" ht="12.75" x14ac:dyDescent="0.2">
      <c r="A34" t="str">
        <f t="shared" si="7"/>
        <v>2016</v>
      </c>
      <c r="B34" s="22"/>
      <c r="C34" s="32">
        <f t="shared" si="5"/>
        <v>1.2063260340632604</v>
      </c>
      <c r="D34" s="32">
        <f t="shared" si="8"/>
        <v>1.0423557886244454</v>
      </c>
      <c r="E34" s="32">
        <f t="shared" si="8"/>
        <v>1.0050309597523219</v>
      </c>
      <c r="F34" s="32">
        <f t="shared" si="8"/>
        <v>1</v>
      </c>
      <c r="G34" s="32">
        <f t="shared" si="8"/>
        <v>1</v>
      </c>
      <c r="H34" s="32">
        <f t="shared" si="8"/>
        <v>0.98228725452445131</v>
      </c>
      <c r="I34" s="32" t="str">
        <f>IF(ISNUMBER(#REF!),#REF!/I17,"")</f>
        <v/>
      </c>
      <c r="J34" s="32"/>
      <c r="L34" s="2"/>
      <c r="M34" s="144"/>
      <c r="N34" s="134"/>
      <c r="O34" s="134"/>
      <c r="P34" s="145"/>
      <c r="Q34" s="145"/>
      <c r="R34" s="145"/>
      <c r="S34" s="136"/>
    </row>
    <row r="35" spans="1:19" ht="12.75" x14ac:dyDescent="0.2">
      <c r="A35" t="str">
        <f t="shared" si="7"/>
        <v>2017</v>
      </c>
      <c r="B35" s="22"/>
      <c r="C35" s="32">
        <f t="shared" si="5"/>
        <v>1.2276422764227641</v>
      </c>
      <c r="D35" s="32">
        <f t="shared" si="8"/>
        <v>1.0081507896077433</v>
      </c>
      <c r="E35" s="32">
        <f t="shared" si="8"/>
        <v>1.0101061141990904</v>
      </c>
      <c r="F35" s="32">
        <f t="shared" si="8"/>
        <v>1</v>
      </c>
      <c r="G35" s="32">
        <f t="shared" si="8"/>
        <v>1.0005002501250626</v>
      </c>
      <c r="H35" s="32" t="str">
        <f t="shared" si="8"/>
        <v/>
      </c>
      <c r="I35" s="32" t="str">
        <f>IF(ISNUMBER(#REF!),#REF!/I18,"")</f>
        <v/>
      </c>
      <c r="J35" s="32"/>
      <c r="L35" s="2"/>
      <c r="M35" s="144"/>
      <c r="N35" s="134"/>
      <c r="O35" s="145"/>
      <c r="P35" s="145"/>
      <c r="Q35" s="145"/>
      <c r="R35" s="145"/>
      <c r="S35" s="136"/>
    </row>
    <row r="36" spans="1:19" x14ac:dyDescent="0.2">
      <c r="A36" t="str">
        <f t="shared" si="7"/>
        <v>2018</v>
      </c>
      <c r="B36" s="22"/>
      <c r="C36" s="32">
        <f t="shared" si="5"/>
        <v>1.1333333333333333</v>
      </c>
      <c r="D36" s="32">
        <f t="shared" si="8"/>
        <v>1.2727272727272727</v>
      </c>
      <c r="E36" s="32">
        <f t="shared" si="8"/>
        <v>1.0546218487394958</v>
      </c>
      <c r="F36" s="32">
        <f t="shared" si="8"/>
        <v>1</v>
      </c>
      <c r="G36" s="32" t="str">
        <f t="shared" si="8"/>
        <v/>
      </c>
      <c r="H36" s="32" t="str">
        <f t="shared" si="8"/>
        <v/>
      </c>
      <c r="I36" s="32" t="str">
        <f>IF(ISNUMBER(#REF!),#REF!/I19,"")</f>
        <v/>
      </c>
      <c r="J36" s="32"/>
      <c r="L36" s="2"/>
      <c r="N36" s="18"/>
      <c r="O36" s="18"/>
      <c r="P36" s="18"/>
      <c r="Q36" s="18"/>
      <c r="R36" s="18"/>
      <c r="S36" s="18"/>
    </row>
    <row r="37" spans="1:19" x14ac:dyDescent="0.2">
      <c r="A37" t="str">
        <f t="shared" si="7"/>
        <v>2019</v>
      </c>
      <c r="B37" s="22"/>
      <c r="C37" s="32">
        <f>IF(ISNUMBER(D20),D20/C20,"")</f>
        <v>1.084262701363073</v>
      </c>
      <c r="D37" s="32">
        <f t="shared" si="8"/>
        <v>1.0137142857142858</v>
      </c>
      <c r="E37" s="32">
        <f t="shared" si="8"/>
        <v>1.0620067643742954</v>
      </c>
      <c r="F37" s="32" t="str">
        <f t="shared" si="8"/>
        <v/>
      </c>
      <c r="G37" s="32" t="str">
        <f t="shared" si="8"/>
        <v/>
      </c>
      <c r="H37" s="32" t="str">
        <f t="shared" si="8"/>
        <v/>
      </c>
      <c r="I37" s="32" t="str">
        <f>IF(ISNUMBER(#REF!),#REF!/I20,"")</f>
        <v/>
      </c>
      <c r="J37" s="32"/>
      <c r="L37" s="2"/>
      <c r="N37" s="18"/>
      <c r="O37" s="18"/>
      <c r="P37" s="18"/>
      <c r="Q37" s="18"/>
      <c r="R37" s="18"/>
      <c r="S37" s="18"/>
    </row>
    <row r="38" spans="1:19" x14ac:dyDescent="0.2">
      <c r="A38" t="str">
        <f t="shared" si="7"/>
        <v>2020</v>
      </c>
      <c r="B38" s="22"/>
      <c r="C38" s="32">
        <f>IF(ISNUMBER(D21),D21/C21,"")</f>
        <v>1.5139949109414759</v>
      </c>
      <c r="D38" s="32">
        <f t="shared" si="8"/>
        <v>1</v>
      </c>
      <c r="E38" s="32" t="str">
        <f t="shared" si="8"/>
        <v/>
      </c>
      <c r="F38" s="32" t="str">
        <f t="shared" si="8"/>
        <v/>
      </c>
      <c r="G38" s="32" t="str">
        <f t="shared" si="8"/>
        <v/>
      </c>
      <c r="H38" s="32" t="str">
        <f t="shared" si="8"/>
        <v/>
      </c>
      <c r="I38" s="32" t="str">
        <f>IF(ISNUMBER(#REF!),#REF!/I21,"")</f>
        <v/>
      </c>
      <c r="J38" s="32"/>
      <c r="L38" s="2"/>
      <c r="N38" s="18"/>
      <c r="O38" s="18"/>
      <c r="P38" s="18"/>
      <c r="Q38" s="18"/>
      <c r="R38" s="18"/>
      <c r="S38" s="18"/>
    </row>
    <row r="39" spans="1:19" x14ac:dyDescent="0.2">
      <c r="A39" t="str">
        <f t="shared" si="7"/>
        <v>2021</v>
      </c>
      <c r="B39" s="22"/>
      <c r="C39" s="32">
        <f>IF(ISNUMBER(D22),D22/C22,"")</f>
        <v>1.2691622103386808</v>
      </c>
      <c r="D39" s="32" t="str">
        <f t="shared" si="8"/>
        <v/>
      </c>
      <c r="E39" s="32" t="str">
        <f t="shared" si="8"/>
        <v/>
      </c>
      <c r="F39" s="32" t="str">
        <f t="shared" si="8"/>
        <v/>
      </c>
      <c r="G39" s="32" t="str">
        <f t="shared" si="8"/>
        <v/>
      </c>
      <c r="H39" s="32" t="str">
        <f t="shared" si="8"/>
        <v/>
      </c>
      <c r="I39" s="32" t="str">
        <f>IF(ISNUMBER(#REF!),#REF!/I22,"")</f>
        <v/>
      </c>
      <c r="J39" s="32"/>
      <c r="L39" s="2"/>
      <c r="N39" s="18"/>
      <c r="O39" s="18"/>
      <c r="P39" s="18"/>
      <c r="Q39" s="18"/>
      <c r="R39" s="18"/>
      <c r="S39" s="18"/>
    </row>
    <row r="40" spans="1:19" x14ac:dyDescent="0.2">
      <c r="A40" s="9"/>
      <c r="B40" s="23"/>
      <c r="C40" s="33"/>
      <c r="D40" s="33"/>
      <c r="E40" s="33"/>
      <c r="F40" s="33"/>
      <c r="G40" s="33"/>
      <c r="H40" s="33"/>
      <c r="I40" s="33"/>
      <c r="L40" s="2"/>
    </row>
    <row r="41" spans="1:19" x14ac:dyDescent="0.2">
      <c r="C41" s="18"/>
      <c r="L41" s="2"/>
      <c r="N41" s="18"/>
      <c r="O41" s="18"/>
      <c r="P41" s="18"/>
      <c r="Q41" s="18"/>
      <c r="R41" s="18"/>
    </row>
    <row r="42" spans="1:19" x14ac:dyDescent="0.2">
      <c r="A42" t="s">
        <v>51</v>
      </c>
      <c r="B42" s="22"/>
      <c r="C42" s="34">
        <f t="shared" ref="C42:G42" si="9">AVERAGE(C31:C39)</f>
        <v>1.218065771227361</v>
      </c>
      <c r="D42" s="34">
        <f t="shared" si="9"/>
        <v>1.0643939836132941</v>
      </c>
      <c r="E42" s="34">
        <f t="shared" si="9"/>
        <v>1.0317893287693447</v>
      </c>
      <c r="F42" s="34">
        <f t="shared" si="9"/>
        <v>1</v>
      </c>
      <c r="G42" s="34">
        <f t="shared" si="9"/>
        <v>1.0004111420653472</v>
      </c>
      <c r="H42" s="34">
        <f>AVERAGE(H31:H39)</f>
        <v>0.99617428779166539</v>
      </c>
      <c r="I42" s="34"/>
      <c r="J42" s="34"/>
      <c r="L42" s="2"/>
      <c r="N42" s="18"/>
      <c r="O42" s="18"/>
      <c r="P42" s="18"/>
      <c r="Q42" s="18"/>
    </row>
    <row r="43" spans="1:19" x14ac:dyDescent="0.2">
      <c r="A43" t="s">
        <v>74</v>
      </c>
      <c r="B43" s="12"/>
      <c r="C43" s="29">
        <f>(SUM(C31:C39)-MAX(C31:C39)-MIN(C31:C39))/(COUNT(C31:C39)-2)</f>
        <v>1.1995361011846286</v>
      </c>
      <c r="D43" s="29">
        <f>(SUM(D31:D39)-MAX(D31:D39)-MIN(D31:D39))/(COUNT(D31:D39)-2)</f>
        <v>1.04040409936318</v>
      </c>
      <c r="E43" s="29">
        <f t="shared" ref="E43:H43" si="10">(SUM(E31:E39)-MAX(E31:E39)-MIN(E31:E39))/(COUNT(E31:E39)-2)</f>
        <v>1.0317493874240278</v>
      </c>
      <c r="F43" s="29">
        <f t="shared" si="10"/>
        <v>1</v>
      </c>
      <c r="G43" s="29">
        <f t="shared" si="10"/>
        <v>1.0001667500416875</v>
      </c>
      <c r="H43" s="29">
        <f t="shared" si="10"/>
        <v>0.99999999999999978</v>
      </c>
      <c r="L43" s="2"/>
      <c r="N43" s="18"/>
      <c r="O43" s="18"/>
      <c r="P43" s="18"/>
    </row>
    <row r="44" spans="1:19" x14ac:dyDescent="0.2">
      <c r="A44" t="s">
        <v>75</v>
      </c>
      <c r="C44" s="34">
        <f>AVERAGE(C37:C39)</f>
        <v>1.2891399408810764</v>
      </c>
      <c r="D44" s="34">
        <f>AVERAGE(D36:D38)</f>
        <v>1.0954805194805195</v>
      </c>
      <c r="E44" s="34">
        <f>AVERAGE(E35:E37)</f>
        <v>1.042244909104294</v>
      </c>
      <c r="F44" s="34">
        <f>AVERAGE(F34:F36)</f>
        <v>1</v>
      </c>
      <c r="G44" s="34">
        <f>AVERAGE(G33:G35)</f>
        <v>1.0006852367755787</v>
      </c>
      <c r="H44" s="34">
        <f>AVERAGE(H32:H34)</f>
        <v>0.99489905038888715</v>
      </c>
      <c r="L44" s="2"/>
      <c r="N44" s="18"/>
      <c r="O44" s="18"/>
    </row>
    <row r="45" spans="1:19" x14ac:dyDescent="0.2">
      <c r="A45" t="s">
        <v>52</v>
      </c>
      <c r="B45" s="22"/>
      <c r="C45" s="34">
        <f>AVERAGE(C35:C39)</f>
        <v>1.2456790864798655</v>
      </c>
      <c r="D45" s="34">
        <f>AVERAGE(D34:D38)</f>
        <v>1.0673896273347494</v>
      </c>
      <c r="E45" s="34">
        <f>AVERAGE(E33:E37)</f>
        <v>1.0360719225648967</v>
      </c>
      <c r="F45" s="34">
        <f>AVERAGE(F32:F36)</f>
        <v>1</v>
      </c>
      <c r="G45" s="34">
        <f>AVERAGE(G31:G35)</f>
        <v>1.0004111420653472</v>
      </c>
      <c r="H45" s="34">
        <f>AVERAGE(H31:H34)</f>
        <v>0.99617428779166539</v>
      </c>
      <c r="I45" s="34"/>
      <c r="J45" s="34"/>
      <c r="L45" s="2"/>
      <c r="N45" s="18"/>
    </row>
    <row r="46" spans="1:19" x14ac:dyDescent="0.2">
      <c r="A46" t="s">
        <v>192</v>
      </c>
      <c r="C46" s="72">
        <v>1.2</v>
      </c>
      <c r="D46" s="72">
        <v>1.0870703558282377</v>
      </c>
      <c r="E46" s="72">
        <v>1.0241862369896997</v>
      </c>
      <c r="F46" s="72">
        <v>1.0019119216667525</v>
      </c>
      <c r="G46" s="72">
        <v>1.0177099438090804</v>
      </c>
      <c r="H46" s="72">
        <v>1.0016202978894477</v>
      </c>
      <c r="I46" s="72">
        <v>1</v>
      </c>
      <c r="J46" s="72"/>
      <c r="L46" s="2"/>
    </row>
    <row r="47" spans="1:19" x14ac:dyDescent="0.2">
      <c r="A47" t="s">
        <v>53</v>
      </c>
      <c r="C47" s="71">
        <v>1.2</v>
      </c>
      <c r="D47" s="71">
        <f>AVERAGE(D46,D42)</f>
        <v>1.0757321697207658</v>
      </c>
      <c r="E47" s="71">
        <f t="shared" ref="E47:I47" si="11">AVERAGE(E46,E42)</f>
        <v>1.0279877828795221</v>
      </c>
      <c r="F47" s="71">
        <f t="shared" si="11"/>
        <v>1.0009559608333762</v>
      </c>
      <c r="G47" s="71">
        <f t="shared" si="11"/>
        <v>1.0090605429372137</v>
      </c>
      <c r="H47" s="71">
        <f t="shared" si="11"/>
        <v>0.99889729284055662</v>
      </c>
      <c r="I47" s="71">
        <f t="shared" si="11"/>
        <v>1</v>
      </c>
      <c r="J47" s="71"/>
      <c r="L47" s="2"/>
    </row>
    <row r="48" spans="1:19" x14ac:dyDescent="0.2">
      <c r="A48" t="s">
        <v>54</v>
      </c>
      <c r="C48" s="29">
        <f>ROUND(C47*D48,3)</f>
        <v>1.339</v>
      </c>
      <c r="D48" s="29">
        <f t="shared" ref="D48:H48" si="12">ROUND(D47*E48,3)</f>
        <v>1.1160000000000001</v>
      </c>
      <c r="E48" s="29">
        <f t="shared" si="12"/>
        <v>1.0369999999999999</v>
      </c>
      <c r="F48" s="29">
        <f t="shared" si="12"/>
        <v>1.0089999999999999</v>
      </c>
      <c r="G48" s="29">
        <f t="shared" si="12"/>
        <v>1.008</v>
      </c>
      <c r="H48" s="29">
        <f t="shared" si="12"/>
        <v>0.999</v>
      </c>
      <c r="I48" s="29">
        <f>I47</f>
        <v>1</v>
      </c>
      <c r="J48" s="29"/>
      <c r="L48" s="2"/>
    </row>
    <row r="49" spans="1:12" ht="12" thickBot="1" x14ac:dyDescent="0.25">
      <c r="A49" s="6"/>
      <c r="B49" s="6"/>
      <c r="C49" s="6"/>
      <c r="D49" s="6"/>
      <c r="E49" s="6"/>
      <c r="F49" s="6"/>
      <c r="G49" s="6"/>
      <c r="H49" s="6"/>
      <c r="I49" s="6"/>
      <c r="L49" s="2"/>
    </row>
    <row r="50" spans="1:12" ht="12" thickTop="1" x14ac:dyDescent="0.2">
      <c r="L50" s="2"/>
    </row>
    <row r="51" spans="1:12" x14ac:dyDescent="0.2">
      <c r="A51" t="s">
        <v>18</v>
      </c>
      <c r="L51" s="2"/>
    </row>
    <row r="52" spans="1:12" x14ac:dyDescent="0.2">
      <c r="B52" s="12" t="s">
        <v>559</v>
      </c>
      <c r="L52" s="2"/>
    </row>
    <row r="53" spans="1:12" x14ac:dyDescent="0.2">
      <c r="A53" s="7"/>
      <c r="B53" t="s">
        <v>560</v>
      </c>
      <c r="L53" s="2"/>
    </row>
    <row r="54" spans="1:12" x14ac:dyDescent="0.2">
      <c r="B54" s="280" t="s">
        <v>558</v>
      </c>
      <c r="L54" s="2"/>
    </row>
    <row r="55" spans="1:12" x14ac:dyDescent="0.2">
      <c r="L55" s="2"/>
    </row>
    <row r="56" spans="1:12" x14ac:dyDescent="0.2">
      <c r="L56" s="2"/>
    </row>
    <row r="57" spans="1:12" x14ac:dyDescent="0.2">
      <c r="L57" s="2"/>
    </row>
    <row r="58" spans="1:12" x14ac:dyDescent="0.2">
      <c r="L58" s="2"/>
    </row>
    <row r="59" spans="1:12" x14ac:dyDescent="0.2">
      <c r="L59" s="2"/>
    </row>
    <row r="60" spans="1:12" x14ac:dyDescent="0.2"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0">
    <tabColor rgb="FF92D050"/>
  </sheetPr>
  <dimension ref="A1:R76"/>
  <sheetViews>
    <sheetView showGridLines="0" zoomScaleNormal="100" workbookViewId="0">
      <selection activeCell="A71" sqref="A71"/>
    </sheetView>
  </sheetViews>
  <sheetFormatPr defaultColWidth="11.33203125" defaultRowHeight="11.25" x14ac:dyDescent="0.2"/>
  <cols>
    <col min="1" max="1" width="5.33203125" customWidth="1"/>
    <col min="2" max="2" width="2.6640625" customWidth="1"/>
    <col min="3" max="3" width="12.6640625" style="11" customWidth="1"/>
    <col min="4" max="4" width="10.1640625" customWidth="1"/>
    <col min="5" max="5" width="7" customWidth="1"/>
    <col min="6" max="6" width="13.83203125" customWidth="1"/>
    <col min="7" max="7" width="15" style="11" customWidth="1"/>
    <col min="8" max="8" width="12.83203125" customWidth="1"/>
    <col min="9" max="9" width="11.83203125" customWidth="1"/>
    <col min="10" max="10" width="8.5" customWidth="1"/>
    <col min="11" max="11" width="9.83203125" customWidth="1"/>
    <col min="12" max="12" width="11.33203125" customWidth="1"/>
  </cols>
  <sheetData>
    <row r="1" spans="1:18" x14ac:dyDescent="0.2">
      <c r="A1" s="8" t="str">
        <f>'1'!$A$1</f>
        <v>Texas Windstorm Insurance Association</v>
      </c>
      <c r="L1" s="7" t="s">
        <v>47</v>
      </c>
      <c r="M1" s="1"/>
      <c r="Q1" t="s">
        <v>526</v>
      </c>
      <c r="R1" t="s">
        <v>525</v>
      </c>
    </row>
    <row r="2" spans="1:18" x14ac:dyDescent="0.2">
      <c r="A2" s="8" t="str">
        <f>'1'!$A$2</f>
        <v>Commercial Property - Wind &amp; Hail</v>
      </c>
      <c r="L2" s="7" t="s">
        <v>65</v>
      </c>
      <c r="M2" s="2"/>
      <c r="Q2" t="s">
        <v>526</v>
      </c>
      <c r="R2" t="s">
        <v>599</v>
      </c>
    </row>
    <row r="3" spans="1:18" x14ac:dyDescent="0.2">
      <c r="A3" s="8" t="str">
        <f>'1'!$A$3</f>
        <v>Rate Level Review</v>
      </c>
      <c r="M3" s="2"/>
    </row>
    <row r="4" spans="1:18" x14ac:dyDescent="0.2">
      <c r="A4" t="s">
        <v>257</v>
      </c>
      <c r="M4" s="2"/>
    </row>
    <row r="5" spans="1:18" x14ac:dyDescent="0.2">
      <c r="A5" s="12" t="s">
        <v>323</v>
      </c>
      <c r="M5" s="2"/>
    </row>
    <row r="6" spans="1:18" hidden="1" x14ac:dyDescent="0.2">
      <c r="M6" s="2"/>
    </row>
    <row r="7" spans="1:18" ht="12" thickBot="1" x14ac:dyDescent="0.25">
      <c r="A7" s="6"/>
      <c r="B7" s="6"/>
      <c r="C7" s="177"/>
      <c r="D7" s="6"/>
      <c r="E7" s="6"/>
      <c r="F7" s="6"/>
      <c r="G7" s="177"/>
      <c r="H7" s="6"/>
      <c r="I7" s="6"/>
      <c r="J7" s="6"/>
      <c r="K7" s="6"/>
      <c r="L7" s="6"/>
      <c r="M7" s="2"/>
    </row>
    <row r="8" spans="1:18" ht="12" thickTop="1" x14ac:dyDescent="0.2">
      <c r="F8" t="s">
        <v>222</v>
      </c>
      <c r="G8" s="22" t="s">
        <v>51</v>
      </c>
      <c r="H8" t="s">
        <v>510</v>
      </c>
      <c r="M8" s="2"/>
    </row>
    <row r="9" spans="1:18" x14ac:dyDescent="0.2">
      <c r="D9" s="12"/>
      <c r="E9" t="s">
        <v>358</v>
      </c>
      <c r="F9" t="s">
        <v>228</v>
      </c>
      <c r="G9" s="22" t="s">
        <v>181</v>
      </c>
      <c r="H9" t="s">
        <v>511</v>
      </c>
      <c r="M9" s="2"/>
    </row>
    <row r="10" spans="1:18" x14ac:dyDescent="0.2">
      <c r="A10" t="s">
        <v>258</v>
      </c>
      <c r="C10" s="11" t="s">
        <v>462</v>
      </c>
      <c r="D10" t="s">
        <v>222</v>
      </c>
      <c r="E10" t="s">
        <v>218</v>
      </c>
      <c r="F10" t="s">
        <v>324</v>
      </c>
      <c r="G10" s="22" t="s">
        <v>325</v>
      </c>
      <c r="H10" t="s">
        <v>512</v>
      </c>
      <c r="I10" s="10" t="s">
        <v>326</v>
      </c>
      <c r="M10" s="2"/>
      <c r="N10" t="s">
        <v>259</v>
      </c>
    </row>
    <row r="11" spans="1:18" x14ac:dyDescent="0.2">
      <c r="A11" s="9" t="s">
        <v>260</v>
      </c>
      <c r="B11" s="9"/>
      <c r="C11" s="178" t="s">
        <v>222</v>
      </c>
      <c r="D11" s="9" t="s">
        <v>95</v>
      </c>
      <c r="E11" s="9" t="s">
        <v>359</v>
      </c>
      <c r="F11" s="9" t="s">
        <v>222</v>
      </c>
      <c r="G11" s="23" t="s">
        <v>463</v>
      </c>
      <c r="H11" s="9" t="s">
        <v>513</v>
      </c>
      <c r="I11" s="178" t="s">
        <v>327</v>
      </c>
      <c r="J11" s="9" t="s">
        <v>315</v>
      </c>
      <c r="K11" s="9" t="s">
        <v>316</v>
      </c>
      <c r="L11" s="9" t="s">
        <v>317</v>
      </c>
      <c r="M11" s="2"/>
      <c r="N11" t="s">
        <v>27</v>
      </c>
      <c r="O11" s="49" t="s">
        <v>261</v>
      </c>
    </row>
    <row r="12" spans="1:18" x14ac:dyDescent="0.2">
      <c r="A12" s="13" t="str">
        <f>TEXT(COLUMN(),"(#)")</f>
        <v>(1)</v>
      </c>
      <c r="B12" s="13"/>
      <c r="C12" s="11" t="str">
        <f t="shared" ref="C12:L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43" t="s">
        <v>91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2"/>
    </row>
    <row r="13" spans="1:18" x14ac:dyDescent="0.2">
      <c r="A13" t="str">
        <f>YEAR(N13)&amp;" / "&amp;MONTH(N13)/3</f>
        <v>2013 / 1</v>
      </c>
      <c r="B13" s="13"/>
      <c r="C13" s="267">
        <f>'[4]TWIA 4 Premium Trend'!C29</f>
        <v>7144</v>
      </c>
      <c r="D13" s="267">
        <f>'[4]TWIA 4 Premium Trend'!B29</f>
        <v>24974712</v>
      </c>
      <c r="E13" s="268">
        <f>$E$16</f>
        <v>1.2762815625000004</v>
      </c>
      <c r="F13" s="159">
        <f t="shared" ref="F13:F18" si="1">D13*E13</f>
        <v>31874764.45434751</v>
      </c>
      <c r="G13" s="168">
        <f>F13/C13</f>
        <v>4461.7531431057541</v>
      </c>
      <c r="H13" s="11"/>
      <c r="I13" s="11"/>
      <c r="J13" s="11"/>
      <c r="K13" s="11"/>
      <c r="L13" s="11"/>
      <c r="M13" s="2"/>
      <c r="N13" s="49">
        <f>DATE(YEAR(N14+1),MONTH(N14+1)-3,1)-1</f>
        <v>41364</v>
      </c>
      <c r="O13">
        <f>YEAR(N13)+MONTH(N13)/12</f>
        <v>2013.25</v>
      </c>
      <c r="R13" s="34"/>
    </row>
    <row r="14" spans="1:18" x14ac:dyDescent="0.2">
      <c r="A14" t="str">
        <f t="shared" ref="A14:A21" si="2">YEAR(N14)&amp;" / "&amp;MONTH(N14)/3</f>
        <v>2013 / 2</v>
      </c>
      <c r="B14" s="13"/>
      <c r="C14" s="267">
        <f>'[4]TWIA 4 Premium Trend'!C30</f>
        <v>9194</v>
      </c>
      <c r="D14" s="267">
        <f>'[4]TWIA 4 Premium Trend'!B30</f>
        <v>32706056</v>
      </c>
      <c r="E14" s="268">
        <f>$E$16</f>
        <v>1.2762815625000004</v>
      </c>
      <c r="F14" s="159">
        <f t="shared" si="1"/>
        <v>41742136.254892513</v>
      </c>
      <c r="G14" s="168">
        <f>F14/C14</f>
        <v>4540.1496905473696</v>
      </c>
      <c r="H14" s="11"/>
      <c r="I14" s="11"/>
      <c r="J14" s="11"/>
      <c r="K14" s="11"/>
      <c r="L14" s="11"/>
      <c r="M14" s="2"/>
      <c r="N14" s="49">
        <f t="shared" ref="N14:N21" si="3">DATE(YEAR(N15+1),MONTH(N15+1)-3,1)-1</f>
        <v>41455</v>
      </c>
      <c r="O14">
        <f t="shared" ref="O14:O21" si="4">YEAR(N14)+MONTH(N14)/12</f>
        <v>2013.5</v>
      </c>
      <c r="R14" s="34"/>
    </row>
    <row r="15" spans="1:18" x14ac:dyDescent="0.2">
      <c r="A15" t="str">
        <f t="shared" si="2"/>
        <v>2013 / 3</v>
      </c>
      <c r="B15" s="13"/>
      <c r="C15" s="267">
        <f>'[4]TWIA 4 Premium Trend'!C31</f>
        <v>10002</v>
      </c>
      <c r="D15" s="267">
        <f>'[4]TWIA 4 Premium Trend'!B31</f>
        <v>35220808</v>
      </c>
      <c r="E15" s="268">
        <f>$E$16</f>
        <v>1.2762815625000004</v>
      </c>
      <c r="F15" s="159">
        <f t="shared" si="1"/>
        <v>44951667.866752513</v>
      </c>
      <c r="G15" s="168">
        <f t="shared" ref="G15:G52" si="5">F15/C15</f>
        <v>4494.267933088634</v>
      </c>
      <c r="H15" s="11"/>
      <c r="I15" s="11"/>
      <c r="J15" s="11"/>
      <c r="K15" s="11"/>
      <c r="L15" s="11"/>
      <c r="M15" s="2"/>
      <c r="N15" s="49">
        <f t="shared" si="3"/>
        <v>41547</v>
      </c>
      <c r="O15">
        <f t="shared" si="4"/>
        <v>2013.75</v>
      </c>
      <c r="R15" s="34"/>
    </row>
    <row r="16" spans="1:18" x14ac:dyDescent="0.2">
      <c r="A16" t="str">
        <f t="shared" si="2"/>
        <v>2013 / 4</v>
      </c>
      <c r="B16" s="13"/>
      <c r="C16" s="267">
        <f>'[4]TWIA 4 Premium Trend'!C32</f>
        <v>7133</v>
      </c>
      <c r="D16" s="267">
        <f>'[4]TWIA 4 Premium Trend'!B32</f>
        <v>24211988</v>
      </c>
      <c r="E16" s="268">
        <f>'[4]TWIA 5'!$I$172</f>
        <v>1.2762815625000004</v>
      </c>
      <c r="F16" s="159">
        <f t="shared" si="1"/>
        <v>30901313.87587126</v>
      </c>
      <c r="G16" s="168">
        <f t="shared" si="5"/>
        <v>4332.1623266327297</v>
      </c>
      <c r="H16" s="199">
        <f>IFERROR(SUM(F13:F16)/SUM(C13:C16),0)</f>
        <v>4465.3865041037188</v>
      </c>
      <c r="I16" s="11"/>
      <c r="J16" s="11"/>
      <c r="K16" s="11"/>
      <c r="L16" s="11"/>
      <c r="M16" s="2"/>
      <c r="N16" s="49">
        <f t="shared" si="3"/>
        <v>41639</v>
      </c>
      <c r="O16">
        <f t="shared" si="4"/>
        <v>2014</v>
      </c>
      <c r="R16" s="34"/>
    </row>
    <row r="17" spans="1:18" x14ac:dyDescent="0.2">
      <c r="A17" t="str">
        <f t="shared" si="2"/>
        <v>2014 / 1</v>
      </c>
      <c r="C17" s="267">
        <f>'[4]TWIA 4 Premium Trend'!C33</f>
        <v>6329</v>
      </c>
      <c r="D17" s="267">
        <f>'[4]TWIA 4 Premium Trend'!B33</f>
        <v>23028882</v>
      </c>
      <c r="E17" s="268">
        <f>$E$20</f>
        <v>1.2155062500000002</v>
      </c>
      <c r="F17" s="159">
        <f t="shared" si="1"/>
        <v>27991750.001512505</v>
      </c>
      <c r="G17" s="168">
        <f t="shared" si="5"/>
        <v>4422.7761102089598</v>
      </c>
      <c r="H17" s="199">
        <f>IFERROR(SUM(F14:F17)/SUM(C14:C17),0)</f>
        <v>4457.9235715300629</v>
      </c>
      <c r="I17" s="186">
        <f>GROWTH($H$17:$H$52,$O$17:$O$52,$O17,1)</f>
        <v>4268.1482388570575</v>
      </c>
      <c r="M17" s="2"/>
      <c r="N17" s="49">
        <f t="shared" si="3"/>
        <v>41729</v>
      </c>
      <c r="O17">
        <f t="shared" si="4"/>
        <v>2014.25</v>
      </c>
      <c r="R17" s="34"/>
    </row>
    <row r="18" spans="1:18" x14ac:dyDescent="0.2">
      <c r="A18" t="str">
        <f t="shared" si="2"/>
        <v>2014 / 2</v>
      </c>
      <c r="C18" s="267">
        <f>'[4]TWIA 4 Premium Trend'!C34</f>
        <v>8964</v>
      </c>
      <c r="D18" s="267">
        <f>'[4]TWIA 4 Premium Trend'!B34</f>
        <v>35219745</v>
      </c>
      <c r="E18" s="268">
        <f>$E$20</f>
        <v>1.2155062500000002</v>
      </c>
      <c r="F18" s="159">
        <f t="shared" si="1"/>
        <v>42809820.170906261</v>
      </c>
      <c r="G18" s="168">
        <f t="shared" si="5"/>
        <v>4775.7496843938261</v>
      </c>
      <c r="H18" s="199">
        <f t="shared" ref="H18:H51" si="6">IFERROR(SUM(F15:F18)/SUM(C15:C18),0)</f>
        <v>4522.4667545035936</v>
      </c>
      <c r="I18" s="186">
        <f t="shared" ref="I18:I51" si="7">GROWTH($H$17:$H$52,$O$17:$O$52,$O18,1)</f>
        <v>4289.174077020074</v>
      </c>
      <c r="M18" s="2"/>
      <c r="N18" s="49">
        <f t="shared" si="3"/>
        <v>41820</v>
      </c>
      <c r="O18">
        <f t="shared" si="4"/>
        <v>2014.5</v>
      </c>
      <c r="R18" s="34"/>
    </row>
    <row r="19" spans="1:18" x14ac:dyDescent="0.2">
      <c r="A19" t="str">
        <f t="shared" si="2"/>
        <v>2014 / 3</v>
      </c>
      <c r="C19" s="267">
        <f>'[4]TWIA 4 Premium Trend'!C35</f>
        <v>8292</v>
      </c>
      <c r="D19" s="267">
        <f>'[4]TWIA 4 Premium Trend'!B35</f>
        <v>29887118</v>
      </c>
      <c r="E19" s="268">
        <f>$E$20</f>
        <v>1.2155062500000002</v>
      </c>
      <c r="F19" s="159">
        <f t="shared" ref="F19:F51" si="8">D19*E19</f>
        <v>36327978.723487504</v>
      </c>
      <c r="G19" s="168">
        <f t="shared" si="5"/>
        <v>4381.087641520442</v>
      </c>
      <c r="H19" s="199">
        <f t="shared" si="6"/>
        <v>4493.4846920951086</v>
      </c>
      <c r="I19" s="186">
        <f t="shared" si="7"/>
        <v>4310.3034930922568</v>
      </c>
      <c r="J19" s="18"/>
      <c r="K19" s="18"/>
      <c r="L19" s="18"/>
      <c r="M19" s="2"/>
      <c r="N19" s="49">
        <f t="shared" si="3"/>
        <v>41912</v>
      </c>
      <c r="O19">
        <f t="shared" si="4"/>
        <v>2014.75</v>
      </c>
      <c r="R19" s="34"/>
    </row>
    <row r="20" spans="1:18" x14ac:dyDescent="0.2">
      <c r="A20" t="str">
        <f t="shared" si="2"/>
        <v>2014 / 4</v>
      </c>
      <c r="C20" s="267">
        <f>'[4]TWIA 4 Premium Trend'!C36</f>
        <v>6088</v>
      </c>
      <c r="D20" s="267">
        <f>'[4]TWIA 4 Premium Trend'!B36</f>
        <v>21627063</v>
      </c>
      <c r="E20" s="268">
        <f>'[4]TWIA 5'!$I$184</f>
        <v>1.2155062500000002</v>
      </c>
      <c r="F20" s="159">
        <f t="shared" si="8"/>
        <v>26287830.245643754</v>
      </c>
      <c r="G20" s="168">
        <f t="shared" si="5"/>
        <v>4317.9747446852416</v>
      </c>
      <c r="H20" s="199">
        <f t="shared" si="6"/>
        <v>4496.2551525477711</v>
      </c>
      <c r="I20" s="186">
        <f t="shared" si="7"/>
        <v>4331.5369973211336</v>
      </c>
      <c r="J20" s="18"/>
      <c r="K20" s="18"/>
      <c r="L20" s="18"/>
      <c r="M20" s="2"/>
      <c r="N20" s="49">
        <f t="shared" si="3"/>
        <v>42004</v>
      </c>
      <c r="O20">
        <f t="shared" si="4"/>
        <v>2015</v>
      </c>
      <c r="R20" s="34"/>
    </row>
    <row r="21" spans="1:18" x14ac:dyDescent="0.2">
      <c r="A21" t="str">
        <f t="shared" si="2"/>
        <v>2015 / 1</v>
      </c>
      <c r="C21" s="267">
        <f>'[4]TWIA 4 Premium Trend'!C37</f>
        <v>6464</v>
      </c>
      <c r="D21" s="267">
        <f>'[4]TWIA 4 Premium Trend'!B37</f>
        <v>24808373</v>
      </c>
      <c r="E21" s="268">
        <f>$E$24</f>
        <v>1.1576250000000001</v>
      </c>
      <c r="F21" s="159">
        <f>D21*E21</f>
        <v>28718792.794125002</v>
      </c>
      <c r="G21" s="168">
        <f t="shared" si="5"/>
        <v>4442.8825485960706</v>
      </c>
      <c r="H21" s="199">
        <f t="shared" si="6"/>
        <v>4500.2825393908524</v>
      </c>
      <c r="I21" s="186">
        <f t="shared" si="7"/>
        <v>4352.8751024679486</v>
      </c>
      <c r="M21" s="2"/>
      <c r="N21" s="49">
        <f t="shared" si="3"/>
        <v>42094</v>
      </c>
      <c r="O21">
        <f t="shared" si="4"/>
        <v>2015.25</v>
      </c>
      <c r="R21" s="34"/>
    </row>
    <row r="22" spans="1:18" x14ac:dyDescent="0.2">
      <c r="A22" t="str">
        <f t="shared" ref="A22:A52" si="9">YEAR(N22)&amp;" / "&amp;MONTH(N22)/3</f>
        <v>2015 / 2</v>
      </c>
      <c r="B22" s="22"/>
      <c r="C22" s="267">
        <f>'[4]TWIA 4 Premium Trend'!C38</f>
        <v>7870</v>
      </c>
      <c r="D22" s="267">
        <f>'[4]TWIA 4 Premium Trend'!B38</f>
        <v>33339199</v>
      </c>
      <c r="E22" s="268">
        <f>$E$24</f>
        <v>1.1576250000000001</v>
      </c>
      <c r="F22" s="159">
        <f t="shared" si="8"/>
        <v>38594290.242375001</v>
      </c>
      <c r="G22" s="168">
        <f t="shared" si="5"/>
        <v>4903.9758884847524</v>
      </c>
      <c r="H22" s="199">
        <f t="shared" si="6"/>
        <v>4524.9318104628846</v>
      </c>
      <c r="I22" s="186">
        <f t="shared" si="7"/>
        <v>4374.318323819798</v>
      </c>
      <c r="J22" s="29"/>
      <c r="K22" s="29"/>
      <c r="L22" s="29"/>
      <c r="M22" s="2"/>
      <c r="N22" s="49">
        <f t="shared" ref="N22:N47" si="10">DATE(YEAR(N23+1),MONTH(N23+1)-3,1)-1</f>
        <v>42185</v>
      </c>
      <c r="O22">
        <f t="shared" ref="O22:O47" si="11">YEAR(N22)+MONTH(N22)/12</f>
        <v>2015.5</v>
      </c>
      <c r="R22" s="34"/>
    </row>
    <row r="23" spans="1:18" x14ac:dyDescent="0.2">
      <c r="A23" t="str">
        <f t="shared" si="9"/>
        <v>2015 / 3</v>
      </c>
      <c r="C23" s="267">
        <f>'[4]TWIA 4 Premium Trend'!C39</f>
        <v>7657</v>
      </c>
      <c r="D23" s="267">
        <f>'[4]TWIA 4 Premium Trend'!B39</f>
        <v>28055666</v>
      </c>
      <c r="E23" s="268">
        <f>$E$24</f>
        <v>1.1576250000000001</v>
      </c>
      <c r="F23" s="159">
        <f t="shared" si="8"/>
        <v>32477940.353250004</v>
      </c>
      <c r="G23" s="168">
        <f t="shared" si="5"/>
        <v>4241.6011954094301</v>
      </c>
      <c r="H23" s="199">
        <f t="shared" si="6"/>
        <v>4490.1475706183901</v>
      </c>
      <c r="I23" s="186">
        <f t="shared" si="7"/>
        <v>4395.8671792023188</v>
      </c>
      <c r="M23" s="2"/>
      <c r="N23" s="49">
        <f t="shared" si="10"/>
        <v>42277</v>
      </c>
      <c r="O23">
        <f t="shared" si="11"/>
        <v>2015.75</v>
      </c>
      <c r="R23" s="34"/>
    </row>
    <row r="24" spans="1:18" x14ac:dyDescent="0.2">
      <c r="A24" t="str">
        <f t="shared" si="9"/>
        <v>2015 / 4</v>
      </c>
      <c r="C24" s="267">
        <f>'[4]TWIA 4 Premium Trend'!C40</f>
        <v>4802</v>
      </c>
      <c r="D24" s="267">
        <f>'[4]TWIA 4 Premium Trend'!B40</f>
        <v>17430504</v>
      </c>
      <c r="E24" s="268">
        <f>'[4]TWIA 5'!$I$196</f>
        <v>1.1576250000000001</v>
      </c>
      <c r="F24" s="159">
        <f t="shared" si="8"/>
        <v>20177987.193000004</v>
      </c>
      <c r="G24" s="168">
        <f t="shared" si="5"/>
        <v>4201.9965000000011</v>
      </c>
      <c r="H24" s="199">
        <f t="shared" si="6"/>
        <v>4477.6251477158212</v>
      </c>
      <c r="I24" s="186">
        <f t="shared" si="7"/>
        <v>4417.5221889919758</v>
      </c>
      <c r="J24" s="18"/>
      <c r="K24" s="18"/>
      <c r="L24" s="18"/>
      <c r="M24" s="2"/>
      <c r="N24" s="49">
        <f t="shared" si="10"/>
        <v>42369</v>
      </c>
      <c r="O24">
        <f t="shared" si="11"/>
        <v>2016</v>
      </c>
      <c r="R24" s="34"/>
    </row>
    <row r="25" spans="1:18" x14ac:dyDescent="0.2">
      <c r="A25" t="str">
        <f t="shared" si="9"/>
        <v>2016 / 1</v>
      </c>
      <c r="C25" s="267">
        <f>'[4]TWIA 4 Premium Trend'!C41</f>
        <v>5512</v>
      </c>
      <c r="D25" s="267">
        <f>'[4]TWIA 4 Premium Trend'!B41</f>
        <v>22487925</v>
      </c>
      <c r="E25" s="268">
        <f>$E$32</f>
        <v>1.1025</v>
      </c>
      <c r="F25" s="159">
        <f>D25*E25</f>
        <v>24792937.3125</v>
      </c>
      <c r="G25" s="168">
        <f t="shared" si="5"/>
        <v>4497.9929812227865</v>
      </c>
      <c r="H25" s="199">
        <f t="shared" si="6"/>
        <v>4490.6603885733921</v>
      </c>
      <c r="I25" s="186">
        <f t="shared" si="7"/>
        <v>4439.2838761287276</v>
      </c>
      <c r="J25" s="18"/>
      <c r="K25" s="18"/>
      <c r="L25" s="18"/>
      <c r="M25" s="2"/>
      <c r="N25" s="49">
        <f t="shared" si="10"/>
        <v>42460</v>
      </c>
      <c r="O25">
        <f t="shared" si="11"/>
        <v>2016.25</v>
      </c>
      <c r="R25" s="34"/>
    </row>
    <row r="26" spans="1:18" x14ac:dyDescent="0.2">
      <c r="A26" t="str">
        <f t="shared" si="9"/>
        <v>2016 / 2</v>
      </c>
      <c r="B26" s="22"/>
      <c r="C26" s="267">
        <f>'[4]TWIA 4 Premium Trend'!C42</f>
        <v>6522</v>
      </c>
      <c r="D26" s="267">
        <f>'[4]TWIA 4 Premium Trend'!B42</f>
        <v>28623450</v>
      </c>
      <c r="E26" s="268">
        <f t="shared" ref="E26:E31" si="12">$E$32</f>
        <v>1.1025</v>
      </c>
      <c r="F26" s="159">
        <f t="shared" si="8"/>
        <v>31557353.625</v>
      </c>
      <c r="G26" s="168">
        <f t="shared" si="5"/>
        <v>4838.6006784728606</v>
      </c>
      <c r="H26" s="199">
        <f t="shared" si="6"/>
        <v>4450.5049803515294</v>
      </c>
      <c r="I26" s="186">
        <f t="shared" si="7"/>
        <v>4461.1527661287391</v>
      </c>
      <c r="J26" s="18"/>
      <c r="K26" s="18"/>
      <c r="L26" s="18"/>
      <c r="M26" s="2"/>
      <c r="N26" s="49">
        <f t="shared" si="10"/>
        <v>42551</v>
      </c>
      <c r="O26">
        <f t="shared" si="11"/>
        <v>2016.5</v>
      </c>
      <c r="R26" s="34"/>
    </row>
    <row r="27" spans="1:18" x14ac:dyDescent="0.2">
      <c r="A27" t="str">
        <f t="shared" si="9"/>
        <v>2016 / 3</v>
      </c>
      <c r="B27" s="22"/>
      <c r="C27" s="267">
        <f>'[4]TWIA 4 Premium Trend'!C43</f>
        <v>6507</v>
      </c>
      <c r="D27" s="267">
        <f>'[4]TWIA 4 Premium Trend'!B43</f>
        <v>25417054</v>
      </c>
      <c r="E27" s="268">
        <f t="shared" si="12"/>
        <v>1.1025</v>
      </c>
      <c r="F27" s="159">
        <f t="shared" si="8"/>
        <v>28022302.035</v>
      </c>
      <c r="G27" s="168">
        <f>F27/C27</f>
        <v>4306.4856362378978</v>
      </c>
      <c r="H27" s="199">
        <f>IFERROR(SUM(F24:F27)/SUM(C24:C27),0)</f>
        <v>4478.8836124534118</v>
      </c>
      <c r="I27" s="186">
        <f t="shared" si="7"/>
        <v>4483.1293870968611</v>
      </c>
      <c r="J27" s="18"/>
      <c r="K27" s="18"/>
      <c r="L27" s="18"/>
      <c r="M27" s="2"/>
      <c r="N27" s="49">
        <f t="shared" si="10"/>
        <v>42643</v>
      </c>
      <c r="O27">
        <f t="shared" si="11"/>
        <v>2016.75</v>
      </c>
      <c r="R27" s="34"/>
    </row>
    <row r="28" spans="1:18" x14ac:dyDescent="0.2">
      <c r="A28" t="str">
        <f t="shared" si="9"/>
        <v>2016 / 4</v>
      </c>
      <c r="B28" s="22"/>
      <c r="C28" s="267">
        <f>'[4]TWIA 4 Premium Trend'!C44</f>
        <v>4047</v>
      </c>
      <c r="D28" s="267">
        <f>'[4]TWIA 4 Premium Trend'!B44</f>
        <v>14955154</v>
      </c>
      <c r="E28" s="268">
        <f t="shared" si="12"/>
        <v>1.1025</v>
      </c>
      <c r="F28" s="159">
        <f t="shared" si="8"/>
        <v>16488057.285</v>
      </c>
      <c r="G28" s="168">
        <f t="shared" si="5"/>
        <v>4074.1431393624907</v>
      </c>
      <c r="H28" s="199">
        <f t="shared" si="6"/>
        <v>4465.2315502700549</v>
      </c>
      <c r="I28" s="186">
        <f t="shared" si="7"/>
        <v>4505.2142697396303</v>
      </c>
      <c r="J28" s="18"/>
      <c r="K28" s="18"/>
      <c r="L28" s="18"/>
      <c r="M28" s="2"/>
      <c r="N28" s="49">
        <f t="shared" si="10"/>
        <v>42735</v>
      </c>
      <c r="O28">
        <f t="shared" si="11"/>
        <v>2017</v>
      </c>
      <c r="R28" s="34"/>
    </row>
    <row r="29" spans="1:18" x14ac:dyDescent="0.2">
      <c r="A29" t="str">
        <f t="shared" si="9"/>
        <v>2017 / 1</v>
      </c>
      <c r="B29" s="22"/>
      <c r="C29" s="267">
        <f>'[4]TWIA 4 Premium Trend'!C45</f>
        <v>4263</v>
      </c>
      <c r="D29" s="267">
        <f>'[4]TWIA 4 Premium Trend'!B45</f>
        <v>17482209</v>
      </c>
      <c r="E29" s="268">
        <f t="shared" si="12"/>
        <v>1.1025</v>
      </c>
      <c r="F29" s="159">
        <f t="shared" si="8"/>
        <v>19274135.422499999</v>
      </c>
      <c r="G29" s="168">
        <f t="shared" si="5"/>
        <v>4521.2609482758617</v>
      </c>
      <c r="H29" s="199">
        <f t="shared" si="6"/>
        <v>4467.9623397300711</v>
      </c>
      <c r="I29" s="186">
        <f t="shared" si="7"/>
        <v>4527.4079473778656</v>
      </c>
      <c r="J29" s="97"/>
      <c r="K29" s="97"/>
      <c r="L29" s="97"/>
      <c r="M29" s="2"/>
      <c r="N29" s="49">
        <f t="shared" si="10"/>
        <v>42825</v>
      </c>
      <c r="O29">
        <f t="shared" si="11"/>
        <v>2017.25</v>
      </c>
      <c r="R29" s="34"/>
    </row>
    <row r="30" spans="1:18" x14ac:dyDescent="0.2">
      <c r="A30" t="str">
        <f t="shared" si="9"/>
        <v>2017 / 2</v>
      </c>
      <c r="B30" s="22"/>
      <c r="C30" s="267">
        <f>'[4]TWIA 4 Premium Trend'!C46</f>
        <v>5717</v>
      </c>
      <c r="D30" s="267">
        <f>'[4]TWIA 4 Premium Trend'!B46</f>
        <v>25224489</v>
      </c>
      <c r="E30" s="268">
        <f t="shared" si="12"/>
        <v>1.1025</v>
      </c>
      <c r="F30" s="159">
        <f t="shared" si="8"/>
        <v>27809999.122500002</v>
      </c>
      <c r="G30" s="168">
        <f t="shared" si="5"/>
        <v>4864.4392377995455</v>
      </c>
      <c r="H30" s="199">
        <f t="shared" si="6"/>
        <v>4460.625979594819</v>
      </c>
      <c r="I30" s="186">
        <f t="shared" si="7"/>
        <v>4549.7109559596429</v>
      </c>
      <c r="J30" s="97"/>
      <c r="K30" s="97"/>
      <c r="L30" s="97"/>
      <c r="M30" s="2"/>
      <c r="N30" s="49">
        <f t="shared" si="10"/>
        <v>42916</v>
      </c>
      <c r="O30">
        <f t="shared" si="11"/>
        <v>2017.5</v>
      </c>
      <c r="R30" s="34"/>
    </row>
    <row r="31" spans="1:18" x14ac:dyDescent="0.2">
      <c r="A31" t="str">
        <f t="shared" si="9"/>
        <v>2017 / 3</v>
      </c>
      <c r="B31" s="22"/>
      <c r="C31" s="267">
        <f>'[4]TWIA 4 Premium Trend'!C47</f>
        <v>5172</v>
      </c>
      <c r="D31" s="267">
        <f>'[4]TWIA 4 Premium Trend'!B47</f>
        <v>19050031</v>
      </c>
      <c r="E31" s="268">
        <f t="shared" si="12"/>
        <v>1.1025</v>
      </c>
      <c r="F31" s="159">
        <f t="shared" si="8"/>
        <v>21002659.177500002</v>
      </c>
      <c r="G31" s="168">
        <f t="shared" si="5"/>
        <v>4060.8389747679817</v>
      </c>
      <c r="H31" s="199">
        <f t="shared" si="6"/>
        <v>4405.1695925569038</v>
      </c>
      <c r="I31" s="186">
        <f t="shared" si="7"/>
        <v>4572.1238340733298</v>
      </c>
      <c r="J31" s="97"/>
      <c r="K31" s="97"/>
      <c r="L31" s="97"/>
      <c r="M31" s="2"/>
      <c r="N31" s="49">
        <f t="shared" si="10"/>
        <v>43008</v>
      </c>
      <c r="O31">
        <f t="shared" si="11"/>
        <v>2017.75</v>
      </c>
      <c r="R31" s="34"/>
    </row>
    <row r="32" spans="1:18" x14ac:dyDescent="0.2">
      <c r="A32" t="str">
        <f t="shared" si="9"/>
        <v>2017 / 4</v>
      </c>
      <c r="B32" s="22"/>
      <c r="C32" s="267">
        <f>'[4]TWIA 4 Premium Trend'!C48</f>
        <v>3489</v>
      </c>
      <c r="D32" s="267">
        <f>'[4]TWIA 4 Premium Trend'!B48</f>
        <v>13077837</v>
      </c>
      <c r="E32" s="268">
        <f>'[4]TWIA 5'!$I$208</f>
        <v>1.1025</v>
      </c>
      <c r="F32" s="159">
        <f t="shared" si="8"/>
        <v>14418315.2925</v>
      </c>
      <c r="G32" s="168">
        <f t="shared" si="5"/>
        <v>4132.5065326741187</v>
      </c>
      <c r="H32" s="199">
        <f t="shared" si="6"/>
        <v>4426.0023075478784</v>
      </c>
      <c r="I32" s="186">
        <f t="shared" si="7"/>
        <v>4594.6471229603721</v>
      </c>
      <c r="J32" s="97"/>
      <c r="K32" s="97"/>
      <c r="L32" s="97"/>
      <c r="M32" s="2"/>
      <c r="N32" s="49">
        <f t="shared" si="10"/>
        <v>43100</v>
      </c>
      <c r="O32">
        <f t="shared" si="11"/>
        <v>2018</v>
      </c>
      <c r="R32" s="34"/>
    </row>
    <row r="33" spans="1:18" x14ac:dyDescent="0.2">
      <c r="A33" t="str">
        <f t="shared" si="9"/>
        <v>2018 / 1</v>
      </c>
      <c r="B33" s="22"/>
      <c r="C33" s="267">
        <f>'[4]TWIA 4 Premium Trend'!C49</f>
        <v>3663</v>
      </c>
      <c r="D33" s="267">
        <f>'[4]TWIA 4 Premium Trend'!B49</f>
        <v>15807970</v>
      </c>
      <c r="E33" s="268">
        <f>$E$36</f>
        <v>1.05</v>
      </c>
      <c r="F33" s="159">
        <f t="shared" si="8"/>
        <v>16598368.5</v>
      </c>
      <c r="G33" s="168">
        <f t="shared" si="5"/>
        <v>4531.3591318591316</v>
      </c>
      <c r="H33" s="199">
        <f t="shared" si="6"/>
        <v>4424.8845458954602</v>
      </c>
      <c r="I33" s="186">
        <f t="shared" si="7"/>
        <v>4617.2813665286194</v>
      </c>
      <c r="J33" s="97">
        <f>GROWTH($H$33:$H$52,$O$33:$O$52,$O33,1)</f>
        <v>4258.5211301504187</v>
      </c>
      <c r="K33" s="97"/>
      <c r="L33" s="97"/>
      <c r="M33" s="2"/>
      <c r="N33" s="49">
        <f t="shared" si="10"/>
        <v>43190</v>
      </c>
      <c r="O33">
        <f t="shared" si="11"/>
        <v>2018.25</v>
      </c>
      <c r="R33" s="34"/>
    </row>
    <row r="34" spans="1:18" x14ac:dyDescent="0.2">
      <c r="A34" t="str">
        <f t="shared" si="9"/>
        <v>2018 / 2</v>
      </c>
      <c r="B34" s="22"/>
      <c r="C34" s="267">
        <f>'[4]TWIA 4 Premium Trend'!C50</f>
        <v>5108</v>
      </c>
      <c r="D34" s="267">
        <f>'[4]TWIA 4 Premium Trend'!B50</f>
        <v>22862777</v>
      </c>
      <c r="E34" s="268">
        <f>$E$36</f>
        <v>1.05</v>
      </c>
      <c r="F34" s="159">
        <f t="shared" si="8"/>
        <v>24005915.850000001</v>
      </c>
      <c r="G34" s="168">
        <f t="shared" si="5"/>
        <v>4699.6702916992954</v>
      </c>
      <c r="H34" s="199">
        <f t="shared" si="6"/>
        <v>4361.2470640201927</v>
      </c>
      <c r="I34" s="186">
        <f t="shared" si="7"/>
        <v>4640.0271113652007</v>
      </c>
      <c r="J34" s="97">
        <f t="shared" ref="J34:J52" si="13">GROWTH($H$33:$H$52,$O$33:$O$52,$O34,1)</f>
        <v>4312.2546439194493</v>
      </c>
      <c r="K34" s="97"/>
      <c r="L34" s="97"/>
      <c r="M34" s="2"/>
      <c r="N34" s="49">
        <f t="shared" si="10"/>
        <v>43281</v>
      </c>
      <c r="O34">
        <f t="shared" si="11"/>
        <v>2018.5</v>
      </c>
      <c r="R34" s="34"/>
    </row>
    <row r="35" spans="1:18" x14ac:dyDescent="0.2">
      <c r="A35" t="str">
        <f t="shared" si="9"/>
        <v>2018 / 3</v>
      </c>
      <c r="B35" s="22"/>
      <c r="C35" s="267">
        <f>'[4]TWIA 4 Premium Trend'!C51</f>
        <v>4612</v>
      </c>
      <c r="D35" s="267">
        <f>'[4]TWIA 4 Premium Trend'!B51</f>
        <v>17927115</v>
      </c>
      <c r="E35" s="268">
        <f>$E$36</f>
        <v>1.05</v>
      </c>
      <c r="F35" s="159">
        <f t="shared" si="8"/>
        <v>18823470.75</v>
      </c>
      <c r="G35" s="168">
        <f t="shared" si="5"/>
        <v>4081.411697745013</v>
      </c>
      <c r="H35" s="199">
        <f t="shared" si="6"/>
        <v>4376.841535828592</v>
      </c>
      <c r="I35" s="186">
        <f t="shared" si="7"/>
        <v>4662.8849067499832</v>
      </c>
      <c r="J35" s="97">
        <f t="shared" si="13"/>
        <v>4366.6661607823853</v>
      </c>
      <c r="K35" s="97"/>
      <c r="L35" s="97"/>
      <c r="M35" s="2"/>
      <c r="N35" s="49">
        <f t="shared" si="10"/>
        <v>43373</v>
      </c>
      <c r="O35">
        <f t="shared" si="11"/>
        <v>2018.75</v>
      </c>
      <c r="R35" s="34"/>
    </row>
    <row r="36" spans="1:18" x14ac:dyDescent="0.2">
      <c r="A36" t="str">
        <f t="shared" si="9"/>
        <v>2018 / 4</v>
      </c>
      <c r="C36" s="267">
        <f>'[4]TWIA 4 Premium Trend'!C52</f>
        <v>3109</v>
      </c>
      <c r="D36" s="267">
        <f>'[4]TWIA 4 Premium Trend'!B52</f>
        <v>12284401</v>
      </c>
      <c r="E36" s="268">
        <f>E37</f>
        <v>1.05</v>
      </c>
      <c r="F36" s="159">
        <f t="shared" si="8"/>
        <v>12898621.050000001</v>
      </c>
      <c r="G36" s="168">
        <f t="shared" si="5"/>
        <v>4148.8005950466386</v>
      </c>
      <c r="H36" s="199">
        <f t="shared" si="6"/>
        <v>4385.5430602716469</v>
      </c>
      <c r="I36" s="186">
        <f t="shared" si="7"/>
        <v>4685.855304668612</v>
      </c>
      <c r="J36" s="97">
        <f t="shared" si="13"/>
        <v>4421.7642357018522</v>
      </c>
      <c r="K36" s="97"/>
      <c r="L36" s="97"/>
      <c r="M36" s="2"/>
      <c r="N36" s="49">
        <f t="shared" si="10"/>
        <v>43465</v>
      </c>
      <c r="O36">
        <f t="shared" si="11"/>
        <v>2019</v>
      </c>
      <c r="R36" s="34"/>
    </row>
    <row r="37" spans="1:18" x14ac:dyDescent="0.2">
      <c r="A37" t="str">
        <f t="shared" si="9"/>
        <v>2019 / 1</v>
      </c>
      <c r="C37" s="267">
        <f>'[4]TWIA 4 Premium Trend'!C53</f>
        <v>2933</v>
      </c>
      <c r="D37" s="267">
        <f>'[4]TWIA 4 Premium Trend'!B53</f>
        <v>14759154</v>
      </c>
      <c r="E37" s="268">
        <f t="shared" ref="E37:E39" si="14">$E$40</f>
        <v>1.05</v>
      </c>
      <c r="F37" s="159">
        <f t="shared" si="8"/>
        <v>15497111.700000001</v>
      </c>
      <c r="G37" s="168">
        <f t="shared" si="5"/>
        <v>5283.7066825775664</v>
      </c>
      <c r="H37" s="199">
        <f t="shared" si="6"/>
        <v>4518.7869147316333</v>
      </c>
      <c r="I37" s="186">
        <f t="shared" si="7"/>
        <v>4708.9388598259329</v>
      </c>
      <c r="J37" s="97">
        <f t="shared" si="13"/>
        <v>4477.5575315857923</v>
      </c>
      <c r="K37" s="97">
        <f>GROWTH($H$37:$H$52,$O$37:$O$52,$O37,1)</f>
        <v>4415.2370392179055</v>
      </c>
      <c r="L37" s="97"/>
      <c r="M37" s="2"/>
      <c r="N37" s="49">
        <f t="shared" si="10"/>
        <v>43555</v>
      </c>
      <c r="O37">
        <f>YEAR(N37)+MONTH(N37)/12</f>
        <v>2019.25</v>
      </c>
      <c r="R37" s="34"/>
    </row>
    <row r="38" spans="1:18" x14ac:dyDescent="0.2">
      <c r="A38" t="str">
        <f t="shared" si="9"/>
        <v>2019 / 2</v>
      </c>
      <c r="C38" s="267">
        <f>'[4]TWIA 4 Premium Trend'!C54</f>
        <v>4431</v>
      </c>
      <c r="D38" s="267">
        <f>'[4]TWIA 4 Premium Trend'!B54</f>
        <v>20959587</v>
      </c>
      <c r="E38" s="268">
        <f t="shared" si="14"/>
        <v>1.05</v>
      </c>
      <c r="F38" s="159">
        <f t="shared" si="8"/>
        <v>22007566.350000001</v>
      </c>
      <c r="G38" s="168">
        <f t="shared" si="5"/>
        <v>4966.726777251185</v>
      </c>
      <c r="H38" s="199">
        <f t="shared" si="6"/>
        <v>4589.1130162412992</v>
      </c>
      <c r="I38" s="186">
        <f t="shared" si="7"/>
        <v>4732.1361296594896</v>
      </c>
      <c r="J38" s="97">
        <f t="shared" si="13"/>
        <v>4534.0548206497533</v>
      </c>
      <c r="K38" s="97">
        <f t="shared" ref="K38:K52" si="15">GROWTH($H$37:$H$52,$O$37:$O$52,$O38,1)</f>
        <v>4477.679478363445</v>
      </c>
      <c r="L38" s="97"/>
      <c r="M38" s="2"/>
      <c r="N38" s="49">
        <f t="shared" si="10"/>
        <v>43646</v>
      </c>
      <c r="O38">
        <f t="shared" si="11"/>
        <v>2019.5</v>
      </c>
      <c r="R38" s="34"/>
    </row>
    <row r="39" spans="1:18" x14ac:dyDescent="0.2">
      <c r="A39" t="str">
        <f t="shared" si="9"/>
        <v>2019 / 3</v>
      </c>
      <c r="C39" s="267">
        <f>'[4]TWIA 4 Premium Trend'!C55</f>
        <v>3993</v>
      </c>
      <c r="D39" s="267">
        <f>'[4]TWIA 4 Premium Trend'!B55</f>
        <v>14943999</v>
      </c>
      <c r="E39" s="268">
        <f t="shared" si="14"/>
        <v>1.05</v>
      </c>
      <c r="F39" s="159">
        <f t="shared" si="8"/>
        <v>15691198.950000001</v>
      </c>
      <c r="G39" s="168">
        <f t="shared" si="5"/>
        <v>3929.6766716754323</v>
      </c>
      <c r="H39" s="199">
        <f t="shared" si="6"/>
        <v>4568.9546557445046</v>
      </c>
      <c r="I39" s="186">
        <f t="shared" si="7"/>
        <v>4755.4476743527521</v>
      </c>
      <c r="J39" s="97">
        <f t="shared" si="13"/>
        <v>4591.2649857959905</v>
      </c>
      <c r="K39" s="97">
        <f t="shared" si="15"/>
        <v>4541.0050089878368</v>
      </c>
      <c r="L39" s="97"/>
      <c r="M39" s="2"/>
      <c r="N39" s="49">
        <f t="shared" si="10"/>
        <v>43738</v>
      </c>
      <c r="O39">
        <f t="shared" si="11"/>
        <v>2019.75</v>
      </c>
      <c r="R39" s="34"/>
    </row>
    <row r="40" spans="1:18" x14ac:dyDescent="0.2">
      <c r="A40" t="str">
        <f t="shared" si="9"/>
        <v>2019 / 4</v>
      </c>
      <c r="C40" s="267">
        <f>'[4]TWIA 4 Premium Trend'!C56</f>
        <v>2966</v>
      </c>
      <c r="D40" s="267">
        <f>'[4]TWIA 4 Premium Trend'!B56</f>
        <v>12109737</v>
      </c>
      <c r="E40" s="268">
        <f>'[4]TWIA 5'!$I$232</f>
        <v>1.05</v>
      </c>
      <c r="F40" s="159">
        <f t="shared" si="8"/>
        <v>12715223.85</v>
      </c>
      <c r="G40" s="168">
        <f t="shared" si="5"/>
        <v>4286.9938806473365</v>
      </c>
      <c r="H40" s="199">
        <f t="shared" si="6"/>
        <v>4601.7664490679335</v>
      </c>
      <c r="I40" s="186">
        <f t="shared" si="7"/>
        <v>4778.8740568489129</v>
      </c>
      <c r="J40" s="97">
        <f t="shared" si="13"/>
        <v>4649.1970220103622</v>
      </c>
      <c r="K40" s="97">
        <f t="shared" si="15"/>
        <v>4605.2261202021828</v>
      </c>
      <c r="L40" s="97"/>
      <c r="M40" s="2"/>
      <c r="N40" s="49">
        <f t="shared" si="10"/>
        <v>43830</v>
      </c>
      <c r="O40">
        <f t="shared" si="11"/>
        <v>2020</v>
      </c>
      <c r="R40" s="34"/>
    </row>
    <row r="41" spans="1:18" x14ac:dyDescent="0.2">
      <c r="A41" t="str">
        <f t="shared" si="9"/>
        <v>2020 / 1</v>
      </c>
      <c r="C41" s="267">
        <f>'[4]TWIA 4 Premium Trend'!C57</f>
        <v>2719</v>
      </c>
      <c r="D41" s="267">
        <f>'[4]TWIA 4 Premium Trend'!B57</f>
        <v>14566185</v>
      </c>
      <c r="E41" s="268">
        <f t="shared" ref="E41:E51" si="16">E42</f>
        <v>1.05</v>
      </c>
      <c r="F41" s="159">
        <f t="shared" si="8"/>
        <v>15294494.25</v>
      </c>
      <c r="G41" s="168">
        <f t="shared" si="5"/>
        <v>5625.0438580360424</v>
      </c>
      <c r="H41" s="199">
        <f t="shared" si="6"/>
        <v>4657.2034446098241</v>
      </c>
      <c r="I41" s="186">
        <f t="shared" si="7"/>
        <v>4802.4158428642459</v>
      </c>
      <c r="J41" s="97">
        <f t="shared" si="13"/>
        <v>4707.8600377761904</v>
      </c>
      <c r="K41" s="97">
        <f t="shared" si="15"/>
        <v>4670.3554777447634</v>
      </c>
      <c r="L41" s="97">
        <f>GROWTH($H$41:$H$52,$O$41:$O$52,$O41,1)</f>
        <v>4566.3640694195383</v>
      </c>
      <c r="M41" s="2"/>
      <c r="N41" s="49">
        <f t="shared" si="10"/>
        <v>43921</v>
      </c>
      <c r="O41">
        <f t="shared" si="11"/>
        <v>2020.25</v>
      </c>
      <c r="R41" s="34"/>
    </row>
    <row r="42" spans="1:18" x14ac:dyDescent="0.2">
      <c r="A42" t="str">
        <f t="shared" si="9"/>
        <v>2020 / 2</v>
      </c>
      <c r="C42" s="267">
        <f>'[4]TWIA 4 Premium Trend'!C58</f>
        <v>3982</v>
      </c>
      <c r="D42" s="267">
        <f>'[4]TWIA 4 Premium Trend'!B58</f>
        <v>18776705</v>
      </c>
      <c r="E42" s="268">
        <f t="shared" si="16"/>
        <v>1.05</v>
      </c>
      <c r="F42" s="159">
        <f t="shared" si="8"/>
        <v>19715540.25</v>
      </c>
      <c r="G42" s="168">
        <f t="shared" si="5"/>
        <v>4951.1653063787044</v>
      </c>
      <c r="H42" s="199">
        <f t="shared" si="6"/>
        <v>4642.4932137628111</v>
      </c>
      <c r="I42" s="186">
        <f t="shared" si="7"/>
        <v>4826.0736009018656</v>
      </c>
      <c r="J42" s="97">
        <f t="shared" si="13"/>
        <v>4767.2632565065605</v>
      </c>
      <c r="K42" s="97">
        <f t="shared" si="15"/>
        <v>4736.4059264787174</v>
      </c>
      <c r="L42" s="97">
        <f t="shared" ref="L42:L52" si="17">GROWTH($H$41:$H$52,$O$41:$O$52,$O42,1)</f>
        <v>4646.1995402200673</v>
      </c>
      <c r="M42" s="2"/>
      <c r="N42" s="49">
        <f t="shared" si="10"/>
        <v>44012</v>
      </c>
      <c r="O42">
        <f t="shared" si="11"/>
        <v>2020.5</v>
      </c>
      <c r="R42" s="34"/>
    </row>
    <row r="43" spans="1:18" x14ac:dyDescent="0.2">
      <c r="A43" t="str">
        <f t="shared" si="9"/>
        <v>2020 / 3</v>
      </c>
      <c r="B43" s="13"/>
      <c r="C43" s="267">
        <f>'[4]TWIA 4 Premium Trend'!C59</f>
        <v>3970</v>
      </c>
      <c r="D43" s="267">
        <f>'[4]TWIA 4 Premium Trend'!B59</f>
        <v>15951658</v>
      </c>
      <c r="E43" s="268">
        <f t="shared" si="16"/>
        <v>1.05</v>
      </c>
      <c r="F43" s="159">
        <f t="shared" si="8"/>
        <v>16749240.9</v>
      </c>
      <c r="G43" s="168">
        <f t="shared" si="5"/>
        <v>4218.9523677581865</v>
      </c>
      <c r="H43" s="199">
        <f>IFERROR(SUM(F40:F43)/SUM(C40:C43),0)</f>
        <v>4727.9093092322355</v>
      </c>
      <c r="I43" s="186">
        <f t="shared" si="7"/>
        <v>4849.847902265562</v>
      </c>
      <c r="J43" s="97">
        <f t="shared" si="13"/>
        <v>4827.4160179946884</v>
      </c>
      <c r="K43" s="97">
        <f t="shared" si="15"/>
        <v>4803.3904929257114</v>
      </c>
      <c r="L43" s="97">
        <f t="shared" si="17"/>
        <v>4727.4308047638087</v>
      </c>
      <c r="M43" s="2"/>
      <c r="N43" s="49">
        <f t="shared" si="10"/>
        <v>44104</v>
      </c>
      <c r="O43">
        <f t="shared" si="11"/>
        <v>2020.75</v>
      </c>
      <c r="R43" s="34"/>
    </row>
    <row r="44" spans="1:18" x14ac:dyDescent="0.2">
      <c r="A44" t="str">
        <f t="shared" si="9"/>
        <v>2020 / 4</v>
      </c>
      <c r="C44" s="267">
        <f>'[4]TWIA 4 Premium Trend'!C60</f>
        <v>2710</v>
      </c>
      <c r="D44" s="267">
        <f>'[4]TWIA 4 Premium Trend'!B60</f>
        <v>13543203</v>
      </c>
      <c r="E44" s="268">
        <f t="shared" si="16"/>
        <v>1.05</v>
      </c>
      <c r="F44" s="159">
        <f t="shared" si="8"/>
        <v>14220363.15</v>
      </c>
      <c r="G44" s="168">
        <f t="shared" si="5"/>
        <v>5247.3664760147603</v>
      </c>
      <c r="H44" s="199">
        <f t="shared" si="6"/>
        <v>4930.8451199461924</v>
      </c>
      <c r="I44" s="186">
        <f t="shared" si="7"/>
        <v>4873.7393210733553</v>
      </c>
      <c r="J44" s="97">
        <f t="shared" si="13"/>
        <v>4888.3277798819881</v>
      </c>
      <c r="K44" s="97">
        <f t="shared" si="15"/>
        <v>4871.322387834849</v>
      </c>
      <c r="L44" s="97">
        <f t="shared" si="17"/>
        <v>4810.0822662411711</v>
      </c>
      <c r="M44" s="2"/>
      <c r="N44" s="49">
        <f t="shared" si="10"/>
        <v>44196</v>
      </c>
      <c r="O44">
        <f t="shared" si="11"/>
        <v>2021</v>
      </c>
      <c r="R44" s="34"/>
    </row>
    <row r="45" spans="1:18" x14ac:dyDescent="0.2">
      <c r="A45" t="str">
        <f t="shared" si="9"/>
        <v>2021 / 1</v>
      </c>
      <c r="B45" s="22"/>
      <c r="C45" s="267">
        <f>'[4]TWIA 4 Premium Trend'!C61</f>
        <v>2521</v>
      </c>
      <c r="D45" s="267">
        <f>'[4]TWIA 4 Premium Trend'!B61</f>
        <v>12672604</v>
      </c>
      <c r="E45" s="268">
        <f t="shared" si="16"/>
        <v>1.05</v>
      </c>
      <c r="F45" s="159">
        <f t="shared" si="8"/>
        <v>13306234.200000001</v>
      </c>
      <c r="G45" s="168">
        <f t="shared" si="5"/>
        <v>5278.1571598572</v>
      </c>
      <c r="H45" s="199">
        <f t="shared" si="6"/>
        <v>4854.0831753015245</v>
      </c>
      <c r="I45" s="186">
        <f t="shared" si="7"/>
        <v>4897.7484342716389</v>
      </c>
      <c r="J45" s="97">
        <f t="shared" si="13"/>
        <v>4950.0081191453392</v>
      </c>
      <c r="K45" s="97">
        <f t="shared" si="15"/>
        <v>4940.2150087878936</v>
      </c>
      <c r="L45" s="97">
        <f t="shared" si="17"/>
        <v>4894.17875449237</v>
      </c>
      <c r="M45" s="2"/>
      <c r="N45" s="49">
        <f t="shared" si="10"/>
        <v>44286</v>
      </c>
      <c r="O45">
        <f t="shared" si="11"/>
        <v>2021.25</v>
      </c>
      <c r="R45" s="34"/>
    </row>
    <row r="46" spans="1:18" x14ac:dyDescent="0.2">
      <c r="A46" t="str">
        <f t="shared" si="9"/>
        <v>2021 / 2</v>
      </c>
      <c r="B46" s="22"/>
      <c r="C46" s="267">
        <f>'[4]TWIA 4 Premium Trend'!C62</f>
        <v>4228</v>
      </c>
      <c r="D46" s="267">
        <f>'[4]TWIA 4 Premium Trend'!B62</f>
        <v>20348072</v>
      </c>
      <c r="E46" s="268">
        <f t="shared" si="16"/>
        <v>1.05</v>
      </c>
      <c r="F46" s="159">
        <f t="shared" si="8"/>
        <v>21365475.600000001</v>
      </c>
      <c r="G46" s="168">
        <f t="shared" si="5"/>
        <v>5053.3291390728482</v>
      </c>
      <c r="H46" s="199">
        <f t="shared" si="6"/>
        <v>4888.0269454166355</v>
      </c>
      <c r="I46" s="186">
        <f t="shared" si="7"/>
        <v>4921.8758216488259</v>
      </c>
      <c r="J46" s="97">
        <f t="shared" si="13"/>
        <v>5012.4667336027032</v>
      </c>
      <c r="K46" s="97">
        <f t="shared" si="15"/>
        <v>5010.0819428419627</v>
      </c>
      <c r="L46" s="97">
        <f t="shared" si="17"/>
        <v>4979.7455334671058</v>
      </c>
      <c r="M46" s="2"/>
      <c r="N46" s="49">
        <f t="shared" si="10"/>
        <v>44377</v>
      </c>
      <c r="O46">
        <f t="shared" si="11"/>
        <v>2021.5</v>
      </c>
      <c r="R46" s="34"/>
    </row>
    <row r="47" spans="1:18" x14ac:dyDescent="0.2">
      <c r="A47" t="str">
        <f t="shared" si="9"/>
        <v>2021 / 3</v>
      </c>
      <c r="B47" s="22"/>
      <c r="C47" s="267">
        <f>'[4]TWIA 4 Premium Trend'!C63</f>
        <v>3892</v>
      </c>
      <c r="D47" s="267">
        <f>'[4]TWIA 4 Premium Trend'!B63</f>
        <v>16793147</v>
      </c>
      <c r="E47" s="268">
        <f t="shared" si="16"/>
        <v>1.05</v>
      </c>
      <c r="F47" s="159">
        <f t="shared" si="8"/>
        <v>17632804.350000001</v>
      </c>
      <c r="G47" s="168">
        <f t="shared" si="5"/>
        <v>4530.5252697841734</v>
      </c>
      <c r="H47" s="199">
        <f t="shared" si="6"/>
        <v>4982.7636356827206</v>
      </c>
      <c r="I47" s="186">
        <f t="shared" si="7"/>
        <v>4946.1220658496413</v>
      </c>
      <c r="J47" s="97">
        <f t="shared" si="13"/>
        <v>5075.7134434381751</v>
      </c>
      <c r="K47" s="97">
        <f t="shared" si="15"/>
        <v>5080.9369692089031</v>
      </c>
      <c r="L47" s="97">
        <f t="shared" si="17"/>
        <v>5066.808308814695</v>
      </c>
      <c r="M47" s="2"/>
      <c r="N47" s="49">
        <f t="shared" si="10"/>
        <v>44469</v>
      </c>
      <c r="O47">
        <f t="shared" si="11"/>
        <v>2021.75</v>
      </c>
      <c r="R47" s="34"/>
    </row>
    <row r="48" spans="1:18" x14ac:dyDescent="0.2">
      <c r="A48" t="str">
        <f t="shared" si="9"/>
        <v>2021 / 4</v>
      </c>
      <c r="C48" s="267">
        <f>'[4]TWIA 4 Premium Trend'!C64</f>
        <v>3112</v>
      </c>
      <c r="D48" s="267">
        <f>'[4]TWIA 4 Premium Trend'!B64</f>
        <v>16369478</v>
      </c>
      <c r="E48" s="268">
        <f>'[4]TWIA 5'!$I$268</f>
        <v>1.05</v>
      </c>
      <c r="F48" s="159">
        <f t="shared" si="8"/>
        <v>17187951.900000002</v>
      </c>
      <c r="G48" s="168">
        <f t="shared" si="5"/>
        <v>5523.1207904884322</v>
      </c>
      <c r="H48" s="199">
        <f t="shared" si="6"/>
        <v>5052.8950810732213</v>
      </c>
      <c r="I48" s="186">
        <f t="shared" si="7"/>
        <v>4970.4877523889354</v>
      </c>
      <c r="J48" s="97">
        <f t="shared" si="13"/>
        <v>5139.7581927455494</v>
      </c>
      <c r="K48" s="97">
        <f t="shared" si="15"/>
        <v>5152.7940619729807</v>
      </c>
      <c r="L48" s="97">
        <f t="shared" si="17"/>
        <v>5155.393235605623</v>
      </c>
      <c r="M48" s="2"/>
      <c r="N48" s="49">
        <f>DATE(YEAR(N49+1),MONTH(N49+1)-3,1)-1</f>
        <v>44561</v>
      </c>
      <c r="O48">
        <f>YEAR(N48)+MONTH(N48)/12</f>
        <v>2022</v>
      </c>
      <c r="R48" s="34"/>
    </row>
    <row r="49" spans="1:18" x14ac:dyDescent="0.2">
      <c r="A49" t="str">
        <f t="shared" si="9"/>
        <v>2022 / 1</v>
      </c>
      <c r="B49" s="22"/>
      <c r="C49" s="267">
        <f>'[4]TWIA 4 Premium Trend'!C65</f>
        <v>2725</v>
      </c>
      <c r="D49" s="267">
        <f>'[4]TWIA 4 Premium Trend'!B65</f>
        <v>15396927</v>
      </c>
      <c r="E49" s="268">
        <f t="shared" si="16"/>
        <v>1</v>
      </c>
      <c r="F49" s="159">
        <f>D49*E49</f>
        <v>15396927</v>
      </c>
      <c r="G49" s="168">
        <f t="shared" si="5"/>
        <v>5650.2484403669723</v>
      </c>
      <c r="H49" s="199">
        <f t="shared" si="6"/>
        <v>5128.8356272838009</v>
      </c>
      <c r="I49" s="186">
        <f t="shared" si="7"/>
        <v>4994.973469665937</v>
      </c>
      <c r="J49" s="97">
        <f t="shared" si="13"/>
        <v>5204.6110510920871</v>
      </c>
      <c r="K49" s="97">
        <f t="shared" si="15"/>
        <v>5225.6673928465689</v>
      </c>
      <c r="L49" s="97">
        <f t="shared" si="17"/>
        <v>5245.5269261893591</v>
      </c>
      <c r="M49" s="2"/>
      <c r="N49" s="49">
        <f>DATE(YEAR(N50+1),MONTH(N50+1)-3,1)-1</f>
        <v>44651</v>
      </c>
      <c r="O49">
        <f>YEAR(N49)+MONTH(N49)/12</f>
        <v>2022.25</v>
      </c>
      <c r="R49" s="34"/>
    </row>
    <row r="50" spans="1:18" x14ac:dyDescent="0.2">
      <c r="A50" t="str">
        <f t="shared" si="9"/>
        <v>2022 / 2</v>
      </c>
      <c r="B50" s="22"/>
      <c r="C50" s="267">
        <f>'[4]TWIA 4 Premium Trend'!C66</f>
        <v>4642</v>
      </c>
      <c r="D50" s="267">
        <f>'[4]TWIA 4 Premium Trend'!B66</f>
        <v>25560832</v>
      </c>
      <c r="E50" s="268">
        <f t="shared" si="16"/>
        <v>1</v>
      </c>
      <c r="F50" s="159">
        <f t="shared" si="8"/>
        <v>25560832</v>
      </c>
      <c r="G50" s="168">
        <f t="shared" si="5"/>
        <v>5506.4265402843603</v>
      </c>
      <c r="H50" s="199">
        <f t="shared" si="6"/>
        <v>5273.0161610187179</v>
      </c>
      <c r="I50" s="186">
        <f t="shared" si="7"/>
        <v>5019.5798089785649</v>
      </c>
      <c r="J50" s="97">
        <f t="shared" si="13"/>
        <v>5270.282215101578</v>
      </c>
      <c r="K50" s="97">
        <f t="shared" si="15"/>
        <v>5299.5713339655376</v>
      </c>
      <c r="L50" s="97">
        <f t="shared" si="17"/>
        <v>5337.236458189599</v>
      </c>
      <c r="M50" s="2"/>
      <c r="N50" s="49">
        <f>DATE(YEAR(N51+1),MONTH(N51+1)-3,1)-1</f>
        <v>44742</v>
      </c>
      <c r="O50">
        <f>YEAR(N50)+MONTH(N50)/12</f>
        <v>2022.5</v>
      </c>
      <c r="R50" s="34"/>
    </row>
    <row r="51" spans="1:18" x14ac:dyDescent="0.2">
      <c r="A51" t="str">
        <f t="shared" si="9"/>
        <v>2022 / 3</v>
      </c>
      <c r="B51" s="22"/>
      <c r="C51" s="267">
        <f>'[4]TWIA 4 Premium Trend'!C67</f>
        <v>5337</v>
      </c>
      <c r="D51" s="267">
        <f>'[4]TWIA 4 Premium Trend'!B67</f>
        <v>29199819</v>
      </c>
      <c r="E51" s="268">
        <f t="shared" si="16"/>
        <v>1</v>
      </c>
      <c r="F51" s="159">
        <f t="shared" si="8"/>
        <v>29199819</v>
      </c>
      <c r="G51" s="168">
        <f t="shared" si="5"/>
        <v>5471.2046093310846</v>
      </c>
      <c r="H51" s="199">
        <f t="shared" si="6"/>
        <v>5522.605582953971</v>
      </c>
      <c r="I51" s="186">
        <f t="shared" si="7"/>
        <v>5044.3073645374589</v>
      </c>
      <c r="J51" s="97">
        <f t="shared" si="13"/>
        <v>5336.7820100578228</v>
      </c>
      <c r="K51" s="97">
        <f t="shared" si="15"/>
        <v>5374.5204607235301</v>
      </c>
      <c r="L51" s="97">
        <f t="shared" si="17"/>
        <v>5430.5493826377751</v>
      </c>
      <c r="M51" s="2"/>
      <c r="N51" s="49">
        <f>DATE(YEAR(N52+1),MONTH(N52+1)-3,1)-1</f>
        <v>44834</v>
      </c>
      <c r="O51">
        <f>YEAR(N51)+MONTH(N51)/12</f>
        <v>2022.75</v>
      </c>
      <c r="R51" s="34"/>
    </row>
    <row r="52" spans="1:18" x14ac:dyDescent="0.2">
      <c r="A52" t="str">
        <f t="shared" si="9"/>
        <v>2022 / 4</v>
      </c>
      <c r="B52" s="22"/>
      <c r="C52" s="267">
        <f>'[4]TWIA 4 Premium Trend'!C68</f>
        <v>3496</v>
      </c>
      <c r="D52" s="267">
        <f>'[4]TWIA 4 Premium Trend'!B68</f>
        <v>22787093</v>
      </c>
      <c r="E52" s="268">
        <f>'[4]TWIA 5'!$I$280</f>
        <v>1</v>
      </c>
      <c r="F52" s="159">
        <f>D52*E52</f>
        <v>22787093</v>
      </c>
      <c r="G52" s="168">
        <f t="shared" si="5"/>
        <v>6518.0471967963385</v>
      </c>
      <c r="H52" s="199">
        <f>IFERROR(SUM(F49:F52)/SUM(C49:C52),0)</f>
        <v>5737.3253703703704</v>
      </c>
      <c r="I52" s="186">
        <f>GROWTH($H$17:$H$52,$O$17:$O$52,$O52,1)</f>
        <v>5069.1567334806132</v>
      </c>
      <c r="J52" s="97">
        <f t="shared" si="13"/>
        <v>5404.1208915276038</v>
      </c>
      <c r="K52" s="97">
        <f t="shared" si="15"/>
        <v>5450.5295546462958</v>
      </c>
      <c r="L52" s="97">
        <f t="shared" si="17"/>
        <v>5525.4937322510368</v>
      </c>
      <c r="M52" s="2"/>
      <c r="N52" s="65">
        <v>44926</v>
      </c>
      <c r="O52">
        <f>YEAR(N52)+MONTH(N52)/12</f>
        <v>2023</v>
      </c>
      <c r="R52" s="34"/>
    </row>
    <row r="53" spans="1:18" x14ac:dyDescent="0.2">
      <c r="A53" s="9"/>
      <c r="B53" s="23"/>
      <c r="C53" s="180"/>
      <c r="D53" s="59"/>
      <c r="E53" s="33"/>
      <c r="F53" s="59"/>
      <c r="G53" s="187"/>
      <c r="H53" s="100"/>
      <c r="I53" s="102"/>
      <c r="J53" s="102"/>
      <c r="K53" s="102"/>
      <c r="L53" s="102"/>
      <c r="M53" s="2"/>
    </row>
    <row r="54" spans="1:18" x14ac:dyDescent="0.2">
      <c r="B54" s="22"/>
      <c r="C54" s="179"/>
      <c r="D54" s="29"/>
      <c r="E54" s="29"/>
      <c r="F54" s="29"/>
      <c r="G54" s="162"/>
      <c r="H54" s="29"/>
      <c r="I54" s="29"/>
      <c r="J54" s="29"/>
      <c r="K54" s="29"/>
      <c r="L54" s="29"/>
      <c r="M54" s="2"/>
    </row>
    <row r="55" spans="1:18" x14ac:dyDescent="0.2">
      <c r="A55" s="73" t="s">
        <v>305</v>
      </c>
      <c r="B55" t="s">
        <v>328</v>
      </c>
      <c r="H55" s="41"/>
      <c r="I55" s="242">
        <f>LOGEST($I$18:$I$52,$O$18:$O$52,1,1)-1</f>
        <v>1.9850965540407328E-2</v>
      </c>
      <c r="J55" s="41">
        <f>LOGEST($J$33:$J$52,$O$33:$O$52,1,1)-1</f>
        <v>5.1434851381759294E-2</v>
      </c>
      <c r="K55" s="41">
        <f>LOGEST($K$37:$K$52,$O$37:$O$52,1,1)-1</f>
        <v>5.7781368533739608E-2</v>
      </c>
      <c r="L55" s="41">
        <f>LOGEST($L$41:$L$52,$O$41:$O$52,1,1)-1</f>
        <v>7.1788994501797099E-2</v>
      </c>
      <c r="M55" s="2"/>
    </row>
    <row r="56" spans="1:18" x14ac:dyDescent="0.2">
      <c r="A56" s="73" t="s">
        <v>262</v>
      </c>
      <c r="B56" t="s">
        <v>329</v>
      </c>
      <c r="I56" s="242">
        <f>INDEX(LOGEST($H$22:$H$52,$O$22:$O$52,1,1),3,1)</f>
        <v>0.68114995833741376</v>
      </c>
      <c r="J56" s="41">
        <f>INDEX(LOGEST($H$33:$H$52,$O$33:$O$52,1,1),3,1)</f>
        <v>0.91293831196307762</v>
      </c>
      <c r="K56" s="41">
        <f>INDEX(LOGEST($H$37:$H$52,$O$37:$O$52,1,1),3,1)</f>
        <v>0.90045934799200433</v>
      </c>
      <c r="L56" s="41">
        <f>INDEX(LOGEST($H$41:$H$52,$O$41:$O$52,1,1),3,1)</f>
        <v>0.90612818712827337</v>
      </c>
      <c r="M56" s="2"/>
    </row>
    <row r="57" spans="1:18" x14ac:dyDescent="0.2">
      <c r="M57" s="2"/>
      <c r="N57" t="s">
        <v>603</v>
      </c>
    </row>
    <row r="58" spans="1:18" x14ac:dyDescent="0.2">
      <c r="A58" s="73" t="s">
        <v>330</v>
      </c>
      <c r="B58" s="12" t="s">
        <v>255</v>
      </c>
      <c r="L58" s="44">
        <v>5.7000000000000002E-2</v>
      </c>
      <c r="M58" s="2"/>
      <c r="N58" s="19">
        <f>AVERAGE(J55:L55)</f>
        <v>6.0335071472432E-2</v>
      </c>
    </row>
    <row r="59" spans="1:18" ht="12" thickBot="1" x14ac:dyDescent="0.25">
      <c r="A59" s="6"/>
      <c r="B59" s="6"/>
      <c r="C59" s="177"/>
      <c r="D59" s="6"/>
      <c r="E59" s="6"/>
      <c r="F59" s="6"/>
      <c r="G59" s="177"/>
      <c r="H59" s="6"/>
      <c r="I59" s="6"/>
      <c r="J59" s="6"/>
      <c r="K59" s="6"/>
      <c r="L59" s="6"/>
      <c r="M59" s="2"/>
    </row>
    <row r="60" spans="1:18" ht="12" thickTop="1" x14ac:dyDescent="0.2">
      <c r="M60" s="2"/>
    </row>
    <row r="61" spans="1:18" x14ac:dyDescent="0.2">
      <c r="A61" s="22" t="s">
        <v>18</v>
      </c>
      <c r="B61" s="22"/>
      <c r="C61" s="154" t="str">
        <f>C12&amp;" Provided by TWIA"</f>
        <v>(2) Provided by TWIA</v>
      </c>
      <c r="D61" s="22"/>
      <c r="E61" s="101"/>
      <c r="I61" s="19"/>
      <c r="J61" s="19"/>
      <c r="K61" s="19"/>
      <c r="L61" s="19"/>
      <c r="M61" s="2"/>
    </row>
    <row r="62" spans="1:18" x14ac:dyDescent="0.2">
      <c r="A62" s="22"/>
      <c r="B62" s="22"/>
      <c r="C62" s="154" t="str">
        <f>D12&amp;" Provided by TWIA"</f>
        <v>(3) Provided by TWIA</v>
      </c>
      <c r="D62" s="22"/>
      <c r="E62" s="101"/>
      <c r="I62" s="19"/>
      <c r="J62" s="19"/>
      <c r="K62" s="19"/>
      <c r="L62" s="19"/>
      <c r="M62" s="2"/>
    </row>
    <row r="63" spans="1:18" x14ac:dyDescent="0.2">
      <c r="A63" s="22"/>
      <c r="B63" s="22"/>
      <c r="C63" s="154" t="str">
        <f>E12&amp;" Factor to bring written premium to current rate level"</f>
        <v>(4) Factor to bring written premium to current rate level</v>
      </c>
      <c r="D63" s="182"/>
      <c r="M63" s="2"/>
    </row>
    <row r="64" spans="1:18" x14ac:dyDescent="0.2">
      <c r="A64" s="183"/>
      <c r="B64" s="22"/>
      <c r="C64" s="154" t="str">
        <f>F12&amp;" = "&amp;D12&amp;" * "&amp;E12</f>
        <v>(5) = (3) * (4)</v>
      </c>
      <c r="D64" s="22"/>
      <c r="M64" s="2"/>
    </row>
    <row r="65" spans="1:13" x14ac:dyDescent="0.2">
      <c r="A65" s="22"/>
      <c r="B65" s="22"/>
      <c r="C65" s="183" t="s">
        <v>464</v>
      </c>
      <c r="D65" s="22"/>
      <c r="M65" s="2"/>
    </row>
    <row r="66" spans="1:13" x14ac:dyDescent="0.2">
      <c r="A66" s="22"/>
      <c r="B66" s="22"/>
      <c r="C66" s="40" t="s">
        <v>465</v>
      </c>
      <c r="D66" s="22"/>
      <c r="M66" s="2"/>
    </row>
    <row r="67" spans="1:13" x14ac:dyDescent="0.2">
      <c r="A67" s="22"/>
      <c r="B67" s="22"/>
      <c r="C67" s="154" t="str">
        <f>I12&amp;" - "&amp;L12&amp;" fitted to an exponential distribution"</f>
        <v>(8) - (11) fitted to an exponential distribution</v>
      </c>
      <c r="D67" s="184"/>
      <c r="E67" s="29"/>
      <c r="M67" s="2"/>
    </row>
    <row r="68" spans="1:13" x14ac:dyDescent="0.2">
      <c r="A68" s="22"/>
      <c r="B68" s="22"/>
      <c r="C68" s="22" t="str">
        <f>A55&amp;" Fitted average annual change"</f>
        <v>(14) Fitted average annual change</v>
      </c>
      <c r="D68" s="22"/>
      <c r="F68" s="29"/>
      <c r="G68" s="162"/>
      <c r="H68" s="29"/>
      <c r="I68" s="29"/>
      <c r="J68" s="29"/>
      <c r="K68" s="29"/>
      <c r="L68" s="29"/>
      <c r="M68" s="2"/>
    </row>
    <row r="69" spans="1:13" x14ac:dyDescent="0.2">
      <c r="A69" s="22"/>
      <c r="B69" s="22"/>
      <c r="C69" s="22" t="str">
        <f>A56&amp;" Evaluates the predictability of the fitted curve"</f>
        <v>(15) Evaluates the predictability of the fitted curve</v>
      </c>
      <c r="D69" s="22"/>
      <c r="F69" s="29"/>
      <c r="G69" s="162"/>
      <c r="H69" s="29"/>
      <c r="I69" s="29"/>
      <c r="J69" s="29"/>
      <c r="K69" s="29"/>
      <c r="L69" s="29"/>
      <c r="M69" s="2"/>
    </row>
    <row r="70" spans="1:13" ht="12" thickBot="1" x14ac:dyDescent="0.25">
      <c r="A70" s="22"/>
      <c r="B70" s="22"/>
      <c r="C70" s="22" t="str">
        <f>A58&amp;" Selected based on judgment"</f>
        <v>(16) Selected based on judgment</v>
      </c>
      <c r="D70" s="185"/>
      <c r="G70" s="168"/>
      <c r="H70" s="18"/>
      <c r="I70" s="18"/>
      <c r="J70" s="18"/>
      <c r="K70" s="18"/>
      <c r="L70" s="18"/>
      <c r="M70" s="2"/>
    </row>
    <row r="71" spans="1:13" ht="12" thickBot="1" x14ac:dyDescent="0.25">
      <c r="A71" s="22"/>
      <c r="B71" s="22"/>
      <c r="G71" s="168"/>
      <c r="H71" s="18"/>
      <c r="I71" s="18"/>
      <c r="J71" s="18"/>
      <c r="K71" s="18"/>
      <c r="L71" s="18"/>
      <c r="M71" s="2"/>
    </row>
    <row r="72" spans="1:13" ht="12" hidden="1" thickBot="1" x14ac:dyDescent="0.25">
      <c r="A72" s="22"/>
      <c r="B72" s="22"/>
      <c r="F72" s="18"/>
      <c r="G72" s="168"/>
      <c r="H72" s="18"/>
      <c r="I72" s="18"/>
      <c r="J72" s="18"/>
      <c r="K72" s="18"/>
      <c r="L72" s="18"/>
      <c r="M72" s="2"/>
    </row>
    <row r="73" spans="1:13" ht="12" thickBot="1" x14ac:dyDescent="0.25">
      <c r="A73" s="4"/>
      <c r="B73" s="5"/>
      <c r="C73" s="181"/>
      <c r="D73" s="5"/>
      <c r="E73" s="5"/>
      <c r="F73" s="5"/>
      <c r="G73" s="181"/>
      <c r="H73" s="5"/>
      <c r="I73" s="5"/>
      <c r="J73" s="5"/>
      <c r="K73" s="5"/>
      <c r="L73" s="5"/>
      <c r="M73" s="3"/>
    </row>
    <row r="76" spans="1:13" x14ac:dyDescent="0.2">
      <c r="A76" t="s">
        <v>406</v>
      </c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40</vt:i4>
      </vt:variant>
    </vt:vector>
  </HeadingPairs>
  <TitlesOfParts>
    <vt:vector size="82" baseType="lpstr">
      <vt:lpstr>Cover Page</vt:lpstr>
      <vt:lpstr>Table of Contents</vt:lpstr>
      <vt:lpstr>1</vt:lpstr>
      <vt:lpstr>2.1</vt:lpstr>
      <vt:lpstr>2.2</vt:lpstr>
      <vt:lpstr>2.3</vt:lpstr>
      <vt:lpstr>2.4</vt:lpstr>
      <vt:lpstr>3.1</vt:lpstr>
      <vt:lpstr>3.2 premium trend</vt:lpstr>
      <vt:lpstr>3.3a</vt:lpstr>
      <vt:lpstr>3.3b</vt:lpstr>
      <vt:lpstr>3.3c</vt:lpstr>
      <vt:lpstr>3.3d</vt:lpstr>
      <vt:lpstr>4.1</vt:lpstr>
      <vt:lpstr>4.2</vt:lpstr>
      <vt:lpstr>4.3</vt:lpstr>
      <vt:lpstr>4.4</vt:lpstr>
      <vt:lpstr>4.5</vt:lpstr>
      <vt:lpstr>5</vt:lpstr>
      <vt:lpstr>6.1</vt:lpstr>
      <vt:lpstr>6.2 - industry</vt:lpstr>
      <vt:lpstr>6.3</vt:lpstr>
      <vt:lpstr>6.4</vt:lpstr>
      <vt:lpstr>6.5</vt:lpstr>
      <vt:lpstr>6.6</vt:lpstr>
      <vt:lpstr>6.7</vt:lpstr>
      <vt:lpstr>7.1</vt:lpstr>
      <vt:lpstr>7.2</vt:lpstr>
      <vt:lpstr>7.3</vt:lpstr>
      <vt:lpstr>7.4</vt:lpstr>
      <vt:lpstr>8.1</vt:lpstr>
      <vt:lpstr>8.2</vt:lpstr>
      <vt:lpstr>8.3</vt:lpstr>
      <vt:lpstr>8.4</vt:lpstr>
      <vt:lpstr>9</vt:lpstr>
      <vt:lpstr>10.1</vt:lpstr>
      <vt:lpstr>10.2</vt:lpstr>
      <vt:lpstr>10.3</vt:lpstr>
      <vt:lpstr>11.1</vt:lpstr>
      <vt:lpstr>11.2</vt:lpstr>
      <vt:lpstr>12.1</vt:lpstr>
      <vt:lpstr>12.2</vt:lpstr>
      <vt:lpstr>'1'!Print_Area</vt:lpstr>
      <vt:lpstr>'10.1'!Print_Area</vt:lpstr>
      <vt:lpstr>'10.2'!Print_Area</vt:lpstr>
      <vt:lpstr>'10.3'!Print_Area</vt:lpstr>
      <vt:lpstr>'11.1'!Print_Area</vt:lpstr>
      <vt:lpstr>'11.2'!Print_Area</vt:lpstr>
      <vt:lpstr>'12.1'!Print_Area</vt:lpstr>
      <vt:lpstr>'12.2'!Print_Area</vt:lpstr>
      <vt:lpstr>'2.1'!Print_Area</vt:lpstr>
      <vt:lpstr>'2.2'!Print_Area</vt:lpstr>
      <vt:lpstr>'2.3'!Print_Area</vt:lpstr>
      <vt:lpstr>'2.4'!Print_Area</vt:lpstr>
      <vt:lpstr>'3.1'!Print_Area</vt:lpstr>
      <vt:lpstr>'3.2 premium trend'!Print_Area</vt:lpstr>
      <vt:lpstr>'3.3a'!Print_Area</vt:lpstr>
      <vt:lpstr>'3.3b'!Print_Area</vt:lpstr>
      <vt:lpstr>'3.3c'!Print_Area</vt:lpstr>
      <vt:lpstr>'3.3d'!Print_Area</vt:lpstr>
      <vt:lpstr>'4.1'!Print_Area</vt:lpstr>
      <vt:lpstr>'4.2'!Print_Area</vt:lpstr>
      <vt:lpstr>'4.3'!Print_Area</vt:lpstr>
      <vt:lpstr>'4.4'!Print_Area</vt:lpstr>
      <vt:lpstr>'4.5'!Print_Area</vt:lpstr>
      <vt:lpstr>'5'!Print_Area</vt:lpstr>
      <vt:lpstr>'6.1'!Print_Area</vt:lpstr>
      <vt:lpstr>'6.2 - industry'!Print_Area</vt:lpstr>
      <vt:lpstr>'6.3'!Print_Area</vt:lpstr>
      <vt:lpstr>'6.4'!Print_Area</vt:lpstr>
      <vt:lpstr>'6.5'!Print_Area</vt:lpstr>
      <vt:lpstr>'6.6'!Print_Area</vt:lpstr>
      <vt:lpstr>'6.7'!Print_Area</vt:lpstr>
      <vt:lpstr>'7.1'!Print_Area</vt:lpstr>
      <vt:lpstr>'7.2'!Print_Area</vt:lpstr>
      <vt:lpstr>'7.3'!Print_Area</vt:lpstr>
      <vt:lpstr>'7.4'!Print_Area</vt:lpstr>
      <vt:lpstr>'8.1'!Print_Area</vt:lpstr>
      <vt:lpstr>'8.2'!Print_Area</vt:lpstr>
      <vt:lpstr>'8.3'!Print_Area</vt:lpstr>
      <vt:lpstr>'8.4'!Print_Area</vt:lpstr>
      <vt:lpstr>'9'!Print_Area</vt:lpstr>
    </vt:vector>
  </TitlesOfParts>
  <Company>Republic 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xiuyu li</dc:creator>
  <cp:lastModifiedBy>Angela Fang</cp:lastModifiedBy>
  <cp:lastPrinted>2023-06-23T22:02:18Z</cp:lastPrinted>
  <dcterms:created xsi:type="dcterms:W3CDTF">2001-12-17T21:49:07Z</dcterms:created>
  <dcterms:modified xsi:type="dcterms:W3CDTF">2023-06-26T20:32:55Z</dcterms:modified>
</cp:coreProperties>
</file>