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1 Rate Review\"/>
    </mc:Choice>
  </mc:AlternateContent>
  <xr:revisionPtr revIDLastSave="0" documentId="13_ncr:1_{DF953111-F58E-41F8-A1F1-C64554CDC115}" xr6:coauthVersionLast="45" xr6:coauthVersionMax="45" xr10:uidLastSave="{00000000-0000-0000-0000-000000000000}"/>
  <bookViews>
    <workbookView xWindow="1870" yWindow="140" windowWidth="16880" windowHeight="9780" tabRatio="914" xr2:uid="{B012DC09-D67D-4D0A-BED9-E2C6C7FB96C4}"/>
  </bookViews>
  <sheets>
    <sheet name="Cover Page" sheetId="61" r:id="rId1"/>
    <sheet name="Table of Contents" sheetId="62" r:id="rId2"/>
    <sheet name="1" sheetId="1" r:id="rId3"/>
    <sheet name="2.1" sheetId="2" r:id="rId4"/>
    <sheet name="2.2a" sheetId="3" r:id="rId5"/>
    <sheet name="2.2b" sheetId="4" r:id="rId6"/>
    <sheet name="2.2c" sheetId="5" r:id="rId7"/>
    <sheet name="2.2d" sheetId="6" r:id="rId8"/>
    <sheet name="2.3a" sheetId="7" r:id="rId9"/>
    <sheet name="2.3b" sheetId="8" r:id="rId10"/>
    <sheet name="2.3c" sheetId="9" r:id="rId11"/>
    <sheet name="2.3d" sheetId="10" r:id="rId12"/>
    <sheet name="2.4a" sheetId="11" r:id="rId13"/>
    <sheet name="2.4b" sheetId="12" r:id="rId14"/>
    <sheet name="2.4c" sheetId="13" r:id="rId15"/>
    <sheet name="2.4d" sheetId="14" r:id="rId16"/>
    <sheet name="trend 2.5" sheetId="15" r:id="rId17"/>
    <sheet name="ldf 3.1a" sheetId="16" r:id="rId18"/>
    <sheet name="ldf 3.1b" sheetId="60" r:id="rId19"/>
    <sheet name="3.2 premium trend" sheetId="17" r:id="rId20"/>
    <sheet name="3.3a" sheetId="18" r:id="rId21"/>
    <sheet name="3.3b" sheetId="19" r:id="rId22"/>
    <sheet name="3.3c" sheetId="20" r:id="rId23"/>
    <sheet name="3.3d" sheetId="21" r:id="rId24"/>
    <sheet name="4.1" sheetId="22" r:id="rId25"/>
    <sheet name="4.2" sheetId="23" r:id="rId26"/>
    <sheet name="4.3AS loss Dev" sheetId="24" r:id="rId27"/>
    <sheet name="4.4" sheetId="25" r:id="rId28"/>
    <sheet name="4.5AS LAE Dev" sheetId="26" r:id="rId29"/>
    <sheet name="5" sheetId="27" r:id="rId30"/>
    <sheet name="6.1" sheetId="28" r:id="rId31"/>
    <sheet name="6.2" sheetId="29" r:id="rId32"/>
    <sheet name="6.3" sheetId="30" r:id="rId33"/>
    <sheet name="6.4" sheetId="31" r:id="rId34"/>
    <sheet name="6.5" sheetId="32" r:id="rId35"/>
    <sheet name="6.6" sheetId="33" r:id="rId36"/>
    <sheet name="6.7" sheetId="34" r:id="rId37"/>
    <sheet name="7.1" sheetId="35" r:id="rId38"/>
    <sheet name="7.2" sheetId="36" r:id="rId39"/>
    <sheet name="8.1" sheetId="37" r:id="rId40"/>
    <sheet name="8.2" sheetId="38" r:id="rId41"/>
    <sheet name="9" sheetId="40" r:id="rId42"/>
    <sheet name="10.1a" sheetId="41" r:id="rId43"/>
    <sheet name="10.1b" sheetId="42" r:id="rId44"/>
    <sheet name="10.1c" sheetId="43" r:id="rId45"/>
    <sheet name="10.1d" sheetId="44" r:id="rId46"/>
    <sheet name="10.2" sheetId="45" r:id="rId47"/>
    <sheet name="11.1" sheetId="46" r:id="rId48"/>
    <sheet name="11.2" sheetId="58" r:id="rId49"/>
    <sheet name="12" sheetId="48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xlnm.Print_Area" localSheetId="2">'1'!$A$1:$K$70</definedName>
    <definedName name="_xlnm.Print_Area" localSheetId="42">'10.1a'!$A$1:$J$66</definedName>
    <definedName name="_xlnm.Print_Area" localSheetId="43">'10.1b'!$A$1:$J$62</definedName>
    <definedName name="_xlnm.Print_Area" localSheetId="44">'10.1c'!$A$1:$J$66</definedName>
    <definedName name="_xlnm.Print_Area" localSheetId="45">'10.1d'!$A$1:$J$66</definedName>
    <definedName name="_xlnm.Print_Area" localSheetId="46">'10.2'!$A$1:$J$70</definedName>
    <definedName name="_xlnm.Print_Area" localSheetId="47">'11.1'!$A$1:$J$67</definedName>
    <definedName name="_xlnm.Print_Area" localSheetId="48">'11.2'!$A$1:$H$68</definedName>
    <definedName name="_xlnm.Print_Area" localSheetId="49">'12'!$A$1:$J$72</definedName>
    <definedName name="_xlnm.Print_Area" localSheetId="3">'2.1'!$A$1:$J$68</definedName>
    <definedName name="_xlnm.Print_Area" localSheetId="4">'2.2a'!$A$1:$J$68</definedName>
    <definedName name="_xlnm.Print_Area" localSheetId="5">'2.2b'!$A$1:$J$68</definedName>
    <definedName name="_xlnm.Print_Area" localSheetId="6">'2.2c'!$A$1:$J$68</definedName>
    <definedName name="_xlnm.Print_Area" localSheetId="7">'2.2d'!$A$1:$J$68</definedName>
    <definedName name="_xlnm.Print_Area" localSheetId="8">'2.3a'!$A$1:$J$68</definedName>
    <definedName name="_xlnm.Print_Area" localSheetId="9">'2.3b'!$A$1:$J$68</definedName>
    <definedName name="_xlnm.Print_Area" localSheetId="10">'2.3c'!$A$1:$J$68</definedName>
    <definedName name="_xlnm.Print_Area" localSheetId="11">'2.3d'!$A$1:$J$68</definedName>
    <definedName name="_xlnm.Print_Area" localSheetId="12">'2.4a'!$A$1:$J$68</definedName>
    <definedName name="_xlnm.Print_Area" localSheetId="13">'2.4b'!$A$1:$J$68</definedName>
    <definedName name="_xlnm.Print_Area" localSheetId="14">'2.4c'!$A$1:$J$68</definedName>
    <definedName name="_xlnm.Print_Area" localSheetId="15">'2.4d'!$A$1:$J$68</definedName>
    <definedName name="_xlnm.Print_Area" localSheetId="19">'3.2 premium trend'!$A$1:$L$70</definedName>
    <definedName name="_xlnm.Print_Area" localSheetId="20">'3.3a'!$A$1:$L$68</definedName>
    <definedName name="_xlnm.Print_Area" localSheetId="21">'3.3b'!$A$1:$L$62</definedName>
    <definedName name="_xlnm.Print_Area" localSheetId="22">'3.3c'!$A$1:$L$68</definedName>
    <definedName name="_xlnm.Print_Area" localSheetId="23">'3.3d'!$A$1:$L$69</definedName>
    <definedName name="_xlnm.Print_Area" localSheetId="24">'4.1'!$A$1:$J$72</definedName>
    <definedName name="_xlnm.Print_Area" localSheetId="25">'4.2'!$A$1:$K$72</definedName>
    <definedName name="_xlnm.Print_Area" localSheetId="26">'4.3AS loss Dev'!$A$1:$K$68</definedName>
    <definedName name="_xlnm.Print_Area" localSheetId="27">'4.4'!$A$1:$J$70</definedName>
    <definedName name="_xlnm.Print_Area" localSheetId="28">'4.5AS LAE Dev'!$A$1:$K$70</definedName>
    <definedName name="_xlnm.Print_Area" localSheetId="29">'5'!$A$1:$H$42</definedName>
    <definedName name="_xlnm.Print_Area" localSheetId="30">'6.1'!$A$1:$K$58</definedName>
    <definedName name="_xlnm.Print_Area" localSheetId="31">'6.2'!$A$1:$J$77</definedName>
    <definedName name="_xlnm.Print_Area" localSheetId="32">'6.3'!$A$1:$I$71</definedName>
    <definedName name="_xlnm.Print_Area" localSheetId="33">'6.4'!$A$1:$I$63</definedName>
    <definedName name="_xlnm.Print_Area" localSheetId="34">'6.5'!$A$1:$I$63</definedName>
    <definedName name="_xlnm.Print_Area" localSheetId="35">'6.6'!$A$1:$I$62</definedName>
    <definedName name="_xlnm.Print_Area" localSheetId="36">'6.7'!$A$1:$I$62</definedName>
    <definedName name="_xlnm.Print_Area" localSheetId="37">'7.1'!$A$1:$K$68</definedName>
    <definedName name="_xlnm.Print_Area" localSheetId="38">'7.2'!$A$1:$J$67</definedName>
    <definedName name="_xlnm.Print_Area" localSheetId="39">'8.1'!$A$1:$K$68</definedName>
    <definedName name="_xlnm.Print_Area" localSheetId="40">'8.2'!$A$1:$J$67</definedName>
    <definedName name="_xlnm.Print_Area" localSheetId="41">'9'!$A$1:$J$71</definedName>
    <definedName name="_xlnm.Print_Area" localSheetId="17">'ldf 3.1a'!$A$1:$L$50</definedName>
    <definedName name="_xlnm.Print_Area" localSheetId="18">'ldf 3.1b'!$A$1:$L$50</definedName>
    <definedName name="_xlnm.Print_Area" localSheetId="1">'Table of Contents'!$A$1:$I$56</definedName>
    <definedName name="_xlnm.Print_Area" localSheetId="16">'trend 2.5'!$A$1:$L$63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38" l="1"/>
  <c r="B37" i="36"/>
  <c r="G38" i="46" l="1"/>
  <c r="B33" i="35" l="1"/>
  <c r="J29" i="58" l="1"/>
  <c r="L29" i="58" s="1"/>
  <c r="B41" i="58"/>
  <c r="B42" i="58"/>
  <c r="B44" i="58"/>
  <c r="B46" i="58"/>
  <c r="B47" i="58"/>
  <c r="B38" i="58"/>
  <c r="E22" i="58"/>
  <c r="F22" i="58"/>
  <c r="D22" i="58"/>
  <c r="E18" i="58"/>
  <c r="E20" i="58" s="1"/>
  <c r="F18" i="58"/>
  <c r="F20" i="58" s="1"/>
  <c r="D18" i="58"/>
  <c r="C18" i="58"/>
  <c r="C13" i="58"/>
  <c r="E13" i="58"/>
  <c r="E15" i="58" s="1"/>
  <c r="F13" i="58"/>
  <c r="F15" i="58" s="1"/>
  <c r="D13" i="58"/>
  <c r="E10" i="58"/>
  <c r="F10" i="58"/>
  <c r="D10" i="58"/>
  <c r="E7" i="58"/>
  <c r="F7" i="58"/>
  <c r="D7" i="58"/>
  <c r="D69" i="29" l="1"/>
  <c r="C17" i="2" l="1"/>
  <c r="C16" i="2"/>
  <c r="C15" i="2"/>
  <c r="C14" i="2"/>
  <c r="C19" i="2" s="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D14" i="11"/>
  <c r="C14" i="11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D14" i="12"/>
  <c r="C14" i="12"/>
  <c r="C15" i="13" l="1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D14" i="13"/>
  <c r="C14" i="13"/>
  <c r="D15" i="14"/>
  <c r="D16" i="14"/>
  <c r="D17" i="14"/>
  <c r="D18" i="14"/>
  <c r="D19" i="14"/>
  <c r="D20" i="14"/>
  <c r="D21" i="14"/>
  <c r="D22" i="14"/>
  <c r="D23" i="14"/>
  <c r="D14" i="14"/>
  <c r="C15" i="14"/>
  <c r="C16" i="14"/>
  <c r="C17" i="14"/>
  <c r="C18" i="14"/>
  <c r="C19" i="14"/>
  <c r="C20" i="14"/>
  <c r="C21" i="14"/>
  <c r="C22" i="14"/>
  <c r="C23" i="14"/>
  <c r="C14" i="14"/>
  <c r="M22" i="11"/>
  <c r="L22" i="11"/>
  <c r="D22" i="16"/>
  <c r="C22" i="16"/>
  <c r="O23" i="16"/>
  <c r="D21" i="16"/>
  <c r="E21" i="16"/>
  <c r="C21" i="16"/>
  <c r="D20" i="16"/>
  <c r="E20" i="16"/>
  <c r="F20" i="16"/>
  <c r="C20" i="16"/>
  <c r="D19" i="16"/>
  <c r="E19" i="16"/>
  <c r="F19" i="16"/>
  <c r="G19" i="16"/>
  <c r="C19" i="16"/>
  <c r="D18" i="16"/>
  <c r="E18" i="16"/>
  <c r="F18" i="16"/>
  <c r="G18" i="16"/>
  <c r="H18" i="16"/>
  <c r="C18" i="16"/>
  <c r="D17" i="16"/>
  <c r="E17" i="16"/>
  <c r="F17" i="16"/>
  <c r="G17" i="16"/>
  <c r="H17" i="16"/>
  <c r="I17" i="16"/>
  <c r="C17" i="16"/>
  <c r="D16" i="16"/>
  <c r="E16" i="16"/>
  <c r="F16" i="16"/>
  <c r="G16" i="16"/>
  <c r="H16" i="16"/>
  <c r="I16" i="16"/>
  <c r="J16" i="16"/>
  <c r="C16" i="16"/>
  <c r="D15" i="16"/>
  <c r="E15" i="16"/>
  <c r="F15" i="16"/>
  <c r="G15" i="16"/>
  <c r="H15" i="16"/>
  <c r="I15" i="16"/>
  <c r="J15" i="16"/>
  <c r="K15" i="16"/>
  <c r="C15" i="16"/>
  <c r="D14" i="16"/>
  <c r="E14" i="16"/>
  <c r="F14" i="16"/>
  <c r="G14" i="16"/>
  <c r="H14" i="16"/>
  <c r="I14" i="16"/>
  <c r="J14" i="16"/>
  <c r="K14" i="16"/>
  <c r="C14" i="16"/>
  <c r="C23" i="16"/>
  <c r="N23" i="16"/>
  <c r="E41" i="17" l="1"/>
  <c r="E42" i="17"/>
  <c r="E43" i="17"/>
  <c r="E44" i="17"/>
  <c r="E45" i="17"/>
  <c r="E46" i="17"/>
  <c r="E47" i="17"/>
  <c r="E48" i="17"/>
  <c r="E49" i="17"/>
  <c r="E50" i="17"/>
  <c r="E51" i="17"/>
  <c r="E52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Q30" i="17" s="1"/>
  <c r="D31" i="17"/>
  <c r="D32" i="17"/>
  <c r="D33" i="17"/>
  <c r="D34" i="17"/>
  <c r="Q34" i="17" s="1"/>
  <c r="D35" i="17"/>
  <c r="D36" i="17"/>
  <c r="D37" i="17"/>
  <c r="D38" i="17"/>
  <c r="Q38" i="17" s="1"/>
  <c r="D39" i="17"/>
  <c r="D40" i="17"/>
  <c r="D41" i="17"/>
  <c r="D42" i="17"/>
  <c r="Q42" i="17" s="1"/>
  <c r="D43" i="17"/>
  <c r="D44" i="17"/>
  <c r="D45" i="17"/>
  <c r="D46" i="17"/>
  <c r="Q46" i="17" s="1"/>
  <c r="D47" i="17"/>
  <c r="D48" i="17"/>
  <c r="D49" i="17"/>
  <c r="D50" i="17"/>
  <c r="Q50" i="17" s="1"/>
  <c r="D51" i="17"/>
  <c r="D52" i="17"/>
  <c r="D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14" i="17"/>
  <c r="Q26" i="17" l="1"/>
  <c r="Q14" i="17"/>
  <c r="Q22" i="17"/>
  <c r="Q18" i="17"/>
  <c r="Q49" i="17"/>
  <c r="Q45" i="17"/>
  <c r="Q41" i="17"/>
  <c r="Q37" i="17"/>
  <c r="Q33" i="17"/>
  <c r="Q29" i="17"/>
  <c r="Q25" i="17"/>
  <c r="Q21" i="17"/>
  <c r="Q17" i="17"/>
  <c r="Q48" i="17"/>
  <c r="Q44" i="17"/>
  <c r="Q40" i="17"/>
  <c r="Q36" i="17"/>
  <c r="Q32" i="17"/>
  <c r="Q28" i="17"/>
  <c r="Q24" i="17"/>
  <c r="Q20" i="17"/>
  <c r="Q16" i="17"/>
  <c r="Q52" i="17"/>
  <c r="F52" i="17"/>
  <c r="Q51" i="17"/>
  <c r="Q47" i="17"/>
  <c r="Q43" i="17"/>
  <c r="Q39" i="17"/>
  <c r="Q35" i="17"/>
  <c r="Q31" i="17"/>
  <c r="Q27" i="17"/>
  <c r="Q23" i="17"/>
  <c r="Q19" i="17"/>
  <c r="Q15" i="17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14" i="19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14" i="20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14" i="21"/>
  <c r="K56" i="20" l="1"/>
  <c r="K56" i="19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C54" i="22" s="1"/>
  <c r="E14" i="23"/>
  <c r="D47" i="23"/>
  <c r="D48" i="23"/>
  <c r="D49" i="23"/>
  <c r="D50" i="23"/>
  <c r="D51" i="23"/>
  <c r="D52" i="23"/>
  <c r="D53" i="23"/>
  <c r="D54" i="23"/>
  <c r="D46" i="23"/>
  <c r="C47" i="23"/>
  <c r="C48" i="23"/>
  <c r="C49" i="23"/>
  <c r="C50" i="23"/>
  <c r="C51" i="23"/>
  <c r="C52" i="23"/>
  <c r="C53" i="23"/>
  <c r="C54" i="23"/>
  <c r="C46" i="23"/>
  <c r="B59" i="23"/>
  <c r="C47" i="24"/>
  <c r="D47" i="24"/>
  <c r="E47" i="24"/>
  <c r="F47" i="24"/>
  <c r="G47" i="24"/>
  <c r="H47" i="24"/>
  <c r="I47" i="24"/>
  <c r="D46" i="24"/>
  <c r="E46" i="24"/>
  <c r="F46" i="24"/>
  <c r="G46" i="24"/>
  <c r="H46" i="24"/>
  <c r="I46" i="24"/>
  <c r="C46" i="24"/>
  <c r="M23" i="24"/>
  <c r="C15" i="24"/>
  <c r="D15" i="24"/>
  <c r="E15" i="24"/>
  <c r="F15" i="24"/>
  <c r="G15" i="24"/>
  <c r="H15" i="24"/>
  <c r="I15" i="24"/>
  <c r="C16" i="24"/>
  <c r="D16" i="24"/>
  <c r="E16" i="24"/>
  <c r="F16" i="24"/>
  <c r="G16" i="24"/>
  <c r="H16" i="24"/>
  <c r="I16" i="24"/>
  <c r="C17" i="24"/>
  <c r="D17" i="24"/>
  <c r="E17" i="24"/>
  <c r="F17" i="24"/>
  <c r="G17" i="24"/>
  <c r="H17" i="24"/>
  <c r="I17" i="24"/>
  <c r="C18" i="24"/>
  <c r="D18" i="24"/>
  <c r="E18" i="24"/>
  <c r="F18" i="24"/>
  <c r="G18" i="24"/>
  <c r="H18" i="24"/>
  <c r="C19" i="24"/>
  <c r="D19" i="24"/>
  <c r="E19" i="24"/>
  <c r="F19" i="24"/>
  <c r="G19" i="24"/>
  <c r="C20" i="24"/>
  <c r="D20" i="24"/>
  <c r="E20" i="24"/>
  <c r="F20" i="24"/>
  <c r="C21" i="24"/>
  <c r="D21" i="24"/>
  <c r="E21" i="24"/>
  <c r="C22" i="24"/>
  <c r="D22" i="24"/>
  <c r="C23" i="24"/>
  <c r="D14" i="24"/>
  <c r="E14" i="24"/>
  <c r="F14" i="24"/>
  <c r="G14" i="24"/>
  <c r="H14" i="24"/>
  <c r="I14" i="24"/>
  <c r="C14" i="24"/>
  <c r="B60" i="25"/>
  <c r="B58" i="25"/>
  <c r="G14" i="25"/>
  <c r="G15" i="25"/>
  <c r="G16" i="25"/>
  <c r="G17" i="25"/>
  <c r="G18" i="25"/>
  <c r="G19" i="25"/>
  <c r="G20" i="25"/>
  <c r="G21" i="25"/>
  <c r="G22" i="25"/>
  <c r="G13" i="25"/>
  <c r="E20" i="25"/>
  <c r="F20" i="25"/>
  <c r="E21" i="25"/>
  <c r="F21" i="25"/>
  <c r="E22" i="25"/>
  <c r="F22" i="25"/>
  <c r="E23" i="25"/>
  <c r="F23" i="25"/>
  <c r="G23" i="25"/>
  <c r="E24" i="25"/>
  <c r="F24" i="25"/>
  <c r="G24" i="25"/>
  <c r="E25" i="25"/>
  <c r="F25" i="25"/>
  <c r="G25" i="25"/>
  <c r="E26" i="25"/>
  <c r="F26" i="25"/>
  <c r="G26" i="25"/>
  <c r="E27" i="25"/>
  <c r="F27" i="25"/>
  <c r="G27" i="25"/>
  <c r="E28" i="25"/>
  <c r="F28" i="25"/>
  <c r="G28" i="25"/>
  <c r="E29" i="25"/>
  <c r="F29" i="25"/>
  <c r="G29" i="25"/>
  <c r="E30" i="25"/>
  <c r="F30" i="25"/>
  <c r="G30" i="25"/>
  <c r="E31" i="25"/>
  <c r="F31" i="25"/>
  <c r="G31" i="25"/>
  <c r="E32" i="25"/>
  <c r="F32" i="25"/>
  <c r="G32" i="25"/>
  <c r="E33" i="25"/>
  <c r="F33" i="25"/>
  <c r="G33" i="25"/>
  <c r="E34" i="25"/>
  <c r="F34" i="25"/>
  <c r="G34" i="25"/>
  <c r="E35" i="25"/>
  <c r="F35" i="25"/>
  <c r="G35" i="25"/>
  <c r="E36" i="25"/>
  <c r="F36" i="25"/>
  <c r="G36" i="25"/>
  <c r="E37" i="25"/>
  <c r="F37" i="25"/>
  <c r="G37" i="25"/>
  <c r="E38" i="25"/>
  <c r="F38" i="25"/>
  <c r="G38" i="25"/>
  <c r="E39" i="25"/>
  <c r="F39" i="25"/>
  <c r="G39" i="25"/>
  <c r="E40" i="25"/>
  <c r="F40" i="25"/>
  <c r="G40" i="25"/>
  <c r="F19" i="25"/>
  <c r="E19" i="25"/>
  <c r="C42" i="25"/>
  <c r="D42" i="25"/>
  <c r="E42" i="25"/>
  <c r="F42" i="25"/>
  <c r="G42" i="25"/>
  <c r="C43" i="25"/>
  <c r="D43" i="25"/>
  <c r="E43" i="25"/>
  <c r="F43" i="25"/>
  <c r="G43" i="25"/>
  <c r="C44" i="25"/>
  <c r="D44" i="25"/>
  <c r="E44" i="25"/>
  <c r="F44" i="25"/>
  <c r="G44" i="25"/>
  <c r="C45" i="25"/>
  <c r="D45" i="25"/>
  <c r="E45" i="25"/>
  <c r="F45" i="25"/>
  <c r="G45" i="25"/>
  <c r="C46" i="25"/>
  <c r="D46" i="25"/>
  <c r="E46" i="25"/>
  <c r="F46" i="25"/>
  <c r="G46" i="25"/>
  <c r="C47" i="25"/>
  <c r="D47" i="25"/>
  <c r="E47" i="25"/>
  <c r="F47" i="25"/>
  <c r="G47" i="25"/>
  <c r="C48" i="25"/>
  <c r="D48" i="25"/>
  <c r="E48" i="25"/>
  <c r="F48" i="25"/>
  <c r="G48" i="25"/>
  <c r="C49" i="25"/>
  <c r="D49" i="25"/>
  <c r="E49" i="25"/>
  <c r="F49" i="25"/>
  <c r="G49" i="25"/>
  <c r="C50" i="25"/>
  <c r="D50" i="25"/>
  <c r="E50" i="25"/>
  <c r="F50" i="25"/>
  <c r="G50" i="25"/>
  <c r="C51" i="25"/>
  <c r="D51" i="25"/>
  <c r="E51" i="25"/>
  <c r="F51" i="25"/>
  <c r="G51" i="25"/>
  <c r="C52" i="25"/>
  <c r="D52" i="25"/>
  <c r="E52" i="25"/>
  <c r="F52" i="25"/>
  <c r="G52" i="25"/>
  <c r="C53" i="25"/>
  <c r="D53" i="25"/>
  <c r="E53" i="25"/>
  <c r="F53" i="25"/>
  <c r="G53" i="25"/>
  <c r="D54" i="22" s="1"/>
  <c r="D41" i="25"/>
  <c r="E41" i="25"/>
  <c r="F41" i="25"/>
  <c r="G41" i="25"/>
  <c r="C41" i="25"/>
  <c r="A52" i="25"/>
  <c r="A53" i="25" s="1"/>
  <c r="D49" i="26"/>
  <c r="E49" i="26"/>
  <c r="F49" i="26"/>
  <c r="G49" i="26"/>
  <c r="H49" i="26"/>
  <c r="I49" i="26"/>
  <c r="C49" i="26"/>
  <c r="M23" i="26"/>
  <c r="C15" i="26"/>
  <c r="D15" i="26"/>
  <c r="E15" i="26"/>
  <c r="F15" i="26"/>
  <c r="G15" i="26"/>
  <c r="H15" i="26"/>
  <c r="I15" i="26"/>
  <c r="C16" i="26"/>
  <c r="D16" i="26"/>
  <c r="E16" i="26"/>
  <c r="F16" i="26"/>
  <c r="G16" i="26"/>
  <c r="H16" i="26"/>
  <c r="I16" i="26"/>
  <c r="C17" i="26"/>
  <c r="D17" i="26"/>
  <c r="E17" i="26"/>
  <c r="F17" i="26"/>
  <c r="G17" i="26"/>
  <c r="H17" i="26"/>
  <c r="I17" i="26"/>
  <c r="C18" i="26"/>
  <c r="D18" i="26"/>
  <c r="E18" i="26"/>
  <c r="F18" i="26"/>
  <c r="G18" i="26"/>
  <c r="H18" i="26"/>
  <c r="I18" i="26"/>
  <c r="C19" i="26"/>
  <c r="D19" i="26"/>
  <c r="E19" i="26"/>
  <c r="F19" i="26"/>
  <c r="G19" i="26"/>
  <c r="H19" i="26"/>
  <c r="C20" i="26"/>
  <c r="D20" i="26"/>
  <c r="E20" i="26"/>
  <c r="F20" i="26"/>
  <c r="G20" i="26"/>
  <c r="C21" i="26"/>
  <c r="D21" i="26"/>
  <c r="E21" i="26"/>
  <c r="F21" i="26"/>
  <c r="C22" i="26"/>
  <c r="D22" i="26"/>
  <c r="E22" i="26"/>
  <c r="C23" i="26"/>
  <c r="D23" i="26"/>
  <c r="C24" i="26"/>
  <c r="D14" i="26"/>
  <c r="E14" i="26"/>
  <c r="F14" i="26"/>
  <c r="G14" i="26"/>
  <c r="H14" i="26"/>
  <c r="I14" i="26"/>
  <c r="C14" i="26"/>
  <c r="E54" i="22" l="1"/>
  <c r="E14" i="28"/>
  <c r="E15" i="28"/>
  <c r="E16" i="28"/>
  <c r="E13" i="28"/>
  <c r="C14" i="28"/>
  <c r="C15" i="28"/>
  <c r="C16" i="28"/>
  <c r="C13" i="28"/>
  <c r="N43" i="30"/>
  <c r="M44" i="30"/>
  <c r="M45" i="30"/>
  <c r="M46" i="30"/>
  <c r="M47" i="30"/>
  <c r="M48" i="30"/>
  <c r="M49" i="30"/>
  <c r="M50" i="30"/>
  <c r="M51" i="30"/>
  <c r="M43" i="30"/>
  <c r="D14" i="60" l="1"/>
  <c r="E14" i="60"/>
  <c r="F14" i="60"/>
  <c r="G14" i="60"/>
  <c r="H14" i="60"/>
  <c r="I14" i="60"/>
  <c r="J14" i="60"/>
  <c r="K14" i="60"/>
  <c r="D15" i="60"/>
  <c r="E15" i="60"/>
  <c r="F15" i="60"/>
  <c r="G15" i="60"/>
  <c r="H15" i="60"/>
  <c r="I15" i="60"/>
  <c r="J15" i="60"/>
  <c r="K15" i="60"/>
  <c r="D16" i="60"/>
  <c r="E16" i="60"/>
  <c r="F16" i="60"/>
  <c r="G16" i="60"/>
  <c r="H16" i="60"/>
  <c r="I16" i="60"/>
  <c r="J16" i="60"/>
  <c r="D17" i="60"/>
  <c r="E17" i="60"/>
  <c r="F17" i="60"/>
  <c r="G17" i="60"/>
  <c r="H17" i="60"/>
  <c r="I17" i="60"/>
  <c r="D18" i="60"/>
  <c r="E18" i="60"/>
  <c r="F18" i="60"/>
  <c r="G18" i="60"/>
  <c r="H18" i="60"/>
  <c r="D19" i="60"/>
  <c r="E19" i="60"/>
  <c r="F19" i="60"/>
  <c r="G19" i="60"/>
  <c r="D20" i="60"/>
  <c r="E20" i="60"/>
  <c r="F20" i="60"/>
  <c r="D21" i="60"/>
  <c r="E21" i="60"/>
  <c r="D22" i="60"/>
  <c r="C23" i="60"/>
  <c r="C22" i="60"/>
  <c r="C21" i="60"/>
  <c r="C20" i="60"/>
  <c r="C19" i="60"/>
  <c r="C18" i="60"/>
  <c r="C17" i="60"/>
  <c r="C16" i="60"/>
  <c r="C15" i="60"/>
  <c r="C14" i="60"/>
  <c r="N23" i="60"/>
  <c r="O23" i="60"/>
  <c r="A23" i="32" l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18" i="33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L55" i="31"/>
  <c r="A59" i="31" s="1"/>
  <c r="K55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1" i="33" s="1"/>
  <c r="D34" i="31"/>
  <c r="V48" i="31"/>
  <c r="X50" i="31"/>
  <c r="Y50" i="31"/>
  <c r="Z50" i="31"/>
  <c r="AA50" i="31"/>
  <c r="AB50" i="31"/>
  <c r="AC50" i="31"/>
  <c r="AD50" i="31"/>
  <c r="AE50" i="31"/>
  <c r="AF50" i="31"/>
  <c r="AG50" i="31"/>
  <c r="AH50" i="31"/>
  <c r="AI50" i="31"/>
  <c r="AJ50" i="31"/>
  <c r="AK50" i="31"/>
  <c r="AL50" i="31"/>
  <c r="AM50" i="31"/>
  <c r="AN50" i="31"/>
  <c r="AO50" i="31"/>
  <c r="AP50" i="31"/>
  <c r="AQ50" i="31"/>
  <c r="AR50" i="31"/>
  <c r="AS50" i="31"/>
  <c r="AT50" i="31"/>
  <c r="AU50" i="31"/>
  <c r="AV50" i="31"/>
  <c r="AW50" i="31"/>
  <c r="AX50" i="31"/>
  <c r="AY50" i="31"/>
  <c r="AZ50" i="31"/>
  <c r="BA50" i="31"/>
  <c r="BB50" i="31"/>
  <c r="BC50" i="31"/>
  <c r="BD50" i="31"/>
  <c r="BE50" i="31"/>
  <c r="BF50" i="31"/>
  <c r="BG50" i="31"/>
  <c r="BH50" i="31"/>
  <c r="W50" i="31"/>
  <c r="X49" i="31"/>
  <c r="Y49" i="31"/>
  <c r="Z49" i="31"/>
  <c r="AA49" i="31"/>
  <c r="AB49" i="31"/>
  <c r="AC49" i="31"/>
  <c r="AD49" i="31"/>
  <c r="AE49" i="31"/>
  <c r="AF49" i="31"/>
  <c r="AG49" i="31"/>
  <c r="AH49" i="31"/>
  <c r="AI49" i="31"/>
  <c r="AJ49" i="31"/>
  <c r="AK49" i="31"/>
  <c r="AL49" i="31"/>
  <c r="AM49" i="31"/>
  <c r="AN49" i="31"/>
  <c r="AO49" i="31"/>
  <c r="AP49" i="31"/>
  <c r="AQ49" i="31"/>
  <c r="AR49" i="31"/>
  <c r="AS49" i="31"/>
  <c r="AT49" i="31"/>
  <c r="AU49" i="31"/>
  <c r="AV49" i="31"/>
  <c r="AW49" i="31"/>
  <c r="AX49" i="31"/>
  <c r="AY49" i="31"/>
  <c r="AZ49" i="31"/>
  <c r="BA49" i="31"/>
  <c r="BB49" i="31"/>
  <c r="BC49" i="31"/>
  <c r="BD49" i="31"/>
  <c r="BE49" i="31"/>
  <c r="BF49" i="31"/>
  <c r="BG49" i="31"/>
  <c r="BH49" i="31"/>
  <c r="W49" i="31"/>
  <c r="T48" i="3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D15" i="36"/>
  <c r="D16" i="36"/>
  <c r="D17" i="36"/>
  <c r="D18" i="36"/>
  <c r="D19" i="36"/>
  <c r="D20" i="36"/>
  <c r="D21" i="36"/>
  <c r="E21" i="36" s="1"/>
  <c r="D22" i="36"/>
  <c r="D23" i="36"/>
  <c r="D24" i="36"/>
  <c r="D25" i="36"/>
  <c r="E25" i="36" s="1"/>
  <c r="D26" i="36"/>
  <c r="D27" i="36"/>
  <c r="D28" i="36"/>
  <c r="D14" i="36"/>
  <c r="E14" i="36" s="1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14" i="36"/>
  <c r="E17" i="36" l="1"/>
  <c r="E28" i="36"/>
  <c r="E24" i="36"/>
  <c r="E20" i="36"/>
  <c r="E16" i="36"/>
  <c r="E27" i="36"/>
  <c r="E23" i="36"/>
  <c r="E19" i="36"/>
  <c r="E15" i="36"/>
  <c r="E26" i="36"/>
  <c r="E22" i="36"/>
  <c r="E18" i="36"/>
  <c r="D51" i="34"/>
  <c r="D51" i="32"/>
  <c r="A59" i="32"/>
  <c r="A58" i="33"/>
  <c r="A58" i="34"/>
  <c r="D15" i="38"/>
  <c r="D16" i="38"/>
  <c r="D17" i="38"/>
  <c r="D18" i="38"/>
  <c r="D19" i="38"/>
  <c r="D20" i="38"/>
  <c r="D21" i="38"/>
  <c r="D22" i="38"/>
  <c r="E22" i="38" s="1"/>
  <c r="D23" i="38"/>
  <c r="D24" i="38"/>
  <c r="D25" i="38"/>
  <c r="D26" i="38"/>
  <c r="E26" i="38" s="1"/>
  <c r="D27" i="38"/>
  <c r="D28" i="38"/>
  <c r="D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14" i="38"/>
  <c r="B58" i="40"/>
  <c r="B52" i="46"/>
  <c r="B53" i="46"/>
  <c r="B54" i="46"/>
  <c r="B57" i="46"/>
  <c r="B58" i="46"/>
  <c r="B59" i="46"/>
  <c r="B60" i="46"/>
  <c r="B56" i="46"/>
  <c r="E18" i="38" l="1"/>
  <c r="E14" i="38"/>
  <c r="E25" i="38"/>
  <c r="E21" i="38"/>
  <c r="E17" i="38"/>
  <c r="E28" i="38"/>
  <c r="E24" i="38"/>
  <c r="E20" i="38"/>
  <c r="E16" i="38"/>
  <c r="E27" i="38"/>
  <c r="E23" i="38"/>
  <c r="E19" i="38"/>
  <c r="E15" i="38"/>
  <c r="G47" i="40"/>
  <c r="F47" i="40"/>
  <c r="E47" i="40"/>
  <c r="G46" i="40"/>
  <c r="F46" i="40"/>
  <c r="E46" i="40"/>
  <c r="G45" i="40"/>
  <c r="F45" i="40"/>
  <c r="E45" i="40"/>
  <c r="G44" i="40"/>
  <c r="F44" i="40"/>
  <c r="E44" i="40"/>
  <c r="G43" i="40"/>
  <c r="F43" i="40"/>
  <c r="E43" i="40"/>
  <c r="G42" i="40"/>
  <c r="F42" i="40"/>
  <c r="E42" i="40"/>
  <c r="G41" i="40"/>
  <c r="F41" i="40"/>
  <c r="E41" i="40"/>
  <c r="G40" i="40"/>
  <c r="F40" i="40"/>
  <c r="E40" i="40"/>
  <c r="G39" i="40"/>
  <c r="F39" i="40"/>
  <c r="E39" i="40"/>
  <c r="G38" i="40"/>
  <c r="F38" i="40"/>
  <c r="E38" i="40"/>
  <c r="G37" i="40"/>
  <c r="F37" i="40"/>
  <c r="E37" i="40"/>
  <c r="G36" i="40"/>
  <c r="F36" i="40"/>
  <c r="E36" i="40"/>
  <c r="G35" i="40"/>
  <c r="F35" i="40"/>
  <c r="E35" i="40"/>
  <c r="G34" i="40"/>
  <c r="F34" i="40"/>
  <c r="E34" i="40"/>
  <c r="G33" i="40"/>
  <c r="F33" i="40"/>
  <c r="E33" i="40"/>
  <c r="G32" i="40"/>
  <c r="F32" i="40"/>
  <c r="E32" i="40"/>
  <c r="G31" i="40"/>
  <c r="F31" i="40"/>
  <c r="E31" i="40"/>
  <c r="G30" i="40"/>
  <c r="F30" i="40"/>
  <c r="E30" i="40"/>
  <c r="G29" i="40"/>
  <c r="F29" i="40"/>
  <c r="E29" i="40"/>
  <c r="G28" i="40"/>
  <c r="F28" i="40"/>
  <c r="E28" i="40"/>
  <c r="G27" i="40"/>
  <c r="F27" i="40"/>
  <c r="E27" i="40"/>
  <c r="G26" i="40"/>
  <c r="F26" i="40"/>
  <c r="E26" i="40"/>
  <c r="G25" i="40"/>
  <c r="F25" i="40"/>
  <c r="E25" i="40"/>
  <c r="G24" i="40"/>
  <c r="F24" i="40"/>
  <c r="E24" i="40"/>
  <c r="G23" i="40"/>
  <c r="F23" i="40"/>
  <c r="E23" i="40"/>
  <c r="G22" i="40"/>
  <c r="F22" i="40"/>
  <c r="E22" i="40"/>
  <c r="G21" i="40"/>
  <c r="F21" i="40"/>
  <c r="E21" i="40"/>
  <c r="G20" i="40"/>
  <c r="F20" i="40"/>
  <c r="E20" i="40"/>
  <c r="G19" i="40"/>
  <c r="F19" i="40"/>
  <c r="E19" i="40"/>
  <c r="G18" i="40"/>
  <c r="F18" i="40"/>
  <c r="E18" i="40"/>
  <c r="G17" i="40"/>
  <c r="F17" i="40"/>
  <c r="E17" i="40"/>
  <c r="G16" i="40"/>
  <c r="F16" i="40"/>
  <c r="E16" i="40"/>
  <c r="G15" i="40"/>
  <c r="F15" i="40"/>
  <c r="E15" i="40"/>
  <c r="G14" i="40"/>
  <c r="F14" i="40"/>
  <c r="E14" i="40"/>
  <c r="A15" i="40"/>
  <c r="B15" i="40"/>
  <c r="C15" i="40"/>
  <c r="A16" i="40"/>
  <c r="B16" i="40"/>
  <c r="C16" i="40"/>
  <c r="A17" i="40"/>
  <c r="B17" i="40"/>
  <c r="C17" i="40"/>
  <c r="A18" i="40"/>
  <c r="B18" i="40"/>
  <c r="C18" i="40"/>
  <c r="A19" i="40"/>
  <c r="B19" i="40"/>
  <c r="C19" i="40"/>
  <c r="A20" i="40"/>
  <c r="B20" i="40"/>
  <c r="C20" i="40"/>
  <c r="A21" i="40"/>
  <c r="B21" i="40"/>
  <c r="C21" i="40"/>
  <c r="A22" i="40"/>
  <c r="B22" i="40"/>
  <c r="C22" i="40"/>
  <c r="A23" i="40"/>
  <c r="B23" i="40"/>
  <c r="C23" i="40"/>
  <c r="A24" i="40"/>
  <c r="B24" i="40"/>
  <c r="C24" i="40"/>
  <c r="A25" i="40"/>
  <c r="B25" i="40"/>
  <c r="C25" i="40"/>
  <c r="A26" i="40"/>
  <c r="B26" i="40"/>
  <c r="C26" i="40"/>
  <c r="A27" i="40"/>
  <c r="B27" i="40"/>
  <c r="C27" i="40"/>
  <c r="A28" i="40"/>
  <c r="B28" i="40"/>
  <c r="C28" i="40"/>
  <c r="A29" i="40"/>
  <c r="B29" i="40"/>
  <c r="C29" i="40"/>
  <c r="A30" i="40"/>
  <c r="B30" i="40"/>
  <c r="C30" i="40"/>
  <c r="A31" i="40"/>
  <c r="B31" i="40"/>
  <c r="C31" i="40"/>
  <c r="A32" i="40"/>
  <c r="B32" i="40"/>
  <c r="C32" i="40"/>
  <c r="A33" i="40"/>
  <c r="B33" i="40"/>
  <c r="C33" i="40"/>
  <c r="A34" i="40"/>
  <c r="B34" i="40"/>
  <c r="C34" i="40"/>
  <c r="A35" i="40"/>
  <c r="B35" i="40"/>
  <c r="C35" i="40"/>
  <c r="A36" i="40"/>
  <c r="B36" i="40"/>
  <c r="C36" i="40"/>
  <c r="A37" i="40"/>
  <c r="B37" i="40"/>
  <c r="C37" i="40"/>
  <c r="A38" i="40"/>
  <c r="B38" i="40"/>
  <c r="C38" i="40"/>
  <c r="A39" i="40"/>
  <c r="B39" i="40"/>
  <c r="C39" i="40"/>
  <c r="A40" i="40"/>
  <c r="B40" i="40"/>
  <c r="C40" i="40"/>
  <c r="A41" i="40"/>
  <c r="B41" i="40"/>
  <c r="C41" i="40"/>
  <c r="A42" i="40"/>
  <c r="B42" i="40"/>
  <c r="C42" i="40"/>
  <c r="A43" i="40"/>
  <c r="B43" i="40"/>
  <c r="C43" i="40"/>
  <c r="A44" i="40"/>
  <c r="B44" i="40"/>
  <c r="C44" i="40"/>
  <c r="A45" i="40"/>
  <c r="B45" i="40"/>
  <c r="C45" i="40"/>
  <c r="A46" i="40"/>
  <c r="B46" i="40"/>
  <c r="C46" i="40"/>
  <c r="A47" i="40"/>
  <c r="B47" i="40"/>
  <c r="C47" i="40"/>
  <c r="B14" i="40"/>
  <c r="C14" i="40"/>
  <c r="A14" i="40"/>
  <c r="D53" i="40" s="1"/>
  <c r="G53" i="40" s="1"/>
  <c r="D54" i="40" l="1"/>
  <c r="L11" i="38" l="1"/>
  <c r="L21" i="41" l="1"/>
  <c r="E15" i="45" l="1"/>
  <c r="E16" i="45"/>
  <c r="E17" i="45"/>
  <c r="E18" i="45"/>
  <c r="E19" i="45"/>
  <c r="E20" i="45"/>
  <c r="E21" i="45"/>
  <c r="E22" i="45"/>
  <c r="E23" i="45"/>
  <c r="E24" i="45"/>
  <c r="E25" i="45"/>
  <c r="E26" i="45"/>
  <c r="E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14" i="45"/>
  <c r="C28" i="45" l="1"/>
  <c r="E28" i="45"/>
  <c r="D26" i="45"/>
  <c r="D23" i="43" s="1"/>
  <c r="G46" i="46"/>
  <c r="G44" i="46"/>
  <c r="G36" i="46"/>
  <c r="G32" i="46"/>
  <c r="F35" i="46"/>
  <c r="E35" i="46"/>
  <c r="D35" i="46"/>
  <c r="F29" i="46"/>
  <c r="E29" i="46"/>
  <c r="D29" i="46"/>
  <c r="F26" i="46"/>
  <c r="E26" i="46"/>
  <c r="D26" i="46"/>
  <c r="G23" i="46"/>
  <c r="G19" i="46"/>
  <c r="F22" i="46"/>
  <c r="E22" i="46"/>
  <c r="D22" i="46"/>
  <c r="F18" i="46"/>
  <c r="E18" i="46"/>
  <c r="D18" i="46"/>
  <c r="D11" i="46"/>
  <c r="E11" i="46"/>
  <c r="F11" i="46"/>
  <c r="D15" i="46"/>
  <c r="E15" i="46"/>
  <c r="F15" i="46"/>
  <c r="E14" i="46"/>
  <c r="F14" i="46"/>
  <c r="D14" i="46"/>
  <c r="J18" i="58"/>
  <c r="K10" i="58"/>
  <c r="J10" i="58"/>
  <c r="D23" i="44" l="1"/>
  <c r="D23" i="42"/>
  <c r="D23" i="41"/>
  <c r="B47" i="48" l="1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40" i="48"/>
  <c r="F14" i="48"/>
  <c r="D14" i="48"/>
  <c r="D15" i="48"/>
  <c r="D16" i="48"/>
  <c r="D17" i="48"/>
  <c r="D18" i="48"/>
  <c r="D19" i="48"/>
  <c r="D20" i="48"/>
  <c r="D21" i="48"/>
  <c r="D22" i="48"/>
  <c r="C15" i="48"/>
  <c r="C16" i="48"/>
  <c r="C17" i="48"/>
  <c r="C18" i="48"/>
  <c r="C19" i="48"/>
  <c r="C20" i="48"/>
  <c r="C21" i="48"/>
  <c r="C22" i="48"/>
  <c r="C14" i="48"/>
  <c r="F43" i="48" l="1"/>
  <c r="E56" i="62"/>
  <c r="A56" i="62"/>
  <c r="G55" i="62"/>
  <c r="E55" i="62"/>
  <c r="C55" i="62"/>
  <c r="A55" i="62"/>
  <c r="G54" i="62"/>
  <c r="E54" i="62"/>
  <c r="A54" i="62"/>
  <c r="G53" i="62"/>
  <c r="E53" i="62"/>
  <c r="A53" i="62"/>
  <c r="G52" i="62"/>
  <c r="E52" i="62"/>
  <c r="C52" i="62"/>
  <c r="A52" i="62"/>
  <c r="G51" i="62"/>
  <c r="E51" i="62"/>
  <c r="C51" i="62"/>
  <c r="A51" i="62"/>
  <c r="G50" i="62"/>
  <c r="E50" i="62"/>
  <c r="C50" i="62"/>
  <c r="A50" i="62"/>
  <c r="G49" i="62"/>
  <c r="E49" i="62"/>
  <c r="C49" i="62"/>
  <c r="A49" i="62"/>
  <c r="E48" i="62"/>
  <c r="G47" i="62"/>
  <c r="E47" i="62"/>
  <c r="A47" i="62"/>
  <c r="G46" i="62"/>
  <c r="E46" i="62"/>
  <c r="A46" i="62"/>
  <c r="G45" i="62"/>
  <c r="E45" i="62"/>
  <c r="A45" i="62"/>
  <c r="G44" i="62"/>
  <c r="E44" i="62"/>
  <c r="A44" i="62"/>
  <c r="G43" i="62"/>
  <c r="E43" i="62"/>
  <c r="C43" i="62"/>
  <c r="A43" i="62"/>
  <c r="G42" i="62"/>
  <c r="E42" i="62"/>
  <c r="C42" i="62"/>
  <c r="A42" i="62"/>
  <c r="G41" i="62"/>
  <c r="E41" i="62"/>
  <c r="C41" i="62"/>
  <c r="A41" i="62"/>
  <c r="G40" i="62"/>
  <c r="E40" i="62"/>
  <c r="C40" i="62"/>
  <c r="A40" i="62"/>
  <c r="A39" i="62"/>
  <c r="G38" i="62"/>
  <c r="E38" i="62"/>
  <c r="A38" i="62"/>
  <c r="G37" i="62"/>
  <c r="E37" i="62"/>
  <c r="A37" i="62"/>
  <c r="E36" i="62"/>
  <c r="A36" i="62"/>
  <c r="G35" i="62"/>
  <c r="E35" i="62"/>
  <c r="C35" i="62"/>
  <c r="A35" i="62"/>
  <c r="G34" i="62"/>
  <c r="E34" i="62"/>
  <c r="A34" i="62"/>
  <c r="G33" i="62"/>
  <c r="E33" i="62"/>
  <c r="C33" i="62"/>
  <c r="A33" i="62"/>
  <c r="G32" i="62"/>
  <c r="E32" i="62"/>
  <c r="A32" i="62"/>
  <c r="G31" i="62"/>
  <c r="E31" i="62"/>
  <c r="A31" i="62"/>
  <c r="G30" i="62"/>
  <c r="E30" i="62"/>
  <c r="C30" i="62"/>
  <c r="A30" i="62"/>
  <c r="G29" i="62"/>
  <c r="E29" i="62"/>
  <c r="C29" i="62"/>
  <c r="A29" i="62"/>
  <c r="G28" i="62"/>
  <c r="E28" i="62"/>
  <c r="C28" i="62"/>
  <c r="A28" i="62"/>
  <c r="G27" i="62"/>
  <c r="E27" i="62"/>
  <c r="C27" i="62"/>
  <c r="A27" i="62"/>
  <c r="C26" i="62"/>
  <c r="A26" i="62"/>
  <c r="G25" i="62"/>
  <c r="E25" i="62"/>
  <c r="C25" i="62"/>
  <c r="A25" i="62"/>
  <c r="G24" i="62"/>
  <c r="E24" i="62"/>
  <c r="C24" i="62"/>
  <c r="A24" i="62"/>
  <c r="G23" i="62"/>
  <c r="E23" i="62"/>
  <c r="A23" i="62"/>
  <c r="G22" i="62"/>
  <c r="E22" i="62"/>
  <c r="C22" i="62"/>
  <c r="G21" i="62"/>
  <c r="E21" i="62"/>
  <c r="C21" i="62"/>
  <c r="G20" i="62"/>
  <c r="E20" i="62"/>
  <c r="C20" i="62"/>
  <c r="G19" i="62"/>
  <c r="E19" i="62"/>
  <c r="C19" i="62"/>
  <c r="G18" i="62"/>
  <c r="E18" i="62"/>
  <c r="C18" i="62"/>
  <c r="A18" i="62"/>
  <c r="G17" i="62"/>
  <c r="E17" i="62"/>
  <c r="C17" i="62"/>
  <c r="A17" i="62"/>
  <c r="G16" i="62"/>
  <c r="E16" i="62"/>
  <c r="C16" i="62"/>
  <c r="A16" i="62"/>
  <c r="G15" i="62"/>
  <c r="E15" i="62"/>
  <c r="C15" i="62"/>
  <c r="A15" i="62"/>
  <c r="G14" i="62"/>
  <c r="E14" i="62"/>
  <c r="C14" i="62"/>
  <c r="A14" i="62"/>
  <c r="G13" i="62"/>
  <c r="E13" i="62"/>
  <c r="C13" i="62"/>
  <c r="A13" i="62"/>
  <c r="G12" i="62"/>
  <c r="E12" i="62"/>
  <c r="C12" i="62"/>
  <c r="A12" i="62"/>
  <c r="G11" i="62"/>
  <c r="E11" i="62"/>
  <c r="C11" i="62"/>
  <c r="A11" i="62"/>
  <c r="G10" i="62"/>
  <c r="E10" i="62"/>
  <c r="C10" i="62"/>
  <c r="A10" i="62"/>
  <c r="E9" i="62"/>
  <c r="C9" i="62"/>
  <c r="B46" i="46" l="1"/>
  <c r="A46" i="46"/>
  <c r="B44" i="46"/>
  <c r="A44" i="46"/>
  <c r="B42" i="46"/>
  <c r="A42" i="46"/>
  <c r="B40" i="46"/>
  <c r="A40" i="46"/>
  <c r="D12" i="28" l="1"/>
  <c r="A14" i="29" l="1"/>
  <c r="A15" i="29" l="1"/>
  <c r="A16" i="29" s="1"/>
  <c r="D34" i="32" l="1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AX36" i="31" l="1"/>
  <c r="AW37" i="31"/>
  <c r="AW35" i="31"/>
  <c r="AW36" i="31" s="1"/>
  <c r="AV36" i="31"/>
  <c r="AV35" i="31" s="1"/>
  <c r="AU33" i="31"/>
  <c r="AU34" i="31" s="1"/>
  <c r="AT34" i="31"/>
  <c r="AT33" i="31" s="1"/>
  <c r="X13" i="31"/>
  <c r="Y13" i="31" s="1"/>
  <c r="Z13" i="31" s="1"/>
  <c r="AA13" i="31" s="1"/>
  <c r="AB13" i="31" s="1"/>
  <c r="AC13" i="31" s="1"/>
  <c r="AD13" i="31" s="1"/>
  <c r="AE13" i="31" s="1"/>
  <c r="AF13" i="31" s="1"/>
  <c r="AG13" i="31" s="1"/>
  <c r="AH13" i="31" s="1"/>
  <c r="AI13" i="31" s="1"/>
  <c r="AJ13" i="31" s="1"/>
  <c r="AK13" i="31" s="1"/>
  <c r="AL13" i="31" s="1"/>
  <c r="AM13" i="31" s="1"/>
  <c r="AN13" i="31" s="1"/>
  <c r="AO13" i="31" s="1"/>
  <c r="AP13" i="31" s="1"/>
  <c r="AQ13" i="31" s="1"/>
  <c r="AR13" i="31" s="1"/>
  <c r="AS13" i="31" s="1"/>
  <c r="AT13" i="31" s="1"/>
  <c r="AU13" i="31" s="1"/>
  <c r="AV13" i="31" s="1"/>
  <c r="AW13" i="31" s="1"/>
  <c r="AX13" i="31" s="1"/>
  <c r="AY13" i="31" s="1"/>
  <c r="AZ13" i="31" s="1"/>
  <c r="BA13" i="31" s="1"/>
  <c r="BB13" i="31" s="1"/>
  <c r="BC13" i="31" s="1"/>
  <c r="BD13" i="31" s="1"/>
  <c r="BE13" i="31" s="1"/>
  <c r="BF13" i="31" s="1"/>
  <c r="BG13" i="31" s="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15" i="31"/>
  <c r="V43" i="31" l="1"/>
  <c r="V35" i="31"/>
  <c r="V42" i="31"/>
  <c r="V28" i="31"/>
  <c r="D32" i="31" s="1"/>
  <c r="V41" i="31"/>
  <c r="V27" i="31"/>
  <c r="D31" i="31" s="1"/>
  <c r="V19" i="31"/>
  <c r="D23" i="31" s="1"/>
  <c r="V40" i="31"/>
  <c r="V26" i="31"/>
  <c r="D30" i="31" s="1"/>
  <c r="V18" i="31"/>
  <c r="D22" i="31" s="1"/>
  <c r="V39" i="31"/>
  <c r="V25" i="31"/>
  <c r="D29" i="31" s="1"/>
  <c r="V17" i="31"/>
  <c r="D21" i="31" s="1"/>
  <c r="V46" i="31"/>
  <c r="V32" i="31"/>
  <c r="V24" i="31"/>
  <c r="D28" i="31" s="1"/>
  <c r="V16" i="31"/>
  <c r="D20" i="31" s="1"/>
  <c r="V20" i="31"/>
  <c r="D24" i="31" s="1"/>
  <c r="V36" i="31"/>
  <c r="V45" i="31"/>
  <c r="V31" i="31"/>
  <c r="V23" i="31"/>
  <c r="D27" i="31" s="1"/>
  <c r="V15" i="31"/>
  <c r="D19" i="31" s="1"/>
  <c r="V21" i="31"/>
  <c r="D25" i="31" s="1"/>
  <c r="V29" i="31"/>
  <c r="D33" i="31" s="1"/>
  <c r="V47" i="31"/>
  <c r="V37" i="31"/>
  <c r="V44" i="31"/>
  <c r="V30" i="31"/>
  <c r="V22" i="31"/>
  <c r="D26" i="31" s="1"/>
  <c r="V14" i="31"/>
  <c r="K14" i="31" s="1"/>
  <c r="V38" i="31"/>
  <c r="AX37" i="31"/>
  <c r="E13" i="29" l="1"/>
  <c r="G13" i="29" s="1"/>
  <c r="E14" i="29"/>
  <c r="G14" i="29" s="1"/>
  <c r="E16" i="29"/>
  <c r="G16" i="29" s="1"/>
  <c r="E15" i="29"/>
  <c r="E17" i="29"/>
  <c r="E21" i="29"/>
  <c r="D14" i="31"/>
  <c r="E14" i="31" s="1"/>
  <c r="V34" i="31"/>
  <c r="V33" i="31"/>
  <c r="I17" i="15"/>
  <c r="I16" i="15"/>
  <c r="B52" i="28"/>
  <c r="C12" i="28"/>
  <c r="F12" i="28"/>
  <c r="B49" i="28" s="1"/>
  <c r="G15" i="29" l="1"/>
  <c r="C53" i="22" l="1"/>
  <c r="C26" i="14" l="1"/>
  <c r="R22" i="15"/>
  <c r="A22" i="15" s="1"/>
  <c r="R21" i="15" l="1"/>
  <c r="A21" i="15" l="1"/>
  <c r="R20" i="15"/>
  <c r="D53" i="22"/>
  <c r="E53" i="22" s="1"/>
  <c r="A20" i="15" l="1"/>
  <c r="R19" i="15"/>
  <c r="A19" i="15" l="1"/>
  <c r="R18" i="15"/>
  <c r="C39" i="60"/>
  <c r="M42" i="28"/>
  <c r="A23" i="41"/>
  <c r="A22" i="41" s="1"/>
  <c r="R17" i="15" l="1"/>
  <c r="A18" i="15"/>
  <c r="R16" i="15" l="1"/>
  <c r="A17" i="15"/>
  <c r="P32" i="18"/>
  <c r="O32" i="18"/>
  <c r="N32" i="18" l="1"/>
  <c r="R15" i="15"/>
  <c r="A16" i="15"/>
  <c r="R14" i="15" l="1"/>
  <c r="A14" i="15" s="1"/>
  <c r="A15" i="15"/>
  <c r="L11" i="36" l="1"/>
  <c r="M11" i="35" s="1"/>
  <c r="D31" i="38" l="1"/>
  <c r="L21" i="43" l="1"/>
  <c r="A23" i="43" s="1"/>
  <c r="A22" i="43" s="1"/>
  <c r="G12" i="30" l="1"/>
  <c r="J35" i="58" l="1"/>
  <c r="K45" i="60" l="1"/>
  <c r="E37" i="60"/>
  <c r="E33" i="60"/>
  <c r="I31" i="60"/>
  <c r="K39" i="60"/>
  <c r="J39" i="60"/>
  <c r="I39" i="60"/>
  <c r="H39" i="60"/>
  <c r="G39" i="60"/>
  <c r="F39" i="60"/>
  <c r="E39" i="60"/>
  <c r="D39" i="60"/>
  <c r="K38" i="60"/>
  <c r="J38" i="60"/>
  <c r="I38" i="60"/>
  <c r="H38" i="60"/>
  <c r="G38" i="60"/>
  <c r="F38" i="60"/>
  <c r="E38" i="60"/>
  <c r="K37" i="60"/>
  <c r="J37" i="60"/>
  <c r="I37" i="60"/>
  <c r="H37" i="60"/>
  <c r="G37" i="60"/>
  <c r="F37" i="60"/>
  <c r="K36" i="60"/>
  <c r="J36" i="60"/>
  <c r="I36" i="60"/>
  <c r="H36" i="60"/>
  <c r="G36" i="60"/>
  <c r="K35" i="60"/>
  <c r="J35" i="60"/>
  <c r="I35" i="60"/>
  <c r="H35" i="60"/>
  <c r="K34" i="60"/>
  <c r="J34" i="60"/>
  <c r="I34" i="60"/>
  <c r="K33" i="60"/>
  <c r="J33" i="60"/>
  <c r="K32" i="60"/>
  <c r="K29" i="60"/>
  <c r="J29" i="60"/>
  <c r="I29" i="60"/>
  <c r="H29" i="60"/>
  <c r="G29" i="60"/>
  <c r="F29" i="60"/>
  <c r="E29" i="60"/>
  <c r="D29" i="60"/>
  <c r="C29" i="60"/>
  <c r="A29" i="60"/>
  <c r="K12" i="60"/>
  <c r="J12" i="60"/>
  <c r="I12" i="60"/>
  <c r="H12" i="60"/>
  <c r="G12" i="60"/>
  <c r="F12" i="60"/>
  <c r="E12" i="60"/>
  <c r="D12" i="60"/>
  <c r="C12" i="60"/>
  <c r="A12" i="60"/>
  <c r="A3" i="60"/>
  <c r="A2" i="60"/>
  <c r="A1" i="60"/>
  <c r="C17" i="7"/>
  <c r="C18" i="7"/>
  <c r="C20" i="7"/>
  <c r="C21" i="7"/>
  <c r="C22" i="7"/>
  <c r="C23" i="7"/>
  <c r="C14" i="7"/>
  <c r="E14" i="7" s="1"/>
  <c r="C14" i="3" s="1"/>
  <c r="C15" i="8"/>
  <c r="C17" i="8"/>
  <c r="C18" i="8"/>
  <c r="C19" i="8"/>
  <c r="C20" i="8"/>
  <c r="C21" i="8"/>
  <c r="C22" i="8"/>
  <c r="C23" i="8"/>
  <c r="C15" i="9"/>
  <c r="C18" i="9"/>
  <c r="C19" i="9"/>
  <c r="C20" i="9"/>
  <c r="C22" i="9"/>
  <c r="E23" i="13"/>
  <c r="C14" i="9"/>
  <c r="E14" i="9" s="1"/>
  <c r="C14" i="5" s="1"/>
  <c r="C16" i="10"/>
  <c r="C17" i="10"/>
  <c r="C19" i="10"/>
  <c r="C20" i="10"/>
  <c r="C21" i="10"/>
  <c r="A14" i="25"/>
  <c r="D14" i="22"/>
  <c r="C52" i="22"/>
  <c r="O5" i="28"/>
  <c r="E53" i="40" s="1"/>
  <c r="C53" i="40" s="1"/>
  <c r="E54" i="40"/>
  <c r="D24" i="58"/>
  <c r="E24" i="58" s="1"/>
  <c r="F24" i="58" s="1"/>
  <c r="D20" i="58"/>
  <c r="D15" i="58"/>
  <c r="B33" i="37"/>
  <c r="I50" i="26"/>
  <c r="A24" i="26"/>
  <c r="A23" i="26" s="1"/>
  <c r="A22" i="26" s="1"/>
  <c r="A40" i="26" s="1"/>
  <c r="M11" i="26"/>
  <c r="C11" i="26" s="1"/>
  <c r="D11" i="26" s="1"/>
  <c r="E11" i="26" s="1"/>
  <c r="F11" i="26" s="1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I48" i="24"/>
  <c r="A23" i="24"/>
  <c r="A22" i="24" s="1"/>
  <c r="M11" i="24"/>
  <c r="C11" i="24" s="1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21" i="18"/>
  <c r="D16" i="18"/>
  <c r="E18" i="18"/>
  <c r="D58" i="30"/>
  <c r="L21" i="44"/>
  <c r="C28" i="37"/>
  <c r="C27" i="37"/>
  <c r="C26" i="37"/>
  <c r="C25" i="37"/>
  <c r="C24" i="37"/>
  <c r="C23" i="37"/>
  <c r="C22" i="37"/>
  <c r="C21" i="37"/>
  <c r="C20" i="37"/>
  <c r="C18" i="37"/>
  <c r="C17" i="37"/>
  <c r="C16" i="37"/>
  <c r="C14" i="37"/>
  <c r="C28" i="35"/>
  <c r="C27" i="35"/>
  <c r="C26" i="35"/>
  <c r="C24" i="35"/>
  <c r="C23" i="35"/>
  <c r="C22" i="35"/>
  <c r="C21" i="35"/>
  <c r="C20" i="35"/>
  <c r="C19" i="35"/>
  <c r="C18" i="35"/>
  <c r="C17" i="35"/>
  <c r="C16" i="35"/>
  <c r="C15" i="35"/>
  <c r="C14" i="35"/>
  <c r="C11" i="36"/>
  <c r="M47" i="29"/>
  <c r="D32" i="16"/>
  <c r="M22" i="9"/>
  <c r="L11" i="5"/>
  <c r="A12" i="32"/>
  <c r="B41" i="35"/>
  <c r="B41" i="37"/>
  <c r="E33" i="37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K45" i="16"/>
  <c r="N9" i="20"/>
  <c r="N14" i="31"/>
  <c r="B51" i="15"/>
  <c r="N51" i="17"/>
  <c r="N50" i="17" s="1"/>
  <c r="A52" i="17"/>
  <c r="O52" i="17"/>
  <c r="E12" i="14"/>
  <c r="D12" i="14"/>
  <c r="C12" i="14"/>
  <c r="E12" i="13"/>
  <c r="D12" i="13"/>
  <c r="B31" i="13" s="1"/>
  <c r="C12" i="13"/>
  <c r="E12" i="12"/>
  <c r="D12" i="12"/>
  <c r="C12" i="12"/>
  <c r="E12" i="11"/>
  <c r="D12" i="11"/>
  <c r="C12" i="11"/>
  <c r="D11" i="29"/>
  <c r="A1" i="48"/>
  <c r="A2" i="48"/>
  <c r="A3" i="48"/>
  <c r="A12" i="48"/>
  <c r="C12" i="48"/>
  <c r="D12" i="48"/>
  <c r="E12" i="48"/>
  <c r="F12" i="48"/>
  <c r="B49" i="48" s="1"/>
  <c r="G12" i="48"/>
  <c r="A15" i="48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1" i="58"/>
  <c r="A2" i="58"/>
  <c r="A3" i="58"/>
  <c r="B30" i="58"/>
  <c r="A1" i="46"/>
  <c r="A2" i="46"/>
  <c r="A3" i="46"/>
  <c r="A1" i="45"/>
  <c r="A2" i="45"/>
  <c r="A3" i="45"/>
  <c r="A12" i="45"/>
  <c r="C12" i="45"/>
  <c r="B32" i="45" s="1"/>
  <c r="D12" i="45"/>
  <c r="B33" i="45" s="1"/>
  <c r="E12" i="45"/>
  <c r="A1" i="44"/>
  <c r="A2" i="44"/>
  <c r="A3" i="44"/>
  <c r="A12" i="44"/>
  <c r="C12" i="44"/>
  <c r="B30" i="44" s="1"/>
  <c r="D12" i="44"/>
  <c r="B31" i="44" s="1"/>
  <c r="E12" i="44"/>
  <c r="A1" i="43"/>
  <c r="A2" i="43"/>
  <c r="A3" i="43"/>
  <c r="A12" i="43"/>
  <c r="C12" i="43"/>
  <c r="B30" i="43" s="1"/>
  <c r="D12" i="43"/>
  <c r="E12" i="43"/>
  <c r="A1" i="42"/>
  <c r="A2" i="42"/>
  <c r="A3" i="42"/>
  <c r="A12" i="42"/>
  <c r="C12" i="42"/>
  <c r="B30" i="42" s="1"/>
  <c r="D12" i="42"/>
  <c r="B31" i="42" s="1"/>
  <c r="E12" i="42"/>
  <c r="A1" i="41"/>
  <c r="A2" i="41"/>
  <c r="A3" i="41"/>
  <c r="A12" i="41"/>
  <c r="C12" i="41"/>
  <c r="D12" i="41"/>
  <c r="B31" i="41" s="1"/>
  <c r="E12" i="41"/>
  <c r="A1" i="40"/>
  <c r="A2" i="40"/>
  <c r="A3" i="40"/>
  <c r="A4" i="40"/>
  <c r="A12" i="40"/>
  <c r="E12" i="40" s="1"/>
  <c r="C12" i="40"/>
  <c r="A1" i="38"/>
  <c r="A2" i="38"/>
  <c r="A3" i="38"/>
  <c r="A12" i="38"/>
  <c r="C12" i="38"/>
  <c r="B35" i="38" s="1"/>
  <c r="D12" i="38"/>
  <c r="E12" i="38"/>
  <c r="A1" i="37"/>
  <c r="A2" i="37"/>
  <c r="A3" i="37"/>
  <c r="A12" i="37"/>
  <c r="C12" i="37"/>
  <c r="B38" i="37" s="1"/>
  <c r="D12" i="37"/>
  <c r="B39" i="37"/>
  <c r="E12" i="37"/>
  <c r="A1" i="36"/>
  <c r="A2" i="36"/>
  <c r="A3" i="36"/>
  <c r="A12" i="36"/>
  <c r="C12" i="36"/>
  <c r="B35" i="36" s="1"/>
  <c r="D12" i="36"/>
  <c r="B36" i="36" s="1"/>
  <c r="E12" i="36"/>
  <c r="A1" i="35"/>
  <c r="A2" i="35"/>
  <c r="A3" i="35"/>
  <c r="A12" i="35"/>
  <c r="C12" i="35"/>
  <c r="D12" i="35"/>
  <c r="B39" i="35" s="1"/>
  <c r="E12" i="35"/>
  <c r="B42" i="35" s="1"/>
  <c r="M33" i="35"/>
  <c r="M33" i="37" s="1"/>
  <c r="A1" i="34"/>
  <c r="A2" i="34"/>
  <c r="A3" i="34"/>
  <c r="A12" i="34"/>
  <c r="C12" i="34"/>
  <c r="D12" i="34"/>
  <c r="E12" i="34"/>
  <c r="F12" i="34"/>
  <c r="G12" i="34"/>
  <c r="A15" i="34"/>
  <c r="A1" i="33"/>
  <c r="A2" i="33"/>
  <c r="A3" i="33"/>
  <c r="A12" i="33"/>
  <c r="C12" i="33"/>
  <c r="D12" i="33"/>
  <c r="E12" i="33"/>
  <c r="F12" i="33"/>
  <c r="G12" i="33"/>
  <c r="A15" i="33"/>
  <c r="A16" i="33" s="1"/>
  <c r="A17" i="33" s="1"/>
  <c r="A1" i="32"/>
  <c r="A2" i="32"/>
  <c r="A3" i="32"/>
  <c r="C12" i="32"/>
  <c r="D12" i="32"/>
  <c r="E12" i="32"/>
  <c r="F12" i="32"/>
  <c r="G12" i="32"/>
  <c r="A15" i="32"/>
  <c r="A16" i="32" s="1"/>
  <c r="A17" i="32" s="1"/>
  <c r="A18" i="32" s="1"/>
  <c r="A19" i="32" s="1"/>
  <c r="A20" i="32" s="1"/>
  <c r="A21" i="32" s="1"/>
  <c r="A22" i="32" s="1"/>
  <c r="A1" i="31"/>
  <c r="A2" i="31"/>
  <c r="A3" i="31"/>
  <c r="A12" i="31"/>
  <c r="C12" i="31"/>
  <c r="D12" i="31"/>
  <c r="E12" i="31"/>
  <c r="F12" i="31"/>
  <c r="G12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1" i="30"/>
  <c r="A2" i="30"/>
  <c r="A3" i="30"/>
  <c r="A12" i="30"/>
  <c r="C12" i="30"/>
  <c r="B63" i="30" s="1"/>
  <c r="D12" i="30"/>
  <c r="B64" i="30" s="1"/>
  <c r="E12" i="30"/>
  <c r="B65" i="30" s="1"/>
  <c r="F12" i="30"/>
  <c r="B66" i="30" s="1"/>
  <c r="A15" i="30"/>
  <c r="C54" i="30"/>
  <c r="B69" i="30"/>
  <c r="B70" i="30"/>
  <c r="A1" i="29"/>
  <c r="A2" i="29"/>
  <c r="A3" i="29"/>
  <c r="A5" i="29"/>
  <c r="A11" i="29"/>
  <c r="C11" i="29"/>
  <c r="E11" i="29"/>
  <c r="F11" i="29"/>
  <c r="G11" i="29"/>
  <c r="H11" i="29"/>
  <c r="A1" i="28"/>
  <c r="A2" i="28"/>
  <c r="A3" i="28"/>
  <c r="A5" i="28"/>
  <c r="E12" i="28"/>
  <c r="B48" i="28"/>
  <c r="B51" i="28"/>
  <c r="A1" i="27"/>
  <c r="A2" i="27"/>
  <c r="A3" i="27"/>
  <c r="A12" i="27"/>
  <c r="C12" i="27"/>
  <c r="B24" i="27" s="1"/>
  <c r="D12" i="27"/>
  <c r="E12" i="27"/>
  <c r="A1" i="26"/>
  <c r="A2" i="26"/>
  <c r="A3" i="26"/>
  <c r="A12" i="26"/>
  <c r="C12" i="26"/>
  <c r="D12" i="26"/>
  <c r="E12" i="26"/>
  <c r="F12" i="26"/>
  <c r="G12" i="26"/>
  <c r="H12" i="26"/>
  <c r="I12" i="26"/>
  <c r="A30" i="26"/>
  <c r="C30" i="26"/>
  <c r="D30" i="26"/>
  <c r="E30" i="26"/>
  <c r="F30" i="26"/>
  <c r="G30" i="26"/>
  <c r="H30" i="26"/>
  <c r="I30" i="26"/>
  <c r="I32" i="26"/>
  <c r="I33" i="26"/>
  <c r="I34" i="26"/>
  <c r="I35" i="26"/>
  <c r="I36" i="26"/>
  <c r="H37" i="26"/>
  <c r="I37" i="26"/>
  <c r="G38" i="26"/>
  <c r="H38" i="26"/>
  <c r="I38" i="26"/>
  <c r="F39" i="26"/>
  <c r="G39" i="26"/>
  <c r="H39" i="26"/>
  <c r="I39" i="26"/>
  <c r="E40" i="26"/>
  <c r="F40" i="26"/>
  <c r="G40" i="26"/>
  <c r="H40" i="26"/>
  <c r="I40" i="26"/>
  <c r="A1" i="25"/>
  <c r="A2" i="25"/>
  <c r="A3" i="25"/>
  <c r="A12" i="25"/>
  <c r="C12" i="25"/>
  <c r="B56" i="25" s="1"/>
  <c r="D12" i="25"/>
  <c r="B57" i="25" s="1"/>
  <c r="E12" i="25"/>
  <c r="F12" i="25"/>
  <c r="B59" i="25" s="1"/>
  <c r="G12" i="25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1" i="24"/>
  <c r="A2" i="24"/>
  <c r="A3" i="24"/>
  <c r="A12" i="24"/>
  <c r="C12" i="24"/>
  <c r="D12" i="24"/>
  <c r="E12" i="24"/>
  <c r="F12" i="24"/>
  <c r="G12" i="24"/>
  <c r="H12" i="24"/>
  <c r="I12" i="24"/>
  <c r="A29" i="24"/>
  <c r="C29" i="24"/>
  <c r="D29" i="24"/>
  <c r="E29" i="24"/>
  <c r="F29" i="24"/>
  <c r="G29" i="24"/>
  <c r="H29" i="24"/>
  <c r="I29" i="24"/>
  <c r="I31" i="24"/>
  <c r="I32" i="24"/>
  <c r="I33" i="24"/>
  <c r="I34" i="24"/>
  <c r="H35" i="24"/>
  <c r="I35" i="24"/>
  <c r="G36" i="24"/>
  <c r="H36" i="24"/>
  <c r="I36" i="24"/>
  <c r="F37" i="24"/>
  <c r="G37" i="24"/>
  <c r="H37" i="24"/>
  <c r="I37" i="24"/>
  <c r="E38" i="24"/>
  <c r="F38" i="24"/>
  <c r="G38" i="24"/>
  <c r="H38" i="24"/>
  <c r="I38" i="24"/>
  <c r="D39" i="24"/>
  <c r="E39" i="24"/>
  <c r="F39" i="24"/>
  <c r="G39" i="24"/>
  <c r="H39" i="24"/>
  <c r="I39" i="24"/>
  <c r="A1" i="23"/>
  <c r="A2" i="23"/>
  <c r="A3" i="23"/>
  <c r="M11" i="23"/>
  <c r="C11" i="23" s="1"/>
  <c r="A12" i="23"/>
  <c r="C12" i="23"/>
  <c r="B57" i="23" s="1"/>
  <c r="D12" i="23"/>
  <c r="B58" i="23" s="1"/>
  <c r="E12" i="23"/>
  <c r="A1" i="22"/>
  <c r="A2" i="22"/>
  <c r="A3" i="22"/>
  <c r="A12" i="22"/>
  <c r="C12" i="22"/>
  <c r="B66" i="22" s="1"/>
  <c r="D12" i="22"/>
  <c r="B67" i="22" s="1"/>
  <c r="E12" i="22"/>
  <c r="B68" i="22" s="1"/>
  <c r="F12" i="22"/>
  <c r="B69" i="22" s="1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1" i="21"/>
  <c r="A2" i="21"/>
  <c r="A3" i="21"/>
  <c r="A12" i="21"/>
  <c r="C12" i="21"/>
  <c r="B63" i="21" s="1"/>
  <c r="D12" i="21"/>
  <c r="E12" i="21"/>
  <c r="F12" i="21"/>
  <c r="G12" i="21"/>
  <c r="H12" i="21"/>
  <c r="I12" i="21"/>
  <c r="J12" i="21"/>
  <c r="K12" i="21"/>
  <c r="A55" i="21"/>
  <c r="A1" i="20"/>
  <c r="A2" i="20"/>
  <c r="A3" i="20"/>
  <c r="A53" i="20"/>
  <c r="N53" i="20" s="1"/>
  <c r="A12" i="20"/>
  <c r="C12" i="20"/>
  <c r="B61" i="20" s="1"/>
  <c r="D12" i="20"/>
  <c r="E12" i="20"/>
  <c r="F12" i="20"/>
  <c r="G12" i="20"/>
  <c r="H12" i="20"/>
  <c r="I12" i="20"/>
  <c r="J12" i="20"/>
  <c r="K12" i="20"/>
  <c r="B62" i="20" s="1"/>
  <c r="A1" i="19"/>
  <c r="A2" i="19"/>
  <c r="A3" i="19"/>
  <c r="A12" i="19"/>
  <c r="C12" i="19"/>
  <c r="B61" i="19"/>
  <c r="D12" i="19"/>
  <c r="B62" i="19" s="1"/>
  <c r="E12" i="19"/>
  <c r="F12" i="19"/>
  <c r="G12" i="19"/>
  <c r="H12" i="19"/>
  <c r="I12" i="19"/>
  <c r="J12" i="19"/>
  <c r="K12" i="19"/>
  <c r="A53" i="19"/>
  <c r="N53" i="19" s="1"/>
  <c r="A1" i="18"/>
  <c r="A2" i="18"/>
  <c r="A3" i="18"/>
  <c r="A11" i="18"/>
  <c r="A12" i="18"/>
  <c r="C12" i="18"/>
  <c r="B34" i="18"/>
  <c r="D12" i="18"/>
  <c r="B35" i="18" s="1"/>
  <c r="E12" i="18"/>
  <c r="B36" i="18" s="1"/>
  <c r="F12" i="18"/>
  <c r="A23" i="18"/>
  <c r="A22" i="18" s="1"/>
  <c r="A1" i="17"/>
  <c r="A2" i="17"/>
  <c r="A3" i="17"/>
  <c r="A12" i="17"/>
  <c r="C12" i="17"/>
  <c r="D12" i="17"/>
  <c r="E12" i="17"/>
  <c r="C63" i="17" s="1"/>
  <c r="F12" i="17"/>
  <c r="C64" i="17" s="1"/>
  <c r="G12" i="17"/>
  <c r="I12" i="17"/>
  <c r="J12" i="17"/>
  <c r="K12" i="17"/>
  <c r="L12" i="17"/>
  <c r="G62" i="17" s="1"/>
  <c r="G63" i="17"/>
  <c r="G64" i="17"/>
  <c r="G65" i="17"/>
  <c r="A1" i="16"/>
  <c r="A2" i="16"/>
  <c r="A3" i="16"/>
  <c r="A12" i="16"/>
  <c r="C12" i="16"/>
  <c r="D12" i="16"/>
  <c r="E12" i="16"/>
  <c r="F12" i="16"/>
  <c r="G12" i="16"/>
  <c r="H12" i="16"/>
  <c r="I12" i="16"/>
  <c r="J12" i="16"/>
  <c r="K12" i="16"/>
  <c r="A29" i="16"/>
  <c r="C29" i="16"/>
  <c r="D29" i="16"/>
  <c r="E29" i="16"/>
  <c r="F29" i="16"/>
  <c r="G29" i="16"/>
  <c r="H29" i="16"/>
  <c r="I29" i="16"/>
  <c r="J29" i="16"/>
  <c r="K29" i="16"/>
  <c r="K31" i="16"/>
  <c r="K32" i="16"/>
  <c r="J33" i="16"/>
  <c r="K33" i="16"/>
  <c r="I34" i="16"/>
  <c r="J34" i="16"/>
  <c r="K34" i="16"/>
  <c r="H35" i="16"/>
  <c r="I35" i="16"/>
  <c r="J35" i="16"/>
  <c r="K35" i="16"/>
  <c r="G36" i="16"/>
  <c r="H36" i="16"/>
  <c r="I36" i="16"/>
  <c r="J36" i="16"/>
  <c r="K36" i="16"/>
  <c r="F37" i="16"/>
  <c r="G37" i="16"/>
  <c r="H37" i="16"/>
  <c r="I37" i="16"/>
  <c r="J37" i="16"/>
  <c r="K37" i="16"/>
  <c r="E38" i="16"/>
  <c r="F38" i="16"/>
  <c r="G38" i="16"/>
  <c r="H38" i="16"/>
  <c r="I38" i="16"/>
  <c r="J38" i="16"/>
  <c r="K38" i="16"/>
  <c r="D39" i="16"/>
  <c r="E39" i="16"/>
  <c r="F39" i="16"/>
  <c r="G39" i="16"/>
  <c r="H39" i="16"/>
  <c r="I39" i="16"/>
  <c r="J39" i="16"/>
  <c r="K39" i="16"/>
  <c r="A1" i="15"/>
  <c r="A2" i="15"/>
  <c r="A3" i="15"/>
  <c r="A39" i="15"/>
  <c r="A38" i="15" s="1"/>
  <c r="A37" i="15" s="1"/>
  <c r="A36" i="15" s="1"/>
  <c r="A35" i="15" s="1"/>
  <c r="A34" i="15" s="1"/>
  <c r="A33" i="15" s="1"/>
  <c r="A32" i="15" s="1"/>
  <c r="A31" i="15" s="1"/>
  <c r="A30" i="15" s="1"/>
  <c r="B44" i="15"/>
  <c r="B45" i="15"/>
  <c r="B46" i="15"/>
  <c r="B47" i="15"/>
  <c r="B48" i="15"/>
  <c r="B49" i="15"/>
  <c r="B50" i="15"/>
  <c r="B52" i="15"/>
  <c r="B53" i="15"/>
  <c r="B54" i="15"/>
  <c r="B55" i="15"/>
  <c r="A1" i="14"/>
  <c r="A2" i="14"/>
  <c r="A3" i="14"/>
  <c r="A12" i="14"/>
  <c r="A1" i="13"/>
  <c r="A2" i="13"/>
  <c r="A3" i="13"/>
  <c r="A12" i="13"/>
  <c r="A1" i="12"/>
  <c r="A2" i="12"/>
  <c r="A3" i="12"/>
  <c r="A12" i="12"/>
  <c r="A1" i="11"/>
  <c r="A2" i="11"/>
  <c r="A3" i="11"/>
  <c r="A12" i="11"/>
  <c r="A1" i="10"/>
  <c r="A2" i="10"/>
  <c r="A3" i="10"/>
  <c r="A12" i="10"/>
  <c r="C12" i="10"/>
  <c r="D12" i="10"/>
  <c r="B31" i="10" s="1"/>
  <c r="E12" i="10"/>
  <c r="A1" i="9"/>
  <c r="A2" i="9"/>
  <c r="A3" i="9"/>
  <c r="A12" i="9"/>
  <c r="C12" i="9"/>
  <c r="D12" i="9"/>
  <c r="B31" i="9" s="1"/>
  <c r="E12" i="9"/>
  <c r="B32" i="9"/>
  <c r="A1" i="8"/>
  <c r="A2" i="8"/>
  <c r="A3" i="8"/>
  <c r="A12" i="8"/>
  <c r="C12" i="8"/>
  <c r="D12" i="8"/>
  <c r="B31" i="8" s="1"/>
  <c r="E12" i="8"/>
  <c r="A1" i="7"/>
  <c r="A2" i="7"/>
  <c r="A3" i="7"/>
  <c r="A12" i="7"/>
  <c r="C12" i="7"/>
  <c r="D12" i="7"/>
  <c r="B31" i="7" s="1"/>
  <c r="E12" i="7"/>
  <c r="A1" i="6"/>
  <c r="A2" i="6"/>
  <c r="A3" i="6"/>
  <c r="A12" i="6"/>
  <c r="C12" i="6"/>
  <c r="D12" i="6"/>
  <c r="B31" i="6" s="1"/>
  <c r="E12" i="6"/>
  <c r="F12" i="6"/>
  <c r="G12" i="6"/>
  <c r="B34" i="6"/>
  <c r="H12" i="6"/>
  <c r="B35" i="6" s="1"/>
  <c r="A1" i="5"/>
  <c r="A2" i="5"/>
  <c r="A3" i="5"/>
  <c r="A12" i="5"/>
  <c r="C12" i="5"/>
  <c r="B33" i="5" s="1"/>
  <c r="B30" i="5"/>
  <c r="D12" i="5"/>
  <c r="B31" i="5" s="1"/>
  <c r="E12" i="5"/>
  <c r="B32" i="5" s="1"/>
  <c r="F12" i="5"/>
  <c r="G12" i="5"/>
  <c r="B34" i="5" s="1"/>
  <c r="H12" i="5"/>
  <c r="A1" i="4"/>
  <c r="A2" i="4"/>
  <c r="A3" i="4"/>
  <c r="A12" i="4"/>
  <c r="C12" i="4"/>
  <c r="D12" i="4"/>
  <c r="B31" i="4" s="1"/>
  <c r="E12" i="4"/>
  <c r="F12" i="4"/>
  <c r="B35" i="4" s="1"/>
  <c r="G12" i="4"/>
  <c r="B34" i="4" s="1"/>
  <c r="H12" i="4"/>
  <c r="A1" i="3"/>
  <c r="A2" i="3"/>
  <c r="A3" i="3"/>
  <c r="A12" i="3"/>
  <c r="C12" i="3"/>
  <c r="B30" i="3"/>
  <c r="D12" i="3"/>
  <c r="B31" i="3" s="1"/>
  <c r="E12" i="3"/>
  <c r="F12" i="3"/>
  <c r="G12" i="3"/>
  <c r="B34" i="3" s="1"/>
  <c r="H12" i="3"/>
  <c r="B35" i="3"/>
  <c r="A1" i="2"/>
  <c r="A2" i="2"/>
  <c r="A3" i="2"/>
  <c r="C9" i="2"/>
  <c r="A12" i="2"/>
  <c r="C12" i="2"/>
  <c r="B23" i="2" s="1"/>
  <c r="D12" i="2"/>
  <c r="B24" i="2" s="1"/>
  <c r="E12" i="2"/>
  <c r="B25" i="2" s="1"/>
  <c r="A12" i="1"/>
  <c r="C12" i="1"/>
  <c r="B28" i="1" s="1"/>
  <c r="D12" i="1"/>
  <c r="B29" i="1" s="1"/>
  <c r="E12" i="1"/>
  <c r="B30" i="1" s="1"/>
  <c r="F12" i="1"/>
  <c r="G12" i="1"/>
  <c r="B32" i="1"/>
  <c r="H12" i="1"/>
  <c r="B33" i="1" s="1"/>
  <c r="I12" i="1"/>
  <c r="B34" i="1"/>
  <c r="O51" i="17"/>
  <c r="B36" i="38"/>
  <c r="A51" i="17"/>
  <c r="G12" i="40"/>
  <c r="C54" i="40"/>
  <c r="B30" i="4"/>
  <c r="B35" i="5"/>
  <c r="B43" i="15"/>
  <c r="B31" i="11"/>
  <c r="O26" i="31"/>
  <c r="O25" i="31"/>
  <c r="O20" i="31"/>
  <c r="O27" i="31"/>
  <c r="O18" i="31"/>
  <c r="O19" i="31"/>
  <c r="O28" i="31"/>
  <c r="O24" i="31"/>
  <c r="O16" i="31"/>
  <c r="O29" i="31"/>
  <c r="O22" i="31"/>
  <c r="O17" i="31"/>
  <c r="B32" i="7"/>
  <c r="B30" i="6"/>
  <c r="B31" i="43"/>
  <c r="B32" i="43"/>
  <c r="B30" i="41"/>
  <c r="B32" i="41"/>
  <c r="C62" i="17"/>
  <c r="B32" i="6"/>
  <c r="B33" i="6"/>
  <c r="B38" i="18"/>
  <c r="B37" i="18"/>
  <c r="A61" i="33"/>
  <c r="B31" i="14"/>
  <c r="C22" i="10"/>
  <c r="C58" i="30"/>
  <c r="F58" i="30"/>
  <c r="A53" i="40"/>
  <c r="A21" i="43"/>
  <c r="A20" i="43" s="1"/>
  <c r="A19" i="43" s="1"/>
  <c r="A18" i="43" s="1"/>
  <c r="A17" i="43" s="1"/>
  <c r="A16" i="43" s="1"/>
  <c r="A15" i="43" s="1"/>
  <c r="A14" i="43" s="1"/>
  <c r="D52" i="22"/>
  <c r="C18" i="10"/>
  <c r="E15" i="12"/>
  <c r="L10" i="58"/>
  <c r="E15" i="13"/>
  <c r="C62" i="22" l="1"/>
  <c r="D58" i="22"/>
  <c r="D56" i="22"/>
  <c r="D62" i="22"/>
  <c r="E62" i="22" s="1"/>
  <c r="N23" i="18"/>
  <c r="B74" i="29"/>
  <c r="B76" i="29"/>
  <c r="A62" i="32"/>
  <c r="A59" i="34"/>
  <c r="B50" i="48"/>
  <c r="B48" i="48"/>
  <c r="B32" i="8"/>
  <c r="B31" i="1"/>
  <c r="B64" i="21"/>
  <c r="A61" i="34"/>
  <c r="B34" i="45"/>
  <c r="B30" i="9"/>
  <c r="P29" i="31"/>
  <c r="P22" i="31"/>
  <c r="P16" i="31"/>
  <c r="P25" i="31"/>
  <c r="P26" i="31"/>
  <c r="P28" i="31"/>
  <c r="P24" i="31"/>
  <c r="P18" i="31"/>
  <c r="P20" i="31"/>
  <c r="P17" i="31"/>
  <c r="D32" i="32" s="1"/>
  <c r="P27" i="31"/>
  <c r="P19" i="31"/>
  <c r="A23" i="44"/>
  <c r="A22" i="44" s="1"/>
  <c r="A21" i="44" s="1"/>
  <c r="A20" i="44" s="1"/>
  <c r="A19" i="44" s="1"/>
  <c r="A18" i="44" s="1"/>
  <c r="A17" i="44" s="1"/>
  <c r="A16" i="44" s="1"/>
  <c r="A15" i="44" s="1"/>
  <c r="A14" i="44" s="1"/>
  <c r="C11" i="25"/>
  <c r="A60" i="32"/>
  <c r="A59" i="33"/>
  <c r="A54" i="40"/>
  <c r="B37" i="28" s="1"/>
  <c r="B32" i="44"/>
  <c r="B39" i="18"/>
  <c r="A21" i="18"/>
  <c r="N22" i="18"/>
  <c r="A52" i="20"/>
  <c r="A52" i="19"/>
  <c r="N52" i="19" s="1"/>
  <c r="B36" i="28"/>
  <c r="B32" i="3"/>
  <c r="B33" i="3"/>
  <c r="B32" i="10"/>
  <c r="B32" i="4"/>
  <c r="B33" i="4"/>
  <c r="A54" i="21"/>
  <c r="N55" i="21"/>
  <c r="B40" i="35"/>
  <c r="B38" i="35"/>
  <c r="B26" i="27"/>
  <c r="B25" i="27"/>
  <c r="B31" i="12"/>
  <c r="B42" i="37"/>
  <c r="B40" i="37"/>
  <c r="O14" i="31"/>
  <c r="P14" i="31" s="1"/>
  <c r="O23" i="31"/>
  <c r="P23" i="31" s="1"/>
  <c r="O15" i="31"/>
  <c r="P15" i="31" s="1"/>
  <c r="O21" i="31"/>
  <c r="P21" i="31" s="1"/>
  <c r="B32" i="42"/>
  <c r="B67" i="30"/>
  <c r="A60" i="31"/>
  <c r="M22" i="10"/>
  <c r="B30" i="10" s="1"/>
  <c r="L11" i="4"/>
  <c r="A11" i="4" s="1"/>
  <c r="C23" i="9"/>
  <c r="E22" i="22"/>
  <c r="L22" i="14"/>
  <c r="B30" i="14" s="1"/>
  <c r="A23" i="11"/>
  <c r="A22" i="11" s="1"/>
  <c r="A21" i="11" s="1"/>
  <c r="A20" i="11" s="1"/>
  <c r="A19" i="11" s="1"/>
  <c r="A18" i="11" s="1"/>
  <c r="A17" i="11" s="1"/>
  <c r="A16" i="11" s="1"/>
  <c r="A15" i="11" s="1"/>
  <c r="A14" i="11" s="1"/>
  <c r="D36" i="60"/>
  <c r="L22" i="10"/>
  <c r="A23" i="10" s="1"/>
  <c r="A22" i="10" s="1"/>
  <c r="A21" i="10" s="1"/>
  <c r="A20" i="10" s="1"/>
  <c r="A19" i="10" s="1"/>
  <c r="A18" i="10" s="1"/>
  <c r="L21" i="42"/>
  <c r="L8" i="3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L22" i="9"/>
  <c r="A23" i="9" s="1"/>
  <c r="A22" i="9" s="1"/>
  <c r="A21" i="9" s="1"/>
  <c r="A20" i="9" s="1"/>
  <c r="A19" i="9" s="1"/>
  <c r="E48" i="22"/>
  <c r="H48" i="24"/>
  <c r="G48" i="24" s="1"/>
  <c r="F48" i="24" s="1"/>
  <c r="E48" i="24" s="1"/>
  <c r="D48" i="24" s="1"/>
  <c r="C48" i="24" s="1"/>
  <c r="E38" i="22"/>
  <c r="D32" i="26"/>
  <c r="H32" i="26"/>
  <c r="E33" i="26"/>
  <c r="F34" i="26"/>
  <c r="C35" i="26"/>
  <c r="G35" i="26"/>
  <c r="D36" i="26"/>
  <c r="C41" i="26"/>
  <c r="E45" i="22"/>
  <c r="E49" i="22"/>
  <c r="C34" i="24"/>
  <c r="F36" i="24"/>
  <c r="E16" i="22"/>
  <c r="E32" i="26"/>
  <c r="F33" i="26"/>
  <c r="C34" i="26"/>
  <c r="H35" i="26"/>
  <c r="E36" i="26"/>
  <c r="C40" i="26"/>
  <c r="E25" i="22"/>
  <c r="E41" i="22"/>
  <c r="C61" i="17"/>
  <c r="O50" i="17"/>
  <c r="A50" i="17"/>
  <c r="N49" i="17"/>
  <c r="F33" i="16"/>
  <c r="D32" i="33"/>
  <c r="E20" i="14"/>
  <c r="A16" i="30"/>
  <c r="D36" i="16"/>
  <c r="E16" i="12"/>
  <c r="E16" i="11"/>
  <c r="F31" i="60"/>
  <c r="J31" i="60"/>
  <c r="H33" i="60"/>
  <c r="H34" i="60"/>
  <c r="E35" i="60"/>
  <c r="E17" i="18"/>
  <c r="E16" i="14"/>
  <c r="C16" i="8"/>
  <c r="D26" i="13"/>
  <c r="I31" i="16"/>
  <c r="G52" i="17"/>
  <c r="F50" i="17"/>
  <c r="G50" i="17" s="1"/>
  <c r="E23" i="18"/>
  <c r="E20" i="18"/>
  <c r="E44" i="22"/>
  <c r="C38" i="24"/>
  <c r="E34" i="26"/>
  <c r="C36" i="26"/>
  <c r="E39" i="26"/>
  <c r="E52" i="22"/>
  <c r="E19" i="18"/>
  <c r="A21" i="26"/>
  <c r="A39" i="26" s="1"/>
  <c r="C16" i="7"/>
  <c r="L55" i="33"/>
  <c r="B46" i="28"/>
  <c r="A61" i="31"/>
  <c r="E18" i="22"/>
  <c r="E26" i="22"/>
  <c r="E19" i="46"/>
  <c r="D23" i="46"/>
  <c r="D31" i="46"/>
  <c r="D32" i="46" s="1"/>
  <c r="E23" i="46"/>
  <c r="H32" i="16"/>
  <c r="C33" i="16"/>
  <c r="G33" i="16"/>
  <c r="D35" i="16"/>
  <c r="N11" i="16"/>
  <c r="D21" i="37"/>
  <c r="E21" i="37" s="1"/>
  <c r="D23" i="37"/>
  <c r="E23" i="37" s="1"/>
  <c r="D25" i="37"/>
  <c r="E25" i="37" s="1"/>
  <c r="D27" i="37"/>
  <c r="E27" i="37" s="1"/>
  <c r="H32" i="24"/>
  <c r="E16" i="48"/>
  <c r="G16" i="48" s="1"/>
  <c r="I16" i="48" s="1"/>
  <c r="E31" i="24"/>
  <c r="C33" i="24"/>
  <c r="G33" i="24"/>
  <c r="H34" i="24"/>
  <c r="E35" i="24"/>
  <c r="D15" i="18"/>
  <c r="D19" i="18"/>
  <c r="F31" i="24"/>
  <c r="D31" i="36"/>
  <c r="E21" i="14"/>
  <c r="E17" i="14"/>
  <c r="E15" i="48"/>
  <c r="G15" i="48" s="1"/>
  <c r="I15" i="48" s="1"/>
  <c r="E19" i="48"/>
  <c r="G19" i="48" s="1"/>
  <c r="I19" i="48" s="1"/>
  <c r="C32" i="60"/>
  <c r="G32" i="60"/>
  <c r="F33" i="60"/>
  <c r="F34" i="60"/>
  <c r="E36" i="60"/>
  <c r="D17" i="35"/>
  <c r="E17" i="35" s="1"/>
  <c r="D27" i="35"/>
  <c r="E27" i="35" s="1"/>
  <c r="C32" i="24"/>
  <c r="D33" i="24"/>
  <c r="E31" i="46"/>
  <c r="E32" i="46" s="1"/>
  <c r="C19" i="18"/>
  <c r="C32" i="16"/>
  <c r="G32" i="16"/>
  <c r="C35" i="16"/>
  <c r="H31" i="24"/>
  <c r="F33" i="24"/>
  <c r="F31" i="46"/>
  <c r="F32" i="46" s="1"/>
  <c r="C26" i="13"/>
  <c r="C11" i="38"/>
  <c r="E23" i="12"/>
  <c r="L11" i="6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D23" i="18"/>
  <c r="L22" i="7"/>
  <c r="A23" i="7" s="1"/>
  <c r="A22" i="7" s="1"/>
  <c r="A21" i="7" s="1"/>
  <c r="A20" i="7" s="1"/>
  <c r="A19" i="7" s="1"/>
  <c r="A18" i="7" s="1"/>
  <c r="E23" i="11"/>
  <c r="E19" i="13"/>
  <c r="D32" i="34"/>
  <c r="D33" i="32"/>
  <c r="C34" i="16"/>
  <c r="G34" i="16"/>
  <c r="F36" i="16"/>
  <c r="E37" i="16"/>
  <c r="D25" i="35"/>
  <c r="D17" i="37"/>
  <c r="E17" i="37" s="1"/>
  <c r="A21" i="41"/>
  <c r="A20" i="41" s="1"/>
  <c r="A19" i="41" s="1"/>
  <c r="A18" i="41" s="1"/>
  <c r="A17" i="41" s="1"/>
  <c r="A16" i="41" s="1"/>
  <c r="A15" i="41" s="1"/>
  <c r="A14" i="41" s="1"/>
  <c r="E22" i="14"/>
  <c r="C16" i="9"/>
  <c r="D21" i="18"/>
  <c r="D22" i="37"/>
  <c r="E22" i="37" s="1"/>
  <c r="D20" i="35"/>
  <c r="E20" i="35" s="1"/>
  <c r="C26" i="12"/>
  <c r="E18" i="13"/>
  <c r="D26" i="35"/>
  <c r="E26" i="35" s="1"/>
  <c r="D14" i="18"/>
  <c r="D22" i="18"/>
  <c r="D20" i="37"/>
  <c r="E20" i="37" s="1"/>
  <c r="M22" i="7"/>
  <c r="B30" i="7" s="1"/>
  <c r="L55" i="34"/>
  <c r="D22" i="35"/>
  <c r="E22" i="35" s="1"/>
  <c r="C16" i="18"/>
  <c r="E20" i="12"/>
  <c r="F34" i="16"/>
  <c r="G35" i="16"/>
  <c r="D37" i="16"/>
  <c r="D28" i="37"/>
  <c r="E28" i="37" s="1"/>
  <c r="D17" i="18"/>
  <c r="E22" i="11"/>
  <c r="M22" i="12"/>
  <c r="A4" i="12" s="1"/>
  <c r="C18" i="18"/>
  <c r="D16" i="35"/>
  <c r="E16" i="35" s="1"/>
  <c r="C20" i="18"/>
  <c r="M22" i="14"/>
  <c r="A4" i="14" s="1"/>
  <c r="L55" i="32"/>
  <c r="D18" i="35"/>
  <c r="E18" i="35" s="1"/>
  <c r="C14" i="18"/>
  <c r="D24" i="35"/>
  <c r="E24" i="35" s="1"/>
  <c r="C15" i="18"/>
  <c r="E16" i="13"/>
  <c r="D18" i="18"/>
  <c r="D20" i="18"/>
  <c r="C22" i="18"/>
  <c r="M22" i="13"/>
  <c r="A4" i="13" s="1"/>
  <c r="A4" i="11"/>
  <c r="C17" i="18"/>
  <c r="M22" i="8"/>
  <c r="B30" i="8" s="1"/>
  <c r="C23" i="18"/>
  <c r="C31" i="16"/>
  <c r="F32" i="16"/>
  <c r="E34" i="16"/>
  <c r="C37" i="16"/>
  <c r="C38" i="16"/>
  <c r="J31" i="16"/>
  <c r="D33" i="16"/>
  <c r="C39" i="16"/>
  <c r="D15" i="35"/>
  <c r="E15" i="35" s="1"/>
  <c r="D19" i="35"/>
  <c r="E19" i="35" s="1"/>
  <c r="C26" i="11"/>
  <c r="D32" i="60"/>
  <c r="H32" i="60"/>
  <c r="C33" i="60"/>
  <c r="C34" i="60"/>
  <c r="E46" i="22"/>
  <c r="E50" i="22"/>
  <c r="E22" i="13"/>
  <c r="E20" i="13"/>
  <c r="E22" i="12"/>
  <c r="A63" i="31"/>
  <c r="C19" i="7"/>
  <c r="E19" i="11"/>
  <c r="B49" i="60"/>
  <c r="A23" i="60"/>
  <c r="A22" i="60" s="1"/>
  <c r="C14" i="10"/>
  <c r="E14" i="14"/>
  <c r="E18" i="14"/>
  <c r="D26" i="14"/>
  <c r="E14" i="12"/>
  <c r="C14" i="8"/>
  <c r="E14" i="8" s="1"/>
  <c r="C14" i="4" s="1"/>
  <c r="D26" i="12"/>
  <c r="C15" i="7"/>
  <c r="C15" i="37"/>
  <c r="D15" i="37"/>
  <c r="D19" i="37"/>
  <c r="C19" i="37"/>
  <c r="E17" i="22"/>
  <c r="E21" i="22"/>
  <c r="D33" i="60"/>
  <c r="K52" i="30"/>
  <c r="L47" i="29"/>
  <c r="B77" i="29" s="1"/>
  <c r="K55" i="34"/>
  <c r="K55" i="33"/>
  <c r="A58" i="31"/>
  <c r="K55" i="32"/>
  <c r="D21" i="35"/>
  <c r="E21" i="35" s="1"/>
  <c r="D23" i="35"/>
  <c r="E23" i="35" s="1"/>
  <c r="D38" i="24"/>
  <c r="E30" i="22"/>
  <c r="N11" i="60"/>
  <c r="C11" i="60" s="1"/>
  <c r="D11" i="60" s="1"/>
  <c r="E11" i="60" s="1"/>
  <c r="C31" i="60"/>
  <c r="G31" i="60"/>
  <c r="J32" i="60"/>
  <c r="I33" i="60"/>
  <c r="E34" i="60"/>
  <c r="C38" i="60"/>
  <c r="D16" i="37"/>
  <c r="E16" i="37" s="1"/>
  <c r="D18" i="37"/>
  <c r="E18" i="37" s="1"/>
  <c r="E17" i="12"/>
  <c r="E21" i="11"/>
  <c r="G34" i="60"/>
  <c r="C36" i="16"/>
  <c r="E20" i="22"/>
  <c r="E28" i="22"/>
  <c r="E32" i="22"/>
  <c r="E36" i="22"/>
  <c r="E42" i="22"/>
  <c r="E17" i="48"/>
  <c r="G17" i="48" s="1"/>
  <c r="I17" i="48" s="1"/>
  <c r="E14" i="22"/>
  <c r="E17" i="11"/>
  <c r="E15" i="11"/>
  <c r="D11" i="24"/>
  <c r="C28" i="24" s="1"/>
  <c r="C29" i="26"/>
  <c r="F35" i="24"/>
  <c r="F23" i="46"/>
  <c r="F19" i="46"/>
  <c r="H33" i="24"/>
  <c r="E23" i="22"/>
  <c r="E39" i="22"/>
  <c r="H34" i="26"/>
  <c r="G35" i="24"/>
  <c r="E36" i="24"/>
  <c r="D37" i="24"/>
  <c r="A41" i="26"/>
  <c r="E27" i="22"/>
  <c r="E31" i="22"/>
  <c r="E47" i="22"/>
  <c r="D34" i="26"/>
  <c r="G37" i="26"/>
  <c r="F36" i="46"/>
  <c r="D29" i="26"/>
  <c r="E33" i="24"/>
  <c r="E29" i="22"/>
  <c r="E33" i="22"/>
  <c r="E37" i="22"/>
  <c r="E14" i="48"/>
  <c r="E18" i="48"/>
  <c r="G18" i="48" s="1"/>
  <c r="I18" i="48" s="1"/>
  <c r="E22" i="48"/>
  <c r="G22" i="48" s="1"/>
  <c r="I22" i="48" s="1"/>
  <c r="J33" i="58"/>
  <c r="E29" i="26"/>
  <c r="G11" i="26"/>
  <c r="F29" i="26" s="1"/>
  <c r="D33" i="26"/>
  <c r="C33" i="26"/>
  <c r="G33" i="26"/>
  <c r="H33" i="26"/>
  <c r="E36" i="28"/>
  <c r="F36" i="28" s="1"/>
  <c r="F31" i="16"/>
  <c r="G31" i="16"/>
  <c r="H33" i="16"/>
  <c r="I33" i="16"/>
  <c r="D31" i="24"/>
  <c r="C31" i="24"/>
  <c r="E32" i="24"/>
  <c r="D32" i="24"/>
  <c r="G34" i="24"/>
  <c r="F34" i="24"/>
  <c r="D35" i="24"/>
  <c r="C35" i="24"/>
  <c r="A21" i="24"/>
  <c r="A39" i="24"/>
  <c r="E15" i="22"/>
  <c r="G35" i="60"/>
  <c r="F35" i="60"/>
  <c r="D37" i="60"/>
  <c r="C37" i="60"/>
  <c r="C11" i="35"/>
  <c r="M11" i="37"/>
  <c r="C11" i="37" s="1"/>
  <c r="E43" i="22"/>
  <c r="E22" i="18"/>
  <c r="E21" i="18"/>
  <c r="E14" i="18"/>
  <c r="E15" i="18"/>
  <c r="E16" i="18"/>
  <c r="G32" i="26"/>
  <c r="F32" i="26"/>
  <c r="F35" i="26"/>
  <c r="E35" i="26"/>
  <c r="G36" i="26"/>
  <c r="F36" i="26"/>
  <c r="C37" i="26"/>
  <c r="D37" i="26"/>
  <c r="E38" i="26"/>
  <c r="F38" i="26"/>
  <c r="B32" i="58"/>
  <c r="B10" i="58"/>
  <c r="C31" i="38"/>
  <c r="E31" i="38" s="1"/>
  <c r="E31" i="60"/>
  <c r="D31" i="60"/>
  <c r="H31" i="60"/>
  <c r="C35" i="60"/>
  <c r="D38" i="60"/>
  <c r="D28" i="35"/>
  <c r="E28" i="35" s="1"/>
  <c r="D35" i="60"/>
  <c r="D14" i="35"/>
  <c r="E14" i="35" s="1"/>
  <c r="C25" i="35"/>
  <c r="C31" i="35" s="1"/>
  <c r="C21" i="9"/>
  <c r="E21" i="13"/>
  <c r="B30" i="11"/>
  <c r="L22" i="12"/>
  <c r="L22" i="13"/>
  <c r="L22" i="8"/>
  <c r="A23" i="8" s="1"/>
  <c r="A22" i="8" s="1"/>
  <c r="A21" i="8" s="1"/>
  <c r="A20" i="8" s="1"/>
  <c r="I32" i="16"/>
  <c r="G31" i="24"/>
  <c r="E23" i="14"/>
  <c r="C23" i="10"/>
  <c r="C15" i="10"/>
  <c r="E15" i="14"/>
  <c r="E14" i="13"/>
  <c r="J32" i="16"/>
  <c r="E33" i="16"/>
  <c r="H34" i="16"/>
  <c r="E37" i="24"/>
  <c r="C32" i="26"/>
  <c r="D36" i="46"/>
  <c r="E18" i="12"/>
  <c r="I32" i="60"/>
  <c r="G33" i="60"/>
  <c r="D34" i="60"/>
  <c r="G48" i="46"/>
  <c r="G19" i="1" s="1"/>
  <c r="D31" i="16"/>
  <c r="H31" i="16"/>
  <c r="F32" i="24"/>
  <c r="D34" i="24"/>
  <c r="C36" i="24"/>
  <c r="C37" i="24"/>
  <c r="G34" i="26"/>
  <c r="H36" i="26"/>
  <c r="F37" i="26"/>
  <c r="H50" i="26"/>
  <c r="G50" i="26" s="1"/>
  <c r="F50" i="26" s="1"/>
  <c r="E50" i="26" s="1"/>
  <c r="D50" i="26" s="1"/>
  <c r="C50" i="26" s="1"/>
  <c r="E20" i="48"/>
  <c r="G20" i="48" s="1"/>
  <c r="I20" i="48" s="1"/>
  <c r="E18" i="11"/>
  <c r="E32" i="60"/>
  <c r="F32" i="60"/>
  <c r="A11" i="5"/>
  <c r="A23" i="5"/>
  <c r="A22" i="5" s="1"/>
  <c r="A21" i="5" s="1"/>
  <c r="A20" i="5" s="1"/>
  <c r="A19" i="5" s="1"/>
  <c r="A18" i="5" s="1"/>
  <c r="A17" i="5" s="1"/>
  <c r="A16" i="5" s="1"/>
  <c r="A15" i="5" s="1"/>
  <c r="A14" i="5" s="1"/>
  <c r="E34" i="24"/>
  <c r="A23" i="16"/>
  <c r="A22" i="16" s="1"/>
  <c r="A39" i="16" s="1"/>
  <c r="B49" i="16"/>
  <c r="D36" i="24"/>
  <c r="D39" i="26"/>
  <c r="C39" i="26"/>
  <c r="C17" i="9"/>
  <c r="E17" i="13"/>
  <c r="C31" i="36"/>
  <c r="E35" i="16"/>
  <c r="F49" i="17"/>
  <c r="E37" i="26"/>
  <c r="E31" i="16"/>
  <c r="D34" i="16"/>
  <c r="E36" i="16"/>
  <c r="D38" i="16"/>
  <c r="D14" i="37"/>
  <c r="E14" i="37" s="1"/>
  <c r="E34" i="22"/>
  <c r="D35" i="26"/>
  <c r="D38" i="26"/>
  <c r="E36" i="46"/>
  <c r="D26" i="11"/>
  <c r="G32" i="24"/>
  <c r="C39" i="24"/>
  <c r="E19" i="22"/>
  <c r="E19" i="14"/>
  <c r="E21" i="12"/>
  <c r="E20" i="11"/>
  <c r="F36" i="60"/>
  <c r="E32" i="16"/>
  <c r="F35" i="16"/>
  <c r="D24" i="37"/>
  <c r="E24" i="37" s="1"/>
  <c r="D26" i="37"/>
  <c r="E26" i="37" s="1"/>
  <c r="E35" i="22"/>
  <c r="E40" i="22"/>
  <c r="C38" i="26"/>
  <c r="D40" i="26"/>
  <c r="D19" i="46"/>
  <c r="E21" i="48"/>
  <c r="G21" i="48" s="1"/>
  <c r="I21" i="48" s="1"/>
  <c r="C36" i="60"/>
  <c r="E24" i="22"/>
  <c r="E19" i="12"/>
  <c r="E14" i="11"/>
  <c r="E31" i="36" l="1"/>
  <c r="D61" i="22"/>
  <c r="E14" i="10"/>
  <c r="C26" i="10"/>
  <c r="C11" i="16"/>
  <c r="D11" i="16" s="1"/>
  <c r="A51" i="19"/>
  <c r="N51" i="19" s="1"/>
  <c r="D14" i="5"/>
  <c r="A57" i="33"/>
  <c r="A11" i="3"/>
  <c r="B75" i="29"/>
  <c r="C42" i="60"/>
  <c r="C45" i="60" s="1"/>
  <c r="A18" i="29"/>
  <c r="A23" i="14"/>
  <c r="A22" i="14" s="1"/>
  <c r="A21" i="14" s="1"/>
  <c r="A20" i="14" s="1"/>
  <c r="A19" i="14" s="1"/>
  <c r="A18" i="14" s="1"/>
  <c r="A17" i="14" s="1"/>
  <c r="A16" i="14" s="1"/>
  <c r="A15" i="14" s="1"/>
  <c r="A14" i="14" s="1"/>
  <c r="A23" i="4"/>
  <c r="A22" i="4" s="1"/>
  <c r="A21" i="4" s="1"/>
  <c r="A20" i="4" s="1"/>
  <c r="A19" i="4" s="1"/>
  <c r="A18" i="4" s="1"/>
  <c r="A17" i="4" s="1"/>
  <c r="A16" i="4" s="1"/>
  <c r="A15" i="4" s="1"/>
  <c r="A14" i="4" s="1"/>
  <c r="F16" i="18"/>
  <c r="D32" i="15" s="1"/>
  <c r="A23" i="12"/>
  <c r="A22" i="12" s="1"/>
  <c r="A21" i="12" s="1"/>
  <c r="A20" i="12" s="1"/>
  <c r="A19" i="12" s="1"/>
  <c r="A18" i="12" s="1"/>
  <c r="A17" i="12" s="1"/>
  <c r="A16" i="12" s="1"/>
  <c r="A15" i="12" s="1"/>
  <c r="A14" i="12" s="1"/>
  <c r="B30" i="12"/>
  <c r="A23" i="42"/>
  <c r="A22" i="42" s="1"/>
  <c r="A21" i="42" s="1"/>
  <c r="A20" i="42" s="1"/>
  <c r="A19" i="42" s="1"/>
  <c r="A18" i="42" s="1"/>
  <c r="A17" i="42" s="1"/>
  <c r="A16" i="42" s="1"/>
  <c r="A15" i="42" s="1"/>
  <c r="A14" i="42" s="1"/>
  <c r="A20" i="26"/>
  <c r="A38" i="26" s="1"/>
  <c r="J43" i="16"/>
  <c r="C46" i="26"/>
  <c r="J43" i="60"/>
  <c r="D33" i="33"/>
  <c r="G14" i="48"/>
  <c r="I14" i="48" s="1"/>
  <c r="E43" i="60"/>
  <c r="A57" i="34"/>
  <c r="A20" i="18"/>
  <c r="N21" i="18"/>
  <c r="F22" i="18"/>
  <c r="D38" i="15" s="1"/>
  <c r="F23" i="18"/>
  <c r="D39" i="15" s="1"/>
  <c r="F20" i="18"/>
  <c r="D36" i="15" s="1"/>
  <c r="A51" i="20"/>
  <c r="N52" i="20"/>
  <c r="C31" i="37"/>
  <c r="B73" i="29"/>
  <c r="F17" i="18"/>
  <c r="D33" i="15" s="1"/>
  <c r="J42" i="60"/>
  <c r="J45" i="60" s="1"/>
  <c r="J46" i="60" s="1"/>
  <c r="N44" i="30" s="1"/>
  <c r="G46" i="26"/>
  <c r="G44" i="24"/>
  <c r="H42" i="24"/>
  <c r="B45" i="28"/>
  <c r="E44" i="24"/>
  <c r="F15" i="18"/>
  <c r="D31" i="15" s="1"/>
  <c r="F44" i="24"/>
  <c r="H42" i="60"/>
  <c r="H45" i="60" s="1"/>
  <c r="I43" i="16"/>
  <c r="H44" i="24"/>
  <c r="C26" i="8"/>
  <c r="G42" i="60"/>
  <c r="G45" i="60" s="1"/>
  <c r="G54" i="40"/>
  <c r="E37" i="28" s="1"/>
  <c r="D30" i="34"/>
  <c r="D30" i="33"/>
  <c r="F42" i="24"/>
  <c r="G43" i="16"/>
  <c r="D30" i="32"/>
  <c r="F14" i="18"/>
  <c r="D30" i="15" s="1"/>
  <c r="C26" i="7"/>
  <c r="N54" i="21"/>
  <c r="A53" i="21"/>
  <c r="F19" i="18"/>
  <c r="D35" i="15" s="1"/>
  <c r="C42" i="16"/>
  <c r="C45" i="16" s="1"/>
  <c r="C43" i="16"/>
  <c r="H44" i="26"/>
  <c r="J42" i="16"/>
  <c r="J45" i="16" s="1"/>
  <c r="J46" i="16" s="1"/>
  <c r="H42" i="16"/>
  <c r="H45" i="16" s="1"/>
  <c r="A21" i="16"/>
  <c r="A20" i="16" s="1"/>
  <c r="E43" i="16"/>
  <c r="D43" i="16"/>
  <c r="F18" i="18"/>
  <c r="D34" i="15" s="1"/>
  <c r="F43" i="24"/>
  <c r="H45" i="24"/>
  <c r="G49" i="17"/>
  <c r="A49" i="17"/>
  <c r="O49" i="17"/>
  <c r="N48" i="17"/>
  <c r="C26" i="9"/>
  <c r="A17" i="30"/>
  <c r="F51" i="17"/>
  <c r="G51" i="17" s="1"/>
  <c r="F11" i="60"/>
  <c r="G11" i="60" s="1"/>
  <c r="D28" i="60"/>
  <c r="A58" i="32"/>
  <c r="A61" i="32"/>
  <c r="F45" i="24"/>
  <c r="G44" i="26"/>
  <c r="A11" i="6"/>
  <c r="F21" i="18"/>
  <c r="D37" i="15" s="1"/>
  <c r="G42" i="16"/>
  <c r="G45" i="16" s="1"/>
  <c r="D33" i="34"/>
  <c r="D42" i="60"/>
  <c r="D45" i="60" s="1"/>
  <c r="I42" i="60"/>
  <c r="I45" i="60" s="1"/>
  <c r="F42" i="16"/>
  <c r="F45" i="16" s="1"/>
  <c r="E26" i="13"/>
  <c r="I43" i="60"/>
  <c r="H43" i="24"/>
  <c r="E19" i="37"/>
  <c r="E46" i="26"/>
  <c r="G21" i="1"/>
  <c r="H43" i="60"/>
  <c r="C28" i="60"/>
  <c r="E15" i="37"/>
  <c r="E26" i="29"/>
  <c r="G26" i="29" s="1"/>
  <c r="E25" i="29"/>
  <c r="G25" i="29" s="1"/>
  <c r="E27" i="29"/>
  <c r="E24" i="29"/>
  <c r="G24" i="29" s="1"/>
  <c r="E28" i="29"/>
  <c r="E29" i="29"/>
  <c r="G21" i="29"/>
  <c r="E23" i="29"/>
  <c r="G23" i="29" s="1"/>
  <c r="E19" i="29"/>
  <c r="G19" i="29" s="1"/>
  <c r="E20" i="29"/>
  <c r="G20" i="29" s="1"/>
  <c r="E22" i="29"/>
  <c r="G22" i="29" s="1"/>
  <c r="E18" i="29"/>
  <c r="G18" i="29" s="1"/>
  <c r="D31" i="33"/>
  <c r="D31" i="34"/>
  <c r="D31" i="32"/>
  <c r="A39" i="60"/>
  <c r="A21" i="60"/>
  <c r="E26" i="11"/>
  <c r="G15" i="1"/>
  <c r="G45" i="26"/>
  <c r="D43" i="60"/>
  <c r="G43" i="24"/>
  <c r="E42" i="60"/>
  <c r="E45" i="60" s="1"/>
  <c r="E47" i="26"/>
  <c r="E25" i="35"/>
  <c r="E31" i="35" s="1"/>
  <c r="E34" i="35" s="1"/>
  <c r="G47" i="26"/>
  <c r="H43" i="16"/>
  <c r="H47" i="26"/>
  <c r="E43" i="24"/>
  <c r="E11" i="24"/>
  <c r="D28" i="24" s="1"/>
  <c r="C45" i="26"/>
  <c r="G45" i="24"/>
  <c r="F47" i="26"/>
  <c r="F45" i="26"/>
  <c r="F44" i="26"/>
  <c r="E26" i="12"/>
  <c r="E42" i="24"/>
  <c r="E26" i="14"/>
  <c r="C42" i="24"/>
  <c r="B30" i="13"/>
  <c r="A23" i="13"/>
  <c r="A22" i="13" s="1"/>
  <c r="A21" i="13" s="1"/>
  <c r="A20" i="13" s="1"/>
  <c r="A19" i="13" s="1"/>
  <c r="A18" i="13" s="1"/>
  <c r="A17" i="13" s="1"/>
  <c r="A16" i="13" s="1"/>
  <c r="A15" i="13" s="1"/>
  <c r="A14" i="13" s="1"/>
  <c r="H45" i="26"/>
  <c r="F46" i="26"/>
  <c r="E45" i="24"/>
  <c r="I42" i="16"/>
  <c r="I45" i="16" s="1"/>
  <c r="A38" i="24"/>
  <c r="A20" i="24"/>
  <c r="G43" i="60"/>
  <c r="H11" i="26"/>
  <c r="G29" i="26" s="1"/>
  <c r="H46" i="26"/>
  <c r="D45" i="26"/>
  <c r="D44" i="26"/>
  <c r="E42" i="16"/>
  <c r="E45" i="16" s="1"/>
  <c r="C47" i="26"/>
  <c r="F42" i="60"/>
  <c r="F45" i="60" s="1"/>
  <c r="F43" i="60"/>
  <c r="C44" i="24"/>
  <c r="C45" i="24"/>
  <c r="C44" i="26"/>
  <c r="C43" i="60"/>
  <c r="G42" i="24"/>
  <c r="A19" i="8"/>
  <c r="F43" i="16"/>
  <c r="D43" i="24"/>
  <c r="D45" i="24"/>
  <c r="D44" i="24"/>
  <c r="D42" i="24"/>
  <c r="C43" i="24"/>
  <c r="E45" i="26"/>
  <c r="D47" i="26"/>
  <c r="D46" i="26"/>
  <c r="D42" i="16"/>
  <c r="D45" i="16" s="1"/>
  <c r="A17" i="7"/>
  <c r="A16" i="7" s="1"/>
  <c r="A15" i="7" s="1"/>
  <c r="E44" i="26"/>
  <c r="A17" i="10"/>
  <c r="A18" i="9"/>
  <c r="H52" i="17" l="1"/>
  <c r="C14" i="6"/>
  <c r="E11" i="16"/>
  <c r="D28" i="16" s="1"/>
  <c r="C28" i="16"/>
  <c r="A50" i="19"/>
  <c r="A49" i="19" s="1"/>
  <c r="A19" i="29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I46" i="60"/>
  <c r="G23" i="1"/>
  <c r="G25" i="1" s="1"/>
  <c r="A19" i="26"/>
  <c r="A18" i="26" s="1"/>
  <c r="A17" i="26" s="1"/>
  <c r="A19" i="18"/>
  <c r="N20" i="18"/>
  <c r="N51" i="20"/>
  <c r="A50" i="20"/>
  <c r="E28" i="60"/>
  <c r="E39" i="28"/>
  <c r="F37" i="28"/>
  <c r="E31" i="37"/>
  <c r="A52" i="21"/>
  <c r="N53" i="21"/>
  <c r="I46" i="16"/>
  <c r="H46" i="16" s="1"/>
  <c r="G46" i="16" s="1"/>
  <c r="F46" i="16" s="1"/>
  <c r="E46" i="16" s="1"/>
  <c r="A38" i="16"/>
  <c r="D16" i="7"/>
  <c r="E16" i="7" s="1"/>
  <c r="C16" i="3" s="1"/>
  <c r="D14" i="3"/>
  <c r="D17" i="3" s="1"/>
  <c r="D23" i="5"/>
  <c r="D20" i="5"/>
  <c r="D18" i="5"/>
  <c r="D22" i="5"/>
  <c r="D17" i="5"/>
  <c r="D15" i="5"/>
  <c r="D16" i="5"/>
  <c r="D19" i="5"/>
  <c r="D21" i="5"/>
  <c r="C22" i="15"/>
  <c r="O48" i="17"/>
  <c r="A48" i="17"/>
  <c r="N47" i="17"/>
  <c r="F28" i="60"/>
  <c r="A18" i="30"/>
  <c r="H11" i="60"/>
  <c r="G28" i="60" s="1"/>
  <c r="D14" i="4"/>
  <c r="D14" i="6"/>
  <c r="A60" i="34"/>
  <c r="A60" i="33"/>
  <c r="D31" i="35"/>
  <c r="C17" i="27"/>
  <c r="G17" i="29"/>
  <c r="D17" i="31"/>
  <c r="D16" i="31"/>
  <c r="D15" i="31"/>
  <c r="D14" i="34"/>
  <c r="E14" i="34" s="1"/>
  <c r="G14" i="31"/>
  <c r="D14" i="33"/>
  <c r="E14" i="33" s="1"/>
  <c r="D18" i="31"/>
  <c r="D14" i="32"/>
  <c r="E14" i="32" s="1"/>
  <c r="A38" i="60"/>
  <c r="A20" i="60"/>
  <c r="F11" i="24"/>
  <c r="E28" i="24" s="1"/>
  <c r="A37" i="24"/>
  <c r="A19" i="24"/>
  <c r="I11" i="26"/>
  <c r="I29" i="26" s="1"/>
  <c r="A18" i="8"/>
  <c r="A14" i="7"/>
  <c r="D15" i="7"/>
  <c r="E15" i="7" s="1"/>
  <c r="A16" i="10"/>
  <c r="A17" i="9"/>
  <c r="A19" i="16"/>
  <c r="A37" i="16"/>
  <c r="E34" i="37" l="1"/>
  <c r="C18" i="27" s="1"/>
  <c r="C20" i="27" s="1"/>
  <c r="F11" i="16"/>
  <c r="G11" i="16" s="1"/>
  <c r="N50" i="19"/>
  <c r="H46" i="60"/>
  <c r="N45" i="30"/>
  <c r="F39" i="28"/>
  <c r="A37" i="26"/>
  <c r="A36" i="26"/>
  <c r="D20" i="3"/>
  <c r="A18" i="18"/>
  <c r="N19" i="18"/>
  <c r="A49" i="20"/>
  <c r="N50" i="20"/>
  <c r="D31" i="37"/>
  <c r="N52" i="21"/>
  <c r="A51" i="21"/>
  <c r="A48" i="19"/>
  <c r="N49" i="19"/>
  <c r="D46" i="16"/>
  <c r="C46" i="16" s="1"/>
  <c r="D23" i="3"/>
  <c r="D17" i="7"/>
  <c r="E17" i="7" s="1"/>
  <c r="C17" i="3" s="1"/>
  <c r="D18" i="3"/>
  <c r="D16" i="3"/>
  <c r="D19" i="3"/>
  <c r="D22" i="3"/>
  <c r="D21" i="3"/>
  <c r="D15" i="3"/>
  <c r="C39" i="15"/>
  <c r="A47" i="17"/>
  <c r="O47" i="17"/>
  <c r="N46" i="17"/>
  <c r="A19" i="30"/>
  <c r="I11" i="60"/>
  <c r="H28" i="60" s="1"/>
  <c r="D20" i="6"/>
  <c r="D22" i="6"/>
  <c r="D23" i="6"/>
  <c r="D19" i="6"/>
  <c r="D15" i="6"/>
  <c r="D16" i="6"/>
  <c r="D21" i="6"/>
  <c r="D17" i="6"/>
  <c r="D18" i="6"/>
  <c r="D21" i="4"/>
  <c r="D16" i="4"/>
  <c r="D19" i="4"/>
  <c r="D20" i="4"/>
  <c r="D15" i="4"/>
  <c r="D17" i="4"/>
  <c r="D23" i="4"/>
  <c r="D22" i="4"/>
  <c r="D18" i="4"/>
  <c r="D27" i="34"/>
  <c r="D27" i="32"/>
  <c r="D27" i="33"/>
  <c r="G14" i="33"/>
  <c r="E14" i="30" s="1"/>
  <c r="E19" i="31"/>
  <c r="D19" i="33"/>
  <c r="E19" i="33" s="1"/>
  <c r="G19" i="33" s="1"/>
  <c r="E19" i="30" s="1"/>
  <c r="D19" i="32"/>
  <c r="E19" i="32" s="1"/>
  <c r="G19" i="32" s="1"/>
  <c r="D19" i="30" s="1"/>
  <c r="D19" i="34"/>
  <c r="E19" i="34" s="1"/>
  <c r="G19" i="34" s="1"/>
  <c r="F19" i="30" s="1"/>
  <c r="D26" i="33"/>
  <c r="D26" i="32"/>
  <c r="D26" i="34"/>
  <c r="D29" i="33"/>
  <c r="D29" i="34"/>
  <c r="D29" i="32"/>
  <c r="D23" i="32"/>
  <c r="D23" i="33"/>
  <c r="D23" i="34"/>
  <c r="E21" i="31"/>
  <c r="G21" i="31" s="1"/>
  <c r="C21" i="30" s="1"/>
  <c r="D21" i="33"/>
  <c r="E21" i="33" s="1"/>
  <c r="D21" i="32"/>
  <c r="E21" i="32" s="1"/>
  <c r="G21" i="32" s="1"/>
  <c r="D21" i="30" s="1"/>
  <c r="D21" i="34"/>
  <c r="E21" i="34" s="1"/>
  <c r="G21" i="34" s="1"/>
  <c r="F21" i="30" s="1"/>
  <c r="D24" i="33"/>
  <c r="D24" i="32"/>
  <c r="D24" i="34"/>
  <c r="G14" i="34"/>
  <c r="F14" i="30" s="1"/>
  <c r="D28" i="34"/>
  <c r="D28" i="32"/>
  <c r="D28" i="33"/>
  <c r="D25" i="33"/>
  <c r="D25" i="32"/>
  <c r="D25" i="34"/>
  <c r="D18" i="34"/>
  <c r="E18" i="34" s="1"/>
  <c r="G18" i="34" s="1"/>
  <c r="F18" i="30" s="1"/>
  <c r="E18" i="31"/>
  <c r="D18" i="32"/>
  <c r="E18" i="32" s="1"/>
  <c r="G18" i="32" s="1"/>
  <c r="D18" i="30" s="1"/>
  <c r="D18" i="33"/>
  <c r="E18" i="33" s="1"/>
  <c r="G18" i="33" s="1"/>
  <c r="E18" i="30" s="1"/>
  <c r="D22" i="33"/>
  <c r="D22" i="34"/>
  <c r="D22" i="32"/>
  <c r="E17" i="31"/>
  <c r="D17" i="34"/>
  <c r="E17" i="34" s="1"/>
  <c r="G17" i="34" s="1"/>
  <c r="F17" i="30" s="1"/>
  <c r="D17" i="32"/>
  <c r="E17" i="32" s="1"/>
  <c r="G17" i="32" s="1"/>
  <c r="D17" i="30" s="1"/>
  <c r="D17" i="33"/>
  <c r="E17" i="33" s="1"/>
  <c r="G17" i="33" s="1"/>
  <c r="E17" i="30" s="1"/>
  <c r="G14" i="32"/>
  <c r="D14" i="30" s="1"/>
  <c r="D20" i="32"/>
  <c r="E20" i="32" s="1"/>
  <c r="G20" i="32" s="1"/>
  <c r="D20" i="30" s="1"/>
  <c r="D20" i="34"/>
  <c r="E20" i="34" s="1"/>
  <c r="G20" i="34" s="1"/>
  <c r="F20" i="30" s="1"/>
  <c r="D20" i="33"/>
  <c r="E20" i="33" s="1"/>
  <c r="G20" i="33" s="1"/>
  <c r="E20" i="30" s="1"/>
  <c r="E20" i="31"/>
  <c r="C14" i="30"/>
  <c r="E30" i="29"/>
  <c r="E15" i="31"/>
  <c r="D15" i="34"/>
  <c r="E15" i="34" s="1"/>
  <c r="G15" i="34" s="1"/>
  <c r="F15" i="30" s="1"/>
  <c r="D15" i="32"/>
  <c r="E15" i="32" s="1"/>
  <c r="G15" i="32" s="1"/>
  <c r="D15" i="30" s="1"/>
  <c r="D15" i="33"/>
  <c r="E15" i="33" s="1"/>
  <c r="G15" i="33" s="1"/>
  <c r="E15" i="30" s="1"/>
  <c r="D16" i="34"/>
  <c r="E16" i="34" s="1"/>
  <c r="G16" i="34" s="1"/>
  <c r="F16" i="30" s="1"/>
  <c r="D16" i="33"/>
  <c r="E16" i="33" s="1"/>
  <c r="G16" i="33" s="1"/>
  <c r="E16" i="30" s="1"/>
  <c r="D16" i="32"/>
  <c r="E16" i="32" s="1"/>
  <c r="G16" i="32" s="1"/>
  <c r="D16" i="30" s="1"/>
  <c r="E16" i="31"/>
  <c r="A37" i="60"/>
  <c r="A19" i="60"/>
  <c r="G11" i="24"/>
  <c r="F28" i="24" s="1"/>
  <c r="H29" i="26"/>
  <c r="A18" i="24"/>
  <c r="A36" i="24"/>
  <c r="D18" i="8"/>
  <c r="E18" i="8" s="1"/>
  <c r="C18" i="4" s="1"/>
  <c r="A17" i="8"/>
  <c r="A16" i="26"/>
  <c r="A35" i="26"/>
  <c r="A16" i="9"/>
  <c r="C15" i="3"/>
  <c r="A36" i="16"/>
  <c r="A18" i="16"/>
  <c r="A15" i="10"/>
  <c r="D16" i="10" s="1"/>
  <c r="E16" i="10" s="1"/>
  <c r="C16" i="6" s="1"/>
  <c r="E28" i="16" l="1"/>
  <c r="F28" i="16"/>
  <c r="H11" i="16"/>
  <c r="C17" i="28"/>
  <c r="G46" i="60"/>
  <c r="N46" i="30"/>
  <c r="A17" i="18"/>
  <c r="N18" i="18"/>
  <c r="A48" i="20"/>
  <c r="N49" i="20"/>
  <c r="N51" i="21"/>
  <c r="A50" i="21"/>
  <c r="A47" i="19"/>
  <c r="N48" i="19"/>
  <c r="D18" i="10"/>
  <c r="E18" i="10" s="1"/>
  <c r="C18" i="6" s="1"/>
  <c r="D18" i="7"/>
  <c r="E18" i="7" s="1"/>
  <c r="D18" i="9"/>
  <c r="E18" i="9" s="1"/>
  <c r="C18" i="5" s="1"/>
  <c r="A46" i="17"/>
  <c r="O46" i="17"/>
  <c r="N45" i="17"/>
  <c r="A20" i="30"/>
  <c r="J11" i="60"/>
  <c r="I28" i="60" s="1"/>
  <c r="G15" i="31"/>
  <c r="C15" i="30" s="1"/>
  <c r="E31" i="29"/>
  <c r="G20" i="31"/>
  <c r="C20" i="30" s="1"/>
  <c r="E36" i="29"/>
  <c r="C19" i="28" s="1"/>
  <c r="G19" i="31"/>
  <c r="C19" i="30" s="1"/>
  <c r="E35" i="29"/>
  <c r="G16" i="31"/>
  <c r="C16" i="30" s="1"/>
  <c r="E32" i="29"/>
  <c r="G18" i="31"/>
  <c r="C18" i="30" s="1"/>
  <c r="E34" i="29"/>
  <c r="E37" i="29"/>
  <c r="G21" i="33"/>
  <c r="E21" i="30" s="1"/>
  <c r="E33" i="29"/>
  <c r="C18" i="28" s="1"/>
  <c r="G17" i="31"/>
  <c r="C17" i="30" s="1"/>
  <c r="A36" i="60"/>
  <c r="A18" i="60"/>
  <c r="H11" i="24"/>
  <c r="G28" i="24" s="1"/>
  <c r="A17" i="24"/>
  <c r="A35" i="24"/>
  <c r="A16" i="8"/>
  <c r="A34" i="26"/>
  <c r="A15" i="26"/>
  <c r="D15" i="10"/>
  <c r="E15" i="10" s="1"/>
  <c r="A14" i="10"/>
  <c r="D17" i="10"/>
  <c r="E17" i="10" s="1"/>
  <c r="C17" i="6" s="1"/>
  <c r="A17" i="16"/>
  <c r="A35" i="16"/>
  <c r="A15" i="9"/>
  <c r="D16" i="9" s="1"/>
  <c r="E16" i="9" s="1"/>
  <c r="C16" i="5" s="1"/>
  <c r="G28" i="16" l="1"/>
  <c r="I11" i="16"/>
  <c r="F46" i="60"/>
  <c r="N47" i="30"/>
  <c r="A16" i="18"/>
  <c r="N17" i="18"/>
  <c r="N48" i="20"/>
  <c r="A47" i="20"/>
  <c r="N50" i="21"/>
  <c r="A49" i="21"/>
  <c r="N47" i="19"/>
  <c r="A46" i="19"/>
  <c r="C18" i="3"/>
  <c r="D19" i="7"/>
  <c r="E19" i="7" s="1"/>
  <c r="C19" i="3" s="1"/>
  <c r="D19" i="10"/>
  <c r="E19" i="10" s="1"/>
  <c r="C19" i="6" s="1"/>
  <c r="D19" i="9"/>
  <c r="E19" i="9" s="1"/>
  <c r="C19" i="5" s="1"/>
  <c r="D19" i="8"/>
  <c r="E19" i="8" s="1"/>
  <c r="C19" i="4" s="1"/>
  <c r="O45" i="17"/>
  <c r="N44" i="17"/>
  <c r="A45" i="17"/>
  <c r="A21" i="30"/>
  <c r="K11" i="60"/>
  <c r="K28" i="60" s="1"/>
  <c r="A35" i="60"/>
  <c r="A17" i="60"/>
  <c r="I11" i="24"/>
  <c r="I28" i="24" s="1"/>
  <c r="A16" i="24"/>
  <c r="A34" i="24"/>
  <c r="A14" i="26"/>
  <c r="A32" i="26" s="1"/>
  <c r="A33" i="26"/>
  <c r="A15" i="8"/>
  <c r="D16" i="8" s="1"/>
  <c r="E16" i="8" s="1"/>
  <c r="C16" i="4" s="1"/>
  <c r="C15" i="6"/>
  <c r="A16" i="16"/>
  <c r="A34" i="16"/>
  <c r="D15" i="9"/>
  <c r="E15" i="9" s="1"/>
  <c r="A14" i="9"/>
  <c r="D17" i="9"/>
  <c r="E17" i="9" s="1"/>
  <c r="C17" i="5" s="1"/>
  <c r="H28" i="16" l="1"/>
  <c r="J11" i="16"/>
  <c r="E46" i="60"/>
  <c r="N48" i="30"/>
  <c r="A15" i="18"/>
  <c r="N16" i="18"/>
  <c r="A46" i="20"/>
  <c r="N47" i="20"/>
  <c r="N46" i="19"/>
  <c r="A45" i="19"/>
  <c r="A48" i="21"/>
  <c r="N49" i="21"/>
  <c r="D20" i="10"/>
  <c r="E20" i="10" s="1"/>
  <c r="D20" i="7"/>
  <c r="E20" i="7" s="1"/>
  <c r="C20" i="3" s="1"/>
  <c r="D20" i="9"/>
  <c r="E20" i="9" s="1"/>
  <c r="C20" i="5" s="1"/>
  <c r="D20" i="8"/>
  <c r="E20" i="8" s="1"/>
  <c r="C20" i="4" s="1"/>
  <c r="N43" i="17"/>
  <c r="O44" i="17"/>
  <c r="A44" i="17"/>
  <c r="A22" i="30"/>
  <c r="J28" i="60"/>
  <c r="H28" i="24"/>
  <c r="A16" i="60"/>
  <c r="A34" i="60"/>
  <c r="A15" i="24"/>
  <c r="A33" i="24"/>
  <c r="A14" i="8"/>
  <c r="D15" i="8"/>
  <c r="E15" i="8" s="1"/>
  <c r="D17" i="8"/>
  <c r="E17" i="8" s="1"/>
  <c r="C17" i="4" s="1"/>
  <c r="A33" i="16"/>
  <c r="A15" i="16"/>
  <c r="C15" i="5"/>
  <c r="I28" i="16" l="1"/>
  <c r="K11" i="16"/>
  <c r="K28" i="16" s="1"/>
  <c r="D46" i="60"/>
  <c r="N49" i="30"/>
  <c r="A14" i="18"/>
  <c r="N14" i="18" s="1"/>
  <c r="N15" i="18"/>
  <c r="A45" i="20"/>
  <c r="N46" i="20"/>
  <c r="N45" i="19"/>
  <c r="A44" i="19"/>
  <c r="N48" i="21"/>
  <c r="A47" i="21"/>
  <c r="D21" i="7"/>
  <c r="E21" i="7" s="1"/>
  <c r="C21" i="3" s="1"/>
  <c r="D21" i="10"/>
  <c r="E21" i="10" s="1"/>
  <c r="C21" i="6" s="1"/>
  <c r="D21" i="9"/>
  <c r="E21" i="9" s="1"/>
  <c r="D21" i="8"/>
  <c r="E21" i="8" s="1"/>
  <c r="C21" i="4" s="1"/>
  <c r="C20" i="6"/>
  <c r="O43" i="17"/>
  <c r="A43" i="17"/>
  <c r="N42" i="17"/>
  <c r="A23" i="30"/>
  <c r="A33" i="60"/>
  <c r="A15" i="60"/>
  <c r="A14" i="24"/>
  <c r="A31" i="24" s="1"/>
  <c r="A32" i="24"/>
  <c r="C15" i="4"/>
  <c r="A14" i="16"/>
  <c r="A31" i="16" s="1"/>
  <c r="A32" i="16"/>
  <c r="J28" i="16" l="1"/>
  <c r="C46" i="60"/>
  <c r="N51" i="30" s="1"/>
  <c r="N50" i="30"/>
  <c r="A44" i="20"/>
  <c r="N45" i="20"/>
  <c r="N44" i="19"/>
  <c r="A43" i="19"/>
  <c r="N47" i="21"/>
  <c r="A46" i="21"/>
  <c r="C21" i="5"/>
  <c r="D22" i="7"/>
  <c r="E22" i="7" s="1"/>
  <c r="D22" i="10"/>
  <c r="E22" i="10" s="1"/>
  <c r="C22" i="6" s="1"/>
  <c r="D22" i="9"/>
  <c r="E22" i="9" s="1"/>
  <c r="C22" i="5" s="1"/>
  <c r="D22" i="8"/>
  <c r="E22" i="8" s="1"/>
  <c r="O42" i="17"/>
  <c r="A42" i="17"/>
  <c r="N41" i="17"/>
  <c r="A24" i="30"/>
  <c r="A14" i="60"/>
  <c r="A31" i="60" s="1"/>
  <c r="A32" i="60"/>
  <c r="A43" i="20" l="1"/>
  <c r="N44" i="20"/>
  <c r="A45" i="21"/>
  <c r="N46" i="21"/>
  <c r="A42" i="19"/>
  <c r="N43" i="19"/>
  <c r="D23" i="7"/>
  <c r="E23" i="7" s="1"/>
  <c r="C23" i="3" s="1"/>
  <c r="D23" i="10"/>
  <c r="E23" i="10" s="1"/>
  <c r="E26" i="10" s="1"/>
  <c r="D23" i="9"/>
  <c r="E23" i="9" s="1"/>
  <c r="C23" i="5" s="1"/>
  <c r="D23" i="8"/>
  <c r="E23" i="8" s="1"/>
  <c r="C23" i="4" s="1"/>
  <c r="C22" i="3"/>
  <c r="C22" i="4"/>
  <c r="O41" i="17"/>
  <c r="A41" i="17"/>
  <c r="N40" i="17"/>
  <c r="A25" i="30"/>
  <c r="C26" i="4" l="1"/>
  <c r="C23" i="6"/>
  <c r="C26" i="6" s="1"/>
  <c r="C26" i="5"/>
  <c r="A42" i="20"/>
  <c r="N43" i="20"/>
  <c r="N42" i="19"/>
  <c r="A41" i="19"/>
  <c r="N45" i="21"/>
  <c r="A44" i="21"/>
  <c r="E26" i="7"/>
  <c r="E26" i="9"/>
  <c r="E26" i="8"/>
  <c r="C26" i="3"/>
  <c r="N39" i="17"/>
  <c r="A40" i="17"/>
  <c r="O40" i="17"/>
  <c r="A26" i="30"/>
  <c r="N42" i="20" l="1"/>
  <c r="A41" i="20"/>
  <c r="A40" i="19"/>
  <c r="N41" i="19"/>
  <c r="J43" i="19"/>
  <c r="K51" i="19"/>
  <c r="J44" i="19"/>
  <c r="K46" i="19"/>
  <c r="J46" i="19"/>
  <c r="J52" i="19"/>
  <c r="J48" i="19"/>
  <c r="K57" i="19"/>
  <c r="J45" i="19"/>
  <c r="K50" i="19"/>
  <c r="J57" i="19"/>
  <c r="K43" i="19"/>
  <c r="K53" i="19"/>
  <c r="J47" i="19"/>
  <c r="K52" i="19"/>
  <c r="K42" i="19"/>
  <c r="K45" i="19"/>
  <c r="K47" i="19"/>
  <c r="J53" i="19"/>
  <c r="K49" i="19"/>
  <c r="J50" i="19"/>
  <c r="J49" i="19"/>
  <c r="K44" i="19"/>
  <c r="J42" i="19"/>
  <c r="J51" i="19"/>
  <c r="K48" i="19"/>
  <c r="N44" i="21"/>
  <c r="K58" i="21" s="1"/>
  <c r="A43" i="21"/>
  <c r="A39" i="17"/>
  <c r="O39" i="17"/>
  <c r="N38" i="17"/>
  <c r="A27" i="30"/>
  <c r="J56" i="19" l="1"/>
  <c r="N41" i="20"/>
  <c r="A40" i="20"/>
  <c r="K47" i="20"/>
  <c r="K45" i="20"/>
  <c r="K49" i="20"/>
  <c r="J53" i="20"/>
  <c r="K51" i="20"/>
  <c r="K53" i="20"/>
  <c r="K42" i="20"/>
  <c r="J45" i="20"/>
  <c r="J42" i="20"/>
  <c r="J46" i="20"/>
  <c r="J50" i="20"/>
  <c r="J57" i="20"/>
  <c r="K48" i="20"/>
  <c r="K43" i="20"/>
  <c r="J48" i="20"/>
  <c r="J44" i="20"/>
  <c r="J52" i="20"/>
  <c r="K44" i="20"/>
  <c r="J47" i="20"/>
  <c r="K52" i="20"/>
  <c r="J51" i="20"/>
  <c r="K57" i="20"/>
  <c r="K50" i="20"/>
  <c r="K46" i="20"/>
  <c r="J43" i="20"/>
  <c r="J49" i="20"/>
  <c r="A42" i="21"/>
  <c r="N43" i="21"/>
  <c r="K48" i="21"/>
  <c r="J47" i="21"/>
  <c r="K59" i="21"/>
  <c r="J55" i="21"/>
  <c r="J54" i="21"/>
  <c r="K55" i="21"/>
  <c r="K51" i="21"/>
  <c r="K53" i="21"/>
  <c r="K44" i="21"/>
  <c r="K54" i="21"/>
  <c r="J53" i="21"/>
  <c r="J46" i="21"/>
  <c r="J51" i="21"/>
  <c r="K50" i="21"/>
  <c r="J49" i="21"/>
  <c r="K52" i="21"/>
  <c r="J44" i="21"/>
  <c r="J52" i="21"/>
  <c r="J50" i="21"/>
  <c r="K47" i="21"/>
  <c r="J48" i="21"/>
  <c r="J45" i="21"/>
  <c r="J59" i="21"/>
  <c r="K45" i="21"/>
  <c r="K46" i="21"/>
  <c r="K49" i="21"/>
  <c r="N40" i="19"/>
  <c r="A39" i="19"/>
  <c r="A38" i="17"/>
  <c r="O38" i="17"/>
  <c r="N37" i="17"/>
  <c r="A28" i="30"/>
  <c r="J56" i="20" l="1"/>
  <c r="A39" i="20"/>
  <c r="N40" i="20"/>
  <c r="J58" i="21"/>
  <c r="A38" i="19"/>
  <c r="N39" i="19"/>
  <c r="N42" i="21"/>
  <c r="A41" i="21"/>
  <c r="A37" i="17"/>
  <c r="O37" i="17"/>
  <c r="N36" i="17"/>
  <c r="A29" i="30"/>
  <c r="N39" i="20" l="1"/>
  <c r="A38" i="20"/>
  <c r="N38" i="19"/>
  <c r="A37" i="19"/>
  <c r="N41" i="21"/>
  <c r="A40" i="21"/>
  <c r="A36" i="17"/>
  <c r="O36" i="17"/>
  <c r="N35" i="17"/>
  <c r="A30" i="30"/>
  <c r="N38" i="20" l="1"/>
  <c r="A37" i="20"/>
  <c r="N37" i="19"/>
  <c r="A36" i="19"/>
  <c r="I47" i="19"/>
  <c r="H41" i="19"/>
  <c r="H48" i="19"/>
  <c r="H38" i="19"/>
  <c r="I45" i="19"/>
  <c r="H42" i="19"/>
  <c r="H40" i="19"/>
  <c r="H43" i="19"/>
  <c r="H47" i="19"/>
  <c r="H44" i="19"/>
  <c r="I49" i="19"/>
  <c r="I50" i="19"/>
  <c r="I43" i="19"/>
  <c r="I56" i="19"/>
  <c r="I53" i="19"/>
  <c r="H50" i="19"/>
  <c r="I48" i="19"/>
  <c r="I46" i="19"/>
  <c r="I38" i="19"/>
  <c r="H49" i="19"/>
  <c r="H52" i="19"/>
  <c r="H57" i="19"/>
  <c r="I40" i="19"/>
  <c r="H45" i="19"/>
  <c r="I51" i="19"/>
  <c r="H51" i="19"/>
  <c r="I42" i="19"/>
  <c r="H46" i="19"/>
  <c r="I52" i="19"/>
  <c r="I41" i="19"/>
  <c r="H39" i="19"/>
  <c r="I57" i="19"/>
  <c r="H53" i="19"/>
  <c r="I39" i="19"/>
  <c r="I44" i="19"/>
  <c r="A39" i="21"/>
  <c r="N40" i="21"/>
  <c r="A35" i="17"/>
  <c r="N34" i="17"/>
  <c r="O35" i="17"/>
  <c r="A31" i="30"/>
  <c r="H56" i="19" l="1"/>
  <c r="A36" i="20"/>
  <c r="N37" i="20"/>
  <c r="H45" i="20"/>
  <c r="I40" i="20"/>
  <c r="H43" i="20"/>
  <c r="I42" i="20"/>
  <c r="I48" i="20"/>
  <c r="H46" i="20"/>
  <c r="I39" i="20"/>
  <c r="H47" i="20"/>
  <c r="I53" i="20"/>
  <c r="I49" i="20"/>
  <c r="I41" i="20"/>
  <c r="H57" i="20"/>
  <c r="H48" i="20"/>
  <c r="I57" i="20"/>
  <c r="I52" i="20"/>
  <c r="H51" i="20"/>
  <c r="H41" i="20"/>
  <c r="H42" i="20"/>
  <c r="I38" i="20"/>
  <c r="H39" i="20"/>
  <c r="H53" i="20"/>
  <c r="H49" i="20"/>
  <c r="H50" i="20"/>
  <c r="H44" i="20"/>
  <c r="I44" i="20"/>
  <c r="H52" i="20"/>
  <c r="I46" i="20"/>
  <c r="I51" i="20"/>
  <c r="I50" i="20"/>
  <c r="I45" i="20"/>
  <c r="H40" i="20"/>
  <c r="I47" i="20"/>
  <c r="I56" i="20"/>
  <c r="I43" i="20"/>
  <c r="H38" i="20"/>
  <c r="H45" i="21"/>
  <c r="H41" i="21"/>
  <c r="I44" i="21"/>
  <c r="I49" i="21"/>
  <c r="H44" i="21"/>
  <c r="H47" i="21"/>
  <c r="I47" i="21"/>
  <c r="H46" i="21"/>
  <c r="H48" i="21"/>
  <c r="I53" i="21"/>
  <c r="H54" i="21"/>
  <c r="H52" i="21"/>
  <c r="I45" i="21"/>
  <c r="H59" i="21"/>
  <c r="I52" i="21"/>
  <c r="H40" i="21"/>
  <c r="I42" i="21"/>
  <c r="I51" i="21"/>
  <c r="I58" i="21"/>
  <c r="I41" i="21"/>
  <c r="I50" i="21"/>
  <c r="H43" i="21"/>
  <c r="H42" i="21"/>
  <c r="I40" i="21"/>
  <c r="H51" i="21"/>
  <c r="H55" i="21"/>
  <c r="H53" i="21"/>
  <c r="H50" i="21"/>
  <c r="I55" i="21"/>
  <c r="I59" i="21"/>
  <c r="I54" i="21"/>
  <c r="H49" i="21"/>
  <c r="I43" i="21"/>
  <c r="I48" i="21"/>
  <c r="I46" i="21"/>
  <c r="N39" i="21"/>
  <c r="A38" i="21"/>
  <c r="A35" i="19"/>
  <c r="N36" i="19"/>
  <c r="O34" i="17"/>
  <c r="N33" i="17"/>
  <c r="A34" i="17"/>
  <c r="A32" i="30"/>
  <c r="H56" i="20" l="1"/>
  <c r="A35" i="20"/>
  <c r="N36" i="20"/>
  <c r="H58" i="21"/>
  <c r="A34" i="19"/>
  <c r="N35" i="19"/>
  <c r="N38" i="21"/>
  <c r="A37" i="21"/>
  <c r="N32" i="17"/>
  <c r="O33" i="17"/>
  <c r="A33" i="17"/>
  <c r="A33" i="30"/>
  <c r="C51" i="22"/>
  <c r="C58" i="22" s="1"/>
  <c r="E58" i="22" l="1"/>
  <c r="D14" i="27" s="1"/>
  <c r="C56" i="22"/>
  <c r="C61" i="22" s="1"/>
  <c r="A34" i="20"/>
  <c r="N35" i="20"/>
  <c r="N34" i="19"/>
  <c r="A33" i="19"/>
  <c r="N37" i="21"/>
  <c r="A36" i="21"/>
  <c r="A32" i="17"/>
  <c r="N31" i="17"/>
  <c r="O32" i="17"/>
  <c r="A34" i="30"/>
  <c r="E51" i="22"/>
  <c r="A33" i="20" l="1"/>
  <c r="N34" i="20"/>
  <c r="N33" i="19"/>
  <c r="A32" i="19"/>
  <c r="G43" i="19"/>
  <c r="G36" i="19"/>
  <c r="F51" i="19"/>
  <c r="F39" i="19"/>
  <c r="F57" i="19"/>
  <c r="G52" i="19"/>
  <c r="F37" i="19"/>
  <c r="G53" i="19"/>
  <c r="G49" i="19"/>
  <c r="G56" i="19"/>
  <c r="C28" i="18" s="1"/>
  <c r="G41" i="19"/>
  <c r="G40" i="19"/>
  <c r="G57" i="19"/>
  <c r="F52" i="19"/>
  <c r="G47" i="19"/>
  <c r="F40" i="19"/>
  <c r="F53" i="19"/>
  <c r="F46" i="19"/>
  <c r="F48" i="19"/>
  <c r="G45" i="19"/>
  <c r="F34" i="19"/>
  <c r="G42" i="19"/>
  <c r="F38" i="19"/>
  <c r="G35" i="19"/>
  <c r="G46" i="19"/>
  <c r="F35" i="19"/>
  <c r="F36" i="19"/>
  <c r="F50" i="19"/>
  <c r="G39" i="19"/>
  <c r="F42" i="19"/>
  <c r="G44" i="19"/>
  <c r="F44" i="19"/>
  <c r="F45" i="19"/>
  <c r="F49" i="19"/>
  <c r="G48" i="19"/>
  <c r="F47" i="19"/>
  <c r="F41" i="19"/>
  <c r="G51" i="19"/>
  <c r="G34" i="19"/>
  <c r="F43" i="19"/>
  <c r="G38" i="19"/>
  <c r="G37" i="19"/>
  <c r="G50" i="19"/>
  <c r="N36" i="21"/>
  <c r="A35" i="21"/>
  <c r="E61" i="22"/>
  <c r="N30" i="17"/>
  <c r="O31" i="17"/>
  <c r="A31" i="17"/>
  <c r="A35" i="30"/>
  <c r="D18" i="27"/>
  <c r="E18" i="27" s="1"/>
  <c r="C23" i="1" s="1"/>
  <c r="D17" i="27"/>
  <c r="E17" i="27" s="1"/>
  <c r="C21" i="1" s="1"/>
  <c r="D20" i="27"/>
  <c r="E20" i="27" s="1"/>
  <c r="E56" i="22"/>
  <c r="F56" i="19" l="1"/>
  <c r="C25" i="1"/>
  <c r="C30" i="18"/>
  <c r="G45" i="20"/>
  <c r="F40" i="20"/>
  <c r="F39" i="20"/>
  <c r="G53" i="20"/>
  <c r="G56" i="20"/>
  <c r="D28" i="18" s="1"/>
  <c r="D30" i="18" s="1"/>
  <c r="G51" i="20"/>
  <c r="G46" i="20"/>
  <c r="G40" i="20"/>
  <c r="F43" i="20"/>
  <c r="G36" i="20"/>
  <c r="F49" i="20"/>
  <c r="G47" i="20"/>
  <c r="F45" i="20"/>
  <c r="G48" i="20"/>
  <c r="F52" i="20"/>
  <c r="F35" i="20"/>
  <c r="F42" i="20"/>
  <c r="F37" i="20"/>
  <c r="F41" i="20"/>
  <c r="G50" i="20"/>
  <c r="G57" i="20"/>
  <c r="G38" i="20"/>
  <c r="G49" i="20"/>
  <c r="F44" i="20"/>
  <c r="F51" i="20"/>
  <c r="F57" i="20"/>
  <c r="F34" i="20"/>
  <c r="G52" i="20"/>
  <c r="F53" i="20"/>
  <c r="G34" i="20"/>
  <c r="G41" i="20"/>
  <c r="G35" i="20"/>
  <c r="F48" i="20"/>
  <c r="F36" i="20"/>
  <c r="F38" i="20"/>
  <c r="F47" i="20"/>
  <c r="F50" i="20"/>
  <c r="G42" i="20"/>
  <c r="G37" i="20"/>
  <c r="F46" i="20"/>
  <c r="G39" i="20"/>
  <c r="G44" i="20"/>
  <c r="G43" i="20"/>
  <c r="N33" i="20"/>
  <c r="A32" i="20"/>
  <c r="A34" i="21"/>
  <c r="N35" i="21"/>
  <c r="F52" i="21"/>
  <c r="G36" i="21"/>
  <c r="G37" i="21"/>
  <c r="F36" i="21"/>
  <c r="F54" i="21"/>
  <c r="G51" i="21"/>
  <c r="F40" i="21"/>
  <c r="F59" i="21"/>
  <c r="G43" i="21"/>
  <c r="F47" i="21"/>
  <c r="F46" i="21"/>
  <c r="F44" i="21"/>
  <c r="F45" i="21"/>
  <c r="G44" i="21"/>
  <c r="F51" i="21"/>
  <c r="G46" i="21"/>
  <c r="F39" i="21"/>
  <c r="F50" i="21"/>
  <c r="F48" i="21"/>
  <c r="F55" i="21"/>
  <c r="G38" i="21"/>
  <c r="G52" i="21"/>
  <c r="G48" i="21"/>
  <c r="G58" i="21"/>
  <c r="E28" i="18" s="1"/>
  <c r="E30" i="18" s="1"/>
  <c r="F43" i="21"/>
  <c r="G42" i="21"/>
  <c r="F42" i="21"/>
  <c r="F37" i="21"/>
  <c r="G45" i="21"/>
  <c r="F38" i="21"/>
  <c r="G55" i="21"/>
  <c r="F41" i="21"/>
  <c r="G59" i="21"/>
  <c r="F53" i="21"/>
  <c r="G49" i="21"/>
  <c r="G50" i="21"/>
  <c r="G39" i="21"/>
  <c r="G53" i="21"/>
  <c r="G47" i="21"/>
  <c r="G41" i="21"/>
  <c r="G40" i="21"/>
  <c r="G54" i="21"/>
  <c r="F49" i="21"/>
  <c r="A31" i="19"/>
  <c r="N32" i="19"/>
  <c r="O30" i="17"/>
  <c r="A30" i="17"/>
  <c r="N29" i="17"/>
  <c r="A36" i="30"/>
  <c r="F28" i="18" l="1"/>
  <c r="F30" i="18" s="1"/>
  <c r="F56" i="20"/>
  <c r="F58" i="21"/>
  <c r="A31" i="20"/>
  <c r="N32" i="20"/>
  <c r="A30" i="19"/>
  <c r="N31" i="19"/>
  <c r="N34" i="21"/>
  <c r="A33" i="21"/>
  <c r="O29" i="17"/>
  <c r="N28" i="17"/>
  <c r="A29" i="17"/>
  <c r="A37" i="30"/>
  <c r="A30" i="20" l="1"/>
  <c r="N31" i="20"/>
  <c r="I19" i="15"/>
  <c r="N30" i="19"/>
  <c r="A29" i="19"/>
  <c r="N33" i="21"/>
  <c r="A32" i="21"/>
  <c r="A28" i="17"/>
  <c r="O28" i="17"/>
  <c r="N27" i="17"/>
  <c r="A38" i="30"/>
  <c r="N30" i="20" l="1"/>
  <c r="A29" i="20"/>
  <c r="N32" i="21"/>
  <c r="A31" i="21"/>
  <c r="F39" i="15"/>
  <c r="F30" i="15"/>
  <c r="F31" i="15"/>
  <c r="F32" i="15"/>
  <c r="F34" i="15"/>
  <c r="F35" i="15"/>
  <c r="F36" i="15"/>
  <c r="F38" i="15"/>
  <c r="F33" i="15"/>
  <c r="F37" i="15"/>
  <c r="A28" i="19"/>
  <c r="N29" i="19"/>
  <c r="N26" i="17"/>
  <c r="A27" i="17"/>
  <c r="O27" i="17"/>
  <c r="A39" i="30"/>
  <c r="N29" i="20" l="1"/>
  <c r="A28" i="20"/>
  <c r="A30" i="21"/>
  <c r="N31" i="21"/>
  <c r="A27" i="19"/>
  <c r="N28" i="19"/>
  <c r="A26" i="17"/>
  <c r="N25" i="17"/>
  <c r="O26" i="17"/>
  <c r="A40" i="30"/>
  <c r="N28" i="20" l="1"/>
  <c r="A27" i="20"/>
  <c r="A26" i="19"/>
  <c r="N27" i="19"/>
  <c r="A29" i="21"/>
  <c r="N30" i="21"/>
  <c r="A25" i="17"/>
  <c r="O25" i="17"/>
  <c r="N24" i="17"/>
  <c r="A41" i="30"/>
  <c r="A26" i="20" l="1"/>
  <c r="N27" i="20"/>
  <c r="A28" i="21"/>
  <c r="N29" i="21"/>
  <c r="N26" i="19"/>
  <c r="A25" i="19"/>
  <c r="A24" i="17"/>
  <c r="N23" i="17"/>
  <c r="O24" i="17"/>
  <c r="A42" i="30"/>
  <c r="A25" i="20" l="1"/>
  <c r="N26" i="20"/>
  <c r="A27" i="21"/>
  <c r="N28" i="21"/>
  <c r="A24" i="19"/>
  <c r="N25" i="19"/>
  <c r="A23" i="17"/>
  <c r="O23" i="17"/>
  <c r="N22" i="17"/>
  <c r="A43" i="30"/>
  <c r="N25" i="20" l="1"/>
  <c r="A24" i="20"/>
  <c r="A23" i="19"/>
  <c r="N24" i="19"/>
  <c r="A26" i="21"/>
  <c r="N27" i="21"/>
  <c r="N21" i="17"/>
  <c r="O22" i="17"/>
  <c r="A22" i="17"/>
  <c r="A44" i="30"/>
  <c r="N24" i="20" l="1"/>
  <c r="A23" i="20"/>
  <c r="N23" i="19"/>
  <c r="A22" i="19"/>
  <c r="N26" i="21"/>
  <c r="A25" i="21"/>
  <c r="A21" i="17"/>
  <c r="O21" i="17"/>
  <c r="N20" i="17"/>
  <c r="A45" i="30"/>
  <c r="A22" i="20" l="1"/>
  <c r="N23" i="20"/>
  <c r="N22" i="19"/>
  <c r="A21" i="19"/>
  <c r="N25" i="21"/>
  <c r="A24" i="21"/>
  <c r="N19" i="17"/>
  <c r="O20" i="17"/>
  <c r="A20" i="17"/>
  <c r="A46" i="30"/>
  <c r="A21" i="20" l="1"/>
  <c r="N22" i="20"/>
  <c r="A20" i="19"/>
  <c r="N21" i="19"/>
  <c r="A23" i="21"/>
  <c r="N24" i="21"/>
  <c r="N18" i="17"/>
  <c r="O19" i="17"/>
  <c r="A19" i="17"/>
  <c r="A20" i="20" l="1"/>
  <c r="N21" i="20"/>
  <c r="N23" i="21"/>
  <c r="A22" i="21"/>
  <c r="N20" i="19"/>
  <c r="A19" i="19"/>
  <c r="A18" i="17"/>
  <c r="N17" i="17"/>
  <c r="O18" i="17"/>
  <c r="A19" i="20" l="1"/>
  <c r="N20" i="20"/>
  <c r="N22" i="21"/>
  <c r="A21" i="21"/>
  <c r="N19" i="19"/>
  <c r="A18" i="19"/>
  <c r="A17" i="17"/>
  <c r="N16" i="17"/>
  <c r="O17" i="17"/>
  <c r="A18" i="20" l="1"/>
  <c r="N19" i="20"/>
  <c r="N18" i="19"/>
  <c r="A17" i="19"/>
  <c r="N21" i="21"/>
  <c r="A20" i="21"/>
  <c r="O16" i="17"/>
  <c r="N15" i="17"/>
  <c r="A16" i="17"/>
  <c r="A17" i="20" l="1"/>
  <c r="N18" i="20"/>
  <c r="N20" i="21"/>
  <c r="A19" i="21"/>
  <c r="N17" i="19"/>
  <c r="A16" i="19"/>
  <c r="N14" i="17"/>
  <c r="O15" i="17"/>
  <c r="A15" i="17"/>
  <c r="A16" i="20" l="1"/>
  <c r="N17" i="20"/>
  <c r="A15" i="19"/>
  <c r="N16" i="19"/>
  <c r="N19" i="21"/>
  <c r="A18" i="21"/>
  <c r="A14" i="17"/>
  <c r="O14" i="17"/>
  <c r="A15" i="20" l="1"/>
  <c r="N16" i="20"/>
  <c r="N18" i="21"/>
  <c r="A17" i="21"/>
  <c r="N15" i="19"/>
  <c r="A14" i="19"/>
  <c r="N14" i="19" s="1"/>
  <c r="N15" i="20" l="1"/>
  <c r="A14" i="20"/>
  <c r="N14" i="20" s="1"/>
  <c r="E14" i="19"/>
  <c r="D31" i="19"/>
  <c r="D50" i="19"/>
  <c r="D42" i="19"/>
  <c r="E52" i="19"/>
  <c r="E33" i="19"/>
  <c r="E18" i="19"/>
  <c r="E47" i="19"/>
  <c r="E23" i="19"/>
  <c r="E20" i="19"/>
  <c r="E35" i="19"/>
  <c r="D35" i="19"/>
  <c r="E17" i="19"/>
  <c r="D51" i="19"/>
  <c r="E24" i="19"/>
  <c r="E21" i="19"/>
  <c r="D30" i="19"/>
  <c r="E19" i="19"/>
  <c r="E32" i="19"/>
  <c r="D27" i="19"/>
  <c r="E25" i="19"/>
  <c r="E30" i="19"/>
  <c r="D57" i="19"/>
  <c r="D14" i="19"/>
  <c r="E46" i="19"/>
  <c r="E27" i="19"/>
  <c r="D17" i="19"/>
  <c r="E51" i="19"/>
  <c r="E41" i="19"/>
  <c r="D28" i="19"/>
  <c r="D22" i="19"/>
  <c r="D21" i="19"/>
  <c r="D23" i="19"/>
  <c r="D49" i="19"/>
  <c r="D39" i="19"/>
  <c r="D53" i="19"/>
  <c r="D48" i="19"/>
  <c r="D44" i="19"/>
  <c r="D29" i="19"/>
  <c r="E29" i="19"/>
  <c r="E16" i="19"/>
  <c r="D41" i="19"/>
  <c r="D52" i="19"/>
  <c r="D45" i="19"/>
  <c r="E28" i="19"/>
  <c r="E45" i="19"/>
  <c r="E34" i="19"/>
  <c r="D16" i="19"/>
  <c r="D38" i="19"/>
  <c r="D25" i="19"/>
  <c r="E31" i="19"/>
  <c r="E15" i="19"/>
  <c r="E22" i="19"/>
  <c r="D19" i="19"/>
  <c r="D15" i="19"/>
  <c r="E53" i="19"/>
  <c r="D26" i="19"/>
  <c r="E49" i="19"/>
  <c r="E37" i="19"/>
  <c r="D24" i="19"/>
  <c r="D43" i="19"/>
  <c r="D18" i="19"/>
  <c r="E38" i="19"/>
  <c r="D34" i="19"/>
  <c r="D20" i="19"/>
  <c r="D33" i="19"/>
  <c r="E50" i="19"/>
  <c r="E36" i="19"/>
  <c r="D36" i="19"/>
  <c r="E43" i="19"/>
  <c r="E40" i="19"/>
  <c r="D32" i="19"/>
  <c r="D47" i="19"/>
  <c r="E57" i="19"/>
  <c r="D37" i="19"/>
  <c r="E26" i="19"/>
  <c r="E48" i="19"/>
  <c r="D46" i="19"/>
  <c r="E42" i="19"/>
  <c r="D40" i="19"/>
  <c r="E56" i="19"/>
  <c r="E44" i="19"/>
  <c r="E39" i="19"/>
  <c r="N17" i="21"/>
  <c r="A16" i="21"/>
  <c r="D17" i="20" l="1"/>
  <c r="E14" i="20"/>
  <c r="D18" i="20"/>
  <c r="D21" i="20"/>
  <c r="E33" i="20"/>
  <c r="D33" i="20"/>
  <c r="E18" i="20"/>
  <c r="D48" i="20"/>
  <c r="E43" i="20"/>
  <c r="D19" i="20"/>
  <c r="D45" i="20"/>
  <c r="D14" i="20"/>
  <c r="D42" i="20"/>
  <c r="D36" i="20"/>
  <c r="D47" i="20"/>
  <c r="D23" i="20"/>
  <c r="D39" i="20"/>
  <c r="E52" i="20"/>
  <c r="E28" i="20"/>
  <c r="D50" i="20"/>
  <c r="E20" i="20"/>
  <c r="D20" i="20"/>
  <c r="E42" i="20"/>
  <c r="D22" i="20"/>
  <c r="E44" i="20"/>
  <c r="D46" i="20"/>
  <c r="D27" i="20"/>
  <c r="E48" i="20"/>
  <c r="D49" i="20"/>
  <c r="E23" i="20"/>
  <c r="D37" i="20"/>
  <c r="E19" i="20"/>
  <c r="D44" i="20"/>
  <c r="D51" i="20"/>
  <c r="E30" i="20"/>
  <c r="E35" i="20"/>
  <c r="E16" i="20"/>
  <c r="E39" i="20"/>
  <c r="D30" i="20"/>
  <c r="D34" i="20"/>
  <c r="E46" i="20"/>
  <c r="D29" i="20"/>
  <c r="D38" i="20"/>
  <c r="E29" i="20"/>
  <c r="E56" i="20"/>
  <c r="E57" i="20"/>
  <c r="E24" i="20"/>
  <c r="E36" i="20"/>
  <c r="D26" i="20"/>
  <c r="D41" i="20"/>
  <c r="D28" i="20"/>
  <c r="E21" i="20"/>
  <c r="E53" i="20"/>
  <c r="E27" i="20"/>
  <c r="E25" i="20"/>
  <c r="E34" i="20"/>
  <c r="D43" i="20"/>
  <c r="D40" i="20"/>
  <c r="D32" i="20"/>
  <c r="E49" i="20"/>
  <c r="E37" i="20"/>
  <c r="E15" i="20"/>
  <c r="D15" i="20"/>
  <c r="D57" i="20"/>
  <c r="E47" i="20"/>
  <c r="E40" i="20"/>
  <c r="D52" i="20"/>
  <c r="D53" i="20"/>
  <c r="D56" i="20" s="1"/>
  <c r="E31" i="20"/>
  <c r="E22" i="20"/>
  <c r="E17" i="20"/>
  <c r="E32" i="20"/>
  <c r="E26" i="20"/>
  <c r="E45" i="20"/>
  <c r="D24" i="20"/>
  <c r="E38" i="20"/>
  <c r="E51" i="20"/>
  <c r="E50" i="20"/>
  <c r="E41" i="20"/>
  <c r="D35" i="20"/>
  <c r="D16" i="20"/>
  <c r="D25" i="20"/>
  <c r="D31" i="20"/>
  <c r="D56" i="19"/>
  <c r="A15" i="21"/>
  <c r="N16" i="21"/>
  <c r="N15" i="21" l="1"/>
  <c r="A14" i="21"/>
  <c r="N14" i="21" s="1"/>
  <c r="D55" i="21" s="1"/>
  <c r="E42" i="21" l="1"/>
  <c r="D27" i="21"/>
  <c r="E26" i="21"/>
  <c r="E38" i="21"/>
  <c r="E58" i="21"/>
  <c r="D20" i="21"/>
  <c r="E55" i="21"/>
  <c r="E17" i="21"/>
  <c r="D18" i="21"/>
  <c r="D28" i="21"/>
  <c r="D54" i="21"/>
  <c r="D29" i="21"/>
  <c r="E33" i="21"/>
  <c r="E54" i="21"/>
  <c r="D39" i="21"/>
  <c r="E47" i="21"/>
  <c r="E16" i="21"/>
  <c r="D41" i="21"/>
  <c r="D22" i="21"/>
  <c r="D49" i="21"/>
  <c r="E34" i="21"/>
  <c r="D23" i="21"/>
  <c r="E14" i="21"/>
  <c r="D45" i="21"/>
  <c r="D19" i="21"/>
  <c r="D50" i="21"/>
  <c r="D37" i="21"/>
  <c r="D25" i="21"/>
  <c r="E35" i="21"/>
  <c r="E45" i="21"/>
  <c r="D44" i="21"/>
  <c r="E51" i="21"/>
  <c r="D36" i="21"/>
  <c r="D43" i="21"/>
  <c r="D40" i="21"/>
  <c r="E18" i="21"/>
  <c r="D21" i="21"/>
  <c r="E40" i="21"/>
  <c r="D14" i="21"/>
  <c r="D32" i="21"/>
  <c r="E41" i="21"/>
  <c r="D53" i="21"/>
  <c r="E20" i="21"/>
  <c r="D42" i="21"/>
  <c r="E53" i="21"/>
  <c r="D46" i="21"/>
  <c r="E30" i="21"/>
  <c r="D26" i="21"/>
  <c r="E49" i="21"/>
  <c r="D15" i="21"/>
  <c r="D30" i="21"/>
  <c r="E22" i="21"/>
  <c r="E25" i="21"/>
  <c r="E50" i="21"/>
  <c r="E29" i="21"/>
  <c r="E52" i="21"/>
  <c r="E36" i="21"/>
  <c r="E44" i="21"/>
  <c r="D47" i="21"/>
  <c r="D31" i="21"/>
  <c r="D48" i="21"/>
  <c r="E31" i="21"/>
  <c r="D33" i="21"/>
  <c r="E24" i="21"/>
  <c r="D17" i="21"/>
  <c r="E48" i="21"/>
  <c r="E46" i="21"/>
  <c r="E32" i="21"/>
  <c r="D34" i="21"/>
  <c r="E15" i="21"/>
  <c r="E43" i="21"/>
  <c r="D52" i="21"/>
  <c r="D38" i="21"/>
  <c r="D35" i="21"/>
  <c r="E28" i="21"/>
  <c r="E37" i="21"/>
  <c r="E39" i="21"/>
  <c r="D16" i="21"/>
  <c r="E27" i="21"/>
  <c r="E59" i="21"/>
  <c r="E23" i="21"/>
  <c r="D51" i="21"/>
  <c r="E21" i="21"/>
  <c r="D24" i="21"/>
  <c r="E19" i="21"/>
  <c r="D59" i="21"/>
  <c r="D58" i="21" l="1"/>
  <c r="E58" i="30" l="1"/>
  <c r="F45" i="17"/>
  <c r="F41" i="17"/>
  <c r="D16" i="2" l="1"/>
  <c r="D17" i="2"/>
  <c r="D14" i="2"/>
  <c r="D15" i="2"/>
  <c r="G58" i="30"/>
  <c r="E59" i="30" s="1"/>
  <c r="G41" i="17"/>
  <c r="G45" i="17"/>
  <c r="F59" i="30" l="1"/>
  <c r="D59" i="30"/>
  <c r="C59" i="30"/>
  <c r="D19" i="2"/>
  <c r="F42" i="17"/>
  <c r="F46" i="17"/>
  <c r="G59" i="30" l="1"/>
  <c r="G14" i="30" s="1"/>
  <c r="D34" i="34"/>
  <c r="D34" i="33"/>
  <c r="G46" i="17"/>
  <c r="G42" i="17"/>
  <c r="F43" i="17"/>
  <c r="G18" i="30" l="1"/>
  <c r="H18" i="30" s="1"/>
  <c r="G34" i="29" s="1"/>
  <c r="G21" i="30"/>
  <c r="H21" i="30" s="1"/>
  <c r="G37" i="29" s="1"/>
  <c r="G16" i="30"/>
  <c r="H16" i="30" s="1"/>
  <c r="G32" i="29" s="1"/>
  <c r="G17" i="30"/>
  <c r="H17" i="30" s="1"/>
  <c r="G33" i="29" s="1"/>
  <c r="E18" i="28" s="1"/>
  <c r="G15" i="30"/>
  <c r="H15" i="30" s="1"/>
  <c r="G31" i="29" s="1"/>
  <c r="G20" i="30"/>
  <c r="H20" i="30" s="1"/>
  <c r="G36" i="29" s="1"/>
  <c r="E19" i="28" s="1"/>
  <c r="G19" i="30"/>
  <c r="H19" i="30" s="1"/>
  <c r="G35" i="29" s="1"/>
  <c r="D35" i="33"/>
  <c r="D35" i="34"/>
  <c r="D36" i="33"/>
  <c r="D36" i="34"/>
  <c r="F47" i="17"/>
  <c r="G43" i="17"/>
  <c r="C20" i="15" s="1"/>
  <c r="C37" i="15" s="1"/>
  <c r="H14" i="30" l="1"/>
  <c r="G30" i="29" s="1"/>
  <c r="E17" i="28" s="1"/>
  <c r="D15" i="45"/>
  <c r="D38" i="34"/>
  <c r="D38" i="33"/>
  <c r="D37" i="34"/>
  <c r="D37" i="33"/>
  <c r="F48" i="17"/>
  <c r="H50" i="17" s="1"/>
  <c r="F44" i="17"/>
  <c r="H47" i="17" s="1"/>
  <c r="G47" i="17"/>
  <c r="C21" i="15" s="1"/>
  <c r="C38" i="15" s="1"/>
  <c r="H48" i="17" l="1"/>
  <c r="H49" i="17"/>
  <c r="D40" i="34"/>
  <c r="D40" i="33"/>
  <c r="D14" i="45"/>
  <c r="D16" i="45"/>
  <c r="D39" i="33"/>
  <c r="D39" i="34"/>
  <c r="G44" i="17"/>
  <c r="H45" i="17"/>
  <c r="H46" i="17"/>
  <c r="H44" i="17"/>
  <c r="H51" i="17"/>
  <c r="G48" i="17"/>
  <c r="D18" i="45" l="1"/>
  <c r="D41" i="34"/>
  <c r="D41" i="33"/>
  <c r="D17" i="45"/>
  <c r="D14" i="43" l="1"/>
  <c r="D14" i="44"/>
  <c r="D14" i="42"/>
  <c r="D14" i="41"/>
  <c r="D15" i="43"/>
  <c r="D15" i="42"/>
  <c r="D15" i="41"/>
  <c r="D15" i="44"/>
  <c r="D19" i="45"/>
  <c r="D43" i="34"/>
  <c r="D43" i="33"/>
  <c r="D42" i="33"/>
  <c r="D42" i="34"/>
  <c r="D16" i="44" l="1"/>
  <c r="D16" i="43"/>
  <c r="D16" i="41"/>
  <c r="D16" i="42"/>
  <c r="D44" i="34"/>
  <c r="D44" i="33"/>
  <c r="D21" i="45" l="1"/>
  <c r="D20" i="45"/>
  <c r="D45" i="33"/>
  <c r="D45" i="34"/>
  <c r="D17" i="41" l="1"/>
  <c r="D17" i="42"/>
  <c r="D17" i="43"/>
  <c r="D17" i="44"/>
  <c r="D18" i="44"/>
  <c r="D18" i="41"/>
  <c r="D18" i="42"/>
  <c r="D18" i="43"/>
  <c r="D46" i="34"/>
  <c r="D46" i="33"/>
  <c r="D47" i="34" l="1"/>
  <c r="D47" i="33"/>
  <c r="D22" i="45"/>
  <c r="D23" i="45"/>
  <c r="D20" i="42" l="1"/>
  <c r="D20" i="44"/>
  <c r="D20" i="43"/>
  <c r="D20" i="41"/>
  <c r="D19" i="41"/>
  <c r="D19" i="44"/>
  <c r="D19" i="42"/>
  <c r="D19" i="43"/>
  <c r="D24" i="45"/>
  <c r="D48" i="34"/>
  <c r="D48" i="33"/>
  <c r="D21" i="42" l="1"/>
  <c r="D21" i="43"/>
  <c r="D21" i="41"/>
  <c r="D21" i="44"/>
  <c r="D49" i="34"/>
  <c r="D49" i="33"/>
  <c r="D50" i="33" l="1"/>
  <c r="D50" i="34"/>
  <c r="D25" i="45"/>
  <c r="D22" i="42" l="1"/>
  <c r="D22" i="43"/>
  <c r="D22" i="44"/>
  <c r="D22" i="41"/>
  <c r="C23" i="33" l="1"/>
  <c r="E23" i="33" s="1"/>
  <c r="F22" i="33"/>
  <c r="F22" i="32"/>
  <c r="C22" i="32"/>
  <c r="C22" i="34"/>
  <c r="F23" i="33"/>
  <c r="F23" i="34"/>
  <c r="F22" i="31" l="1"/>
  <c r="F23" i="32"/>
  <c r="C23" i="31"/>
  <c r="E23" i="31" s="1"/>
  <c r="F23" i="31"/>
  <c r="C23" i="32"/>
  <c r="E23" i="32" s="1"/>
  <c r="F22" i="34"/>
  <c r="C22" i="33"/>
  <c r="E22" i="33" s="1"/>
  <c r="G22" i="33" s="1"/>
  <c r="E22" i="30" s="1"/>
  <c r="C23" i="34"/>
  <c r="E23" i="34" s="1"/>
  <c r="G23" i="34" s="1"/>
  <c r="F23" i="30" s="1"/>
  <c r="E22" i="32"/>
  <c r="G22" i="32" s="1"/>
  <c r="D22" i="30" s="1"/>
  <c r="G23" i="33"/>
  <c r="E23" i="30" s="1"/>
  <c r="C39" i="29"/>
  <c r="E22" i="34"/>
  <c r="G23" i="32" l="1"/>
  <c r="D23" i="30" s="1"/>
  <c r="E39" i="29"/>
  <c r="G23" i="31"/>
  <c r="C23" i="30" s="1"/>
  <c r="G23" i="30" s="1"/>
  <c r="H23" i="30" s="1"/>
  <c r="G39" i="29" s="1"/>
  <c r="C22" i="31"/>
  <c r="C38" i="29"/>
  <c r="G22" i="34"/>
  <c r="F22" i="30" s="1"/>
  <c r="E22" i="31" l="1"/>
  <c r="C24" i="34" l="1"/>
  <c r="F24" i="31"/>
  <c r="F24" i="33"/>
  <c r="G22" i="31"/>
  <c r="C22" i="30" s="1"/>
  <c r="E38" i="29"/>
  <c r="C24" i="32"/>
  <c r="C24" i="33"/>
  <c r="C24" i="31"/>
  <c r="F25" i="32"/>
  <c r="F25" i="34"/>
  <c r="F25" i="33"/>
  <c r="C25" i="33"/>
  <c r="E25" i="33" s="1"/>
  <c r="C25" i="32"/>
  <c r="E25" i="32" s="1"/>
  <c r="C25" i="34"/>
  <c r="E25" i="34" s="1"/>
  <c r="F24" i="32"/>
  <c r="F24" i="34"/>
  <c r="G25" i="33" l="1"/>
  <c r="E25" i="30" s="1"/>
  <c r="E24" i="33"/>
  <c r="G22" i="30"/>
  <c r="F25" i="31"/>
  <c r="C25" i="31"/>
  <c r="E25" i="31" s="1"/>
  <c r="E41" i="29" s="1"/>
  <c r="C41" i="29"/>
  <c r="C40" i="29"/>
  <c r="E24" i="34"/>
  <c r="G25" i="34"/>
  <c r="F25" i="30" s="1"/>
  <c r="E24" i="31"/>
  <c r="G24" i="31" s="1"/>
  <c r="C24" i="30" s="1"/>
  <c r="E24" i="32"/>
  <c r="C26" i="34"/>
  <c r="E26" i="34" s="1"/>
  <c r="C26" i="33"/>
  <c r="E26" i="33" s="1"/>
  <c r="F26" i="34"/>
  <c r="F26" i="33"/>
  <c r="C26" i="32"/>
  <c r="E26" i="32" s="1"/>
  <c r="G25" i="32"/>
  <c r="D25" i="30" s="1"/>
  <c r="G26" i="33" l="1"/>
  <c r="E26" i="30" s="1"/>
  <c r="G26" i="34"/>
  <c r="F26" i="30" s="1"/>
  <c r="F26" i="32"/>
  <c r="C26" i="31"/>
  <c r="E40" i="29"/>
  <c r="F27" i="34"/>
  <c r="F27" i="33"/>
  <c r="C27" i="32"/>
  <c r="E27" i="32" s="1"/>
  <c r="F27" i="32"/>
  <c r="C27" i="34"/>
  <c r="E27" i="34" s="1"/>
  <c r="G24" i="34"/>
  <c r="F24" i="30" s="1"/>
  <c r="H22" i="30"/>
  <c r="G25" i="31"/>
  <c r="C25" i="30" s="1"/>
  <c r="G25" i="30" s="1"/>
  <c r="H25" i="30" s="1"/>
  <c r="G41" i="29" s="1"/>
  <c r="F26" i="31"/>
  <c r="G24" i="32"/>
  <c r="D24" i="30" s="1"/>
  <c r="G24" i="33"/>
  <c r="E24" i="30" s="1"/>
  <c r="G27" i="32" l="1"/>
  <c r="D27" i="30" s="1"/>
  <c r="G38" i="29"/>
  <c r="C27" i="31"/>
  <c r="E27" i="31" s="1"/>
  <c r="C43" i="29"/>
  <c r="F27" i="31"/>
  <c r="G26" i="32"/>
  <c r="D26" i="30" s="1"/>
  <c r="C28" i="32"/>
  <c r="F28" i="33"/>
  <c r="C28" i="33"/>
  <c r="E28" i="33" s="1"/>
  <c r="F28" i="32"/>
  <c r="F28" i="34"/>
  <c r="G24" i="30"/>
  <c r="C27" i="33"/>
  <c r="C42" i="29"/>
  <c r="G27" i="34"/>
  <c r="F27" i="30" s="1"/>
  <c r="E26" i="31"/>
  <c r="H24" i="30" l="1"/>
  <c r="E42" i="29"/>
  <c r="G28" i="33"/>
  <c r="E28" i="30" s="1"/>
  <c r="G27" i="31"/>
  <c r="C27" i="30" s="1"/>
  <c r="G26" i="31"/>
  <c r="C26" i="30" s="1"/>
  <c r="E27" i="33"/>
  <c r="C28" i="34"/>
  <c r="E28" i="32"/>
  <c r="C28" i="31"/>
  <c r="E43" i="29"/>
  <c r="F28" i="31"/>
  <c r="F29" i="34"/>
  <c r="C29" i="34"/>
  <c r="E29" i="34" s="1"/>
  <c r="F29" i="33"/>
  <c r="G29" i="34" l="1"/>
  <c r="F29" i="30" s="1"/>
  <c r="F30" i="32"/>
  <c r="C30" i="32"/>
  <c r="E30" i="32" s="1"/>
  <c r="F30" i="34"/>
  <c r="C30" i="34"/>
  <c r="E30" i="34" s="1"/>
  <c r="F30" i="33"/>
  <c r="C30" i="33"/>
  <c r="E30" i="33" s="1"/>
  <c r="C29" i="33"/>
  <c r="E29" i="33" s="1"/>
  <c r="G29" i="33" s="1"/>
  <c r="E29" i="30" s="1"/>
  <c r="E28" i="31"/>
  <c r="E28" i="34"/>
  <c r="C29" i="32"/>
  <c r="F29" i="32"/>
  <c r="C29" i="31"/>
  <c r="E29" i="31" s="1"/>
  <c r="C45" i="29"/>
  <c r="G26" i="30"/>
  <c r="G28" i="32"/>
  <c r="D28" i="30" s="1"/>
  <c r="G27" i="33"/>
  <c r="E27" i="30" s="1"/>
  <c r="F29" i="31"/>
  <c r="C44" i="29"/>
  <c r="G40" i="29"/>
  <c r="G30" i="34" l="1"/>
  <c r="F30" i="30" s="1"/>
  <c r="G29" i="31"/>
  <c r="C29" i="30" s="1"/>
  <c r="G30" i="33"/>
  <c r="E30" i="30" s="1"/>
  <c r="G30" i="32"/>
  <c r="D30" i="30" s="1"/>
  <c r="E29" i="32"/>
  <c r="E45" i="29" s="1"/>
  <c r="E44" i="29"/>
  <c r="C31" i="32"/>
  <c r="E31" i="32" s="1"/>
  <c r="F31" i="34"/>
  <c r="C31" i="34"/>
  <c r="F31" i="33"/>
  <c r="F30" i="31"/>
  <c r="C30" i="31"/>
  <c r="E30" i="31" s="1"/>
  <c r="E46" i="29" s="1"/>
  <c r="C20" i="28" s="1"/>
  <c r="G27" i="30"/>
  <c r="H27" i="30" s="1"/>
  <c r="G43" i="29" s="1"/>
  <c r="G28" i="34"/>
  <c r="F28" i="30" s="1"/>
  <c r="G28" i="31"/>
  <c r="C28" i="30" s="1"/>
  <c r="H26" i="30"/>
  <c r="G29" i="32"/>
  <c r="D29" i="30" s="1"/>
  <c r="F32" i="33" l="1"/>
  <c r="C32" i="33"/>
  <c r="E32" i="33" s="1"/>
  <c r="C32" i="32"/>
  <c r="E32" i="32" s="1"/>
  <c r="F32" i="32"/>
  <c r="C32" i="34"/>
  <c r="E32" i="34" s="1"/>
  <c r="F32" i="34"/>
  <c r="F31" i="32"/>
  <c r="G31" i="32" s="1"/>
  <c r="D31" i="30" s="1"/>
  <c r="G29" i="30"/>
  <c r="H29" i="30" s="1"/>
  <c r="G45" i="29" s="1"/>
  <c r="E31" i="34"/>
  <c r="G31" i="34" s="1"/>
  <c r="F31" i="30" s="1"/>
  <c r="C31" i="33"/>
  <c r="E31" i="33" s="1"/>
  <c r="G30" i="31"/>
  <c r="C30" i="30" s="1"/>
  <c r="G30" i="30" s="1"/>
  <c r="H30" i="30" s="1"/>
  <c r="G46" i="29" s="1"/>
  <c r="E20" i="28" s="1"/>
  <c r="F31" i="31"/>
  <c r="G42" i="29"/>
  <c r="G28" i="30"/>
  <c r="C46" i="29"/>
  <c r="C31" i="31"/>
  <c r="E31" i="31" s="1"/>
  <c r="C47" i="29"/>
  <c r="G32" i="34" l="1"/>
  <c r="F32" i="30" s="1"/>
  <c r="G31" i="31"/>
  <c r="C31" i="30" s="1"/>
  <c r="F32" i="31"/>
  <c r="G32" i="32"/>
  <c r="D32" i="30" s="1"/>
  <c r="C32" i="31"/>
  <c r="E32" i="31" s="1"/>
  <c r="E48" i="29" s="1"/>
  <c r="G31" i="33"/>
  <c r="E31" i="30" s="1"/>
  <c r="E47" i="29"/>
  <c r="H28" i="30"/>
  <c r="F33" i="34"/>
  <c r="C33" i="32"/>
  <c r="E33" i="32" s="1"/>
  <c r="C33" i="33"/>
  <c r="E33" i="33" s="1"/>
  <c r="F33" i="32"/>
  <c r="F33" i="33"/>
  <c r="C33" i="34"/>
  <c r="G32" i="33"/>
  <c r="E32" i="30" s="1"/>
  <c r="G31" i="30" l="1"/>
  <c r="H31" i="30" s="1"/>
  <c r="G47" i="29" s="1"/>
  <c r="G33" i="32"/>
  <c r="D33" i="30" s="1"/>
  <c r="G33" i="33"/>
  <c r="E33" i="30" s="1"/>
  <c r="F34" i="34"/>
  <c r="C34" i="32"/>
  <c r="E34" i="32" s="1"/>
  <c r="F34" i="32"/>
  <c r="F34" i="33"/>
  <c r="C34" i="34"/>
  <c r="E34" i="34" s="1"/>
  <c r="C34" i="33"/>
  <c r="E34" i="33" s="1"/>
  <c r="G44" i="29"/>
  <c r="C48" i="29"/>
  <c r="E33" i="34"/>
  <c r="G33" i="34" s="1"/>
  <c r="F33" i="30" s="1"/>
  <c r="F33" i="31"/>
  <c r="C33" i="31"/>
  <c r="E33" i="31" s="1"/>
  <c r="C49" i="29"/>
  <c r="G32" i="31"/>
  <c r="C32" i="30" s="1"/>
  <c r="G32" i="30" s="1"/>
  <c r="E49" i="29" l="1"/>
  <c r="G34" i="32"/>
  <c r="D34" i="30" s="1"/>
  <c r="G33" i="31"/>
  <c r="C33" i="30" s="1"/>
  <c r="G33" i="30" s="1"/>
  <c r="H33" i="30" s="1"/>
  <c r="G49" i="29" s="1"/>
  <c r="G34" i="33"/>
  <c r="E34" i="30" s="1"/>
  <c r="F35" i="34"/>
  <c r="F35" i="33"/>
  <c r="C35" i="34"/>
  <c r="E35" i="34" s="1"/>
  <c r="C35" i="32"/>
  <c r="E35" i="32" s="1"/>
  <c r="C35" i="33"/>
  <c r="E35" i="33" s="1"/>
  <c r="F35" i="32"/>
  <c r="G34" i="34"/>
  <c r="F34" i="30" s="1"/>
  <c r="C34" i="31"/>
  <c r="E34" i="31" s="1"/>
  <c r="E50" i="29" s="1"/>
  <c r="C21" i="28" s="1"/>
  <c r="C50" i="29"/>
  <c r="F34" i="31"/>
  <c r="H32" i="30"/>
  <c r="G34" i="31" l="1"/>
  <c r="C34" i="30" s="1"/>
  <c r="G34" i="30" s="1"/>
  <c r="H34" i="30" s="1"/>
  <c r="G50" i="29" s="1"/>
  <c r="E21" i="28" s="1"/>
  <c r="C35" i="31"/>
  <c r="E35" i="31" s="1"/>
  <c r="E51" i="29" s="1"/>
  <c r="C51" i="29"/>
  <c r="G35" i="34"/>
  <c r="F35" i="30" s="1"/>
  <c r="G48" i="29"/>
  <c r="G35" i="32"/>
  <c r="D35" i="30" s="1"/>
  <c r="F36" i="32"/>
  <c r="C36" i="33"/>
  <c r="E36" i="33" s="1"/>
  <c r="C36" i="32"/>
  <c r="E36" i="32" s="1"/>
  <c r="F36" i="34"/>
  <c r="F36" i="33"/>
  <c r="C36" i="34"/>
  <c r="E36" i="34" s="1"/>
  <c r="F35" i="31"/>
  <c r="G35" i="31" s="1"/>
  <c r="C35" i="30" s="1"/>
  <c r="G35" i="33"/>
  <c r="E35" i="30" s="1"/>
  <c r="G35" i="30" l="1"/>
  <c r="H35" i="30" s="1"/>
  <c r="G51" i="29" s="1"/>
  <c r="G36" i="33"/>
  <c r="E36" i="30" s="1"/>
  <c r="C37" i="32"/>
  <c r="E37" i="32" s="1"/>
  <c r="C37" i="33"/>
  <c r="E37" i="33" s="1"/>
  <c r="F37" i="32"/>
  <c r="F37" i="33"/>
  <c r="C37" i="34"/>
  <c r="E37" i="34" s="1"/>
  <c r="F37" i="34"/>
  <c r="C36" i="31"/>
  <c r="E36" i="31" s="1"/>
  <c r="E52" i="29" s="1"/>
  <c r="C22" i="28" s="1"/>
  <c r="C52" i="29"/>
  <c r="G36" i="34"/>
  <c r="F36" i="30" s="1"/>
  <c r="F36" i="31"/>
  <c r="G36" i="32"/>
  <c r="D36" i="30" s="1"/>
  <c r="G37" i="33" l="1"/>
  <c r="E37" i="30" s="1"/>
  <c r="G37" i="34"/>
  <c r="F37" i="30" s="1"/>
  <c r="G36" i="31"/>
  <c r="C36" i="30" s="1"/>
  <c r="G36" i="30" s="1"/>
  <c r="H36" i="30" s="1"/>
  <c r="G52" i="29" s="1"/>
  <c r="E22" i="28" s="1"/>
  <c r="C37" i="31"/>
  <c r="E37" i="31" s="1"/>
  <c r="E53" i="29" s="1"/>
  <c r="C53" i="29"/>
  <c r="C38" i="32"/>
  <c r="E38" i="32" s="1"/>
  <c r="C38" i="33"/>
  <c r="E38" i="33" s="1"/>
  <c r="F38" i="33"/>
  <c r="C38" i="34"/>
  <c r="E38" i="34" s="1"/>
  <c r="F38" i="32"/>
  <c r="G38" i="32" s="1"/>
  <c r="D38" i="30" s="1"/>
  <c r="F38" i="34"/>
  <c r="F37" i="31"/>
  <c r="G37" i="31" s="1"/>
  <c r="C37" i="30" s="1"/>
  <c r="G37" i="30" s="1"/>
  <c r="H37" i="30" s="1"/>
  <c r="G53" i="29" s="1"/>
  <c r="G37" i="32"/>
  <c r="D37" i="30" s="1"/>
  <c r="G38" i="33" l="1"/>
  <c r="E38" i="30" s="1"/>
  <c r="C38" i="31"/>
  <c r="E38" i="31" s="1"/>
  <c r="E54" i="29" s="1"/>
  <c r="C23" i="28" s="1"/>
  <c r="C54" i="29"/>
  <c r="G38" i="34"/>
  <c r="F38" i="30" s="1"/>
  <c r="C39" i="32"/>
  <c r="E39" i="32" s="1"/>
  <c r="F39" i="32"/>
  <c r="C39" i="33"/>
  <c r="E39" i="33" s="1"/>
  <c r="F39" i="34"/>
  <c r="C39" i="34"/>
  <c r="E39" i="34" s="1"/>
  <c r="F39" i="33"/>
  <c r="F38" i="31"/>
  <c r="G39" i="32" l="1"/>
  <c r="D39" i="30" s="1"/>
  <c r="G38" i="31"/>
  <c r="C38" i="30" s="1"/>
  <c r="G38" i="30" s="1"/>
  <c r="H38" i="30" s="1"/>
  <c r="G54" i="29" s="1"/>
  <c r="E23" i="28" s="1"/>
  <c r="C39" i="31"/>
  <c r="E39" i="31" s="1"/>
  <c r="E55" i="29" s="1"/>
  <c r="C24" i="28" s="1"/>
  <c r="C55" i="29"/>
  <c r="F39" i="31"/>
  <c r="G39" i="33"/>
  <c r="E39" i="30" s="1"/>
  <c r="C40" i="33"/>
  <c r="E40" i="33" s="1"/>
  <c r="C40" i="32"/>
  <c r="E40" i="32" s="1"/>
  <c r="F40" i="33"/>
  <c r="F40" i="34"/>
  <c r="C40" i="34"/>
  <c r="E40" i="34" s="1"/>
  <c r="G40" i="34" s="1"/>
  <c r="F40" i="30" s="1"/>
  <c r="F40" i="32"/>
  <c r="G40" i="32" s="1"/>
  <c r="D40" i="30" s="1"/>
  <c r="G39" i="34"/>
  <c r="F39" i="30" s="1"/>
  <c r="G40" i="33" l="1"/>
  <c r="E40" i="30" s="1"/>
  <c r="C41" i="33"/>
  <c r="E41" i="33" s="1"/>
  <c r="F41" i="33"/>
  <c r="C41" i="32"/>
  <c r="E41" i="32" s="1"/>
  <c r="F41" i="34"/>
  <c r="F41" i="32"/>
  <c r="C41" i="34"/>
  <c r="E41" i="34" s="1"/>
  <c r="F40" i="31"/>
  <c r="C14" i="43"/>
  <c r="C14" i="42"/>
  <c r="C14" i="44"/>
  <c r="G39" i="31"/>
  <c r="C39" i="30" s="1"/>
  <c r="G39" i="30" s="1"/>
  <c r="H39" i="30" s="1"/>
  <c r="G55" i="29" s="1"/>
  <c r="E24" i="28" s="1"/>
  <c r="C40" i="31"/>
  <c r="E40" i="31" s="1"/>
  <c r="E56" i="29" s="1"/>
  <c r="C56" i="29"/>
  <c r="G41" i="33" l="1"/>
  <c r="E41" i="30" s="1"/>
  <c r="E14" i="42"/>
  <c r="G41" i="34"/>
  <c r="F41" i="30" s="1"/>
  <c r="C41" i="31"/>
  <c r="E41" i="31" s="1"/>
  <c r="E57" i="29" s="1"/>
  <c r="C57" i="29"/>
  <c r="C15" i="42"/>
  <c r="E15" i="42" s="1"/>
  <c r="G15" i="4" s="1"/>
  <c r="C15" i="43"/>
  <c r="E15" i="43" s="1"/>
  <c r="G15" i="5" s="1"/>
  <c r="C15" i="44"/>
  <c r="E15" i="44" s="1"/>
  <c r="G15" i="6" s="1"/>
  <c r="E14" i="44"/>
  <c r="G41" i="32"/>
  <c r="D41" i="30" s="1"/>
  <c r="F42" i="34"/>
  <c r="F42" i="32"/>
  <c r="C42" i="32"/>
  <c r="E42" i="32" s="1"/>
  <c r="F42" i="33"/>
  <c r="C42" i="34"/>
  <c r="E42" i="34" s="1"/>
  <c r="C42" i="33"/>
  <c r="E42" i="33" s="1"/>
  <c r="C14" i="41"/>
  <c r="E14" i="43"/>
  <c r="G40" i="31"/>
  <c r="C40" i="30" s="1"/>
  <c r="G40" i="30" s="1"/>
  <c r="H40" i="30" s="1"/>
  <c r="G56" i="29" s="1"/>
  <c r="F41" i="31"/>
  <c r="G41" i="31" s="1"/>
  <c r="C41" i="30" s="1"/>
  <c r="G41" i="30" l="1"/>
  <c r="H41" i="30" s="1"/>
  <c r="G57" i="29" s="1"/>
  <c r="G42" i="34"/>
  <c r="F42" i="30" s="1"/>
  <c r="G42" i="32"/>
  <c r="D42" i="30" s="1"/>
  <c r="G42" i="33"/>
  <c r="E42" i="30" s="1"/>
  <c r="C15" i="41"/>
  <c r="E15" i="41" s="1"/>
  <c r="G15" i="3" s="1"/>
  <c r="G14" i="5"/>
  <c r="E14" i="41"/>
  <c r="F43" i="33"/>
  <c r="F43" i="32"/>
  <c r="C43" i="33"/>
  <c r="E43" i="33" s="1"/>
  <c r="C43" i="32"/>
  <c r="E43" i="32" s="1"/>
  <c r="F43" i="34"/>
  <c r="C43" i="34"/>
  <c r="E43" i="34" s="1"/>
  <c r="C42" i="31"/>
  <c r="E42" i="31" s="1"/>
  <c r="E58" i="29" s="1"/>
  <c r="C58" i="29"/>
  <c r="F42" i="31"/>
  <c r="G14" i="6"/>
  <c r="C16" i="42"/>
  <c r="E16" i="42" s="1"/>
  <c r="G16" i="4" s="1"/>
  <c r="C16" i="43"/>
  <c r="C16" i="44"/>
  <c r="E16" i="44" s="1"/>
  <c r="G16" i="6" s="1"/>
  <c r="G14" i="4"/>
  <c r="C44" i="33" l="1"/>
  <c r="E44" i="33" s="1"/>
  <c r="F44" i="34"/>
  <c r="F44" i="32"/>
  <c r="C44" i="32"/>
  <c r="E44" i="32" s="1"/>
  <c r="C44" i="34"/>
  <c r="E44" i="34" s="1"/>
  <c r="F44" i="33"/>
  <c r="G43" i="33"/>
  <c r="E43" i="30" s="1"/>
  <c r="F43" i="31"/>
  <c r="E16" i="43"/>
  <c r="G43" i="32"/>
  <c r="D43" i="30" s="1"/>
  <c r="G14" i="3"/>
  <c r="C17" i="42"/>
  <c r="E17" i="42" s="1"/>
  <c r="C17" i="44"/>
  <c r="E17" i="44" s="1"/>
  <c r="G17" i="6" s="1"/>
  <c r="C17" i="43"/>
  <c r="E17" i="43" s="1"/>
  <c r="G17" i="5" s="1"/>
  <c r="C16" i="41"/>
  <c r="G42" i="31"/>
  <c r="C42" i="30" s="1"/>
  <c r="G42" i="30" s="1"/>
  <c r="H42" i="30" s="1"/>
  <c r="G58" i="29" s="1"/>
  <c r="G43" i="34"/>
  <c r="F43" i="30" s="1"/>
  <c r="C43" i="31"/>
  <c r="E43" i="31" s="1"/>
  <c r="E59" i="29" s="1"/>
  <c r="C59" i="29"/>
  <c r="G44" i="33" l="1"/>
  <c r="E44" i="30" s="1"/>
  <c r="C17" i="41"/>
  <c r="E17" i="41" s="1"/>
  <c r="G17" i="3" s="1"/>
  <c r="C18" i="44"/>
  <c r="E18" i="44" s="1"/>
  <c r="G18" i="6" s="1"/>
  <c r="C18" i="42"/>
  <c r="C18" i="43"/>
  <c r="E18" i="43" s="1"/>
  <c r="G18" i="5" s="1"/>
  <c r="G43" i="31"/>
  <c r="C43" i="30" s="1"/>
  <c r="G44" i="32"/>
  <c r="D44" i="30" s="1"/>
  <c r="F45" i="32"/>
  <c r="C45" i="34"/>
  <c r="E45" i="34" s="1"/>
  <c r="F45" i="34"/>
  <c r="C45" i="33"/>
  <c r="E45" i="33" s="1"/>
  <c r="C45" i="32"/>
  <c r="E45" i="32" s="1"/>
  <c r="G45" i="32" s="1"/>
  <c r="D45" i="30" s="1"/>
  <c r="F45" i="33"/>
  <c r="G17" i="4"/>
  <c r="E16" i="41"/>
  <c r="C44" i="31"/>
  <c r="E44" i="31" s="1"/>
  <c r="E60" i="29" s="1"/>
  <c r="C60" i="29"/>
  <c r="F44" i="31"/>
  <c r="G43" i="30"/>
  <c r="H43" i="30" s="1"/>
  <c r="G59" i="29" s="1"/>
  <c r="G16" i="5"/>
  <c r="G44" i="34"/>
  <c r="F44" i="30" s="1"/>
  <c r="G45" i="33" l="1"/>
  <c r="E45" i="30" s="1"/>
  <c r="G44" i="31"/>
  <c r="C44" i="30" s="1"/>
  <c r="G44" i="30" s="1"/>
  <c r="H44" i="30" s="1"/>
  <c r="G60" i="29" s="1"/>
  <c r="G45" i="34"/>
  <c r="F45" i="30" s="1"/>
  <c r="F45" i="31"/>
  <c r="C19" i="42"/>
  <c r="E19" i="42" s="1"/>
  <c r="G19" i="4" s="1"/>
  <c r="C19" i="43"/>
  <c r="E19" i="43" s="1"/>
  <c r="C19" i="44"/>
  <c r="C46" i="32"/>
  <c r="E46" i="32" s="1"/>
  <c r="F46" i="33"/>
  <c r="C46" i="34"/>
  <c r="E46" i="34" s="1"/>
  <c r="F46" i="34"/>
  <c r="C46" i="33"/>
  <c r="E46" i="33" s="1"/>
  <c r="F46" i="32"/>
  <c r="C45" i="31"/>
  <c r="E45" i="31" s="1"/>
  <c r="E61" i="29" s="1"/>
  <c r="C61" i="29"/>
  <c r="G16" i="3"/>
  <c r="E18" i="42"/>
  <c r="C18" i="41"/>
  <c r="G46" i="33" l="1"/>
  <c r="E46" i="30" s="1"/>
  <c r="G46" i="32"/>
  <c r="D46" i="30" s="1"/>
  <c r="E19" i="44"/>
  <c r="C47" i="33"/>
  <c r="E47" i="33" s="1"/>
  <c r="F47" i="32"/>
  <c r="F47" i="33"/>
  <c r="F47" i="34"/>
  <c r="C47" i="34"/>
  <c r="E47" i="34" s="1"/>
  <c r="C47" i="32"/>
  <c r="E47" i="32" s="1"/>
  <c r="G47" i="32" s="1"/>
  <c r="D47" i="30" s="1"/>
  <c r="C62" i="29"/>
  <c r="C46" i="31"/>
  <c r="E46" i="31" s="1"/>
  <c r="E62" i="29" s="1"/>
  <c r="E18" i="41"/>
  <c r="F46" i="31"/>
  <c r="G18" i="4"/>
  <c r="G46" i="34"/>
  <c r="F46" i="30" s="1"/>
  <c r="C20" i="42"/>
  <c r="C20" i="44"/>
  <c r="E20" i="44" s="1"/>
  <c r="G20" i="6" s="1"/>
  <c r="C20" i="43"/>
  <c r="G19" i="5"/>
  <c r="C19" i="41"/>
  <c r="E19" i="41" s="1"/>
  <c r="G19" i="3" s="1"/>
  <c r="G45" i="31"/>
  <c r="C45" i="30" s="1"/>
  <c r="G45" i="30" s="1"/>
  <c r="H45" i="30" s="1"/>
  <c r="G61" i="29" s="1"/>
  <c r="G46" i="31" l="1"/>
  <c r="C46" i="30" s="1"/>
  <c r="G46" i="30" s="1"/>
  <c r="H46" i="30" s="1"/>
  <c r="G62" i="29" s="1"/>
  <c r="C21" i="43"/>
  <c r="E21" i="43" s="1"/>
  <c r="G21" i="5" s="1"/>
  <c r="C21" i="42"/>
  <c r="E21" i="42" s="1"/>
  <c r="G21" i="4" s="1"/>
  <c r="C21" i="44"/>
  <c r="E21" i="44" s="1"/>
  <c r="G21" i="6" s="1"/>
  <c r="G18" i="3"/>
  <c r="E20" i="42"/>
  <c r="C47" i="31"/>
  <c r="E47" i="31" s="1"/>
  <c r="E63" i="29" s="1"/>
  <c r="C63" i="29"/>
  <c r="F47" i="31"/>
  <c r="E20" i="43"/>
  <c r="C20" i="41"/>
  <c r="E20" i="41" s="1"/>
  <c r="G20" i="3" s="1"/>
  <c r="C48" i="33"/>
  <c r="E48" i="33" s="1"/>
  <c r="F48" i="33"/>
  <c r="C48" i="32"/>
  <c r="E48" i="32" s="1"/>
  <c r="C48" i="34"/>
  <c r="E48" i="34" s="1"/>
  <c r="F48" i="32"/>
  <c r="F48" i="34"/>
  <c r="G47" i="34"/>
  <c r="F47" i="30" s="1"/>
  <c r="G47" i="33"/>
  <c r="E47" i="30" s="1"/>
  <c r="G19" i="6"/>
  <c r="G48" i="33" l="1"/>
  <c r="E48" i="30" s="1"/>
  <c r="G48" i="34"/>
  <c r="F48" i="30" s="1"/>
  <c r="C21" i="41"/>
  <c r="F48" i="31"/>
  <c r="G47" i="31"/>
  <c r="C47" i="30" s="1"/>
  <c r="G47" i="30" s="1"/>
  <c r="H47" i="30" s="1"/>
  <c r="G63" i="29" s="1"/>
  <c r="G20" i="4"/>
  <c r="C49" i="33"/>
  <c r="E49" i="33" s="1"/>
  <c r="C49" i="34"/>
  <c r="E49" i="34" s="1"/>
  <c r="F49" i="34"/>
  <c r="F49" i="33"/>
  <c r="C49" i="32"/>
  <c r="E49" i="32" s="1"/>
  <c r="F49" i="32"/>
  <c r="G48" i="32"/>
  <c r="D48" i="30" s="1"/>
  <c r="C48" i="31"/>
  <c r="E48" i="31" s="1"/>
  <c r="E64" i="29" s="1"/>
  <c r="C25" i="28" s="1"/>
  <c r="C64" i="29"/>
  <c r="C22" i="43"/>
  <c r="E22" i="43" s="1"/>
  <c r="G22" i="5" s="1"/>
  <c r="C22" i="44"/>
  <c r="C22" i="42"/>
  <c r="E22" i="42" s="1"/>
  <c r="G22" i="4" s="1"/>
  <c r="G20" i="5"/>
  <c r="G49" i="34" l="1"/>
  <c r="F49" i="30" s="1"/>
  <c r="G49" i="32"/>
  <c r="D49" i="30" s="1"/>
  <c r="F50" i="34"/>
  <c r="C50" i="32"/>
  <c r="E50" i="32" s="1"/>
  <c r="C50" i="33"/>
  <c r="E50" i="33" s="1"/>
  <c r="F50" i="32"/>
  <c r="F50" i="33"/>
  <c r="C50" i="34"/>
  <c r="E50" i="34" s="1"/>
  <c r="G48" i="31"/>
  <c r="C48" i="30" s="1"/>
  <c r="G48" i="30" s="1"/>
  <c r="H48" i="30" s="1"/>
  <c r="G64" i="29" s="1"/>
  <c r="E25" i="28" s="1"/>
  <c r="G49" i="33"/>
  <c r="E49" i="30" s="1"/>
  <c r="F49" i="31"/>
  <c r="E22" i="44"/>
  <c r="C22" i="41"/>
  <c r="E22" i="41" s="1"/>
  <c r="G22" i="3" s="1"/>
  <c r="C49" i="31"/>
  <c r="E49" i="31" s="1"/>
  <c r="E65" i="29" s="1"/>
  <c r="C65" i="29"/>
  <c r="E21" i="41"/>
  <c r="O22" i="44" l="1"/>
  <c r="G50" i="33"/>
  <c r="E50" i="30" s="1"/>
  <c r="G50" i="32"/>
  <c r="D50" i="30" s="1"/>
  <c r="G49" i="31"/>
  <c r="C49" i="30" s="1"/>
  <c r="G49" i="30" s="1"/>
  <c r="H49" i="30" s="1"/>
  <c r="G65" i="29" s="1"/>
  <c r="G22" i="6"/>
  <c r="C23" i="41"/>
  <c r="C23" i="44"/>
  <c r="G21" i="3"/>
  <c r="C23" i="42"/>
  <c r="C23" i="43"/>
  <c r="F50" i="31"/>
  <c r="C50" i="31"/>
  <c r="E50" i="31" s="1"/>
  <c r="E66" i="29" s="1"/>
  <c r="C66" i="29"/>
  <c r="G50" i="34"/>
  <c r="F50" i="30" s="1"/>
  <c r="E23" i="43" l="1"/>
  <c r="C26" i="43"/>
  <c r="C51" i="33"/>
  <c r="F51" i="34"/>
  <c r="F53" i="34" s="1"/>
  <c r="E23" i="44"/>
  <c r="C26" i="44"/>
  <c r="E23" i="41"/>
  <c r="C26" i="41"/>
  <c r="F51" i="33"/>
  <c r="F53" i="33" s="1"/>
  <c r="F51" i="32"/>
  <c r="C51" i="32"/>
  <c r="G50" i="31"/>
  <c r="C50" i="30" s="1"/>
  <c r="G50" i="30" s="1"/>
  <c r="H50" i="30" s="1"/>
  <c r="G66" i="29" s="1"/>
  <c r="E23" i="42"/>
  <c r="C26" i="42"/>
  <c r="C51" i="31"/>
  <c r="C51" i="34"/>
  <c r="F51" i="31"/>
  <c r="E51" i="34" l="1"/>
  <c r="C53" i="34"/>
  <c r="E51" i="31"/>
  <c r="C54" i="31"/>
  <c r="E51" i="32"/>
  <c r="E53" i="32" s="1"/>
  <c r="C53" i="32"/>
  <c r="F53" i="32"/>
  <c r="F54" i="31"/>
  <c r="C67" i="29"/>
  <c r="C69" i="29" s="1"/>
  <c r="G23" i="4"/>
  <c r="G26" i="4" s="1"/>
  <c r="E26" i="42"/>
  <c r="G23" i="6"/>
  <c r="E26" i="44"/>
  <c r="E51" i="33"/>
  <c r="C53" i="33"/>
  <c r="G23" i="3"/>
  <c r="E26" i="41"/>
  <c r="G23" i="5"/>
  <c r="E26" i="43"/>
  <c r="B55" i="46" l="1"/>
  <c r="G40" i="46"/>
  <c r="G42" i="46" s="1"/>
  <c r="G51" i="32"/>
  <c r="D51" i="30" s="1"/>
  <c r="D52" i="30" s="1"/>
  <c r="E67" i="29"/>
  <c r="E54" i="31"/>
  <c r="G54" i="31" s="1"/>
  <c r="G26" i="3"/>
  <c r="G26" i="5"/>
  <c r="G26" i="6"/>
  <c r="G51" i="33"/>
  <c r="E51" i="30" s="1"/>
  <c r="E52" i="30" s="1"/>
  <c r="E53" i="33"/>
  <c r="G53" i="33" s="1"/>
  <c r="G51" i="31"/>
  <c r="C51" i="30" s="1"/>
  <c r="G53" i="32"/>
  <c r="G51" i="34"/>
  <c r="F51" i="30" s="1"/>
  <c r="F52" i="30" s="1"/>
  <c r="E53" i="34"/>
  <c r="G53" i="34" s="1"/>
  <c r="G51" i="30" l="1"/>
  <c r="C52" i="30"/>
  <c r="C26" i="28"/>
  <c r="E69" i="29"/>
  <c r="H51" i="30" l="1"/>
  <c r="G52" i="30"/>
  <c r="G67" i="29" l="1"/>
  <c r="G69" i="29" s="1"/>
  <c r="H52" i="30"/>
  <c r="E26" i="28" l="1"/>
  <c r="G70" i="29"/>
  <c r="G71" i="29" s="1"/>
  <c r="E30" i="28" s="1"/>
  <c r="F26" i="28" l="1"/>
  <c r="F13" i="28"/>
  <c r="F17" i="28"/>
  <c r="F16" i="28"/>
  <c r="F18" i="28"/>
  <c r="F15" i="28"/>
  <c r="F19" i="28"/>
  <c r="F14" i="28"/>
  <c r="F20" i="28"/>
  <c r="F21" i="28"/>
  <c r="F22" i="28"/>
  <c r="F23" i="28"/>
  <c r="F24" i="28"/>
  <c r="F25" i="28"/>
  <c r="E28" i="28"/>
  <c r="F28" i="28" l="1"/>
  <c r="E33" i="28" l="1"/>
  <c r="E32" i="28"/>
  <c r="E41" i="28" l="1"/>
  <c r="C14" i="27" s="1"/>
  <c r="E14" i="27" s="1"/>
  <c r="C19" i="1" s="1"/>
  <c r="C15" i="1" s="1"/>
  <c r="E32" i="58" l="1"/>
  <c r="E30" i="58"/>
  <c r="B45" i="58" l="1"/>
  <c r="E16" i="17" l="1"/>
  <c r="F16" i="17" s="1"/>
  <c r="E20" i="17"/>
  <c r="F20" i="17" s="1"/>
  <c r="E24" i="17"/>
  <c r="F24" i="17" s="1"/>
  <c r="E28" i="17"/>
  <c r="F28" i="17" s="1"/>
  <c r="E32" i="17"/>
  <c r="F32" i="17" s="1"/>
  <c r="E40" i="17"/>
  <c r="F40" i="17" s="1"/>
  <c r="G24" i="17" l="1"/>
  <c r="H43" i="17"/>
  <c r="G40" i="17"/>
  <c r="G20" i="17"/>
  <c r="G32" i="17"/>
  <c r="G16" i="17"/>
  <c r="G28" i="17"/>
  <c r="E26" i="17"/>
  <c r="F26" i="17" s="1"/>
  <c r="G26" i="17" s="1"/>
  <c r="E21" i="17"/>
  <c r="F21" i="17" s="1"/>
  <c r="E39" i="17"/>
  <c r="F39" i="17" s="1"/>
  <c r="E17" i="17"/>
  <c r="F17" i="17" s="1"/>
  <c r="E29" i="17"/>
  <c r="F29" i="17" s="1"/>
  <c r="E38" i="17"/>
  <c r="F38" i="17" s="1"/>
  <c r="E36" i="17"/>
  <c r="F36" i="17" s="1"/>
  <c r="E37" i="17"/>
  <c r="F37" i="17" s="1"/>
  <c r="E19" i="17"/>
  <c r="F19" i="17" s="1"/>
  <c r="E18" i="17"/>
  <c r="F18" i="17" s="1"/>
  <c r="E35" i="17"/>
  <c r="F35" i="17" s="1"/>
  <c r="E25" i="17"/>
  <c r="F25" i="17" s="1"/>
  <c r="E27" i="17"/>
  <c r="F27" i="17" s="1"/>
  <c r="E34" i="17"/>
  <c r="F34" i="17" s="1"/>
  <c r="E31" i="17"/>
  <c r="F31" i="17" s="1"/>
  <c r="E23" i="17"/>
  <c r="F23" i="17" s="1"/>
  <c r="G23" i="17" s="1"/>
  <c r="C15" i="15" s="1"/>
  <c r="C32" i="15" s="1"/>
  <c r="E15" i="17"/>
  <c r="F15" i="17" s="1"/>
  <c r="E33" i="17"/>
  <c r="F33" i="17" s="1"/>
  <c r="E30" i="17"/>
  <c r="F30" i="17" s="1"/>
  <c r="G30" i="17" s="1"/>
  <c r="E22" i="17"/>
  <c r="F22" i="17" s="1"/>
  <c r="E14" i="17"/>
  <c r="F14" i="17" s="1"/>
  <c r="H23" i="17" l="1"/>
  <c r="H27" i="17"/>
  <c r="H31" i="17"/>
  <c r="H19" i="17"/>
  <c r="G39" i="17"/>
  <c r="C19" i="15" s="1"/>
  <c r="C36" i="15" s="1"/>
  <c r="H42" i="17"/>
  <c r="H33" i="17"/>
  <c r="G31" i="17"/>
  <c r="C17" i="15" s="1"/>
  <c r="C34" i="15" s="1"/>
  <c r="H34" i="17"/>
  <c r="G35" i="17"/>
  <c r="C18" i="15" s="1"/>
  <c r="C35" i="15" s="1"/>
  <c r="H38" i="17"/>
  <c r="G36" i="17"/>
  <c r="H39" i="17"/>
  <c r="G33" i="17"/>
  <c r="H36" i="17"/>
  <c r="G34" i="17"/>
  <c r="H37" i="17"/>
  <c r="G18" i="17"/>
  <c r="H21" i="17"/>
  <c r="G38" i="17"/>
  <c r="H41" i="17"/>
  <c r="G14" i="17"/>
  <c r="H17" i="17"/>
  <c r="G19" i="17"/>
  <c r="C14" i="15" s="1"/>
  <c r="C31" i="15" s="1"/>
  <c r="C30" i="15" s="1"/>
  <c r="H22" i="17"/>
  <c r="G21" i="17"/>
  <c r="H24" i="17"/>
  <c r="H18" i="17"/>
  <c r="G15" i="17"/>
  <c r="G27" i="17"/>
  <c r="C16" i="15" s="1"/>
  <c r="C33" i="15" s="1"/>
  <c r="H30" i="17"/>
  <c r="G22" i="17"/>
  <c r="H25" i="17"/>
  <c r="G25" i="17"/>
  <c r="H28" i="17"/>
  <c r="G37" i="17"/>
  <c r="H40" i="17"/>
  <c r="G29" i="17"/>
  <c r="H32" i="17"/>
  <c r="G17" i="17"/>
  <c r="H20" i="17"/>
  <c r="H29" i="17"/>
  <c r="H35" i="17"/>
  <c r="H26" i="17"/>
  <c r="I28" i="17" l="1"/>
  <c r="I56" i="17"/>
  <c r="I30" i="17"/>
  <c r="I41" i="17"/>
  <c r="I19" i="17"/>
  <c r="I50" i="17"/>
  <c r="I20" i="17"/>
  <c r="I18" i="17"/>
  <c r="I21" i="17"/>
  <c r="I22" i="17"/>
  <c r="I29" i="17"/>
  <c r="I36" i="17"/>
  <c r="I27" i="17"/>
  <c r="I49" i="17"/>
  <c r="I48" i="17"/>
  <c r="I31" i="17"/>
  <c r="I35" i="17"/>
  <c r="I39" i="17"/>
  <c r="I47" i="17"/>
  <c r="I42" i="17"/>
  <c r="I17" i="17"/>
  <c r="I37" i="17"/>
  <c r="I40" i="17"/>
  <c r="I46" i="17"/>
  <c r="I34" i="17"/>
  <c r="I25" i="17"/>
  <c r="I52" i="17"/>
  <c r="I44" i="17"/>
  <c r="I43" i="17"/>
  <c r="I24" i="17"/>
  <c r="I26" i="17"/>
  <c r="I33" i="17"/>
  <c r="I38" i="17"/>
  <c r="I32" i="17"/>
  <c r="I51" i="17"/>
  <c r="I45" i="17"/>
  <c r="I23" i="17"/>
  <c r="J45" i="17"/>
  <c r="J56" i="17"/>
  <c r="J43" i="17"/>
  <c r="J38" i="17"/>
  <c r="J50" i="17"/>
  <c r="J48" i="17"/>
  <c r="J36" i="17"/>
  <c r="J44" i="17"/>
  <c r="J37" i="17"/>
  <c r="J52" i="17"/>
  <c r="J40" i="17"/>
  <c r="J46" i="17"/>
  <c r="J34" i="17"/>
  <c r="J33" i="17"/>
  <c r="J39" i="17"/>
  <c r="J42" i="17"/>
  <c r="J41" i="17"/>
  <c r="J51" i="17"/>
  <c r="J49" i="17"/>
  <c r="J35" i="17"/>
  <c r="J47" i="17"/>
  <c r="L46" i="17"/>
  <c r="L41" i="17"/>
  <c r="L45" i="17"/>
  <c r="L44" i="17"/>
  <c r="L49" i="17"/>
  <c r="L42" i="17"/>
  <c r="L56" i="17"/>
  <c r="L48" i="17"/>
  <c r="L47" i="17"/>
  <c r="L51" i="17"/>
  <c r="L50" i="17"/>
  <c r="L43" i="17"/>
  <c r="L52" i="17"/>
  <c r="K56" i="17"/>
  <c r="K43" i="17"/>
  <c r="K41" i="17"/>
  <c r="K47" i="17"/>
  <c r="K52" i="17"/>
  <c r="K46" i="17"/>
  <c r="K38" i="17"/>
  <c r="K42" i="17"/>
  <c r="K48" i="17"/>
  <c r="K39" i="17"/>
  <c r="K37" i="17"/>
  <c r="K45" i="17"/>
  <c r="K50" i="17"/>
  <c r="K40" i="17"/>
  <c r="K51" i="17"/>
  <c r="K44" i="17"/>
  <c r="K49" i="17"/>
  <c r="L55" i="17" l="1"/>
  <c r="I55" i="17"/>
  <c r="J55" i="17"/>
  <c r="K55" i="17"/>
  <c r="L58" i="17" l="1"/>
  <c r="I18" i="15" s="1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23" i="48"/>
  <c r="C40" i="48"/>
  <c r="C39" i="48"/>
  <c r="E39" i="48" s="1"/>
  <c r="G39" i="48" s="1"/>
  <c r="I39" i="48" s="1"/>
  <c r="C38" i="48"/>
  <c r="E38" i="48" s="1"/>
  <c r="G38" i="48" s="1"/>
  <c r="I38" i="48" s="1"/>
  <c r="C37" i="48"/>
  <c r="E37" i="48" s="1"/>
  <c r="G37" i="48" s="1"/>
  <c r="I37" i="48" s="1"/>
  <c r="C36" i="48"/>
  <c r="C35" i="48"/>
  <c r="E35" i="48" s="1"/>
  <c r="G35" i="48" s="1"/>
  <c r="I35" i="48" s="1"/>
  <c r="C34" i="48"/>
  <c r="E34" i="48" s="1"/>
  <c r="G34" i="48" s="1"/>
  <c r="I34" i="48" s="1"/>
  <c r="C33" i="48"/>
  <c r="E33" i="48" s="1"/>
  <c r="G33" i="48" s="1"/>
  <c r="I33" i="48" s="1"/>
  <c r="C32" i="48"/>
  <c r="C31" i="48"/>
  <c r="E31" i="48" s="1"/>
  <c r="G31" i="48" s="1"/>
  <c r="I31" i="48" s="1"/>
  <c r="C30" i="48"/>
  <c r="E30" i="48" s="1"/>
  <c r="G30" i="48" s="1"/>
  <c r="I30" i="48" s="1"/>
  <c r="C29" i="48"/>
  <c r="E29" i="48" s="1"/>
  <c r="G29" i="48" s="1"/>
  <c r="I29" i="48" s="1"/>
  <c r="C28" i="48"/>
  <c r="C27" i="48"/>
  <c r="E27" i="48" s="1"/>
  <c r="G27" i="48" s="1"/>
  <c r="I27" i="48" s="1"/>
  <c r="C26" i="48"/>
  <c r="E26" i="48" s="1"/>
  <c r="G26" i="48" s="1"/>
  <c r="I26" i="48" s="1"/>
  <c r="C25" i="48"/>
  <c r="E25" i="48" s="1"/>
  <c r="G25" i="48" s="1"/>
  <c r="I25" i="48" s="1"/>
  <c r="C24" i="48"/>
  <c r="C23" i="48"/>
  <c r="E39" i="15" l="1"/>
  <c r="G39" i="15" s="1"/>
  <c r="E23" i="3" s="1"/>
  <c r="E36" i="15"/>
  <c r="G36" i="15" s="1"/>
  <c r="E20" i="3" s="1"/>
  <c r="E37" i="15"/>
  <c r="G37" i="15" s="1"/>
  <c r="E21" i="3" s="1"/>
  <c r="E31" i="15"/>
  <c r="G31" i="15" s="1"/>
  <c r="E15" i="3" s="1"/>
  <c r="E15" i="4" s="1"/>
  <c r="F15" i="4" s="1"/>
  <c r="H15" i="4" s="1"/>
  <c r="E35" i="15"/>
  <c r="G35" i="15" s="1"/>
  <c r="E19" i="3" s="1"/>
  <c r="E34" i="15"/>
  <c r="G34" i="15" s="1"/>
  <c r="E18" i="3" s="1"/>
  <c r="E30" i="15"/>
  <c r="G30" i="15" s="1"/>
  <c r="E14" i="3" s="1"/>
  <c r="D43" i="48"/>
  <c r="E24" i="48"/>
  <c r="G24" i="48" s="1"/>
  <c r="I24" i="48" s="1"/>
  <c r="E28" i="48"/>
  <c r="G28" i="48" s="1"/>
  <c r="I28" i="48" s="1"/>
  <c r="E32" i="48"/>
  <c r="G32" i="48" s="1"/>
  <c r="I32" i="48" s="1"/>
  <c r="E36" i="48"/>
  <c r="G36" i="48" s="1"/>
  <c r="I36" i="48" s="1"/>
  <c r="E38" i="15"/>
  <c r="G38" i="15" s="1"/>
  <c r="E22" i="3" s="1"/>
  <c r="E33" i="15"/>
  <c r="G33" i="15" s="1"/>
  <c r="E17" i="3" s="1"/>
  <c r="E32" i="15"/>
  <c r="G32" i="15" s="1"/>
  <c r="E16" i="3" s="1"/>
  <c r="E40" i="48"/>
  <c r="G40" i="48" s="1"/>
  <c r="I40" i="48" s="1"/>
  <c r="E15" i="6"/>
  <c r="F15" i="6" s="1"/>
  <c r="H15" i="6" s="1"/>
  <c r="E19" i="5"/>
  <c r="F19" i="5" s="1"/>
  <c r="H19" i="5" s="1"/>
  <c r="F19" i="3"/>
  <c r="H19" i="3" s="1"/>
  <c r="E19" i="4"/>
  <c r="F19" i="4" s="1"/>
  <c r="H19" i="4" s="1"/>
  <c r="E19" i="6"/>
  <c r="F19" i="6" s="1"/>
  <c r="H19" i="6" s="1"/>
  <c r="E20" i="5"/>
  <c r="F20" i="5" s="1"/>
  <c r="H20" i="5" s="1"/>
  <c r="E20" i="4"/>
  <c r="F20" i="4" s="1"/>
  <c r="H20" i="4" s="1"/>
  <c r="E20" i="6"/>
  <c r="F20" i="6" s="1"/>
  <c r="H20" i="6" s="1"/>
  <c r="F20" i="3"/>
  <c r="H20" i="3" s="1"/>
  <c r="F21" i="3"/>
  <c r="H21" i="3" s="1"/>
  <c r="E21" i="4"/>
  <c r="F21" i="4" s="1"/>
  <c r="H21" i="4" s="1"/>
  <c r="E21" i="5"/>
  <c r="F21" i="5" s="1"/>
  <c r="H21" i="5" s="1"/>
  <c r="E21" i="6"/>
  <c r="F21" i="6" s="1"/>
  <c r="H21" i="6" s="1"/>
  <c r="E18" i="6"/>
  <c r="F18" i="6" s="1"/>
  <c r="H18" i="6" s="1"/>
  <c r="F18" i="3"/>
  <c r="H18" i="3" s="1"/>
  <c r="E18" i="5"/>
  <c r="F18" i="5" s="1"/>
  <c r="H18" i="5" s="1"/>
  <c r="E18" i="4"/>
  <c r="F18" i="4" s="1"/>
  <c r="H18" i="4" s="1"/>
  <c r="E14" i="5"/>
  <c r="F14" i="5" s="1"/>
  <c r="E14" i="4"/>
  <c r="F14" i="4" s="1"/>
  <c r="E14" i="6"/>
  <c r="F14" i="6" s="1"/>
  <c r="F14" i="3"/>
  <c r="F16" i="3"/>
  <c r="H16" i="3" s="1"/>
  <c r="E16" i="6"/>
  <c r="F16" i="6" s="1"/>
  <c r="H16" i="6" s="1"/>
  <c r="E16" i="4"/>
  <c r="F16" i="4" s="1"/>
  <c r="H16" i="4" s="1"/>
  <c r="E16" i="5"/>
  <c r="F16" i="5" s="1"/>
  <c r="H16" i="5" s="1"/>
  <c r="E23" i="48"/>
  <c r="C43" i="48"/>
  <c r="F22" i="3"/>
  <c r="H22" i="3" s="1"/>
  <c r="E22" i="4"/>
  <c r="F22" i="4" s="1"/>
  <c r="H22" i="4" s="1"/>
  <c r="E22" i="5"/>
  <c r="F22" i="5" s="1"/>
  <c r="H22" i="5" s="1"/>
  <c r="E22" i="6"/>
  <c r="F22" i="6" s="1"/>
  <c r="H22" i="6" s="1"/>
  <c r="F17" i="3"/>
  <c r="H17" i="3" s="1"/>
  <c r="E17" i="5"/>
  <c r="F17" i="5" s="1"/>
  <c r="H17" i="5" s="1"/>
  <c r="E17" i="4"/>
  <c r="F17" i="4" s="1"/>
  <c r="H17" i="4" s="1"/>
  <c r="E17" i="6"/>
  <c r="F17" i="6" s="1"/>
  <c r="H17" i="6" s="1"/>
  <c r="E23" i="4"/>
  <c r="F23" i="4" s="1"/>
  <c r="H23" i="4" s="1"/>
  <c r="F23" i="3"/>
  <c r="H23" i="3" s="1"/>
  <c r="E23" i="6"/>
  <c r="F23" i="6" s="1"/>
  <c r="H23" i="6" s="1"/>
  <c r="E23" i="5"/>
  <c r="F23" i="5" s="1"/>
  <c r="H23" i="5" s="1"/>
  <c r="F15" i="3" l="1"/>
  <c r="H15" i="3" s="1"/>
  <c r="E15" i="5"/>
  <c r="F15" i="5" s="1"/>
  <c r="H15" i="5" s="1"/>
  <c r="F26" i="4"/>
  <c r="H26" i="4" s="1"/>
  <c r="E15" i="2" s="1"/>
  <c r="H14" i="3"/>
  <c r="F26" i="6"/>
  <c r="H26" i="6" s="1"/>
  <c r="E17" i="2" s="1"/>
  <c r="H14" i="6"/>
  <c r="H14" i="4"/>
  <c r="G23" i="48"/>
  <c r="E43" i="48"/>
  <c r="F26" i="5"/>
  <c r="H26" i="5" s="1"/>
  <c r="E16" i="2" s="1"/>
  <c r="H14" i="5"/>
  <c r="F26" i="3" l="1"/>
  <c r="H26" i="3" s="1"/>
  <c r="E14" i="2" s="1"/>
  <c r="E19" i="2" s="1"/>
  <c r="D19" i="1" s="1"/>
  <c r="G43" i="48"/>
  <c r="I23" i="48"/>
  <c r="D21" i="1" l="1"/>
  <c r="D15" i="1"/>
  <c r="D23" i="1"/>
  <c r="D25" i="1" l="1"/>
  <c r="J14" i="58" l="1"/>
  <c r="L14" i="58" s="1"/>
  <c r="J20" i="58" s="1"/>
  <c r="B39" i="58" l="1"/>
  <c r="B40" i="58"/>
  <c r="B43" i="58" l="1"/>
  <c r="F26" i="58" l="1"/>
  <c r="F28" i="58" s="1"/>
  <c r="E34" i="58"/>
  <c r="E26" i="58"/>
  <c r="E28" i="58" s="1"/>
  <c r="D26" i="58"/>
  <c r="D28" i="58" s="1"/>
  <c r="D30" i="58" l="1"/>
  <c r="F30" i="58" l="1"/>
  <c r="D32" i="58"/>
  <c r="F32" i="58" l="1"/>
  <c r="D34" i="58"/>
  <c r="F34" i="58" l="1"/>
  <c r="E19" i="1" l="1"/>
  <c r="E21" i="1" l="1"/>
  <c r="E15" i="1"/>
  <c r="F15" i="1" s="1"/>
  <c r="H15" i="1" s="1"/>
  <c r="F19" i="1"/>
  <c r="H19" i="1" s="1"/>
  <c r="E23" i="1" l="1"/>
  <c r="F21" i="1"/>
  <c r="H21" i="1" s="1"/>
  <c r="E25" i="1" l="1"/>
  <c r="F23" i="1"/>
  <c r="H23" i="1" s="1"/>
  <c r="F25" i="1" l="1"/>
  <c r="H25" i="1" s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2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10 Non-Hurricane Years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  <author>jmurphy</author>
  </authors>
  <commentList>
    <comment ref="F39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subtract a certain number</t>
        </r>
      </text>
    </comment>
    <comment ref="K41" authorId="1" shapeId="0" xr:uid="{00000000-0006-0000-2000-000002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Dolly Ike Lit Reduction spreadsheet</t>
        </r>
      </text>
    </comment>
  </commentList>
</comments>
</file>

<file path=xl/sharedStrings.xml><?xml version="1.0" encoding="utf-8"?>
<sst xmlns="http://schemas.openxmlformats.org/spreadsheetml/2006/main" count="1250" uniqueCount="441">
  <si>
    <t>Texas Windstorm Insurance Association</t>
  </si>
  <si>
    <t>Residential Property - Wind &amp; Hail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</si>
  <si>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</si>
  <si>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</si>
  <si>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</si>
  <si>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</si>
  <si>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</si>
  <si>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</si>
  <si>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</si>
  <si>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</si>
  <si>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</si>
  <si>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</si>
  <si>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</si>
  <si>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</si>
  <si>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</si>
  <si>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</si>
  <si>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Hurricane Projection Method</t>
  </si>
  <si>
    <t>Notes:</t>
  </si>
  <si>
    <t>Projected Ultimate Non-Hurricane Loss &amp; LAE Ratio</t>
  </si>
  <si>
    <t>All Territory Weighted Average</t>
  </si>
  <si>
    <t>Exhibit 2</t>
  </si>
  <si>
    <t>Sheet 1</t>
  </si>
  <si>
    <t>Territory</t>
  </si>
  <si>
    <t>Tier 1 - Territory 8</t>
  </si>
  <si>
    <t>Tier 2</t>
  </si>
  <si>
    <t>Tier 1 - Territory 10</t>
  </si>
  <si>
    <t>Tier 1 - Territory 9</t>
  </si>
  <si>
    <t>Amount</t>
  </si>
  <si>
    <t>Share</t>
  </si>
  <si>
    <t>Loss &amp; LAE Ratio</t>
  </si>
  <si>
    <t>Total / Average</t>
  </si>
  <si>
    <t>Tier 1 -- Territory 8 (Galveston County)</t>
  </si>
  <si>
    <t>Sheet 2a</t>
  </si>
  <si>
    <t>Accident Year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</si>
  <si>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</si>
  <si>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</si>
  <si>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</si>
  <si>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</si>
  <si>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</si>
  <si>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</si>
  <si>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</si>
  <si>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</si>
  <si>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</si>
  <si>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</si>
  <si>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</si>
  <si>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</si>
  <si>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Sheet 2b</t>
  </si>
  <si>
    <t>Tier 1 -- Territory 10 (Other Tier 1)</t>
  </si>
  <si>
    <t>Sheet 2c</t>
  </si>
  <si>
    <t>Sheet 2d</t>
  </si>
  <si>
    <t>Tier 2 -- (Territories 1 and 11)</t>
  </si>
  <si>
    <t>Sheet 3a</t>
  </si>
  <si>
    <t>Projected Ultimate Non-Hurricane Loss</t>
  </si>
  <si>
    <t>Accident</t>
  </si>
  <si>
    <t>Year</t>
  </si>
  <si>
    <t>Paid Loss</t>
  </si>
  <si>
    <t>Development</t>
  </si>
  <si>
    <t>Sheet 3b</t>
  </si>
  <si>
    <t>Sheet 3c</t>
  </si>
  <si>
    <t>Sheet 3d</t>
  </si>
  <si>
    <t>Paid Loss Excluding Expense</t>
  </si>
  <si>
    <t>Sheet 4a</t>
  </si>
  <si>
    <t>Sheet 4b</t>
  </si>
  <si>
    <t>Sheet 4c</t>
  </si>
  <si>
    <t>Sheet 4d</t>
  </si>
  <si>
    <t>Paid Loss Development Factors</t>
  </si>
  <si>
    <t>Statewide Industry Extended Coverage Dwelling Paid Loss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</si>
  <si>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</si>
  <si>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</si>
  <si>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</si>
  <si>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</si>
  <si>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</si>
  <si>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</si>
  <si>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</si>
  <si>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</si>
  <si>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</si>
  <si>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</si>
  <si>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</si>
  <si>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</si>
  <si>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</si>
  <si>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</si>
  <si>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</si>
  <si>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</si>
  <si>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</si>
  <si>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</si>
  <si>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</si>
  <si>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</si>
  <si>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</si>
  <si>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</si>
  <si>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</si>
  <si>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</si>
  <si>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</si>
  <si>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</si>
  <si>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ULAE</t>
  </si>
  <si>
    <t>Sheet 5</t>
  </si>
  <si>
    <t>Incurred ALAE Development Factors</t>
  </si>
  <si>
    <t>TWIA Schedule P Incurred ALAE (Including IBNR)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</si>
  <si>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</si>
  <si>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</si>
  <si>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</si>
  <si>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</si>
  <si>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</si>
  <si>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</si>
  <si>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AIR Model</t>
  </si>
  <si>
    <t>RMS Model</t>
  </si>
  <si>
    <t>Average of Models</t>
  </si>
  <si>
    <t>Exhibit 6</t>
  </si>
  <si>
    <t>Industry Experience -- Residential Extended Coverage</t>
  </si>
  <si>
    <t>1971</t>
  </si>
  <si>
    <t>1980</t>
  </si>
  <si>
    <t>1983</t>
  </si>
  <si>
    <t>1986</t>
  </si>
  <si>
    <t>1989</t>
  </si>
  <si>
    <t>1999</t>
  </si>
  <si>
    <t>(10)</t>
  </si>
  <si>
    <t>Start</t>
  </si>
  <si>
    <t>End</t>
  </si>
  <si>
    <t>Simple Average Loss Ratio for Hurricane Years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</si>
  <si>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</si>
  <si>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</si>
  <si>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</si>
  <si>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</si>
  <si>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</si>
  <si>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</si>
  <si>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</si>
  <si>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</si>
  <si>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</si>
  <si>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</si>
  <si>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at CMR</t>
  </si>
  <si>
    <t>Average of Non-Hurricane Years</t>
  </si>
  <si>
    <t>Territory 8</t>
  </si>
  <si>
    <t>Territory 9</t>
  </si>
  <si>
    <t>Territory 10</t>
  </si>
  <si>
    <t>Weighted</t>
  </si>
  <si>
    <t>Loss Ratios by Territory / Tier</t>
  </si>
  <si>
    <t>% Share</t>
  </si>
  <si>
    <t>to TWIA</t>
  </si>
  <si>
    <t>Rate Level</t>
  </si>
  <si>
    <t>Sheet 6</t>
  </si>
  <si>
    <t>Sheet 7</t>
  </si>
  <si>
    <t>Factor to TWIA Rate Level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</si>
  <si>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</si>
  <si>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</si>
  <si>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</si>
  <si>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</si>
  <si>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</si>
  <si>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</si>
  <si>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</si>
  <si>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</si>
  <si>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</si>
  <si>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</si>
  <si>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</si>
  <si>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</si>
  <si>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</si>
  <si>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</si>
  <si>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</si>
  <si>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</si>
  <si>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</si>
  <si>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</si>
  <si>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</si>
  <si>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</si>
  <si>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</si>
  <si>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</si>
  <si>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</si>
  <si>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</si>
  <si>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</si>
  <si>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</si>
  <si>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</si>
  <si>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</si>
  <si>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Hurricane Loss Ratio -- AIR Model</t>
  </si>
  <si>
    <t>AIR Simulated Hurricane Results</t>
  </si>
  <si>
    <t>Exhibit 9</t>
  </si>
  <si>
    <t>Hurricane Loss Ratio -- RMS Model</t>
  </si>
  <si>
    <t>RMS Simulated Hurricane Results</t>
  </si>
  <si>
    <t>Exhibit 10</t>
  </si>
  <si>
    <t>Name</t>
  </si>
  <si>
    <t>Frequency</t>
  </si>
  <si>
    <t>Date Period</t>
  </si>
  <si>
    <t>Hurricanes</t>
  </si>
  <si>
    <t>Annual Frequency</t>
  </si>
  <si>
    <t>Exhibit 11</t>
  </si>
  <si>
    <t>Sheet 1a</t>
  </si>
  <si>
    <t>Manual Rates</t>
  </si>
  <si>
    <t>Sheet 1b</t>
  </si>
  <si>
    <t>Sheet 1c</t>
  </si>
  <si>
    <t>Sheet 1d</t>
  </si>
  <si>
    <t>Calculation of TWIA Earned Premium at Present Rate Level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</si>
  <si>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</si>
  <si>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</si>
  <si>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</si>
  <si>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</si>
  <si>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</si>
  <si>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</si>
  <si>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</si>
  <si>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</si>
  <si>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</si>
  <si>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</si>
  <si>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</si>
  <si>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</si>
  <si>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</si>
  <si>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</si>
  <si>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</si>
  <si>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</si>
  <si>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</si>
  <si>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</si>
  <si>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</si>
  <si>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(15)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</si>
  <si>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</si>
  <si>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</si>
  <si>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</si>
  <si>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</si>
  <si>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</si>
  <si>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</si>
  <si>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</si>
  <si>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</si>
  <si>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CY Data Ending</t>
  </si>
  <si>
    <t>Calendar Year Ending</t>
  </si>
  <si>
    <t>CAY Ending</t>
  </si>
  <si>
    <t>Evaluated as of</t>
  </si>
  <si>
    <t>Latest Annual Statement Date</t>
  </si>
  <si>
    <t>Ultimate LAE (TWIA All Lines)</t>
  </si>
  <si>
    <t>In-Force</t>
  </si>
  <si>
    <t>Trend Length</t>
  </si>
  <si>
    <t>Selected Premium Trend</t>
  </si>
  <si>
    <t>Fixed Expenses and Variable Permissible Loss &amp; LAE Ratios</t>
  </si>
  <si>
    <t>Fixed</t>
  </si>
  <si>
    <t>Expenses</t>
  </si>
  <si>
    <t>LLAE Ratio</t>
  </si>
  <si>
    <t>Current</t>
  </si>
  <si>
    <t>Prospective</t>
  </si>
  <si>
    <t>Premium Trend Analysis</t>
  </si>
  <si>
    <t>Written</t>
  </si>
  <si>
    <t>Year /</t>
  </si>
  <si>
    <t>Period</t>
  </si>
  <si>
    <t>Quarter</t>
  </si>
  <si>
    <t>Index</t>
  </si>
  <si>
    <t>Loss Trend Analysis</t>
  </si>
  <si>
    <t>Summary of Indices and Calculation of Prospective Loss Costs</t>
  </si>
  <si>
    <t>CY Ending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</si>
  <si>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</si>
  <si>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</si>
  <si>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</si>
  <si>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</si>
  <si>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</si>
  <si>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</si>
  <si>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</si>
  <si>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</si>
  <si>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</si>
  <si>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</si>
  <si>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</si>
  <si>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</si>
  <si>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Boeckh Residential Construction Index Trend (Statewide)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</si>
  <si>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</si>
  <si>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</si>
  <si>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</si>
  <si>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</si>
  <si>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</si>
  <si>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</si>
  <si>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</si>
  <si>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</si>
  <si>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</si>
  <si>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</si>
  <si>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Boeckh Residential Construction Index Trend (Coastal)</t>
  </si>
  <si>
    <t>Modified Consumer Price Index - External Trend</t>
  </si>
  <si>
    <t>1970</t>
  </si>
  <si>
    <t>Prior</t>
  </si>
  <si>
    <t>OLF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</si>
  <si>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</si>
  <si>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</si>
  <si>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</si>
  <si>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</si>
  <si>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</si>
  <si>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</si>
  <si>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</si>
  <si>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</si>
  <si>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</si>
  <si>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2003</t>
  </si>
  <si>
    <t>Using Actual Industry Experience</t>
  </si>
  <si>
    <t>Industry Experience</t>
  </si>
  <si>
    <t>Historical Hurricane Frequency</t>
  </si>
  <si>
    <t>Selected Frequency</t>
  </si>
  <si>
    <t>5-Year</t>
  </si>
  <si>
    <t>4-Year</t>
  </si>
  <si>
    <t>3-Year</t>
  </si>
  <si>
    <t>Selected Loss Trend</t>
  </si>
  <si>
    <t>2005</t>
  </si>
  <si>
    <t>at Present Rates</t>
  </si>
  <si>
    <t>Exponential Fitted Trends</t>
  </si>
  <si>
    <t>Level</t>
  </si>
  <si>
    <t>All-Year</t>
  </si>
  <si>
    <t>Correlation Coefficient</t>
  </si>
  <si>
    <t>Average Annual Change</t>
  </si>
  <si>
    <t>(16)</t>
  </si>
  <si>
    <t>Factors</t>
  </si>
  <si>
    <t>TWIA Residential Earned Premium at Present Rates</t>
  </si>
  <si>
    <t>Landfall</t>
  </si>
  <si>
    <t>Month</t>
  </si>
  <si>
    <t>On-</t>
  </si>
  <si>
    <t>Exhibit 7</t>
  </si>
  <si>
    <t>2007</t>
  </si>
  <si>
    <t>2008</t>
  </si>
  <si>
    <t>Using Experience and Models</t>
  </si>
  <si>
    <t>Proposed</t>
  </si>
  <si>
    <t>Development of Reinsurer Expense</t>
  </si>
  <si>
    <t>Using Average of AIR and  RMS Hurricane Models</t>
  </si>
  <si>
    <t>Reinsurance Contract</t>
  </si>
  <si>
    <t>Effective</t>
  </si>
  <si>
    <t>Expiring</t>
  </si>
  <si>
    <t>Average Earned Date</t>
  </si>
  <si>
    <t>(2a)</t>
  </si>
  <si>
    <t>Average Annual Loss by Reinsurance Layer (AIR)</t>
  </si>
  <si>
    <t>Hurricane Model</t>
  </si>
  <si>
    <t>Selected Exposure Trend</t>
  </si>
  <si>
    <t>(2b)</t>
  </si>
  <si>
    <t>Average Annual Loss by Reinsurance Layer (RMS)</t>
  </si>
  <si>
    <t>(2c)</t>
  </si>
  <si>
    <t>Selected Total Average Annual Loss</t>
  </si>
  <si>
    <t>Annual Exposure Growth</t>
  </si>
  <si>
    <t>Prospective Average Annual Loss</t>
  </si>
  <si>
    <t>Net Cost of Reinsurance</t>
  </si>
  <si>
    <t>Indicated Reinsurance Expense %</t>
  </si>
  <si>
    <t>TWIA</t>
  </si>
  <si>
    <t>Projected Ultimate Non-Hurricane Loss &amp; LAE Ratio based on TWIA experience</t>
  </si>
  <si>
    <t>to Current</t>
  </si>
  <si>
    <t>Litigation cost reduction</t>
  </si>
  <si>
    <t/>
  </si>
  <si>
    <t>Note: depop would be 3%</t>
  </si>
  <si>
    <t>at</t>
  </si>
  <si>
    <t>Writen premium</t>
  </si>
  <si>
    <t>At present rates</t>
  </si>
  <si>
    <t xml:space="preserve"> </t>
  </si>
  <si>
    <t>Selected Cumulative</t>
  </si>
  <si>
    <t>Tier 2 -- (Territories 1)</t>
  </si>
  <si>
    <t>Tier 2 -- (Territories 1 )</t>
  </si>
  <si>
    <t xml:space="preserve"> Loss Ratio</t>
  </si>
  <si>
    <t>Wtd Devel'd</t>
  </si>
  <si>
    <t>May consider frequency and severity trend sperately</t>
  </si>
  <si>
    <t xml:space="preserve"> to incorporate the statutory limitations on litigation cost that House Bill 3 provides</t>
  </si>
  <si>
    <t>Exposure</t>
  </si>
  <si>
    <t>Quarterly</t>
  </si>
  <si>
    <t>Four Quarter Ending</t>
  </si>
  <si>
    <t>(6) = (5) / (2)</t>
  </si>
  <si>
    <t>(7) annualized average written premium</t>
  </si>
  <si>
    <t>Per house year</t>
  </si>
  <si>
    <t>(6) a</t>
  </si>
  <si>
    <t>(6) b</t>
  </si>
  <si>
    <t>Selected Average Hurricane Loss Ratio Per Hurricane</t>
  </si>
  <si>
    <t>Cat 3</t>
  </si>
  <si>
    <t>Cat 2</t>
  </si>
  <si>
    <t>Permissible Loss, LAE and Fixed Expense Ratio</t>
  </si>
  <si>
    <t>(6) update to latest year</t>
  </si>
  <si>
    <t>Number of Hurricanes</t>
  </si>
  <si>
    <t>During the Year</t>
  </si>
  <si>
    <t>Hurricane Year</t>
  </si>
  <si>
    <t>Per Hurricane</t>
  </si>
  <si>
    <t>Average Hurricane Loss Ratio per Hurricane</t>
  </si>
  <si>
    <t>(6) b = Selected</t>
  </si>
  <si>
    <t>Statewide Industry Extended Coverage Dwelling Incurred Loss</t>
  </si>
  <si>
    <t>Using RMS Models</t>
  </si>
  <si>
    <t>Using AIR Models</t>
  </si>
  <si>
    <t>Rate Factor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</si>
  <si>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</si>
  <si>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</si>
  <si>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</si>
  <si>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</si>
  <si>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</si>
  <si>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</si>
  <si>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</si>
  <si>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</si>
  <si>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</si>
  <si>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</si>
  <si>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</si>
  <si>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</si>
  <si>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</si>
  <si>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</si>
  <si>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</si>
  <si>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</si>
  <si>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</si>
  <si>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</si>
  <si>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</si>
  <si>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</si>
  <si>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</si>
  <si>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</si>
  <si>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</si>
  <si>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</si>
  <si>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</si>
  <si>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</si>
  <si>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</si>
  <si>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</si>
  <si>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</si>
  <si>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</si>
  <si>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</si>
  <si>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</si>
  <si>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</si>
  <si>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OLFs</t>
  </si>
  <si>
    <t>1968</t>
  </si>
  <si>
    <t>(4) = MAX((3)-(5),0)/(2)</t>
  </si>
  <si>
    <t>(7) = (6) * loss development factors from Exhibit 3.1b</t>
  </si>
  <si>
    <t>Table of Contents</t>
  </si>
  <si>
    <t>Main Heading</t>
  </si>
  <si>
    <t>Sub-heading</t>
  </si>
  <si>
    <t xml:space="preserve">Exhibit </t>
  </si>
  <si>
    <t>Sheet</t>
  </si>
  <si>
    <t>Tab label</t>
  </si>
  <si>
    <t>2.2a</t>
  </si>
  <si>
    <t>2.2b</t>
  </si>
  <si>
    <t>2.2c</t>
  </si>
  <si>
    <t>2.2d</t>
  </si>
  <si>
    <t>2.3a</t>
  </si>
  <si>
    <t>2.3b</t>
  </si>
  <si>
    <t>2.3c</t>
  </si>
  <si>
    <t>2.3d</t>
  </si>
  <si>
    <t>2.4a</t>
  </si>
  <si>
    <t>2.4b</t>
  </si>
  <si>
    <t>2.4c</t>
  </si>
  <si>
    <t>2.4d</t>
  </si>
  <si>
    <t>trend 2.5</t>
  </si>
  <si>
    <t>ldf 3.1a</t>
  </si>
  <si>
    <t>ldf 3.1b</t>
  </si>
  <si>
    <t>3.2 premium trend</t>
  </si>
  <si>
    <t>3.3a</t>
  </si>
  <si>
    <t>3.3b</t>
  </si>
  <si>
    <t>3.3c</t>
  </si>
  <si>
    <t>3.3d</t>
  </si>
  <si>
    <t>4.3AS loss Dev</t>
  </si>
  <si>
    <t>4.5AS LAE Dev</t>
  </si>
  <si>
    <t>10.1a</t>
  </si>
  <si>
    <t>10.1b</t>
  </si>
  <si>
    <t>10.1c</t>
  </si>
  <si>
    <t>10.1d</t>
  </si>
  <si>
    <t>Average of AIR and RMS Models</t>
  </si>
  <si>
    <t>Summary of TWIA Historical Paid Loss as of 12/31/19</t>
  </si>
  <si>
    <t>Texas Hurricanes 1850 - 2019</t>
  </si>
  <si>
    <t>1966 - 2019 -- Hurricane Years Only</t>
  </si>
  <si>
    <t>1966 - 2019</t>
  </si>
  <si>
    <t>Keep most recent 10 years</t>
  </si>
  <si>
    <t>AI</t>
  </si>
  <si>
    <t>Only include latest 10 years</t>
  </si>
  <si>
    <t>LDF 3.1b</t>
  </si>
  <si>
    <t>10 most recent years</t>
  </si>
  <si>
    <t>2021 Rate Level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</si>
</sst>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;@"/>
    <numFmt numFmtId="181" formatCode="0.00000%"/>
    <numFmt numFmtId="182" formatCode="_(* #,##0.0_);_(* \(#,##0.0\);_(* &quot;-&quot;??_);_(@_)"/>
  </numFmts>
  <fonts count="18" x14ac:knownFonts="1"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14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rgb="FF66669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8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76" fontId="9" fillId="0" borderId="0"/>
    <xf numFmtId="173" fontId="9" fillId="0" borderId="0"/>
    <xf numFmtId="174" fontId="9" fillId="0" borderId="0"/>
    <xf numFmtId="177" fontId="9" fillId="0" borderId="0"/>
    <xf numFmtId="175" fontId="9" fillId="0" borderId="0"/>
    <xf numFmtId="172" fontId="9" fillId="0" borderId="0"/>
    <xf numFmtId="0" fontId="4" fillId="0" borderId="0"/>
    <xf numFmtId="9" fontId="1" fillId="0" borderId="0" applyFont="0" applyFill="0" applyBorder="0" applyAlignment="0" applyProtection="0"/>
    <xf numFmtId="164" fontId="9" fillId="0" borderId="0"/>
  </cellStyleXfs>
  <cellXfs count="3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7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164" fontId="5" fillId="0" borderId="0" xfId="9" applyNumberFormat="1" applyFont="1"/>
    <xf numFmtId="165" fontId="5" fillId="0" borderId="0" xfId="9" applyNumberFormat="1" applyFont="1"/>
    <xf numFmtId="165" fontId="4" fillId="0" borderId="0" xfId="9" applyNumberFormat="1" applyFont="1"/>
    <xf numFmtId="0" fontId="5" fillId="0" borderId="0" xfId="0" applyFont="1"/>
    <xf numFmtId="164" fontId="4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0" fontId="4" fillId="0" borderId="0" xfId="0" applyFont="1" applyFill="1"/>
    <xf numFmtId="164" fontId="4" fillId="0" borderId="0" xfId="9" applyNumberFormat="1" applyFont="1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/>
    <xf numFmtId="3" fontId="0" fillId="0" borderId="7" xfId="0" applyNumberFormat="1" applyBorder="1"/>
    <xf numFmtId="164" fontId="0" fillId="0" borderId="0" xfId="0" applyNumberFormat="1" applyFill="1"/>
    <xf numFmtId="164" fontId="0" fillId="0" borderId="7" xfId="0" applyNumberFormat="1" applyFill="1" applyBorder="1"/>
    <xf numFmtId="3" fontId="4" fillId="0" borderId="0" xfId="0" applyNumberFormat="1" applyFont="1" applyFill="1"/>
    <xf numFmtId="3" fontId="4" fillId="0" borderId="7" xfId="0" applyNumberFormat="1" applyFont="1" applyFill="1" applyBorder="1"/>
    <xf numFmtId="3" fontId="0" fillId="0" borderId="0" xfId="0" applyNumberFormat="1" applyFill="1"/>
    <xf numFmtId="3" fontId="0" fillId="0" borderId="7" xfId="0" applyNumberFormat="1" applyFill="1" applyBorder="1"/>
    <xf numFmtId="166" fontId="4" fillId="0" borderId="0" xfId="0" applyNumberFormat="1" applyFont="1" applyFill="1"/>
    <xf numFmtId="166" fontId="0" fillId="0" borderId="0" xfId="0" applyNumberFormat="1" applyFill="1"/>
    <xf numFmtId="166" fontId="0" fillId="0" borderId="7" xfId="0" applyNumberFormat="1" applyFill="1" applyBorder="1"/>
    <xf numFmtId="3" fontId="5" fillId="0" borderId="0" xfId="0" applyNumberFormat="1" applyFont="1" applyFill="1"/>
    <xf numFmtId="167" fontId="4" fillId="0" borderId="0" xfId="0" applyNumberFormat="1" applyFont="1" applyFill="1"/>
    <xf numFmtId="167" fontId="4" fillId="0" borderId="7" xfId="0" applyNumberFormat="1" applyFont="1" applyFill="1" applyBorder="1"/>
    <xf numFmtId="167" fontId="0" fillId="0" borderId="0" xfId="0" applyNumberFormat="1"/>
    <xf numFmtId="167" fontId="6" fillId="0" borderId="0" xfId="0" applyNumberFormat="1" applyFont="1"/>
    <xf numFmtId="166" fontId="0" fillId="0" borderId="0" xfId="0" applyNumberFormat="1"/>
    <xf numFmtId="166" fontId="5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0" applyNumberFormat="1" applyFont="1" applyFill="1"/>
    <xf numFmtId="164" fontId="4" fillId="0" borderId="0" xfId="9" applyNumberFormat="1" applyFont="1" applyFill="1" applyBorder="1"/>
    <xf numFmtId="165" fontId="4" fillId="0" borderId="0" xfId="9" applyNumberFormat="1" applyFont="1" applyFill="1" applyBorder="1"/>
    <xf numFmtId="166" fontId="4" fillId="0" borderId="0" xfId="9" applyNumberFormat="1" applyFont="1" applyFill="1"/>
    <xf numFmtId="0" fontId="0" fillId="0" borderId="0" xfId="0" quotePrefix="1"/>
    <xf numFmtId="0" fontId="0" fillId="0" borderId="0" xfId="0" applyFill="1" applyAlignment="1">
      <alignment horizontal="left"/>
    </xf>
    <xf numFmtId="3" fontId="0" fillId="0" borderId="0" xfId="0" applyNumberFormat="1" applyBorder="1"/>
    <xf numFmtId="0" fontId="0" fillId="0" borderId="0" xfId="0" applyFill="1"/>
    <xf numFmtId="164" fontId="4" fillId="0" borderId="0" xfId="0" applyNumberFormat="1" applyFont="1" applyFill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NumberFormat="1" applyAlignment="1">
      <alignment horizontal="center"/>
    </xf>
    <xf numFmtId="0" fontId="0" fillId="0" borderId="0" xfId="0" quotePrefix="1" applyFill="1"/>
    <xf numFmtId="166" fontId="4" fillId="0" borderId="7" xfId="0" applyNumberFormat="1" applyFont="1" applyFill="1" applyBorder="1"/>
    <xf numFmtId="3" fontId="5" fillId="0" borderId="7" xfId="0" applyNumberFormat="1" applyFont="1" applyFill="1" applyBorder="1"/>
    <xf numFmtId="14" fontId="0" fillId="0" borderId="0" xfId="0" applyNumberFormat="1"/>
    <xf numFmtId="49" fontId="4" fillId="0" borderId="7" xfId="0" applyNumberFormat="1" applyFont="1" applyBorder="1"/>
    <xf numFmtId="164" fontId="4" fillId="0" borderId="7" xfId="0" applyNumberFormat="1" applyFont="1" applyFill="1" applyBorder="1"/>
    <xf numFmtId="0" fontId="4" fillId="0" borderId="0" xfId="0" applyNumberFormat="1" applyFont="1" applyFill="1"/>
    <xf numFmtId="0" fontId="0" fillId="0" borderId="0" xfId="0" applyNumberFormat="1"/>
    <xf numFmtId="0" fontId="4" fillId="0" borderId="0" xfId="0" applyNumberFormat="1" applyFont="1"/>
    <xf numFmtId="14" fontId="0" fillId="0" borderId="0" xfId="0" applyNumberFormat="1" applyFill="1"/>
    <xf numFmtId="166" fontId="0" fillId="0" borderId="0" xfId="0" applyNumberFormat="1" applyFill="1" applyBorder="1"/>
    <xf numFmtId="164" fontId="4" fillId="0" borderId="0" xfId="0" applyNumberFormat="1" applyFont="1"/>
    <xf numFmtId="170" fontId="4" fillId="0" borderId="0" xfId="9" applyNumberFormat="1" applyFont="1" applyFill="1"/>
    <xf numFmtId="0" fontId="6" fillId="0" borderId="0" xfId="0" applyFont="1" applyFill="1"/>
    <xf numFmtId="14" fontId="6" fillId="0" borderId="0" xfId="0" applyNumberFormat="1" applyFont="1" applyFill="1"/>
    <xf numFmtId="3" fontId="7" fillId="0" borderId="0" xfId="0" applyNumberFormat="1" applyFont="1" applyFill="1"/>
    <xf numFmtId="3" fontId="7" fillId="0" borderId="7" xfId="0" applyNumberFormat="1" applyFont="1" applyFill="1" applyBorder="1"/>
    <xf numFmtId="14" fontId="7" fillId="0" borderId="0" xfId="0" applyNumberFormat="1" applyFont="1"/>
    <xf numFmtId="14" fontId="7" fillId="0" borderId="0" xfId="0" applyNumberFormat="1" applyFont="1" applyFill="1"/>
    <xf numFmtId="14" fontId="4" fillId="0" borderId="0" xfId="0" applyNumberFormat="1" applyFont="1"/>
    <xf numFmtId="164" fontId="4" fillId="0" borderId="7" xfId="9" applyNumberFormat="1" applyFont="1" applyFill="1" applyBorder="1"/>
    <xf numFmtId="49" fontId="5" fillId="0" borderId="0" xfId="0" applyNumberFormat="1" applyFont="1" applyFill="1"/>
    <xf numFmtId="0" fontId="6" fillId="0" borderId="0" xfId="0" applyFont="1"/>
    <xf numFmtId="0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/>
    <xf numFmtId="3" fontId="7" fillId="0" borderId="0" xfId="0" applyNumberFormat="1" applyFont="1"/>
    <xf numFmtId="3" fontId="7" fillId="0" borderId="7" xfId="0" applyNumberFormat="1" applyFont="1" applyBorder="1"/>
    <xf numFmtId="164" fontId="7" fillId="0" borderId="0" xfId="0" applyNumberFormat="1" applyFont="1" applyFill="1"/>
    <xf numFmtId="169" fontId="7" fillId="0" borderId="0" xfId="0" applyNumberFormat="1" applyFont="1" applyFill="1"/>
    <xf numFmtId="14" fontId="5" fillId="0" borderId="0" xfId="0" applyNumberFormat="1" applyFont="1"/>
    <xf numFmtId="166" fontId="6" fillId="0" borderId="0" xfId="0" applyNumberFormat="1" applyFont="1"/>
    <xf numFmtId="0" fontId="0" fillId="0" borderId="0" xfId="0" applyFont="1"/>
    <xf numFmtId="0" fontId="0" fillId="0" borderId="0" xfId="0" applyFont="1" applyFill="1"/>
    <xf numFmtId="166" fontId="0" fillId="0" borderId="0" xfId="0" applyNumberFormat="1" applyFont="1" applyFill="1"/>
    <xf numFmtId="0" fontId="4" fillId="0" borderId="0" xfId="0" applyFont="1" applyBorder="1"/>
    <xf numFmtId="0" fontId="0" fillId="0" borderId="0" xfId="0" applyBorder="1" applyAlignment="1">
      <alignment horizontal="centerContinuous"/>
    </xf>
    <xf numFmtId="3" fontId="7" fillId="0" borderId="0" xfId="0" applyNumberFormat="1" applyFont="1" applyFill="1" applyBorder="1"/>
    <xf numFmtId="166" fontId="4" fillId="0" borderId="0" xfId="0" applyNumberFormat="1" applyFont="1" applyFill="1" applyBorder="1"/>
    <xf numFmtId="166" fontId="0" fillId="0" borderId="0" xfId="0" applyNumberFormat="1" applyBorder="1"/>
    <xf numFmtId="0" fontId="4" fillId="0" borderId="0" xfId="0" quotePrefix="1" applyFont="1"/>
    <xf numFmtId="0" fontId="4" fillId="0" borderId="0" xfId="0" applyFont="1" applyFill="1" applyBorder="1"/>
    <xf numFmtId="164" fontId="6" fillId="0" borderId="0" xfId="0" applyNumberFormat="1" applyFont="1" applyFill="1" applyBorder="1"/>
    <xf numFmtId="0" fontId="4" fillId="0" borderId="0" xfId="8"/>
    <xf numFmtId="3" fontId="7" fillId="0" borderId="0" xfId="8" applyNumberFormat="1" applyFont="1" applyFill="1"/>
    <xf numFmtId="3" fontId="7" fillId="0" borderId="0" xfId="8" applyNumberFormat="1" applyFont="1" applyFill="1" applyBorder="1"/>
    <xf numFmtId="0" fontId="4" fillId="0" borderId="0" xfId="0" quotePrefix="1" applyFont="1" applyAlignment="1"/>
    <xf numFmtId="0" fontId="0" fillId="0" borderId="0" xfId="0" applyBorder="1" applyAlignment="1"/>
    <xf numFmtId="0" fontId="6" fillId="0" borderId="0" xfId="0" applyNumberFormat="1" applyFont="1"/>
    <xf numFmtId="0" fontId="0" fillId="0" borderId="0" xfId="0" quotePrefix="1" applyBorder="1" applyAlignment="1"/>
    <xf numFmtId="0" fontId="0" fillId="0" borderId="0" xfId="0" quotePrefix="1" applyFill="1" applyBorder="1" applyAlignment="1"/>
    <xf numFmtId="0" fontId="0" fillId="0" borderId="0" xfId="0" applyBorder="1" applyAlignment="1">
      <alignment horizontal="center"/>
    </xf>
    <xf numFmtId="2" fontId="4" fillId="0" borderId="0" xfId="0" applyNumberFormat="1" applyFont="1" applyFill="1"/>
    <xf numFmtId="14" fontId="0" fillId="0" borderId="7" xfId="0" applyNumberFormat="1" applyBorder="1"/>
    <xf numFmtId="2" fontId="4" fillId="0" borderId="7" xfId="0" applyNumberFormat="1" applyFont="1" applyFill="1" applyBorder="1"/>
    <xf numFmtId="0" fontId="0" fillId="0" borderId="0" xfId="0" applyFill="1" applyBorder="1" applyAlignment="1"/>
    <xf numFmtId="0" fontId="7" fillId="0" borderId="0" xfId="0" applyFont="1"/>
    <xf numFmtId="167" fontId="5" fillId="0" borderId="0" xfId="0" applyNumberFormat="1" applyFont="1"/>
    <xf numFmtId="167" fontId="7" fillId="0" borderId="0" xfId="0" applyNumberFormat="1" applyFont="1" applyFill="1"/>
    <xf numFmtId="3" fontId="4" fillId="0" borderId="0" xfId="0" applyNumberFormat="1" applyFont="1" applyFill="1" applyBorder="1"/>
    <xf numFmtId="166" fontId="5" fillId="0" borderId="0" xfId="0" applyNumberFormat="1" applyFont="1"/>
    <xf numFmtId="166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0" xfId="0" quotePrefix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0" xfId="0" quotePrefix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right"/>
    </xf>
    <xf numFmtId="166" fontId="0" fillId="0" borderId="0" xfId="0" applyNumberFormat="1" applyProtection="1"/>
    <xf numFmtId="166" fontId="0" fillId="0" borderId="0" xfId="0" applyNumberFormat="1" applyFont="1" applyFill="1" applyBorder="1" applyProtection="1"/>
    <xf numFmtId="168" fontId="0" fillId="0" borderId="0" xfId="0" applyNumberFormat="1" applyFont="1" applyFill="1" applyAlignment="1" applyProtection="1"/>
    <xf numFmtId="166" fontId="0" fillId="0" borderId="0" xfId="0" applyNumberFormat="1" applyFont="1" applyFill="1" applyProtection="1"/>
    <xf numFmtId="3" fontId="0" fillId="0" borderId="0" xfId="0" applyNumberFormat="1" applyProtection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4" fillId="0" borderId="0" xfId="0" applyNumberFormat="1" applyFont="1" applyFill="1" applyBorder="1" applyProtection="1"/>
    <xf numFmtId="49" fontId="4" fillId="0" borderId="0" xfId="0" applyNumberFormat="1" applyFont="1" applyBorder="1"/>
    <xf numFmtId="164" fontId="5" fillId="0" borderId="0" xfId="9" applyNumberFormat="1" applyFont="1" applyFill="1"/>
    <xf numFmtId="1" fontId="4" fillId="0" borderId="0" xfId="0" applyNumberFormat="1" applyFont="1" applyFill="1"/>
    <xf numFmtId="166" fontId="6" fillId="0" borderId="0" xfId="0" applyNumberFormat="1" applyFont="1" applyFill="1" applyBorder="1"/>
    <xf numFmtId="0" fontId="6" fillId="0" borderId="0" xfId="0" applyFont="1" applyFill="1" applyAlignment="1" applyProtection="1">
      <alignment horizontal="left"/>
    </xf>
    <xf numFmtId="4" fontId="4" fillId="0" borderId="0" xfId="0" applyNumberFormat="1" applyFont="1" applyFill="1" applyAlignment="1" applyProtection="1"/>
    <xf numFmtId="0" fontId="0" fillId="0" borderId="0" xfId="0" applyFill="1" applyBorder="1" applyAlignment="1">
      <alignment horizontal="left"/>
    </xf>
    <xf numFmtId="170" fontId="4" fillId="0" borderId="0" xfId="9" applyNumberFormat="1" applyFont="1" applyFill="1" applyBorder="1"/>
    <xf numFmtId="49" fontId="5" fillId="0" borderId="0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 applyBorder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2" fontId="4" fillId="0" borderId="0" xfId="0" applyNumberFormat="1" applyFont="1" applyFill="1" applyBorder="1"/>
    <xf numFmtId="164" fontId="0" fillId="0" borderId="0" xfId="0" applyNumberFormat="1" applyBorder="1"/>
    <xf numFmtId="0" fontId="4" fillId="0" borderId="7" xfId="0" applyFont="1" applyBorder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 applyBorder="1"/>
    <xf numFmtId="4" fontId="0" fillId="0" borderId="7" xfId="0" applyNumberFormat="1" applyFont="1" applyBorder="1"/>
    <xf numFmtId="178" fontId="0" fillId="0" borderId="0" xfId="0" applyNumberFormat="1" applyFont="1"/>
    <xf numFmtId="0" fontId="0" fillId="0" borderId="7" xfId="0" applyNumberFormat="1" applyBorder="1"/>
    <xf numFmtId="3" fontId="7" fillId="0" borderId="0" xfId="0" applyNumberFormat="1" applyFont="1" applyFill="1" applyAlignment="1"/>
    <xf numFmtId="3" fontId="7" fillId="0" borderId="7" xfId="0" applyNumberFormat="1" applyFont="1" applyFill="1" applyBorder="1" applyAlignment="1"/>
    <xf numFmtId="4" fontId="4" fillId="0" borderId="7" xfId="0" applyNumberFormat="1" applyFont="1" applyBorder="1"/>
    <xf numFmtId="0" fontId="7" fillId="0" borderId="7" xfId="0" applyFont="1" applyBorder="1"/>
    <xf numFmtId="166" fontId="4" fillId="0" borderId="0" xfId="0" applyNumberFormat="1" applyFont="1" applyFill="1" applyAlignment="1">
      <alignment horizontal="left"/>
    </xf>
    <xf numFmtId="167" fontId="4" fillId="0" borderId="7" xfId="0" applyNumberFormat="1" applyFont="1" applyBorder="1"/>
    <xf numFmtId="170" fontId="4" fillId="0" borderId="7" xfId="9" applyNumberFormat="1" applyFont="1" applyFill="1" applyBorder="1"/>
    <xf numFmtId="0" fontId="4" fillId="0" borderId="7" xfId="0" applyFont="1" applyBorder="1" applyAlignment="1">
      <alignment horizontal="left"/>
    </xf>
    <xf numFmtId="3" fontId="7" fillId="0" borderId="0" xfId="0" applyNumberFormat="1" applyFont="1" applyBorder="1"/>
    <xf numFmtId="0" fontId="0" fillId="0" borderId="7" xfId="0" applyFill="1" applyBorder="1"/>
    <xf numFmtId="164" fontId="4" fillId="0" borderId="7" xfId="9" applyNumberFormat="1" applyFont="1" applyBorder="1"/>
    <xf numFmtId="165" fontId="4" fillId="0" borderId="7" xfId="9" applyNumberFormat="1" applyFont="1" applyBorder="1"/>
    <xf numFmtId="14" fontId="6" fillId="0" borderId="0" xfId="0" applyNumberFormat="1" applyFont="1"/>
    <xf numFmtId="0" fontId="5" fillId="0" borderId="0" xfId="0" applyFont="1" applyAlignment="1">
      <alignment horizontal="left"/>
    </xf>
    <xf numFmtId="2" fontId="7" fillId="0" borderId="0" xfId="0" applyNumberFormat="1" applyFont="1" applyFill="1"/>
    <xf numFmtId="2" fontId="7" fillId="0" borderId="7" xfId="0" applyNumberFormat="1" applyFont="1" applyFill="1" applyBorder="1"/>
    <xf numFmtId="179" fontId="6" fillId="0" borderId="0" xfId="9" applyNumberFormat="1" applyFont="1"/>
    <xf numFmtId="166" fontId="10" fillId="0" borderId="0" xfId="0" applyNumberFormat="1" applyFont="1" applyFill="1" applyProtection="1"/>
    <xf numFmtId="166" fontId="4" fillId="0" borderId="0" xfId="0" applyNumberFormat="1" applyFont="1" applyFill="1" applyProtection="1"/>
    <xf numFmtId="0" fontId="4" fillId="0" borderId="0" xfId="0" applyFont="1" applyAlignment="1">
      <alignment horizontal="right"/>
    </xf>
    <xf numFmtId="166" fontId="7" fillId="0" borderId="0" xfId="0" applyNumberFormat="1" applyFont="1"/>
    <xf numFmtId="164" fontId="6" fillId="0" borderId="0" xfId="9" applyNumberFormat="1" applyFont="1" applyFill="1"/>
    <xf numFmtId="166" fontId="0" fillId="0" borderId="6" xfId="0" applyNumberFormat="1" applyBorder="1" applyProtection="1"/>
    <xf numFmtId="166" fontId="6" fillId="0" borderId="7" xfId="0" applyNumberFormat="1" applyFont="1" applyFill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/>
    <xf numFmtId="170" fontId="0" fillId="0" borderId="0" xfId="9" applyNumberFormat="1" applyFont="1" applyFill="1" applyBorder="1"/>
    <xf numFmtId="164" fontId="12" fillId="0" borderId="0" xfId="9" applyNumberFormat="1" applyFont="1" applyFill="1"/>
    <xf numFmtId="3" fontId="0" fillId="0" borderId="0" xfId="0" applyNumberFormat="1" applyFont="1" applyFill="1"/>
    <xf numFmtId="3" fontId="0" fillId="0" borderId="7" xfId="0" applyNumberFormat="1" applyFont="1" applyFill="1" applyBorder="1"/>
    <xf numFmtId="166" fontId="13" fillId="0" borderId="0" xfId="0" applyNumberFormat="1" applyFont="1" applyFill="1"/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Fill="1" applyAlignment="1"/>
    <xf numFmtId="0" fontId="0" fillId="0" borderId="0" xfId="0" applyAlignment="1"/>
    <xf numFmtId="0" fontId="0" fillId="0" borderId="7" xfId="0" applyBorder="1" applyAlignment="1"/>
    <xf numFmtId="166" fontId="7" fillId="0" borderId="0" xfId="0" applyNumberFormat="1" applyFont="1" applyFill="1" applyBorder="1"/>
    <xf numFmtId="16" fontId="0" fillId="0" borderId="0" xfId="0" applyNumberFormat="1"/>
    <xf numFmtId="3" fontId="12" fillId="0" borderId="0" xfId="0" applyNumberFormat="1" applyFont="1" applyFill="1"/>
    <xf numFmtId="3" fontId="12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9" applyNumberFormat="1" applyFont="1" applyFill="1" applyBorder="1"/>
    <xf numFmtId="166" fontId="13" fillId="0" borderId="0" xfId="0" applyNumberFormat="1" applyFont="1" applyFill="1" applyBorder="1"/>
    <xf numFmtId="167" fontId="12" fillId="0" borderId="0" xfId="0" applyNumberFormat="1" applyFont="1" applyFill="1"/>
    <xf numFmtId="3" fontId="7" fillId="0" borderId="6" xfId="0" applyNumberFormat="1" applyFont="1" applyFill="1" applyBorder="1"/>
    <xf numFmtId="167" fontId="7" fillId="0" borderId="6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NumberFormat="1" applyBorder="1"/>
    <xf numFmtId="3" fontId="7" fillId="0" borderId="0" xfId="0" applyNumberFormat="1" applyFont="1" applyFill="1" applyBorder="1" applyAlignment="1"/>
    <xf numFmtId="167" fontId="4" fillId="0" borderId="0" xfId="0" applyNumberFormat="1" applyFont="1" applyBorder="1"/>
    <xf numFmtId="4" fontId="0" fillId="0" borderId="0" xfId="0" applyNumberFormat="1" applyFont="1" applyBorder="1"/>
    <xf numFmtId="4" fontId="4" fillId="0" borderId="0" xfId="0" applyNumberFormat="1" applyFont="1" applyBorder="1"/>
    <xf numFmtId="0" fontId="4" fillId="0" borderId="0" xfId="0" quotePrefix="1" applyFont="1" applyBorder="1"/>
    <xf numFmtId="4" fontId="0" fillId="0" borderId="0" xfId="0" applyNumberFormat="1" applyProtection="1"/>
    <xf numFmtId="3" fontId="12" fillId="0" borderId="0" xfId="0" applyNumberFormat="1" applyFont="1" applyFill="1" applyAlignment="1">
      <alignment horizontal="left"/>
    </xf>
    <xf numFmtId="0" fontId="12" fillId="0" borderId="0" xfId="0" applyFont="1"/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 applyFill="1"/>
    <xf numFmtId="166" fontId="7" fillId="0" borderId="0" xfId="0" applyNumberFormat="1" applyFont="1" applyFill="1"/>
    <xf numFmtId="14" fontId="4" fillId="0" borderId="0" xfId="0" applyNumberFormat="1" applyFont="1" applyAlignment="1">
      <alignment horizontal="right"/>
    </xf>
    <xf numFmtId="0" fontId="0" fillId="0" borderId="0" xfId="0" applyFill="1" applyAlignment="1"/>
    <xf numFmtId="49" fontId="0" fillId="0" borderId="0" xfId="0" applyNumberFormat="1" applyFill="1" applyAlignment="1"/>
    <xf numFmtId="0" fontId="0" fillId="0" borderId="0" xfId="0" applyNumberFormat="1" applyAlignment="1">
      <alignment horizontal="left"/>
    </xf>
    <xf numFmtId="180" fontId="0" fillId="0" borderId="0" xfId="0" quotePrefix="1" applyNumberFormat="1" applyAlignment="1">
      <alignment horizontal="left"/>
    </xf>
    <xf numFmtId="3" fontId="14" fillId="0" borderId="0" xfId="0" applyNumberFormat="1" applyFont="1" applyFill="1"/>
    <xf numFmtId="164" fontId="7" fillId="0" borderId="0" xfId="0" applyNumberFormat="1" applyFont="1" applyFill="1" applyBorder="1"/>
    <xf numFmtId="3" fontId="12" fillId="0" borderId="7" xfId="0" applyNumberFormat="1" applyFont="1" applyFill="1" applyBorder="1"/>
    <xf numFmtId="164" fontId="12" fillId="0" borderId="7" xfId="9" applyNumberFormat="1" applyFont="1" applyFill="1" applyBorder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81" fontId="4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178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71" fontId="0" fillId="0" borderId="0" xfId="0" applyNumberFormat="1" applyFont="1"/>
    <xf numFmtId="171" fontId="4" fillId="0" borderId="0" xfId="0" applyNumberFormat="1" applyFont="1"/>
    <xf numFmtId="171" fontId="0" fillId="0" borderId="0" xfId="0" applyNumberFormat="1" applyBorder="1"/>
    <xf numFmtId="171" fontId="0" fillId="0" borderId="0" xfId="0" applyNumberFormat="1" applyFont="1" applyFill="1" applyAlignment="1"/>
    <xf numFmtId="0" fontId="14" fillId="0" borderId="0" xfId="0" quotePrefix="1" applyFont="1"/>
    <xf numFmtId="0" fontId="14" fillId="0" borderId="0" xfId="0" applyFont="1"/>
    <xf numFmtId="0" fontId="14" fillId="0" borderId="0" xfId="0" applyFont="1" applyBorder="1"/>
    <xf numFmtId="167" fontId="4" fillId="0" borderId="0" xfId="0" applyNumberFormat="1" applyFont="1" applyFill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7" xfId="0" applyBorder="1" applyProtection="1">
      <protection locked="0"/>
    </xf>
    <xf numFmtId="166" fontId="4" fillId="0" borderId="0" xfId="0" applyNumberFormat="1" applyFont="1" applyFill="1" applyAlignment="1">
      <alignment horizontal="center"/>
    </xf>
    <xf numFmtId="4" fontId="0" fillId="0" borderId="0" xfId="0" applyNumberFormat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164" fontId="6" fillId="0" borderId="6" xfId="0" applyNumberFormat="1" applyFont="1" applyBorder="1"/>
    <xf numFmtId="3" fontId="15" fillId="0" borderId="0" xfId="0" applyNumberFormat="1" applyFont="1" applyFill="1" applyAlignment="1"/>
    <xf numFmtId="166" fontId="4" fillId="0" borderId="7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left"/>
    </xf>
    <xf numFmtId="0" fontId="0" fillId="0" borderId="16" xfId="0" applyBorder="1"/>
    <xf numFmtId="14" fontId="4" fillId="0" borderId="0" xfId="0" applyNumberFormat="1" applyFont="1" applyAlignment="1">
      <alignment horizontal="center"/>
    </xf>
    <xf numFmtId="0" fontId="0" fillId="0" borderId="17" xfId="0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ill="1"/>
    <xf numFmtId="43" fontId="0" fillId="0" borderId="0" xfId="1" applyFont="1"/>
    <xf numFmtId="0" fontId="14" fillId="0" borderId="0" xfId="0" applyFont="1" applyFill="1"/>
    <xf numFmtId="0" fontId="0" fillId="0" borderId="16" xfId="0" applyFill="1" applyBorder="1"/>
    <xf numFmtId="0" fontId="0" fillId="0" borderId="0" xfId="0" quotePrefix="1" applyFill="1" applyAlignment="1">
      <alignment horizontal="center"/>
    </xf>
    <xf numFmtId="0" fontId="0" fillId="0" borderId="7" xfId="0" applyFont="1" applyBorder="1"/>
    <xf numFmtId="37" fontId="0" fillId="0" borderId="0" xfId="1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quotePrefix="1" applyFont="1"/>
    <xf numFmtId="3" fontId="0" fillId="0" borderId="0" xfId="0" applyNumberFormat="1" applyFont="1"/>
    <xf numFmtId="166" fontId="4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right"/>
    </xf>
    <xf numFmtId="164" fontId="1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12" fillId="0" borderId="0" xfId="0" applyNumberFormat="1" applyFont="1" applyFill="1"/>
    <xf numFmtId="2" fontId="7" fillId="0" borderId="0" xfId="0" applyNumberFormat="1" applyFont="1"/>
    <xf numFmtId="14" fontId="12" fillId="0" borderId="0" xfId="0" applyNumberFormat="1" applyFont="1" applyFill="1" applyProtection="1"/>
    <xf numFmtId="14" fontId="12" fillId="0" borderId="0" xfId="0" applyNumberFormat="1" applyFont="1" applyFill="1" applyProtection="1">
      <protection locked="0"/>
    </xf>
    <xf numFmtId="3" fontId="5" fillId="0" borderId="0" xfId="0" applyNumberFormat="1" applyFont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182" fontId="0" fillId="0" borderId="0" xfId="1" applyNumberFormat="1" applyFont="1"/>
    <xf numFmtId="164" fontId="0" fillId="0" borderId="6" xfId="0" applyNumberFormat="1" applyBorder="1"/>
    <xf numFmtId="9" fontId="0" fillId="0" borderId="6" xfId="0" applyNumberFormat="1" applyBorder="1"/>
    <xf numFmtId="0" fontId="0" fillId="0" borderId="18" xfId="0" applyFill="1" applyBorder="1"/>
    <xf numFmtId="0" fontId="0" fillId="0" borderId="18" xfId="0" applyBorder="1" applyAlignment="1">
      <alignment horizontal="left"/>
    </xf>
    <xf numFmtId="3" fontId="7" fillId="0" borderId="18" xfId="0" applyNumberFormat="1" applyFont="1" applyFill="1" applyBorder="1"/>
    <xf numFmtId="166" fontId="7" fillId="0" borderId="18" xfId="0" applyNumberFormat="1" applyFont="1" applyFill="1" applyBorder="1"/>
    <xf numFmtId="3" fontId="4" fillId="0" borderId="18" xfId="0" applyNumberFormat="1" applyFont="1" applyFill="1" applyBorder="1"/>
    <xf numFmtId="164" fontId="4" fillId="0" borderId="18" xfId="9" applyNumberFormat="1" applyFont="1" applyFill="1" applyBorder="1"/>
    <xf numFmtId="0" fontId="0" fillId="0" borderId="18" xfId="0" applyBorder="1"/>
    <xf numFmtId="169" fontId="6" fillId="3" borderId="0" xfId="0" applyNumberFormat="1" applyFont="1" applyFill="1"/>
    <xf numFmtId="0" fontId="17" fillId="0" borderId="0" xfId="0" applyFont="1"/>
    <xf numFmtId="3" fontId="0" fillId="0" borderId="18" xfId="0" applyNumberFormat="1" applyFill="1" applyBorder="1"/>
    <xf numFmtId="164" fontId="0" fillId="0" borderId="18" xfId="0" applyNumberFormat="1" applyFill="1" applyBorder="1"/>
    <xf numFmtId="0" fontId="5" fillId="0" borderId="0" xfId="0" applyNumberFormat="1" applyFont="1" applyFill="1" applyBorder="1" applyAlignment="1">
      <alignment horizontal="left"/>
    </xf>
    <xf numFmtId="49" fontId="4" fillId="0" borderId="18" xfId="0" applyNumberFormat="1" applyFont="1" applyFill="1" applyBorder="1"/>
    <xf numFmtId="3" fontId="0" fillId="0" borderId="18" xfId="0" applyNumberFormat="1" applyBorder="1"/>
    <xf numFmtId="3" fontId="5" fillId="0" borderId="18" xfId="0" applyNumberFormat="1" applyFont="1" applyFill="1" applyBorder="1"/>
    <xf numFmtId="167" fontId="14" fillId="0" borderId="0" xfId="0" applyNumberFormat="1" applyFont="1"/>
    <xf numFmtId="164" fontId="14" fillId="0" borderId="0" xfId="0" applyNumberFormat="1" applyFont="1" applyFill="1"/>
    <xf numFmtId="0" fontId="14" fillId="0" borderId="0" xfId="0" applyFont="1" applyFill="1" applyBorder="1"/>
    <xf numFmtId="0" fontId="0" fillId="0" borderId="6" xfId="0" applyFill="1" applyBorder="1"/>
    <xf numFmtId="3" fontId="0" fillId="0" borderId="0" xfId="0" applyNumberFormat="1" applyFont="1" applyAlignment="1">
      <alignment horizontal="center"/>
    </xf>
    <xf numFmtId="3" fontId="0" fillId="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left"/>
    </xf>
    <xf numFmtId="40" fontId="0" fillId="0" borderId="0" xfId="0" applyNumberFormat="1" applyBorder="1"/>
    <xf numFmtId="6" fontId="0" fillId="0" borderId="0" xfId="0" applyNumberForma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urrency [1]" xfId="6" xr:uid="{00000000-0005-0000-0000-000005000000}"/>
    <cellStyle name="Currency [2]" xfId="7" xr:uid="{00000000-0005-0000-0000-000006000000}"/>
    <cellStyle name="Normal" xfId="0" builtinId="0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666699"/>
      <color rgb="FFCC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85725</xdr:rowOff>
    </xdr:from>
    <xdr:ext cx="223622" cy="2733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12EECE-2859-4A07-98C9-3E594815E6F3}"/>
            </a:ext>
          </a:extLst>
        </xdr:cNvPr>
        <xdr:cNvSpPr txBox="1"/>
      </xdr:nvSpPr>
      <xdr:spPr>
        <a:xfrm>
          <a:off x="8193405" y="4139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ebpage%20Publication/Files%20from%202019/2019%20Residential%20Memo%20Exhibit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ebpage%20Publication/2020%20Residential%20Indications%20Exhibi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2018%20Residential%20Indications%20-%20Ed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Commercial%20Indications%20Exhibi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TDI%20Filing/2019%20Commercial%20Indication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ebpage%20Publication/2020%20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ork%20Files/Rate%20changes%20to%201988%20Version/2020%20Commercial%20Indications%20-%20updated%20OL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>
        <row r="1">
          <cell r="K1" t="str">
            <v>Exhibit 1</v>
          </cell>
        </row>
        <row r="5">
          <cell r="A5" t="str">
            <v>By Method for Projecting Hurricane Loss &amp; LAE</v>
          </cell>
        </row>
      </sheetData>
      <sheetData sheetId="3">
        <row r="1">
          <cell r="J1" t="str">
            <v>Exhibit 2</v>
          </cell>
        </row>
        <row r="2">
          <cell r="J2" t="str">
            <v>Sheet 1</v>
          </cell>
        </row>
        <row r="4">
          <cell r="A4" t="str">
            <v>Projected Ultimate Non-Hurricane Loss &amp; LAE Ratio</v>
          </cell>
        </row>
        <row r="5">
          <cell r="A5" t="str">
            <v>All Territory Weighted Average</v>
          </cell>
        </row>
      </sheetData>
      <sheetData sheetId="4">
        <row r="1">
          <cell r="J1" t="str">
            <v>Exhibit 2</v>
          </cell>
        </row>
        <row r="2">
          <cell r="J2" t="str">
            <v>Sheet 2a</v>
          </cell>
        </row>
        <row r="4">
          <cell r="A4" t="str">
            <v>Projected Ultimate Non-Hurricane Loss &amp; LAE Ratio based on TWIA experience</v>
          </cell>
        </row>
        <row r="5">
          <cell r="A5" t="str">
            <v>Tier 1 -- Territory 8 (Galveston County)</v>
          </cell>
        </row>
      </sheetData>
      <sheetData sheetId="5">
        <row r="1">
          <cell r="J1" t="str">
            <v>Exhibit 2</v>
          </cell>
        </row>
        <row r="2">
          <cell r="J2" t="str">
            <v>Sheet 2b</v>
          </cell>
        </row>
        <row r="4">
          <cell r="A4" t="str">
            <v>Projected Ultimate Non-Hurricane Loss &amp; LAE Ratio based on TWIA experience</v>
          </cell>
        </row>
        <row r="5">
          <cell r="A5" t="str">
            <v>Tier 1 -- Territory 9 (Nueces County)</v>
          </cell>
        </row>
      </sheetData>
      <sheetData sheetId="6">
        <row r="1">
          <cell r="J1" t="str">
            <v>Exhibit 2</v>
          </cell>
        </row>
        <row r="2">
          <cell r="J2" t="str">
            <v>Sheet 2c</v>
          </cell>
        </row>
        <row r="5">
          <cell r="A5" t="str">
            <v>Tier 1 -- Territory 10 (Other Tier 1)</v>
          </cell>
        </row>
      </sheetData>
      <sheetData sheetId="7">
        <row r="1">
          <cell r="J1" t="str">
            <v>Exhibit 2</v>
          </cell>
        </row>
        <row r="2">
          <cell r="J2" t="str">
            <v>Sheet 2d</v>
          </cell>
        </row>
        <row r="4">
          <cell r="A4" t="str">
            <v>Projected Ultimate Non-Hurricane Loss &amp; LAE Ratio based on TWIA experience</v>
          </cell>
        </row>
        <row r="5">
          <cell r="A5" t="str">
            <v>Tier 2 -- (Territories 1)</v>
          </cell>
        </row>
      </sheetData>
      <sheetData sheetId="8">
        <row r="1">
          <cell r="J1" t="str">
            <v>Exhibit 2</v>
          </cell>
        </row>
        <row r="2">
          <cell r="J2" t="str">
            <v>Sheet 3a</v>
          </cell>
        </row>
        <row r="4">
          <cell r="A4" t="str">
            <v>Projected Ultimate Non-Hurricane Loss</v>
          </cell>
        </row>
        <row r="5">
          <cell r="A5" t="str">
            <v>Tier 1 -- Territory 8 (Galveston County)</v>
          </cell>
        </row>
      </sheetData>
      <sheetData sheetId="9">
        <row r="1">
          <cell r="J1" t="str">
            <v>Exhibit 2</v>
          </cell>
        </row>
        <row r="2">
          <cell r="J2" t="str">
            <v>Sheet 3b</v>
          </cell>
        </row>
        <row r="4">
          <cell r="A4" t="str">
            <v>Projected Ultimate Non-Hurricane Loss</v>
          </cell>
        </row>
        <row r="5">
          <cell r="A5" t="str">
            <v>Tier 1 -- Territory 9 (Nueces County)</v>
          </cell>
        </row>
      </sheetData>
      <sheetData sheetId="10">
        <row r="1">
          <cell r="J1" t="str">
            <v>Exhibit 2</v>
          </cell>
        </row>
        <row r="2">
          <cell r="J2" t="str">
            <v>Sheet 3c</v>
          </cell>
        </row>
        <row r="4">
          <cell r="A4" t="str">
            <v>Projected Ultimate Non-Hurricane Loss</v>
          </cell>
        </row>
        <row r="5">
          <cell r="A5" t="str">
            <v>Tier 1 -- Territory 10 (Other Tier 1)</v>
          </cell>
        </row>
      </sheetData>
      <sheetData sheetId="11">
        <row r="1">
          <cell r="J1" t="str">
            <v>Exhibit 2</v>
          </cell>
        </row>
        <row r="2">
          <cell r="J2" t="str">
            <v>Sheet 3d</v>
          </cell>
        </row>
        <row r="4">
          <cell r="A4" t="str">
            <v>Projected Ultimate Non-Hurricane Loss</v>
          </cell>
        </row>
        <row r="5">
          <cell r="A5" t="str">
            <v>Tier 2 -- (Territories 1 )</v>
          </cell>
        </row>
      </sheetData>
      <sheetData sheetId="12">
        <row r="1">
          <cell r="J1" t="str">
            <v>Exhibit 2</v>
          </cell>
        </row>
        <row r="2">
          <cell r="J2" t="str">
            <v>Sheet 4a</v>
          </cell>
        </row>
        <row r="5">
          <cell r="A5" t="str">
            <v>Tier 1 -- Territory 8 (Galveston County)</v>
          </cell>
        </row>
      </sheetData>
      <sheetData sheetId="13">
        <row r="1">
          <cell r="J1" t="str">
            <v>Exhibit 2</v>
          </cell>
        </row>
        <row r="2">
          <cell r="J2" t="str">
            <v>Sheet 4b</v>
          </cell>
        </row>
        <row r="5">
          <cell r="A5" t="str">
            <v>Tier 1 -- Territory 9 (Nueces County)</v>
          </cell>
        </row>
      </sheetData>
      <sheetData sheetId="14">
        <row r="1">
          <cell r="J1" t="str">
            <v>Exhibit 2</v>
          </cell>
        </row>
        <row r="2">
          <cell r="J2" t="str">
            <v>Sheet 4c</v>
          </cell>
        </row>
        <row r="5">
          <cell r="A5" t="str">
            <v>Tier 1 -- Territory 10 (Other Tier 1)</v>
          </cell>
        </row>
      </sheetData>
      <sheetData sheetId="15">
        <row r="1">
          <cell r="J1" t="str">
            <v>Exhibit 2</v>
          </cell>
        </row>
        <row r="2">
          <cell r="J2" t="str">
            <v>Sheet 4d</v>
          </cell>
        </row>
        <row r="5">
          <cell r="A5" t="str">
            <v>Tier 2 -- (Territories 1)</v>
          </cell>
        </row>
      </sheetData>
      <sheetData sheetId="16">
        <row r="1">
          <cell r="L1" t="str">
            <v>Exhibit 2</v>
          </cell>
        </row>
        <row r="2">
          <cell r="L2" t="str">
            <v>Sheet 5</v>
          </cell>
        </row>
        <row r="4">
          <cell r="A4" t="str">
            <v>Calculation of Net Trend Factors</v>
          </cell>
        </row>
      </sheetData>
      <sheetData sheetId="17">
        <row r="1">
          <cell r="L1" t="str">
            <v>Exhibit 3</v>
          </cell>
        </row>
        <row r="2">
          <cell r="L2" t="str">
            <v>Sheet 1</v>
          </cell>
        </row>
        <row r="4">
          <cell r="A4" t="str">
            <v>Paid Loss Development Factors</v>
          </cell>
        </row>
        <row r="5">
          <cell r="A5" t="str">
            <v>Statewide Industry Extended Coverage Dwelling Paid Loss</v>
          </cell>
        </row>
      </sheetData>
      <sheetData sheetId="18">
        <row r="1">
          <cell r="L1" t="str">
            <v>Exhibit 3</v>
          </cell>
        </row>
        <row r="2">
          <cell r="L2" t="str">
            <v>Sheet 1</v>
          </cell>
        </row>
        <row r="4">
          <cell r="A4" t="str">
            <v>Incurred Loss Development Factors</v>
          </cell>
        </row>
        <row r="5">
          <cell r="A5" t="str">
            <v>Statewide Industry Extended Coverage Dwelling Paid Loss</v>
          </cell>
        </row>
      </sheetData>
      <sheetData sheetId="19">
        <row r="4">
          <cell r="A4" t="str">
            <v>Premium Trend Analysis</v>
          </cell>
        </row>
        <row r="5">
          <cell r="A5" t="str">
            <v>TWIA Residential Earned Premium at Present Rates</v>
          </cell>
        </row>
      </sheetData>
      <sheetData sheetId="20">
        <row r="1">
          <cell r="L1" t="str">
            <v>Exhibit 3</v>
          </cell>
        </row>
        <row r="2">
          <cell r="L2" t="str">
            <v>Sheet 3a</v>
          </cell>
        </row>
        <row r="4">
          <cell r="A4" t="str">
            <v>Loss Trend Analysis</v>
          </cell>
        </row>
        <row r="5">
          <cell r="A5" t="str">
            <v>Summary of Indices and Calculation of Prospective Loss Costs</v>
          </cell>
        </row>
      </sheetData>
      <sheetData sheetId="21">
        <row r="1">
          <cell r="L1" t="str">
            <v>Exhibit 3</v>
          </cell>
        </row>
        <row r="2">
          <cell r="L2" t="str">
            <v>Sheet 3b</v>
          </cell>
        </row>
        <row r="4">
          <cell r="A4" t="str">
            <v>Loss Trend Analysis</v>
          </cell>
        </row>
        <row r="5">
          <cell r="A5" t="str">
            <v>Boeckh Residential Construction Index Trend (Statewide)</v>
          </cell>
        </row>
      </sheetData>
      <sheetData sheetId="22">
        <row r="1">
          <cell r="L1" t="str">
            <v>Exhibit 3</v>
          </cell>
        </row>
        <row r="2">
          <cell r="L2" t="str">
            <v>Sheet 3c</v>
          </cell>
        </row>
        <row r="4">
          <cell r="A4" t="str">
            <v>Loss Trend Analysis</v>
          </cell>
        </row>
        <row r="5">
          <cell r="A5" t="str">
            <v>Boeckh Residential Construction Index Trend (Coastal)</v>
          </cell>
        </row>
      </sheetData>
      <sheetData sheetId="23">
        <row r="1">
          <cell r="L1" t="str">
            <v>Exhibit 3</v>
          </cell>
        </row>
        <row r="2">
          <cell r="L2" t="str">
            <v>Sheet 3d</v>
          </cell>
        </row>
        <row r="4">
          <cell r="A4" t="str">
            <v>Loss Trend Analysis</v>
          </cell>
        </row>
        <row r="5">
          <cell r="A5" t="str">
            <v>Modified Consumer Price Index - External Trend</v>
          </cell>
        </row>
      </sheetData>
      <sheetData sheetId="24">
        <row r="1">
          <cell r="J1" t="str">
            <v>Exhibit 4</v>
          </cell>
        </row>
        <row r="2">
          <cell r="J2" t="str">
            <v>Sheet 1</v>
          </cell>
        </row>
        <row r="4">
          <cell r="A4" t="str">
            <v>Development of LAE factor Using TWIA Commercial + Residential Experience</v>
          </cell>
        </row>
      </sheetData>
      <sheetData sheetId="25">
        <row r="1">
          <cell r="K1" t="str">
            <v>Exhibit 4</v>
          </cell>
        </row>
        <row r="2">
          <cell r="K2" t="str">
            <v>Sheet 2</v>
          </cell>
        </row>
        <row r="4">
          <cell r="A4" t="str">
            <v>Ultimate Loss (TWIA All Lines)</v>
          </cell>
        </row>
      </sheetData>
      <sheetData sheetId="26">
        <row r="1">
          <cell r="K1" t="str">
            <v>Exhibit 4</v>
          </cell>
        </row>
        <row r="2">
          <cell r="K2" t="str">
            <v>Sheet 3</v>
          </cell>
        </row>
        <row r="4">
          <cell r="A4" t="str">
            <v>Incurred Loss Development Factors</v>
          </cell>
        </row>
        <row r="5">
          <cell r="A5" t="str">
            <v>TWIA Schedule P Incurred Loss (Including IBNR)</v>
          </cell>
        </row>
      </sheetData>
      <sheetData sheetId="27">
        <row r="1">
          <cell r="J1" t="str">
            <v>Exhibit 4</v>
          </cell>
        </row>
        <row r="2">
          <cell r="J2" t="str">
            <v>Sheet 4</v>
          </cell>
        </row>
        <row r="4">
          <cell r="A4" t="str">
            <v>Ultimate LAE (TWIA All Lines)</v>
          </cell>
        </row>
      </sheetData>
      <sheetData sheetId="28">
        <row r="1">
          <cell r="K1" t="str">
            <v>Exhibit 4</v>
          </cell>
        </row>
        <row r="2">
          <cell r="K2" t="str">
            <v>Sheet 5</v>
          </cell>
        </row>
        <row r="4">
          <cell r="A4" t="str">
            <v>Incurred ALAE Development Factors</v>
          </cell>
        </row>
        <row r="5">
          <cell r="A5" t="str">
            <v>TWIA Schedule P Incurred ALAE (Including IBNR)</v>
          </cell>
        </row>
      </sheetData>
      <sheetData sheetId="29">
        <row r="1">
          <cell r="H1" t="str">
            <v>Exhibit 5</v>
          </cell>
        </row>
        <row r="4">
          <cell r="A4" t="str">
            <v>Summary of Indicated Hurricane Loss &amp; LAE Ratios</v>
          </cell>
        </row>
      </sheetData>
      <sheetData sheetId="30">
        <row r="1">
          <cell r="K1" t="str">
            <v>Exhibit 6</v>
          </cell>
        </row>
        <row r="2">
          <cell r="K2" t="str">
            <v>Sheet 1</v>
          </cell>
        </row>
        <row r="4">
          <cell r="A4" t="str">
            <v>Industry Experience -- Residential Extended Coverage</v>
          </cell>
        </row>
      </sheetData>
      <sheetData sheetId="31">
        <row r="1">
          <cell r="J1" t="str">
            <v>Exhibit 6</v>
          </cell>
        </row>
        <row r="2">
          <cell r="J2" t="str">
            <v>Sheet 2</v>
          </cell>
        </row>
        <row r="4">
          <cell r="A4" t="str">
            <v>Industry Experience -- Residential Extended Coverage</v>
          </cell>
        </row>
      </sheetData>
      <sheetData sheetId="32">
        <row r="4">
          <cell r="A4" t="str">
            <v>Industry Experience -- Residential Extended Coverage</v>
          </cell>
        </row>
      </sheetData>
      <sheetData sheetId="33">
        <row r="1">
          <cell r="I1" t="str">
            <v>Exhibit 6</v>
          </cell>
        </row>
        <row r="2">
          <cell r="I2" t="str">
            <v>Sheet 4</v>
          </cell>
        </row>
        <row r="4">
          <cell r="A4" t="str">
            <v>Industry Experience -- Residential Extended Coverage</v>
          </cell>
        </row>
        <row r="5">
          <cell r="A5" t="str">
            <v>Tier 1 -- Territory 8 (Galveston County)</v>
          </cell>
        </row>
      </sheetData>
      <sheetData sheetId="34">
        <row r="1">
          <cell r="I1" t="str">
            <v>Exhibit 6</v>
          </cell>
        </row>
        <row r="2">
          <cell r="I2" t="str">
            <v>Sheet 5</v>
          </cell>
        </row>
        <row r="4">
          <cell r="A4" t="str">
            <v>Industry Experience -- Residential Extended Coverage</v>
          </cell>
        </row>
        <row r="5">
          <cell r="A5" t="str">
            <v>Tier 1 -- Territory 9 (Nueces County)</v>
          </cell>
        </row>
      </sheetData>
      <sheetData sheetId="35">
        <row r="1">
          <cell r="I1" t="str">
            <v>Exhibit 6</v>
          </cell>
        </row>
        <row r="2">
          <cell r="I2" t="str">
            <v>Sheet 6</v>
          </cell>
        </row>
        <row r="5">
          <cell r="A5" t="str">
            <v>Tier 1 -- Territory 10 (Other Tier 1)</v>
          </cell>
        </row>
      </sheetData>
      <sheetData sheetId="36">
        <row r="1">
          <cell r="I1" t="str">
            <v>Exhibit 6</v>
          </cell>
        </row>
        <row r="2">
          <cell r="I2" t="str">
            <v>Sheet 7</v>
          </cell>
        </row>
        <row r="4">
          <cell r="A4" t="str">
            <v>Industry Experience -- Residential Extended Coverage</v>
          </cell>
        </row>
        <row r="5">
          <cell r="A5" t="str">
            <v>Tier 2 -- (Territories 1 and 11)</v>
          </cell>
        </row>
      </sheetData>
      <sheetData sheetId="37">
        <row r="1">
          <cell r="K1" t="str">
            <v>Exhibit 7</v>
          </cell>
        </row>
        <row r="2">
          <cell r="K2" t="str">
            <v>Sheet 1</v>
          </cell>
        </row>
        <row r="4">
          <cell r="A4" t="str">
            <v>Hurricane Loss Ratio -- AIR Model</v>
          </cell>
        </row>
      </sheetData>
      <sheetData sheetId="38">
        <row r="1">
          <cell r="K1" t="str">
            <v>Exhibit 7</v>
          </cell>
        </row>
        <row r="2">
          <cell r="K2" t="str">
            <v>Sheet 2</v>
          </cell>
        </row>
        <row r="4">
          <cell r="A4" t="str">
            <v>AIR Simulated Hurricane Results</v>
          </cell>
        </row>
      </sheetData>
      <sheetData sheetId="39">
        <row r="1">
          <cell r="K1" t="str">
            <v>Exhibit 8</v>
          </cell>
        </row>
        <row r="2">
          <cell r="K2" t="str">
            <v>Sheet 1</v>
          </cell>
        </row>
        <row r="4">
          <cell r="A4" t="str">
            <v>Hurricane Loss Ratio -- RMS Model</v>
          </cell>
        </row>
      </sheetData>
      <sheetData sheetId="40">
        <row r="1">
          <cell r="K1" t="str">
            <v>Exhibit 8</v>
          </cell>
        </row>
        <row r="2">
          <cell r="K2" t="str">
            <v>Sheet 2</v>
          </cell>
        </row>
        <row r="4">
          <cell r="A4" t="str">
            <v>RMS Simulated Hurricane Results</v>
          </cell>
        </row>
      </sheetData>
      <sheetData sheetId="41">
        <row r="1">
          <cell r="J1" t="str">
            <v>Exhibit 9</v>
          </cell>
        </row>
      </sheetData>
      <sheetData sheetId="42">
        <row r="1">
          <cell r="J1" t="str">
            <v>Exhibit 10</v>
          </cell>
        </row>
        <row r="2">
          <cell r="J2" t="str">
            <v>Sheet 1a</v>
          </cell>
        </row>
        <row r="4">
          <cell r="A4" t="str">
            <v>Calculation of TWIA Earned Premium at Present Rate Level</v>
          </cell>
        </row>
        <row r="5">
          <cell r="A5" t="str">
            <v>Tier 1 -- Territory 8 (Galveston County)</v>
          </cell>
        </row>
      </sheetData>
      <sheetData sheetId="43">
        <row r="1">
          <cell r="J1" t="str">
            <v>Exhibit 10</v>
          </cell>
        </row>
        <row r="2">
          <cell r="J2" t="str">
            <v>Sheet 1b</v>
          </cell>
        </row>
        <row r="4">
          <cell r="A4" t="str">
            <v>Calculation of TWIA Earned Premium at Present Rate Level</v>
          </cell>
        </row>
        <row r="5">
          <cell r="A5" t="str">
            <v>Tier 1 -- Territory 9 (Nueces County)</v>
          </cell>
        </row>
      </sheetData>
      <sheetData sheetId="44">
        <row r="1">
          <cell r="J1" t="str">
            <v>Exhibit 10</v>
          </cell>
        </row>
        <row r="2">
          <cell r="J2" t="str">
            <v>Sheet 1c</v>
          </cell>
        </row>
        <row r="4">
          <cell r="A4" t="str">
            <v>Calculation of TWIA Earned Premium at Present Rate Level</v>
          </cell>
        </row>
        <row r="5">
          <cell r="A5" t="str">
            <v>Tier 1 -- Territory 10 (Other Tier 1)</v>
          </cell>
        </row>
      </sheetData>
      <sheetData sheetId="45">
        <row r="1">
          <cell r="J1" t="str">
            <v>Exhibit 10</v>
          </cell>
        </row>
        <row r="2">
          <cell r="J2" t="str">
            <v>Sheet 1d</v>
          </cell>
        </row>
        <row r="4">
          <cell r="A4" t="str">
            <v>Calculation of TWIA Earned Premium at Present Rate Level</v>
          </cell>
        </row>
        <row r="5">
          <cell r="A5" t="str">
            <v>Tier 2 -- (Territories 1 and 11)</v>
          </cell>
        </row>
      </sheetData>
      <sheetData sheetId="46">
        <row r="1">
          <cell r="J1" t="str">
            <v>Exhibit 10</v>
          </cell>
        </row>
        <row r="2">
          <cell r="J2" t="str">
            <v>Sheet 2</v>
          </cell>
        </row>
        <row r="4">
          <cell r="A4" t="str">
            <v>Calculation of TWIA Earned Premium at Present Rate Level</v>
          </cell>
        </row>
      </sheetData>
      <sheetData sheetId="47">
        <row r="1">
          <cell r="J1" t="str">
            <v>Exhibit 11</v>
          </cell>
        </row>
        <row r="2">
          <cell r="J2" t="str">
            <v>Sheet 1</v>
          </cell>
        </row>
        <row r="4">
          <cell r="A4" t="str">
            <v>Fixed Expenses and Variable Permissible Loss &amp; LAE Ratios</v>
          </cell>
        </row>
      </sheetData>
      <sheetData sheetId="48">
        <row r="1">
          <cell r="H1" t="str">
            <v>Exhibit 11</v>
          </cell>
        </row>
        <row r="2">
          <cell r="H2" t="str">
            <v>Sheet 2</v>
          </cell>
        </row>
        <row r="4">
          <cell r="A4" t="str">
            <v>Development of Reinsurer Expense</v>
          </cell>
        </row>
        <row r="5">
          <cell r="A5" t="str">
            <v>Using Average of AIR and  RMS Hurricane Models</v>
          </cell>
        </row>
      </sheetData>
      <sheetData sheetId="49">
        <row r="1">
          <cell r="J1" t="str">
            <v>Exhibit 12</v>
          </cell>
        </row>
        <row r="4">
          <cell r="A4" t="str">
            <v>Reconciliation of Premium Data to Annual Statement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>
        <row r="25">
          <cell r="E25">
            <v>0.47743946022948658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2"/>
      <sheetName val="11.1"/>
      <sheetName val="12.1"/>
      <sheetName val="12.2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4.3AS loss Dev"/>
      <sheetName val="4.5AS LAE Dev"/>
      <sheetName val="6.2"/>
      <sheetName val="10.1a"/>
      <sheetName val="10.1b"/>
      <sheetName val="10.1c"/>
      <sheetName val="10.1d"/>
      <sheetName val="12"/>
      <sheetName val="ldf 3.1a"/>
      <sheetName val="ldf 3.1b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J1" t="str">
            <v>Exhibit 11</v>
          </cell>
        </row>
        <row r="2">
          <cell r="J2" t="str">
            <v>Sheet 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</sheetNames>
    <sheetDataSet>
      <sheetData sheetId="0"/>
      <sheetData sheetId="1"/>
      <sheetData sheetId="2">
        <row r="1">
          <cell r="E1">
            <v>44104</v>
          </cell>
        </row>
        <row r="2">
          <cell r="E2">
            <v>44196</v>
          </cell>
        </row>
        <row r="25">
          <cell r="O25">
            <v>92287441</v>
          </cell>
          <cell r="P25">
            <v>50547302</v>
          </cell>
          <cell r="Q25">
            <v>140621661</v>
          </cell>
          <cell r="R25">
            <v>2825372</v>
          </cell>
        </row>
        <row r="26">
          <cell r="O26">
            <v>98605959</v>
          </cell>
          <cell r="P26">
            <v>53841760</v>
          </cell>
          <cell r="Q26">
            <v>160031435</v>
          </cell>
          <cell r="R26">
            <v>3294072</v>
          </cell>
        </row>
        <row r="27">
          <cell r="O27">
            <v>105941027</v>
          </cell>
          <cell r="P27">
            <v>57427564</v>
          </cell>
          <cell r="Q27">
            <v>173209952</v>
          </cell>
          <cell r="R27">
            <v>3672814</v>
          </cell>
        </row>
        <row r="28">
          <cell r="O28">
            <v>113521698</v>
          </cell>
          <cell r="P28">
            <v>62828148</v>
          </cell>
          <cell r="Q28">
            <v>187152484</v>
          </cell>
          <cell r="R28">
            <v>3920276</v>
          </cell>
        </row>
        <row r="29">
          <cell r="O29">
            <v>121221015</v>
          </cell>
          <cell r="P29">
            <v>68716114</v>
          </cell>
          <cell r="Q29">
            <v>200595693</v>
          </cell>
          <cell r="R29">
            <v>4202726</v>
          </cell>
        </row>
        <row r="30">
          <cell r="O30">
            <v>123942872</v>
          </cell>
          <cell r="P30">
            <v>71234774</v>
          </cell>
          <cell r="Q30">
            <v>200978477</v>
          </cell>
          <cell r="R30">
            <v>4436708</v>
          </cell>
        </row>
        <row r="31">
          <cell r="O31">
            <v>120650271</v>
          </cell>
          <cell r="P31">
            <v>69126281</v>
          </cell>
          <cell r="Q31">
            <v>188554673</v>
          </cell>
          <cell r="R31">
            <v>4435808</v>
          </cell>
        </row>
        <row r="32">
          <cell r="O32">
            <v>112717188</v>
          </cell>
          <cell r="P32">
            <v>63899693</v>
          </cell>
          <cell r="Q32">
            <v>166829909</v>
          </cell>
          <cell r="R32">
            <v>4301050</v>
          </cell>
        </row>
        <row r="33">
          <cell r="O33">
            <v>109182096</v>
          </cell>
          <cell r="P33">
            <v>59870593</v>
          </cell>
          <cell r="Q33">
            <v>151980115</v>
          </cell>
          <cell r="R33">
            <v>4296061</v>
          </cell>
        </row>
        <row r="34">
          <cell r="O34">
            <v>108043628</v>
          </cell>
          <cell r="P34">
            <v>57494711</v>
          </cell>
          <cell r="Q34">
            <v>141633299</v>
          </cell>
          <cell r="R34">
            <v>4367811</v>
          </cell>
        </row>
        <row r="35">
          <cell r="O35">
            <v>8645207.9953246601</v>
          </cell>
          <cell r="P35">
            <v>4065189.7500367444</v>
          </cell>
          <cell r="Q35">
            <v>8287605.1148678511</v>
          </cell>
          <cell r="R35">
            <v>25239134</v>
          </cell>
          <cell r="S35">
            <v>46237136.860229254</v>
          </cell>
          <cell r="U35">
            <v>13225286.939999998</v>
          </cell>
          <cell r="V35">
            <v>1367254.0699999901</v>
          </cell>
          <cell r="W35">
            <v>22444043.9799999</v>
          </cell>
          <cell r="X35">
            <v>10178608</v>
          </cell>
        </row>
        <row r="36">
          <cell r="O36">
            <v>5826466.6888902895</v>
          </cell>
          <cell r="P36">
            <v>3907711.7768190652</v>
          </cell>
          <cell r="Q36">
            <v>8059406.7247919338</v>
          </cell>
          <cell r="R36">
            <v>26718986.999999989</v>
          </cell>
          <cell r="S36">
            <v>44512572.190501273</v>
          </cell>
          <cell r="U36">
            <v>180484.07</v>
          </cell>
          <cell r="V36">
            <v>1170577.6100000001</v>
          </cell>
          <cell r="W36">
            <v>1625107.7899999989</v>
          </cell>
          <cell r="X36">
            <v>12221034</v>
          </cell>
        </row>
        <row r="37">
          <cell r="O37">
            <v>5825915.9799037296</v>
          </cell>
          <cell r="P37">
            <v>4552394.5717778523</v>
          </cell>
          <cell r="Q37">
            <v>8448603.4214781895</v>
          </cell>
          <cell r="R37">
            <v>31914206</v>
          </cell>
          <cell r="S37">
            <v>50741119.973159775</v>
          </cell>
          <cell r="U37">
            <v>1900088.189999999</v>
          </cell>
          <cell r="V37">
            <v>1312776.429999999</v>
          </cell>
          <cell r="W37">
            <v>1776572.409999999</v>
          </cell>
          <cell r="X37">
            <v>17910197</v>
          </cell>
        </row>
        <row r="38">
          <cell r="O38">
            <v>6996873.8393279798</v>
          </cell>
          <cell r="P38">
            <v>5710806.31582803</v>
          </cell>
          <cell r="Q38">
            <v>9743293.14213733</v>
          </cell>
          <cell r="R38">
            <v>35133612</v>
          </cell>
          <cell r="S38">
            <v>57584585.297293335</v>
          </cell>
          <cell r="U38">
            <v>420037.679999999</v>
          </cell>
          <cell r="V38">
            <v>856368.79999999795</v>
          </cell>
          <cell r="W38">
            <v>1637914.6199999992</v>
          </cell>
          <cell r="X38">
            <v>6968697</v>
          </cell>
        </row>
        <row r="39">
          <cell r="O39">
            <v>8737576.0959496386</v>
          </cell>
          <cell r="P39">
            <v>6908551.5027387999</v>
          </cell>
          <cell r="Q39">
            <v>10745994.710252099</v>
          </cell>
          <cell r="R39">
            <v>34347927</v>
          </cell>
          <cell r="S39">
            <v>60740049.308940537</v>
          </cell>
          <cell r="U39">
            <v>644169</v>
          </cell>
          <cell r="V39">
            <v>1552987</v>
          </cell>
          <cell r="W39">
            <v>2416675</v>
          </cell>
          <cell r="X39">
            <v>20240594</v>
          </cell>
        </row>
        <row r="40">
          <cell r="O40">
            <v>11652672.33924751</v>
          </cell>
          <cell r="P40">
            <v>8568167.9449975695</v>
          </cell>
          <cell r="Q40">
            <v>13294968.250411501</v>
          </cell>
          <cell r="R40">
            <v>38349763.638891585</v>
          </cell>
          <cell r="S40">
            <v>71865572.173548162</v>
          </cell>
          <cell r="U40">
            <v>406004</v>
          </cell>
          <cell r="V40">
            <v>1061115</v>
          </cell>
          <cell r="W40">
            <v>1520229</v>
          </cell>
          <cell r="X40">
            <v>9046495</v>
          </cell>
        </row>
        <row r="41">
          <cell r="O41">
            <v>12573252.045386501</v>
          </cell>
          <cell r="P41">
            <v>8425344.4375255406</v>
          </cell>
          <cell r="Q41">
            <v>15708220.143906999</v>
          </cell>
          <cell r="R41">
            <v>42447730.530345351</v>
          </cell>
          <cell r="S41">
            <v>79154547.157164395</v>
          </cell>
          <cell r="U41">
            <v>573343</v>
          </cell>
          <cell r="V41">
            <v>882561</v>
          </cell>
          <cell r="W41">
            <v>2569544</v>
          </cell>
          <cell r="X41">
            <v>8514675</v>
          </cell>
        </row>
        <row r="42">
          <cell r="O42">
            <v>13838930.147333838</v>
          </cell>
          <cell r="P42">
            <v>8803621.2708639689</v>
          </cell>
          <cell r="Q42">
            <v>16168136.035215829</v>
          </cell>
          <cell r="R42">
            <v>41427572.085624166</v>
          </cell>
          <cell r="S42">
            <v>80238259.539037794</v>
          </cell>
          <cell r="U42">
            <v>6371206</v>
          </cell>
          <cell r="V42">
            <v>2289890</v>
          </cell>
          <cell r="W42">
            <v>10312506</v>
          </cell>
          <cell r="X42">
            <v>10127907</v>
          </cell>
        </row>
        <row r="43">
          <cell r="O43">
            <v>14103814.475361705</v>
          </cell>
          <cell r="P43">
            <v>8465255.5940993298</v>
          </cell>
          <cell r="Q43">
            <v>14452666.932483979</v>
          </cell>
          <cell r="R43">
            <v>34004814.583080493</v>
          </cell>
          <cell r="S43">
            <v>71026551.585025504</v>
          </cell>
          <cell r="U43">
            <v>742130</v>
          </cell>
          <cell r="V43">
            <v>3778386</v>
          </cell>
          <cell r="W43">
            <v>3655754</v>
          </cell>
          <cell r="X43">
            <v>8680187</v>
          </cell>
        </row>
        <row r="44">
          <cell r="O44">
            <v>15784217.73365989</v>
          </cell>
          <cell r="P44">
            <v>8437094.0914586708</v>
          </cell>
          <cell r="Q44">
            <v>14453384.88868602</v>
          </cell>
          <cell r="R44">
            <v>36439477.252283514</v>
          </cell>
          <cell r="S44">
            <v>75114173.966088086</v>
          </cell>
          <cell r="U44">
            <v>324948</v>
          </cell>
          <cell r="V44">
            <v>485581</v>
          </cell>
          <cell r="W44">
            <v>3332580</v>
          </cell>
          <cell r="X44">
            <v>9518422</v>
          </cell>
        </row>
        <row r="45">
          <cell r="O45">
            <v>17776665.907286998</v>
          </cell>
          <cell r="P45">
            <v>8894551.5983342491</v>
          </cell>
          <cell r="Q45">
            <v>15173521.372718498</v>
          </cell>
          <cell r="R45">
            <v>32881662.327381182</v>
          </cell>
          <cell r="S45">
            <v>74726401.205720931</v>
          </cell>
          <cell r="U45">
            <v>1947817</v>
          </cell>
          <cell r="V45">
            <v>1394445</v>
          </cell>
          <cell r="W45">
            <v>2426814</v>
          </cell>
          <cell r="X45">
            <v>23547404</v>
          </cell>
        </row>
        <row r="46">
          <cell r="O46">
            <v>20514469</v>
          </cell>
          <cell r="P46">
            <v>10534795</v>
          </cell>
          <cell r="Q46">
            <v>17843905</v>
          </cell>
          <cell r="R46">
            <v>37396181</v>
          </cell>
          <cell r="S46">
            <v>86289350</v>
          </cell>
          <cell r="U46">
            <v>10059284</v>
          </cell>
          <cell r="V46">
            <v>1227528</v>
          </cell>
          <cell r="W46">
            <v>5925066</v>
          </cell>
          <cell r="X46">
            <v>7950367</v>
          </cell>
        </row>
        <row r="47">
          <cell r="O47">
            <v>25868450</v>
          </cell>
          <cell r="P47">
            <v>13881847</v>
          </cell>
          <cell r="Q47">
            <v>23423208</v>
          </cell>
          <cell r="R47">
            <v>49027236</v>
          </cell>
          <cell r="S47">
            <v>112200741</v>
          </cell>
          <cell r="U47">
            <v>2672918</v>
          </cell>
          <cell r="V47">
            <v>2295803</v>
          </cell>
          <cell r="W47">
            <v>17213668</v>
          </cell>
          <cell r="X47">
            <v>10177909</v>
          </cell>
        </row>
        <row r="48">
          <cell r="O48">
            <v>30357860</v>
          </cell>
          <cell r="P48">
            <v>15458506</v>
          </cell>
          <cell r="Q48">
            <v>27306202</v>
          </cell>
          <cell r="R48">
            <v>49927649</v>
          </cell>
          <cell r="S48">
            <v>123050217</v>
          </cell>
          <cell r="U48">
            <v>731759</v>
          </cell>
          <cell r="V48">
            <v>569877</v>
          </cell>
          <cell r="W48">
            <v>990613</v>
          </cell>
          <cell r="X48">
            <v>3738542</v>
          </cell>
        </row>
        <row r="49">
          <cell r="O49">
            <v>36780457</v>
          </cell>
          <cell r="P49">
            <v>17471646</v>
          </cell>
          <cell r="Q49">
            <v>31012304</v>
          </cell>
          <cell r="R49">
            <v>50116517</v>
          </cell>
          <cell r="S49">
            <v>135380924</v>
          </cell>
          <cell r="U49">
            <v>34527644</v>
          </cell>
          <cell r="V49">
            <v>872451</v>
          </cell>
          <cell r="W49">
            <v>115989785</v>
          </cell>
          <cell r="X49">
            <v>34201898</v>
          </cell>
        </row>
        <row r="50">
          <cell r="O50">
            <v>43562211</v>
          </cell>
          <cell r="P50">
            <v>19888512</v>
          </cell>
          <cell r="Q50">
            <v>36545725</v>
          </cell>
          <cell r="R50">
            <v>54703319</v>
          </cell>
          <cell r="S50">
            <v>154699767</v>
          </cell>
          <cell r="U50">
            <v>813430</v>
          </cell>
          <cell r="V50">
            <v>621501</v>
          </cell>
          <cell r="W50">
            <v>1842548</v>
          </cell>
          <cell r="X50">
            <v>4909932</v>
          </cell>
        </row>
        <row r="51">
          <cell r="O51">
            <v>59282257</v>
          </cell>
          <cell r="P51">
            <v>29704042</v>
          </cell>
          <cell r="Q51">
            <v>69945120</v>
          </cell>
          <cell r="R51">
            <v>60982886</v>
          </cell>
          <cell r="S51">
            <v>219914305</v>
          </cell>
          <cell r="U51">
            <v>2757645</v>
          </cell>
          <cell r="V51">
            <v>833793</v>
          </cell>
          <cell r="W51">
            <v>10105722</v>
          </cell>
          <cell r="X51">
            <v>5242698</v>
          </cell>
        </row>
        <row r="52">
          <cell r="O52">
            <v>73789694</v>
          </cell>
          <cell r="P52">
            <v>40565108</v>
          </cell>
          <cell r="Q52">
            <v>110187567</v>
          </cell>
          <cell r="R52">
            <v>65015817</v>
          </cell>
          <cell r="S52">
            <v>289558186</v>
          </cell>
          <cell r="U52">
            <v>1052325077</v>
          </cell>
          <cell r="V52">
            <v>1468028</v>
          </cell>
          <cell r="W52">
            <v>694640836</v>
          </cell>
          <cell r="X52">
            <v>448708416</v>
          </cell>
        </row>
        <row r="53">
          <cell r="O53">
            <v>81999709</v>
          </cell>
          <cell r="P53">
            <v>46363445</v>
          </cell>
          <cell r="Q53">
            <v>128275387</v>
          </cell>
          <cell r="R53">
            <v>70667217</v>
          </cell>
          <cell r="S53">
            <v>327305758</v>
          </cell>
          <cell r="U53">
            <v>3581024</v>
          </cell>
          <cell r="V53">
            <v>615469</v>
          </cell>
          <cell r="W53">
            <v>2522159</v>
          </cell>
          <cell r="X53">
            <v>9952501</v>
          </cell>
        </row>
        <row r="54">
          <cell r="O54">
            <v>89665314</v>
          </cell>
          <cell r="P54">
            <v>51529115</v>
          </cell>
          <cell r="Q54">
            <v>143236007</v>
          </cell>
          <cell r="R54">
            <v>70788779</v>
          </cell>
          <cell r="S54">
            <v>355219215</v>
          </cell>
          <cell r="U54">
            <v>1451547</v>
          </cell>
          <cell r="V54">
            <v>4059049</v>
          </cell>
          <cell r="W54">
            <v>9656553</v>
          </cell>
          <cell r="X54">
            <v>10829031</v>
          </cell>
        </row>
        <row r="55">
          <cell r="O55">
            <v>93230854</v>
          </cell>
          <cell r="P55">
            <v>52931755</v>
          </cell>
          <cell r="Q55">
            <v>151387931</v>
          </cell>
          <cell r="R55">
            <v>73325323</v>
          </cell>
          <cell r="S55">
            <v>370875863</v>
          </cell>
          <cell r="U55">
            <v>1329886</v>
          </cell>
          <cell r="V55">
            <v>19845538</v>
          </cell>
          <cell r="W55">
            <v>59069922</v>
          </cell>
          <cell r="X55">
            <v>5993038</v>
          </cell>
        </row>
        <row r="56">
          <cell r="O56">
            <v>99629727</v>
          </cell>
          <cell r="P56">
            <v>56334273</v>
          </cell>
          <cell r="Q56">
            <v>170159709</v>
          </cell>
          <cell r="R56">
            <v>80858142</v>
          </cell>
          <cell r="S56">
            <v>406981851</v>
          </cell>
          <cell r="U56">
            <v>10756644</v>
          </cell>
          <cell r="V56">
            <v>21291155</v>
          </cell>
          <cell r="W56">
            <v>21191208</v>
          </cell>
          <cell r="X56">
            <v>89889612</v>
          </cell>
        </row>
        <row r="57">
          <cell r="O57">
            <v>107104250</v>
          </cell>
          <cell r="P57">
            <v>60101696</v>
          </cell>
          <cell r="Q57">
            <v>183495510</v>
          </cell>
          <cell r="R57">
            <v>90250703</v>
          </cell>
          <cell r="S57">
            <v>440952159</v>
          </cell>
          <cell r="U57">
            <v>54322555</v>
          </cell>
          <cell r="V57">
            <v>6825640</v>
          </cell>
          <cell r="W57">
            <v>6484481</v>
          </cell>
          <cell r="X57">
            <v>22065904</v>
          </cell>
        </row>
        <row r="58">
          <cell r="O58">
            <v>114784032</v>
          </cell>
          <cell r="P58">
            <v>65642137</v>
          </cell>
          <cell r="Q58">
            <v>197640983</v>
          </cell>
          <cell r="R58">
            <v>99916064</v>
          </cell>
          <cell r="S58">
            <v>477983216</v>
          </cell>
          <cell r="U58">
            <v>691708</v>
          </cell>
          <cell r="V58">
            <v>1914066</v>
          </cell>
          <cell r="W58">
            <v>7234983</v>
          </cell>
          <cell r="X58">
            <v>20930082</v>
          </cell>
        </row>
        <row r="59">
          <cell r="O59">
            <v>122782019</v>
          </cell>
          <cell r="P59">
            <v>72124134</v>
          </cell>
          <cell r="Q59">
            <v>212320998</v>
          </cell>
          <cell r="R59">
            <v>110352614</v>
          </cell>
          <cell r="S59">
            <v>517579765</v>
          </cell>
          <cell r="U59">
            <v>17655480</v>
          </cell>
          <cell r="V59">
            <v>9924249</v>
          </cell>
          <cell r="W59">
            <v>90027756</v>
          </cell>
          <cell r="X59">
            <v>43786734</v>
          </cell>
        </row>
        <row r="60">
          <cell r="O60">
            <v>127007324</v>
          </cell>
          <cell r="P60">
            <v>76436084</v>
          </cell>
          <cell r="Q60">
            <v>218795204</v>
          </cell>
          <cell r="R60">
            <v>119744188</v>
          </cell>
          <cell r="S60">
            <v>541982800</v>
          </cell>
          <cell r="U60">
            <v>11304270</v>
          </cell>
          <cell r="V60">
            <v>10445691</v>
          </cell>
          <cell r="W60">
            <v>15013827</v>
          </cell>
          <cell r="X60">
            <v>46335724</v>
          </cell>
        </row>
        <row r="61">
          <cell r="O61">
            <v>126002753</v>
          </cell>
          <cell r="P61">
            <v>77008517</v>
          </cell>
          <cell r="Q61">
            <v>212533686</v>
          </cell>
          <cell r="R61">
            <v>117739636</v>
          </cell>
          <cell r="S61">
            <v>533284592</v>
          </cell>
          <cell r="U61">
            <v>41316273</v>
          </cell>
          <cell r="V61">
            <v>277935210</v>
          </cell>
          <cell r="W61">
            <v>709453537</v>
          </cell>
          <cell r="X61">
            <v>75108251</v>
          </cell>
        </row>
        <row r="62">
          <cell r="O62">
            <v>122707170</v>
          </cell>
          <cell r="P62">
            <v>77031486</v>
          </cell>
          <cell r="Q62">
            <v>201509514</v>
          </cell>
          <cell r="R62">
            <v>115484141</v>
          </cell>
          <cell r="S62">
            <v>516732311</v>
          </cell>
          <cell r="U62">
            <v>3199518</v>
          </cell>
          <cell r="V62">
            <v>1730171</v>
          </cell>
          <cell r="W62">
            <v>9575293</v>
          </cell>
          <cell r="X62">
            <v>12448123</v>
          </cell>
        </row>
        <row r="63">
          <cell r="O63">
            <v>121980686</v>
          </cell>
          <cell r="P63">
            <v>76506580</v>
          </cell>
          <cell r="Q63">
            <v>194433202</v>
          </cell>
          <cell r="R63">
            <v>116765056</v>
          </cell>
          <cell r="S63">
            <v>509685524</v>
          </cell>
          <cell r="U63">
            <v>6499306</v>
          </cell>
          <cell r="V63">
            <v>1379885</v>
          </cell>
          <cell r="W63">
            <v>16355744</v>
          </cell>
          <cell r="X63">
            <v>37215741</v>
          </cell>
        </row>
        <row r="64">
          <cell r="O64">
            <v>121816746</v>
          </cell>
          <cell r="P64">
            <v>73290167</v>
          </cell>
          <cell r="Q64">
            <v>186264517</v>
          </cell>
          <cell r="R64">
            <v>121479162</v>
          </cell>
          <cell r="S64">
            <v>502850592</v>
          </cell>
          <cell r="U64">
            <v>5435871</v>
          </cell>
          <cell r="V64">
            <v>2574708</v>
          </cell>
          <cell r="W64">
            <v>36217836</v>
          </cell>
          <cell r="X64">
            <v>44441912</v>
          </cell>
        </row>
      </sheetData>
      <sheetData sheetId="3">
        <row r="1">
          <cell r="E1">
            <v>44104</v>
          </cell>
        </row>
        <row r="2">
          <cell r="E2">
            <v>44196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1277401</v>
          </cell>
          <cell r="Y26">
            <v>19201295</v>
          </cell>
          <cell r="Z26">
            <v>56124736</v>
          </cell>
          <cell r="AA26">
            <v>54382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10634874</v>
          </cell>
          <cell r="Y27">
            <v>20630853</v>
          </cell>
          <cell r="Z27">
            <v>18946421</v>
          </cell>
          <cell r="AA27">
            <v>259290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54064828</v>
          </cell>
          <cell r="Y28">
            <v>6175709</v>
          </cell>
          <cell r="Z28">
            <v>4828270</v>
          </cell>
          <cell r="AA28">
            <v>502759</v>
          </cell>
        </row>
        <row r="29"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520624</v>
          </cell>
          <cell r="Y29">
            <v>1618066</v>
          </cell>
          <cell r="Z29">
            <v>2844673</v>
          </cell>
          <cell r="AA29">
            <v>30748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17432597</v>
          </cell>
          <cell r="Y30">
            <v>9461279</v>
          </cell>
          <cell r="Z30">
            <v>86406840</v>
          </cell>
          <cell r="AA30">
            <v>339352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10980881</v>
          </cell>
          <cell r="Y31">
            <v>9531194</v>
          </cell>
          <cell r="Z31">
            <v>12167890</v>
          </cell>
          <cell r="AA31">
            <v>446449</v>
          </cell>
        </row>
        <row r="32">
          <cell r="S32">
            <v>34578896</v>
          </cell>
          <cell r="T32">
            <v>247337056</v>
          </cell>
          <cell r="U32">
            <v>619717457</v>
          </cell>
          <cell r="V32">
            <v>3363572</v>
          </cell>
          <cell r="X32">
            <v>2691919</v>
          </cell>
          <cell r="Y32">
            <v>7641292</v>
          </cell>
          <cell r="Z32">
            <v>21791214</v>
          </cell>
          <cell r="AA32">
            <v>481121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2499891</v>
          </cell>
          <cell r="Y33">
            <v>1138023</v>
          </cell>
          <cell r="Z33">
            <v>6753481</v>
          </cell>
          <cell r="AA33">
            <v>282195</v>
          </cell>
        </row>
        <row r="34"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4565298</v>
          </cell>
          <cell r="Y34">
            <v>822616</v>
          </cell>
          <cell r="Z34">
            <v>9866468</v>
          </cell>
          <cell r="AA34">
            <v>2547550</v>
          </cell>
        </row>
        <row r="35">
          <cell r="S35">
            <v>24705</v>
          </cell>
          <cell r="T35">
            <v>1228141</v>
          </cell>
          <cell r="U35">
            <v>5323059</v>
          </cell>
          <cell r="V35">
            <v>6672</v>
          </cell>
          <cell r="X35">
            <v>3883157</v>
          </cell>
          <cell r="Y35">
            <v>359896</v>
          </cell>
          <cell r="Z35">
            <v>16989231</v>
          </cell>
          <cell r="AA35">
            <v>280252</v>
          </cell>
        </row>
      </sheetData>
      <sheetData sheetId="4">
        <row r="1">
          <cell r="C1">
            <v>44165</v>
          </cell>
        </row>
        <row r="5">
          <cell r="F5">
            <v>1641086409</v>
          </cell>
          <cell r="L5">
            <v>3179889.5734525505</v>
          </cell>
        </row>
        <row r="6">
          <cell r="F6">
            <v>9184245072.0000134</v>
          </cell>
          <cell r="L6">
            <v>15043622.377002561</v>
          </cell>
        </row>
        <row r="7">
          <cell r="F7">
            <v>928096297.19999993</v>
          </cell>
          <cell r="L7">
            <v>2980954.63180148</v>
          </cell>
        </row>
        <row r="8">
          <cell r="F8">
            <v>2026672164.1999998</v>
          </cell>
          <cell r="L8">
            <v>4284174.726244851</v>
          </cell>
        </row>
        <row r="9">
          <cell r="F9">
            <v>1413193775.6000006</v>
          </cell>
          <cell r="L9">
            <v>2095504.052230808</v>
          </cell>
        </row>
        <row r="10">
          <cell r="F10">
            <v>19194216419.599968</v>
          </cell>
          <cell r="L10">
            <v>56954328.219770201</v>
          </cell>
        </row>
        <row r="11">
          <cell r="F11">
            <v>1145895514.8000007</v>
          </cell>
          <cell r="L11">
            <v>3130621.0713910782</v>
          </cell>
        </row>
        <row r="12">
          <cell r="F12">
            <v>6116467571.3999958</v>
          </cell>
          <cell r="L12">
            <v>11125001.921133341</v>
          </cell>
        </row>
        <row r="13">
          <cell r="F13">
            <v>6205485</v>
          </cell>
          <cell r="L13">
            <v>8407.1035113086964</v>
          </cell>
        </row>
        <row r="14">
          <cell r="F14">
            <v>173965650</v>
          </cell>
          <cell r="L14">
            <v>245461.94310877196</v>
          </cell>
        </row>
        <row r="15">
          <cell r="F15">
            <v>1107031970.8000007</v>
          </cell>
          <cell r="L15">
            <v>2947074.5852516349</v>
          </cell>
        </row>
        <row r="16">
          <cell r="F16">
            <v>10012218454.000002</v>
          </cell>
          <cell r="L16">
            <v>18793730.638236891</v>
          </cell>
        </row>
        <row r="17">
          <cell r="F17">
            <v>78870096.799999997</v>
          </cell>
          <cell r="L17">
            <v>141934.13478664501</v>
          </cell>
        </row>
        <row r="18">
          <cell r="F18">
            <v>1593039162.9999998</v>
          </cell>
          <cell r="L18">
            <v>2676705.6525831488</v>
          </cell>
        </row>
        <row r="19">
          <cell r="F19">
            <v>79020444.599999994</v>
          </cell>
          <cell r="L19">
            <v>210409.11101297263</v>
          </cell>
        </row>
        <row r="30">
          <cell r="F30">
            <v>1641086409</v>
          </cell>
          <cell r="L30">
            <v>4150547.9827410742</v>
          </cell>
        </row>
        <row r="31">
          <cell r="F31">
            <v>9184245072.0000134</v>
          </cell>
          <cell r="L31">
            <v>16162522.020442814</v>
          </cell>
        </row>
        <row r="32">
          <cell r="F32">
            <v>928096297.19999993</v>
          </cell>
          <cell r="L32">
            <v>2835322.8973179259</v>
          </cell>
        </row>
        <row r="33">
          <cell r="F33">
            <v>2026672164.1999998</v>
          </cell>
          <cell r="L33">
            <v>3653867.2614778453</v>
          </cell>
        </row>
        <row r="34">
          <cell r="F34">
            <v>1413193775.6000006</v>
          </cell>
          <cell r="L34">
            <v>2285500.3954687375</v>
          </cell>
        </row>
        <row r="35">
          <cell r="F35">
            <v>19194216419.599968</v>
          </cell>
          <cell r="L35">
            <v>78419239.583797857</v>
          </cell>
        </row>
        <row r="36">
          <cell r="F36">
            <v>1145895514.8000007</v>
          </cell>
          <cell r="L36">
            <v>4498399.9134624796</v>
          </cell>
        </row>
        <row r="37">
          <cell r="F37">
            <v>6116467571.3999958</v>
          </cell>
          <cell r="L37">
            <v>12202286.504138367</v>
          </cell>
        </row>
        <row r="38">
          <cell r="F38">
            <v>6205485</v>
          </cell>
          <cell r="L38">
            <v>4978.2204131108456</v>
          </cell>
        </row>
        <row r="39">
          <cell r="F39">
            <v>173965650</v>
          </cell>
          <cell r="L39">
            <v>163863.77810443315</v>
          </cell>
        </row>
        <row r="40">
          <cell r="F40">
            <v>1107031970.8000007</v>
          </cell>
          <cell r="L40">
            <v>3010414.3038961808</v>
          </cell>
        </row>
        <row r="41">
          <cell r="F41">
            <v>10012218454.000002</v>
          </cell>
          <cell r="L41">
            <v>26000395.593522485</v>
          </cell>
        </row>
        <row r="42">
          <cell r="F42">
            <v>78870096.799999997</v>
          </cell>
          <cell r="L42">
            <v>117625.7132848154</v>
          </cell>
        </row>
        <row r="43">
          <cell r="F43">
            <v>1593039162.9999998</v>
          </cell>
          <cell r="L43">
            <v>3059624.8473992534</v>
          </cell>
        </row>
        <row r="44">
          <cell r="F44">
            <v>79020444.599999994</v>
          </cell>
          <cell r="L44">
            <v>163796.94896370091</v>
          </cell>
        </row>
      </sheetData>
      <sheetData sheetId="5">
        <row r="1">
          <cell r="B1">
            <v>44104</v>
          </cell>
        </row>
        <row r="2">
          <cell r="B2">
            <v>44196</v>
          </cell>
        </row>
        <row r="41">
          <cell r="B41">
            <v>137268975</v>
          </cell>
          <cell r="C41">
            <v>154006388</v>
          </cell>
          <cell r="D41">
            <v>156583413</v>
          </cell>
          <cell r="E41">
            <v>157455959</v>
          </cell>
          <cell r="F41">
            <v>157928871</v>
          </cell>
          <cell r="G41">
            <v>157995441</v>
          </cell>
          <cell r="H41">
            <v>158032134</v>
          </cell>
          <cell r="I41">
            <v>158045550</v>
          </cell>
          <cell r="J41">
            <v>158070557</v>
          </cell>
        </row>
        <row r="43">
          <cell r="B43">
            <v>143685191</v>
          </cell>
          <cell r="C43">
            <v>155082103</v>
          </cell>
          <cell r="D43">
            <v>157260644</v>
          </cell>
          <cell r="E43">
            <v>157739173</v>
          </cell>
          <cell r="F43">
            <v>158013526</v>
          </cell>
          <cell r="G43">
            <v>157995441</v>
          </cell>
          <cell r="H43">
            <v>158049585</v>
          </cell>
          <cell r="I43">
            <v>158045550</v>
          </cell>
          <cell r="J43">
            <v>158070557</v>
          </cell>
        </row>
        <row r="45">
          <cell r="B45">
            <v>162843785</v>
          </cell>
          <cell r="C45">
            <v>196787659</v>
          </cell>
          <cell r="D45">
            <v>232372931</v>
          </cell>
          <cell r="E45">
            <v>242523103</v>
          </cell>
          <cell r="F45">
            <v>245226899</v>
          </cell>
          <cell r="G45">
            <v>246785273</v>
          </cell>
          <cell r="H45">
            <v>247418887</v>
          </cell>
          <cell r="I45">
            <v>247576732</v>
          </cell>
          <cell r="J45">
            <v>247574076</v>
          </cell>
        </row>
        <row r="47">
          <cell r="B47">
            <v>170023007</v>
          </cell>
          <cell r="C47">
            <v>203479515</v>
          </cell>
          <cell r="D47">
            <v>240438584</v>
          </cell>
          <cell r="E47">
            <v>246180482</v>
          </cell>
          <cell r="F47">
            <v>247026668</v>
          </cell>
          <cell r="G47">
            <v>247421704</v>
          </cell>
          <cell r="H47">
            <v>247519642</v>
          </cell>
          <cell r="I47">
            <v>247594084</v>
          </cell>
          <cell r="J47">
            <v>247574076</v>
          </cell>
        </row>
        <row r="49">
          <cell r="B49">
            <v>124049953</v>
          </cell>
          <cell r="C49">
            <v>143358632</v>
          </cell>
          <cell r="D49">
            <v>151995425</v>
          </cell>
          <cell r="E49">
            <v>154466005</v>
          </cell>
          <cell r="F49">
            <v>156218419</v>
          </cell>
          <cell r="G49">
            <v>156541239</v>
          </cell>
          <cell r="H49">
            <v>156580239</v>
          </cell>
          <cell r="I49">
            <v>156627933</v>
          </cell>
        </row>
        <row r="51">
          <cell r="B51">
            <v>127452940</v>
          </cell>
          <cell r="C51">
            <v>147008796</v>
          </cell>
          <cell r="D51">
            <v>154929835</v>
          </cell>
          <cell r="E51">
            <v>155922478</v>
          </cell>
          <cell r="F51">
            <v>156569090</v>
          </cell>
          <cell r="G51">
            <v>156577214</v>
          </cell>
          <cell r="H51">
            <v>156580239</v>
          </cell>
          <cell r="I51">
            <v>156627933</v>
          </cell>
        </row>
        <row r="53">
          <cell r="B53">
            <v>151510397</v>
          </cell>
          <cell r="C53">
            <v>178253200</v>
          </cell>
          <cell r="D53">
            <v>187490071</v>
          </cell>
          <cell r="E53">
            <v>191068370</v>
          </cell>
          <cell r="F53">
            <v>191825376</v>
          </cell>
          <cell r="G53">
            <v>192297131</v>
          </cell>
          <cell r="H53">
            <v>192389021</v>
          </cell>
        </row>
        <row r="55">
          <cell r="B55">
            <v>157426480</v>
          </cell>
          <cell r="C55">
            <v>183365534</v>
          </cell>
          <cell r="D55">
            <v>190277645</v>
          </cell>
          <cell r="E55">
            <v>191866051</v>
          </cell>
          <cell r="F55">
            <v>192056094</v>
          </cell>
          <cell r="G55">
            <v>192342131</v>
          </cell>
          <cell r="H55">
            <v>192402821</v>
          </cell>
        </row>
        <row r="57">
          <cell r="B57">
            <v>173851321</v>
          </cell>
          <cell r="C57">
            <v>200068627</v>
          </cell>
          <cell r="D57">
            <v>206343457</v>
          </cell>
          <cell r="E57">
            <v>208326698</v>
          </cell>
          <cell r="F57">
            <v>209062544</v>
          </cell>
          <cell r="G57">
            <v>209155773</v>
          </cell>
        </row>
        <row r="59">
          <cell r="B59">
            <v>183265977</v>
          </cell>
          <cell r="C59">
            <v>204238612</v>
          </cell>
          <cell r="D59">
            <v>208541167</v>
          </cell>
          <cell r="E59">
            <v>209008196</v>
          </cell>
          <cell r="F59">
            <v>209335360</v>
          </cell>
          <cell r="G59">
            <v>209188944</v>
          </cell>
        </row>
        <row r="61">
          <cell r="B61">
            <v>486123737</v>
          </cell>
          <cell r="C61">
            <v>553331928</v>
          </cell>
          <cell r="D61">
            <v>561570000</v>
          </cell>
          <cell r="E61">
            <v>563808647</v>
          </cell>
          <cell r="F61">
            <v>564583045</v>
          </cell>
        </row>
        <row r="63">
          <cell r="B63">
            <v>498091696</v>
          </cell>
          <cell r="C63">
            <v>556120188</v>
          </cell>
          <cell r="D63">
            <v>562298313</v>
          </cell>
          <cell r="E63">
            <v>564014455</v>
          </cell>
          <cell r="F63">
            <v>564747319</v>
          </cell>
        </row>
        <row r="65">
          <cell r="B65">
            <v>634032864</v>
          </cell>
          <cell r="C65">
            <v>775471701</v>
          </cell>
          <cell r="D65">
            <v>803500800</v>
          </cell>
          <cell r="E65">
            <v>815757269</v>
          </cell>
        </row>
        <row r="67">
          <cell r="B67">
            <v>665246722</v>
          </cell>
          <cell r="C67">
            <v>791814275</v>
          </cell>
          <cell r="D67">
            <v>816792228</v>
          </cell>
          <cell r="E67">
            <v>822500776</v>
          </cell>
        </row>
        <row r="69">
          <cell r="B69">
            <v>181011401</v>
          </cell>
          <cell r="C69">
            <v>217041729</v>
          </cell>
          <cell r="D69">
            <v>220050428</v>
          </cell>
        </row>
        <row r="71">
          <cell r="B71">
            <v>186500396</v>
          </cell>
          <cell r="C71">
            <v>218189068</v>
          </cell>
          <cell r="D71">
            <v>220721213</v>
          </cell>
        </row>
        <row r="73">
          <cell r="B73">
            <v>276104166</v>
          </cell>
          <cell r="C73">
            <v>316560476</v>
          </cell>
        </row>
        <row r="75">
          <cell r="B75">
            <v>283698005</v>
          </cell>
          <cell r="C75">
            <v>318857544</v>
          </cell>
        </row>
        <row r="77">
          <cell r="B77">
            <v>322633564</v>
          </cell>
        </row>
        <row r="79">
          <cell r="B79">
            <v>338256149</v>
          </cell>
        </row>
      </sheetData>
      <sheetData sheetId="6"/>
      <sheetData sheetId="7"/>
      <sheetData sheetId="8">
        <row r="22">
          <cell r="E22">
            <v>90742856</v>
          </cell>
          <cell r="F22">
            <v>75601</v>
          </cell>
        </row>
        <row r="23">
          <cell r="E23">
            <v>99110457</v>
          </cell>
          <cell r="F23">
            <v>82435</v>
          </cell>
        </row>
        <row r="24">
          <cell r="E24">
            <v>66729933</v>
          </cell>
          <cell r="F24">
            <v>54497</v>
          </cell>
        </row>
        <row r="25">
          <cell r="E25">
            <v>68658174</v>
          </cell>
          <cell r="F25">
            <v>54769</v>
          </cell>
        </row>
        <row r="26">
          <cell r="E26">
            <v>96214511</v>
          </cell>
          <cell r="F26">
            <v>77155</v>
          </cell>
        </row>
        <row r="27">
          <cell r="E27">
            <v>112131482</v>
          </cell>
          <cell r="F27">
            <v>89431</v>
          </cell>
        </row>
        <row r="28">
          <cell r="E28">
            <v>70018382</v>
          </cell>
          <cell r="F28">
            <v>54952</v>
          </cell>
        </row>
        <row r="29">
          <cell r="E29">
            <v>71740155</v>
          </cell>
          <cell r="F29">
            <v>54742</v>
          </cell>
        </row>
        <row r="30">
          <cell r="E30">
            <v>108632729</v>
          </cell>
          <cell r="F30">
            <v>82182</v>
          </cell>
        </row>
        <row r="31">
          <cell r="E31">
            <v>111540208</v>
          </cell>
          <cell r="F31">
            <v>83114</v>
          </cell>
        </row>
        <row r="32">
          <cell r="E32">
            <v>81734680</v>
          </cell>
          <cell r="F32">
            <v>60544</v>
          </cell>
        </row>
        <row r="33">
          <cell r="E33">
            <v>77867785</v>
          </cell>
          <cell r="F33">
            <v>55592</v>
          </cell>
        </row>
        <row r="34">
          <cell r="E34">
            <v>111616003</v>
          </cell>
          <cell r="F34">
            <v>79155</v>
          </cell>
        </row>
        <row r="35">
          <cell r="E35">
            <v>128096479</v>
          </cell>
          <cell r="F35">
            <v>89874</v>
          </cell>
        </row>
        <row r="36">
          <cell r="E36">
            <v>86711448</v>
          </cell>
          <cell r="F36">
            <v>60646</v>
          </cell>
        </row>
        <row r="37">
          <cell r="E37">
            <v>85327979</v>
          </cell>
          <cell r="F37">
            <v>57651</v>
          </cell>
        </row>
        <row r="38">
          <cell r="E38">
            <v>122581230</v>
          </cell>
          <cell r="F38">
            <v>82158</v>
          </cell>
        </row>
        <row r="39">
          <cell r="E39">
            <v>127421809</v>
          </cell>
          <cell r="F39">
            <v>84402</v>
          </cell>
        </row>
        <row r="40">
          <cell r="E40">
            <v>87342988</v>
          </cell>
          <cell r="F40">
            <v>57308</v>
          </cell>
        </row>
        <row r="41">
          <cell r="E41">
            <v>84557230</v>
          </cell>
          <cell r="F41">
            <v>54113</v>
          </cell>
        </row>
        <row r="42">
          <cell r="E42">
            <v>125845764</v>
          </cell>
          <cell r="F42">
            <v>79991</v>
          </cell>
        </row>
        <row r="43">
          <cell r="E43">
            <v>123784247</v>
          </cell>
          <cell r="F43">
            <v>77932</v>
          </cell>
        </row>
        <row r="44">
          <cell r="E44">
            <v>81959449</v>
          </cell>
          <cell r="F44">
            <v>51030</v>
          </cell>
        </row>
        <row r="45">
          <cell r="E45">
            <v>79037984</v>
          </cell>
          <cell r="F45">
            <v>50991</v>
          </cell>
        </row>
        <row r="46">
          <cell r="E46">
            <v>114547681</v>
          </cell>
          <cell r="F46">
            <v>73614</v>
          </cell>
        </row>
        <row r="47">
          <cell r="E47">
            <v>108614623</v>
          </cell>
          <cell r="F47">
            <v>68864</v>
          </cell>
        </row>
        <row r="48">
          <cell r="E48">
            <v>73697340</v>
          </cell>
          <cell r="F48">
            <v>45960</v>
          </cell>
        </row>
        <row r="49">
          <cell r="E49">
            <v>71679332</v>
          </cell>
          <cell r="F49">
            <v>44101</v>
          </cell>
        </row>
        <row r="50">
          <cell r="E50">
            <v>104163394</v>
          </cell>
          <cell r="F50">
            <v>63851</v>
          </cell>
        </row>
        <row r="51">
          <cell r="E51">
            <v>101951681</v>
          </cell>
          <cell r="F51">
            <v>61408</v>
          </cell>
        </row>
        <row r="52">
          <cell r="E52">
            <v>68300637</v>
          </cell>
          <cell r="F52">
            <v>40418</v>
          </cell>
        </row>
        <row r="53">
          <cell r="E53">
            <v>65036872</v>
          </cell>
          <cell r="F53">
            <v>39758</v>
          </cell>
        </row>
        <row r="54">
          <cell r="E54">
            <v>99948528</v>
          </cell>
          <cell r="F54">
            <v>60805</v>
          </cell>
        </row>
        <row r="55">
          <cell r="E55">
            <v>97063357</v>
          </cell>
          <cell r="F55">
            <v>57547</v>
          </cell>
        </row>
        <row r="56">
          <cell r="E56">
            <v>65697652</v>
          </cell>
          <cell r="F56">
            <v>38375</v>
          </cell>
        </row>
        <row r="57">
          <cell r="E57">
            <v>63498682</v>
          </cell>
          <cell r="F57">
            <v>38302</v>
          </cell>
        </row>
        <row r="58">
          <cell r="E58">
            <v>98472763</v>
          </cell>
          <cell r="F58">
            <v>59374</v>
          </cell>
        </row>
        <row r="59">
          <cell r="E59">
            <v>98544861</v>
          </cell>
          <cell r="F59">
            <v>57963</v>
          </cell>
        </row>
        <row r="60">
          <cell r="E60">
            <v>65820531</v>
          </cell>
          <cell r="F60">
            <v>37911</v>
          </cell>
        </row>
      </sheetData>
      <sheetData sheetId="9">
        <row r="23">
          <cell r="Y23">
            <v>110461812</v>
          </cell>
        </row>
        <row r="24">
          <cell r="Y24">
            <v>56782746</v>
          </cell>
        </row>
        <row r="25">
          <cell r="Y25">
            <v>139598381</v>
          </cell>
        </row>
        <row r="26">
          <cell r="Y26">
            <v>4478381</v>
          </cell>
        </row>
        <row r="261">
          <cell r="J261">
            <v>2.0131171511531929</v>
          </cell>
        </row>
        <row r="262">
          <cell r="J262">
            <v>1.9195987469434546</v>
          </cell>
        </row>
        <row r="263">
          <cell r="J263">
            <v>1.8367857218551029</v>
          </cell>
        </row>
        <row r="264">
          <cell r="J264">
            <v>1.8323775762609837</v>
          </cell>
        </row>
        <row r="265">
          <cell r="J265">
            <v>1.7490128310516411</v>
          </cell>
        </row>
        <row r="266">
          <cell r="G266">
            <v>219412771.41374999</v>
          </cell>
          <cell r="J266">
            <v>1.6495345789525933</v>
          </cell>
          <cell r="O266">
            <v>361928953.51080167</v>
          </cell>
        </row>
        <row r="267">
          <cell r="G267">
            <v>250693787.58916676</v>
          </cell>
          <cell r="J267">
            <v>1.4987056675771686</v>
          </cell>
          <cell r="O267">
            <v>375716200.2862711</v>
          </cell>
        </row>
        <row r="268">
          <cell r="G268">
            <v>273154916.13250005</v>
          </cell>
          <cell r="J268">
            <v>1.4074808531397425</v>
          </cell>
          <cell r="O268">
            <v>384460314.39748597</v>
          </cell>
        </row>
        <row r="269">
          <cell r="G269">
            <v>292239326.51041698</v>
          </cell>
          <cell r="J269">
            <v>1.3727166755238378</v>
          </cell>
          <cell r="O269">
            <v>401161796.74470496</v>
          </cell>
        </row>
        <row r="270">
          <cell r="G270">
            <v>323323868.9816668</v>
          </cell>
          <cell r="J270">
            <v>1.3073731976777445</v>
          </cell>
          <cell r="O270">
            <v>422704960.47610188</v>
          </cell>
        </row>
        <row r="271">
          <cell r="G271">
            <v>346955938.10791636</v>
          </cell>
          <cell r="J271">
            <v>1.2452851041347781</v>
          </cell>
          <cell r="O271">
            <v>432059061.51689625</v>
          </cell>
        </row>
        <row r="272">
          <cell r="G272">
            <v>372022088.97291589</v>
          </cell>
          <cell r="J272">
            <v>1.1862347753925764</v>
          </cell>
          <cell r="O272">
            <v>441305539.15386391</v>
          </cell>
        </row>
        <row r="273">
          <cell r="G273">
            <v>403803905.31166744</v>
          </cell>
          <cell r="J273">
            <v>1.1299661810216541</v>
          </cell>
          <cell r="O273">
            <v>456284756.76665449</v>
          </cell>
        </row>
        <row r="274">
          <cell r="G274">
            <v>405934589.57833338</v>
          </cell>
          <cell r="J274">
            <v>1.0765597532120244</v>
          </cell>
          <cell r="O274">
            <v>437012841.57667494</v>
          </cell>
        </row>
        <row r="275">
          <cell r="G275">
            <v>376421384.29166651</v>
          </cell>
          <cell r="J275">
            <v>1.0500000000000014</v>
          </cell>
          <cell r="O275">
            <v>395242453.50625038</v>
          </cell>
        </row>
        <row r="276">
          <cell r="G276">
            <v>341468875.45833349</v>
          </cell>
          <cell r="J276">
            <v>1.0255439472483592</v>
          </cell>
          <cell r="O276">
            <v>350191338.39999771</v>
          </cell>
        </row>
        <row r="277">
          <cell r="G277">
            <v>322259385.91666698</v>
          </cell>
          <cell r="J277">
            <v>0.999999999999997</v>
          </cell>
          <cell r="O277">
            <v>322259385.91666603</v>
          </cell>
        </row>
        <row r="278">
          <cell r="G278">
            <v>311420426.08333302</v>
          </cell>
          <cell r="J278">
            <v>1</v>
          </cell>
          <cell r="O278">
            <v>311420426.08333302</v>
          </cell>
        </row>
      </sheetData>
      <sheetData sheetId="10">
        <row r="96">
          <cell r="H96">
            <v>178.59</v>
          </cell>
        </row>
        <row r="97">
          <cell r="H97">
            <v>178.72</v>
          </cell>
        </row>
        <row r="98">
          <cell r="H98">
            <v>178.97</v>
          </cell>
        </row>
        <row r="99">
          <cell r="H99">
            <v>179.61</v>
          </cell>
        </row>
        <row r="100">
          <cell r="H100">
            <v>180.52</v>
          </cell>
        </row>
        <row r="101">
          <cell r="H101">
            <v>181.55</v>
          </cell>
        </row>
        <row r="102">
          <cell r="H102">
            <v>182.78</v>
          </cell>
        </row>
        <row r="103">
          <cell r="H103">
            <v>183.87</v>
          </cell>
        </row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193.86</v>
          </cell>
        </row>
        <row r="123">
          <cell r="H123">
            <v>194.07</v>
          </cell>
        </row>
        <row r="124">
          <cell r="H124">
            <v>194.2</v>
          </cell>
        </row>
        <row r="125">
          <cell r="H125">
            <v>194.18</v>
          </cell>
        </row>
        <row r="126">
          <cell r="H126">
            <v>194.71</v>
          </cell>
        </row>
        <row r="127">
          <cell r="H127">
            <v>195.24</v>
          </cell>
        </row>
        <row r="128">
          <cell r="H128">
            <v>195.63</v>
          </cell>
        </row>
        <row r="129">
          <cell r="H129">
            <v>196.26</v>
          </cell>
        </row>
        <row r="130">
          <cell r="H130">
            <v>197.08</v>
          </cell>
        </row>
        <row r="131">
          <cell r="H131">
            <v>198.4</v>
          </cell>
        </row>
        <row r="132">
          <cell r="H132">
            <v>199.83</v>
          </cell>
        </row>
        <row r="133">
          <cell r="H133">
            <v>200.34</v>
          </cell>
        </row>
        <row r="134">
          <cell r="H134">
            <v>199.75</v>
          </cell>
        </row>
        <row r="135">
          <cell r="H135">
            <v>197.76</v>
          </cell>
        </row>
        <row r="136">
          <cell r="H136">
            <v>195.97</v>
          </cell>
        </row>
        <row r="137">
          <cell r="H137">
            <v>194.84</v>
          </cell>
        </row>
      </sheetData>
      <sheetData sheetId="11">
        <row r="58">
          <cell r="D58">
            <v>2065.1042416763394</v>
          </cell>
          <cell r="E58">
            <v>2073.4202189404759</v>
          </cell>
        </row>
        <row r="59">
          <cell r="D59">
            <v>2070.208705448661</v>
          </cell>
          <cell r="E59">
            <v>2074.4718858303572</v>
          </cell>
        </row>
        <row r="60">
          <cell r="D60">
            <v>2075.7667736205358</v>
          </cell>
          <cell r="E60">
            <v>2078.0934502470236</v>
          </cell>
        </row>
        <row r="61">
          <cell r="D61">
            <v>2083.1629894464286</v>
          </cell>
          <cell r="E61">
            <v>2083.4605320476189</v>
          </cell>
        </row>
        <row r="62">
          <cell r="D62">
            <v>2092.6853822098215</v>
          </cell>
          <cell r="E62">
            <v>2089.9624981398811</v>
          </cell>
        </row>
        <row r="63">
          <cell r="D63">
            <v>2103.67658390625</v>
          </cell>
          <cell r="E63">
            <v>2099.3336831249999</v>
          </cell>
        </row>
        <row r="64">
          <cell r="D64">
            <v>2121.4649248437499</v>
          </cell>
          <cell r="E64">
            <v>2118.8191253125001</v>
          </cell>
        </row>
        <row r="65">
          <cell r="D65">
            <v>2139.9674865625002</v>
          </cell>
          <cell r="E65">
            <v>2139.8777234375002</v>
          </cell>
        </row>
        <row r="66">
          <cell r="D66">
            <v>2155.4573617968749</v>
          </cell>
          <cell r="E66">
            <v>2157.7392184374999</v>
          </cell>
        </row>
        <row r="67">
          <cell r="D67">
            <v>2172.5562767187498</v>
          </cell>
          <cell r="E67">
            <v>2175.6324212500003</v>
          </cell>
        </row>
        <row r="68">
          <cell r="D68">
            <v>2188.3282736718747</v>
          </cell>
          <cell r="E68">
            <v>2189.6208656250001</v>
          </cell>
        </row>
        <row r="69">
          <cell r="D69">
            <v>2202.6592412500004</v>
          </cell>
          <cell r="E69">
            <v>2203.3705943750001</v>
          </cell>
        </row>
        <row r="70">
          <cell r="D70">
            <v>2219.6668832812502</v>
          </cell>
          <cell r="E70">
            <v>2227.7073512500001</v>
          </cell>
        </row>
        <row r="71">
          <cell r="D71">
            <v>2239.006476171875</v>
          </cell>
          <cell r="E71">
            <v>2252.6328937500002</v>
          </cell>
        </row>
        <row r="72">
          <cell r="D72">
            <v>2257.4206734374998</v>
          </cell>
          <cell r="E72">
            <v>2274.9976849999998</v>
          </cell>
        </row>
        <row r="73">
          <cell r="D73">
            <v>2275.5617031249999</v>
          </cell>
          <cell r="E73">
            <v>2296.7677665625006</v>
          </cell>
        </row>
        <row r="74">
          <cell r="D74">
            <v>2293.586478515625</v>
          </cell>
          <cell r="E74">
            <v>2310.575920625</v>
          </cell>
        </row>
        <row r="75">
          <cell r="D75">
            <v>2307.5486684374996</v>
          </cell>
          <cell r="E75">
            <v>2322.5219765625002</v>
          </cell>
        </row>
        <row r="76">
          <cell r="D76">
            <v>2316.0157391406246</v>
          </cell>
          <cell r="E76">
            <v>2330.3812862499999</v>
          </cell>
        </row>
        <row r="77">
          <cell r="D77">
            <v>2319.8966374218749</v>
          </cell>
          <cell r="E77">
            <v>2333.2555071874999</v>
          </cell>
        </row>
        <row r="78">
          <cell r="D78">
            <v>2316.4368912499999</v>
          </cell>
          <cell r="E78">
            <v>2328.6463168749997</v>
          </cell>
        </row>
        <row r="79">
          <cell r="D79">
            <v>2308.4052721093749</v>
          </cell>
          <cell r="E79">
            <v>2320.7975212499996</v>
          </cell>
        </row>
        <row r="80">
          <cell r="D80">
            <v>2301.2550189843751</v>
          </cell>
          <cell r="E80">
            <v>2313.59063625</v>
          </cell>
        </row>
        <row r="81">
          <cell r="D81">
            <v>2296.5396237499999</v>
          </cell>
          <cell r="E81">
            <v>2308.1697937499998</v>
          </cell>
        </row>
        <row r="82">
          <cell r="D82">
            <v>2299.4008416406245</v>
          </cell>
          <cell r="E82">
            <v>2311.2435409374998</v>
          </cell>
        </row>
        <row r="83">
          <cell r="D83">
            <v>2309.76593328125</v>
          </cell>
          <cell r="E83">
            <v>2323.7941315624998</v>
          </cell>
        </row>
        <row r="84">
          <cell r="D84">
            <v>2326.2998086718749</v>
          </cell>
          <cell r="E84">
            <v>2340.8039171874998</v>
          </cell>
        </row>
        <row r="85">
          <cell r="D85">
            <v>2343.8064457812497</v>
          </cell>
          <cell r="E85">
            <v>2360.0865974999997</v>
          </cell>
        </row>
        <row r="86">
          <cell r="D86">
            <v>2363.7419721874999</v>
          </cell>
          <cell r="E86">
            <v>2380.3326815624996</v>
          </cell>
        </row>
        <row r="87">
          <cell r="D87">
            <v>2386.9934075000001</v>
          </cell>
          <cell r="E87">
            <v>2404.1550571875</v>
          </cell>
        </row>
        <row r="88">
          <cell r="D88">
            <v>2413.5249035156248</v>
          </cell>
          <cell r="E88">
            <v>2433.3168421874998</v>
          </cell>
        </row>
        <row r="89">
          <cell r="D89">
            <v>2441.1228667187502</v>
          </cell>
          <cell r="E89">
            <v>2467.6029853125001</v>
          </cell>
        </row>
        <row r="90">
          <cell r="D90">
            <v>2459.1268375</v>
          </cell>
          <cell r="E90">
            <v>2494.1881793749999</v>
          </cell>
        </row>
        <row r="91">
          <cell r="D91">
            <v>2468.9556631249998</v>
          </cell>
          <cell r="E91">
            <v>2508.1578743749997</v>
          </cell>
        </row>
        <row r="92">
          <cell r="D92">
            <v>2469.0078392968749</v>
          </cell>
          <cell r="E92">
            <v>2510.4392250000001</v>
          </cell>
        </row>
        <row r="93">
          <cell r="D93">
            <v>2466.8168924218749</v>
          </cell>
          <cell r="E93">
            <v>2504.0701937499998</v>
          </cell>
        </row>
        <row r="94">
          <cell r="D94">
            <v>2471.8468038281248</v>
          </cell>
          <cell r="E94">
            <v>2502.4740178124998</v>
          </cell>
        </row>
        <row r="95">
          <cell r="D95">
            <v>2478.7320603906251</v>
          </cell>
          <cell r="E95">
            <v>2502.9244703124996</v>
          </cell>
        </row>
        <row r="96">
          <cell r="D96">
            <v>2493.74998453125</v>
          </cell>
          <cell r="E96">
            <v>2516.5388343749996</v>
          </cell>
        </row>
        <row r="97">
          <cell r="D97">
            <v>2522.0492174218748</v>
          </cell>
          <cell r="E97">
            <v>2539.1344490624997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E14">
            <v>1.3400956406250004</v>
          </cell>
        </row>
        <row r="15">
          <cell r="E15">
            <v>1.3400956406250004</v>
          </cell>
        </row>
        <row r="16">
          <cell r="E16">
            <v>1.3400956406250004</v>
          </cell>
        </row>
        <row r="17">
          <cell r="E17">
            <v>1.2762815625000004</v>
          </cell>
        </row>
        <row r="18">
          <cell r="E18">
            <v>1.2762815625000004</v>
          </cell>
        </row>
        <row r="19">
          <cell r="E19">
            <v>1.2762815625000004</v>
          </cell>
        </row>
        <row r="20">
          <cell r="E20">
            <v>1.2762815625000004</v>
          </cell>
        </row>
        <row r="21">
          <cell r="E21">
            <v>1.2155062500000002</v>
          </cell>
        </row>
        <row r="22">
          <cell r="E22">
            <v>1.2155062500000002</v>
          </cell>
        </row>
        <row r="23">
          <cell r="E23">
            <v>1.2155062500000002</v>
          </cell>
        </row>
        <row r="24">
          <cell r="E24">
            <v>1.2155062500000002</v>
          </cell>
        </row>
        <row r="25">
          <cell r="E25">
            <v>1.1576250000000001</v>
          </cell>
        </row>
        <row r="26">
          <cell r="E26">
            <v>1.1576250000000001</v>
          </cell>
        </row>
        <row r="27">
          <cell r="E27">
            <v>1.1576250000000001</v>
          </cell>
        </row>
        <row r="28">
          <cell r="E28">
            <v>1.1576250000000001</v>
          </cell>
        </row>
        <row r="29">
          <cell r="E29">
            <v>1.1025</v>
          </cell>
        </row>
        <row r="30">
          <cell r="E30">
            <v>1.1025</v>
          </cell>
        </row>
        <row r="31">
          <cell r="E31">
            <v>1.1025</v>
          </cell>
        </row>
        <row r="32">
          <cell r="E32">
            <v>1.1025</v>
          </cell>
        </row>
        <row r="33">
          <cell r="E33">
            <v>1.05</v>
          </cell>
        </row>
        <row r="34">
          <cell r="E34">
            <v>1.05</v>
          </cell>
        </row>
        <row r="35">
          <cell r="E35">
            <v>1.05</v>
          </cell>
        </row>
        <row r="36">
          <cell r="E36">
            <v>1.05</v>
          </cell>
        </row>
        <row r="37">
          <cell r="E37">
            <v>1.05</v>
          </cell>
        </row>
        <row r="38">
          <cell r="E38">
            <v>1.05</v>
          </cell>
        </row>
        <row r="39">
          <cell r="E39">
            <v>1.05</v>
          </cell>
        </row>
        <row r="40">
          <cell r="E40">
            <v>1.05</v>
          </cell>
        </row>
        <row r="41">
          <cell r="E41">
            <v>1</v>
          </cell>
        </row>
        <row r="42">
          <cell r="E42">
            <v>1</v>
          </cell>
        </row>
        <row r="43">
          <cell r="E43">
            <v>1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  <row r="47">
          <cell r="E47">
            <v>1</v>
          </cell>
        </row>
        <row r="48">
          <cell r="E48">
            <v>1</v>
          </cell>
        </row>
        <row r="49">
          <cell r="E49">
            <v>1</v>
          </cell>
        </row>
        <row r="50">
          <cell r="E50">
            <v>1</v>
          </cell>
        </row>
        <row r="51">
          <cell r="E51">
            <v>1</v>
          </cell>
        </row>
        <row r="52">
          <cell r="E52">
            <v>1</v>
          </cell>
        </row>
      </sheetData>
      <sheetData sheetId="9"/>
      <sheetData sheetId="10"/>
      <sheetData sheetId="11"/>
      <sheetData sheetId="12"/>
      <sheetData sheetId="13"/>
      <sheetData sheetId="14">
        <row r="14">
          <cell r="E14">
            <v>12911</v>
          </cell>
        </row>
        <row r="15">
          <cell r="E15">
            <v>2512</v>
          </cell>
        </row>
        <row r="16">
          <cell r="E16">
            <v>796</v>
          </cell>
        </row>
        <row r="17">
          <cell r="E17">
            <v>148999</v>
          </cell>
        </row>
        <row r="18">
          <cell r="E18">
            <v>999</v>
          </cell>
        </row>
        <row r="19">
          <cell r="E19">
            <v>512</v>
          </cell>
        </row>
        <row r="20">
          <cell r="E20">
            <v>881</v>
          </cell>
        </row>
        <row r="21">
          <cell r="E21">
            <v>1897</v>
          </cell>
        </row>
        <row r="22">
          <cell r="E22">
            <v>1160</v>
          </cell>
        </row>
        <row r="23">
          <cell r="E23">
            <v>12296</v>
          </cell>
        </row>
        <row r="24">
          <cell r="E24">
            <v>335</v>
          </cell>
        </row>
        <row r="25">
          <cell r="E25">
            <v>1217</v>
          </cell>
        </row>
        <row r="26">
          <cell r="E26">
            <v>489</v>
          </cell>
        </row>
        <row r="27">
          <cell r="E27">
            <v>3375</v>
          </cell>
        </row>
        <row r="28">
          <cell r="E28">
            <v>679</v>
          </cell>
        </row>
        <row r="29">
          <cell r="E29">
            <v>2977</v>
          </cell>
        </row>
        <row r="30">
          <cell r="E30">
            <v>1166</v>
          </cell>
        </row>
        <row r="31">
          <cell r="E31">
            <v>2964</v>
          </cell>
        </row>
        <row r="32">
          <cell r="E32">
            <v>22401</v>
          </cell>
        </row>
        <row r="33">
          <cell r="E33">
            <v>8773</v>
          </cell>
        </row>
        <row r="34">
          <cell r="E34">
            <v>6227</v>
          </cell>
        </row>
        <row r="35">
          <cell r="E35">
            <v>24605</v>
          </cell>
        </row>
        <row r="36">
          <cell r="E36">
            <v>5167</v>
          </cell>
        </row>
        <row r="37">
          <cell r="E37">
            <v>155001</v>
          </cell>
        </row>
        <row r="38">
          <cell r="E38">
            <v>5167</v>
          </cell>
        </row>
        <row r="39">
          <cell r="E39">
            <v>154981</v>
          </cell>
        </row>
        <row r="40">
          <cell r="E40">
            <v>4276</v>
          </cell>
        </row>
        <row r="41">
          <cell r="E41">
            <v>15745</v>
          </cell>
        </row>
        <row r="42">
          <cell r="E42">
            <v>2583017</v>
          </cell>
        </row>
        <row r="43">
          <cell r="E43">
            <v>10407</v>
          </cell>
        </row>
        <row r="44">
          <cell r="E44">
            <v>18005</v>
          </cell>
        </row>
        <row r="45">
          <cell r="E45">
            <v>96073</v>
          </cell>
        </row>
        <row r="46">
          <cell r="C46">
            <v>67488</v>
          </cell>
          <cell r="D46">
            <v>1</v>
          </cell>
          <cell r="E46">
            <v>67488</v>
          </cell>
        </row>
        <row r="47">
          <cell r="C47">
            <v>70813</v>
          </cell>
          <cell r="D47">
            <v>1</v>
          </cell>
          <cell r="E47">
            <v>70813</v>
          </cell>
        </row>
        <row r="48">
          <cell r="C48">
            <v>7007</v>
          </cell>
          <cell r="D48">
            <v>1</v>
          </cell>
          <cell r="E48">
            <v>7007</v>
          </cell>
        </row>
        <row r="49">
          <cell r="C49">
            <v>138733</v>
          </cell>
          <cell r="D49">
            <v>0.998</v>
          </cell>
          <cell r="E49">
            <v>138456</v>
          </cell>
        </row>
        <row r="50">
          <cell r="C50">
            <v>28457</v>
          </cell>
          <cell r="D50">
            <v>0.997</v>
          </cell>
          <cell r="E50">
            <v>28372</v>
          </cell>
        </row>
        <row r="51">
          <cell r="C51">
            <v>1447150</v>
          </cell>
          <cell r="D51">
            <v>0.98909359079609616</v>
          </cell>
          <cell r="E51">
            <v>1431366.7899205706</v>
          </cell>
        </row>
        <row r="52">
          <cell r="C52">
            <v>12193</v>
          </cell>
          <cell r="D52">
            <v>0.98</v>
          </cell>
          <cell r="E52">
            <v>11949</v>
          </cell>
        </row>
        <row r="53">
          <cell r="C53">
            <v>17949</v>
          </cell>
          <cell r="D53">
            <v>0.97099999999999997</v>
          </cell>
          <cell r="E53">
            <v>17428</v>
          </cell>
        </row>
        <row r="54">
          <cell r="C54">
            <v>87095</v>
          </cell>
          <cell r="D54">
            <v>0.97599999999999998</v>
          </cell>
          <cell r="E54">
            <v>85005</v>
          </cell>
        </row>
      </sheetData>
      <sheetData sheetId="15">
        <row r="14">
          <cell r="C14">
            <v>94870</v>
          </cell>
          <cell r="D14">
            <v>96967</v>
          </cell>
          <cell r="E14">
            <v>97503</v>
          </cell>
          <cell r="F14">
            <v>96828</v>
          </cell>
          <cell r="G14">
            <v>96263</v>
          </cell>
          <cell r="H14">
            <v>95964</v>
          </cell>
          <cell r="I14">
            <v>96073</v>
          </cell>
        </row>
        <row r="15">
          <cell r="C15">
            <v>62722</v>
          </cell>
          <cell r="D15">
            <v>69764</v>
          </cell>
          <cell r="E15">
            <v>67287</v>
          </cell>
          <cell r="F15">
            <v>66724</v>
          </cell>
          <cell r="G15">
            <v>66328</v>
          </cell>
          <cell r="H15">
            <v>67658</v>
          </cell>
          <cell r="I15">
            <v>67488</v>
          </cell>
        </row>
        <row r="16">
          <cell r="C16">
            <v>77204</v>
          </cell>
          <cell r="D16">
            <v>75204</v>
          </cell>
          <cell r="E16">
            <v>72860</v>
          </cell>
          <cell r="F16">
            <v>71823</v>
          </cell>
          <cell r="G16">
            <v>71286</v>
          </cell>
          <cell r="H16">
            <v>71068</v>
          </cell>
          <cell r="I16">
            <v>70813</v>
          </cell>
        </row>
        <row r="17">
          <cell r="C17">
            <v>6739</v>
          </cell>
          <cell r="D17">
            <v>7854</v>
          </cell>
          <cell r="E17">
            <v>7298</v>
          </cell>
          <cell r="F17">
            <v>7261</v>
          </cell>
          <cell r="G17">
            <v>7068</v>
          </cell>
          <cell r="H17">
            <v>7012</v>
          </cell>
          <cell r="I17">
            <v>7007</v>
          </cell>
        </row>
        <row r="18">
          <cell r="C18">
            <v>147927</v>
          </cell>
          <cell r="D18">
            <v>139955</v>
          </cell>
          <cell r="E18">
            <v>140459</v>
          </cell>
          <cell r="F18">
            <v>139777</v>
          </cell>
          <cell r="G18">
            <v>138801</v>
          </cell>
          <cell r="H18">
            <v>138733</v>
          </cell>
        </row>
        <row r="19">
          <cell r="C19">
            <v>31292</v>
          </cell>
          <cell r="D19">
            <v>29612</v>
          </cell>
          <cell r="E19">
            <v>28908</v>
          </cell>
          <cell r="F19">
            <v>28523</v>
          </cell>
          <cell r="G19">
            <v>28457</v>
          </cell>
        </row>
        <row r="20">
          <cell r="C20">
            <v>1278467</v>
          </cell>
          <cell r="D20">
            <v>1373877</v>
          </cell>
          <cell r="E20">
            <v>1445588</v>
          </cell>
          <cell r="F20">
            <v>1447150</v>
          </cell>
        </row>
        <row r="21">
          <cell r="C21">
            <v>13197</v>
          </cell>
          <cell r="D21">
            <v>12326</v>
          </cell>
          <cell r="E21">
            <v>12193</v>
          </cell>
        </row>
        <row r="22">
          <cell r="C22">
            <v>18155</v>
          </cell>
          <cell r="D22">
            <v>17949</v>
          </cell>
        </row>
        <row r="23">
          <cell r="C23">
            <v>87095</v>
          </cell>
          <cell r="M23">
            <v>44196</v>
          </cell>
        </row>
        <row r="46">
          <cell r="C46">
            <v>1.0229999999999999</v>
          </cell>
          <cell r="D46">
            <v>0.99</v>
          </cell>
          <cell r="E46">
            <v>0.99299999999999999</v>
          </cell>
          <cell r="F46">
            <v>0.99</v>
          </cell>
          <cell r="G46">
            <v>1</v>
          </cell>
          <cell r="H46">
            <v>0.997</v>
          </cell>
          <cell r="I46">
            <v>1</v>
          </cell>
        </row>
        <row r="47">
          <cell r="C47">
            <v>1.0049999999999999</v>
          </cell>
          <cell r="D47">
            <v>0.99099999999999999</v>
          </cell>
          <cell r="E47">
            <v>0.99299999999999999</v>
          </cell>
          <cell r="F47">
            <v>0.99</v>
          </cell>
          <cell r="G47">
            <v>0.999</v>
          </cell>
          <cell r="H47">
            <v>0.998</v>
          </cell>
          <cell r="I47">
            <v>1</v>
          </cell>
        </row>
      </sheetData>
      <sheetData sheetId="16">
        <row r="13">
          <cell r="G13">
            <v>1318</v>
          </cell>
        </row>
        <row r="14">
          <cell r="G14">
            <v>543</v>
          </cell>
        </row>
        <row r="15">
          <cell r="G15">
            <v>565</v>
          </cell>
        </row>
        <row r="16">
          <cell r="G16">
            <v>9127</v>
          </cell>
        </row>
        <row r="17">
          <cell r="G17">
            <v>324</v>
          </cell>
        </row>
        <row r="18">
          <cell r="G18">
            <v>297</v>
          </cell>
        </row>
        <row r="19">
          <cell r="E19">
            <v>270</v>
          </cell>
          <cell r="F19">
            <v>235</v>
          </cell>
          <cell r="G19">
            <v>505</v>
          </cell>
        </row>
        <row r="20">
          <cell r="E20">
            <v>652</v>
          </cell>
          <cell r="F20">
            <v>404</v>
          </cell>
          <cell r="G20">
            <v>1056</v>
          </cell>
        </row>
        <row r="21">
          <cell r="E21">
            <v>235</v>
          </cell>
          <cell r="F21">
            <v>122</v>
          </cell>
          <cell r="G21">
            <v>357</v>
          </cell>
        </row>
        <row r="22">
          <cell r="E22">
            <v>2727</v>
          </cell>
          <cell r="F22">
            <v>801</v>
          </cell>
          <cell r="G22">
            <v>3528</v>
          </cell>
        </row>
        <row r="23">
          <cell r="E23">
            <v>119</v>
          </cell>
          <cell r="F23">
            <v>106</v>
          </cell>
          <cell r="G23">
            <v>225</v>
          </cell>
        </row>
        <row r="24">
          <cell r="E24">
            <v>403</v>
          </cell>
          <cell r="F24">
            <v>326</v>
          </cell>
          <cell r="G24">
            <v>729</v>
          </cell>
        </row>
        <row r="25">
          <cell r="E25">
            <v>270</v>
          </cell>
          <cell r="F25">
            <v>284</v>
          </cell>
          <cell r="G25">
            <v>554</v>
          </cell>
        </row>
        <row r="26">
          <cell r="E26">
            <v>806</v>
          </cell>
          <cell r="F26">
            <v>569</v>
          </cell>
          <cell r="G26">
            <v>1375</v>
          </cell>
        </row>
        <row r="27">
          <cell r="E27">
            <v>192</v>
          </cell>
          <cell r="F27">
            <v>315</v>
          </cell>
          <cell r="G27">
            <v>507</v>
          </cell>
        </row>
        <row r="28">
          <cell r="E28">
            <v>698</v>
          </cell>
          <cell r="F28">
            <v>205</v>
          </cell>
          <cell r="G28">
            <v>903</v>
          </cell>
        </row>
        <row r="29">
          <cell r="E29">
            <v>355</v>
          </cell>
          <cell r="F29">
            <v>227</v>
          </cell>
          <cell r="G29">
            <v>582</v>
          </cell>
        </row>
        <row r="30">
          <cell r="E30">
            <v>892</v>
          </cell>
          <cell r="F30">
            <v>451</v>
          </cell>
          <cell r="G30">
            <v>1343</v>
          </cell>
        </row>
        <row r="31">
          <cell r="E31">
            <v>3920</v>
          </cell>
          <cell r="F31">
            <v>812</v>
          </cell>
          <cell r="G31">
            <v>4732</v>
          </cell>
        </row>
        <row r="32">
          <cell r="E32">
            <v>1757</v>
          </cell>
          <cell r="F32">
            <v>631</v>
          </cell>
          <cell r="G32">
            <v>2388</v>
          </cell>
        </row>
        <row r="33">
          <cell r="E33">
            <v>1209</v>
          </cell>
          <cell r="F33">
            <v>676</v>
          </cell>
          <cell r="G33">
            <v>1885</v>
          </cell>
        </row>
        <row r="34">
          <cell r="E34">
            <v>1207</v>
          </cell>
          <cell r="F34">
            <v>673</v>
          </cell>
          <cell r="G34">
            <v>1880</v>
          </cell>
        </row>
        <row r="35">
          <cell r="E35">
            <v>3643</v>
          </cell>
          <cell r="F35">
            <v>1583</v>
          </cell>
          <cell r="G35">
            <v>5226</v>
          </cell>
        </row>
        <row r="36">
          <cell r="E36">
            <v>3239</v>
          </cell>
          <cell r="F36">
            <v>1883</v>
          </cell>
          <cell r="G36">
            <v>5122</v>
          </cell>
        </row>
        <row r="37">
          <cell r="E37">
            <v>844</v>
          </cell>
          <cell r="F37">
            <v>627</v>
          </cell>
          <cell r="G37">
            <v>1471</v>
          </cell>
        </row>
        <row r="38">
          <cell r="E38">
            <v>15229</v>
          </cell>
          <cell r="F38">
            <v>5006</v>
          </cell>
          <cell r="G38">
            <v>20235</v>
          </cell>
        </row>
        <row r="39">
          <cell r="E39">
            <v>860</v>
          </cell>
          <cell r="F39">
            <v>250</v>
          </cell>
          <cell r="G39">
            <v>1110</v>
          </cell>
        </row>
        <row r="40">
          <cell r="E40">
            <v>2489</v>
          </cell>
          <cell r="F40">
            <v>2452</v>
          </cell>
          <cell r="G40">
            <v>4941</v>
          </cell>
        </row>
        <row r="41">
          <cell r="C41">
            <v>99668</v>
          </cell>
          <cell r="D41">
            <v>1</v>
          </cell>
          <cell r="E41">
            <v>99668</v>
          </cell>
          <cell r="F41">
            <v>246947</v>
          </cell>
          <cell r="G41">
            <v>346615</v>
          </cell>
        </row>
        <row r="42">
          <cell r="C42">
            <v>223</v>
          </cell>
          <cell r="D42">
            <v>1</v>
          </cell>
          <cell r="E42">
            <v>223</v>
          </cell>
          <cell r="F42">
            <v>1996</v>
          </cell>
          <cell r="G42">
            <v>2219</v>
          </cell>
        </row>
        <row r="43">
          <cell r="C43">
            <v>323</v>
          </cell>
          <cell r="D43">
            <v>1</v>
          </cell>
          <cell r="E43">
            <v>323</v>
          </cell>
          <cell r="F43">
            <v>3951</v>
          </cell>
          <cell r="G43">
            <v>4274</v>
          </cell>
        </row>
        <row r="44">
          <cell r="C44">
            <v>725</v>
          </cell>
          <cell r="D44">
            <v>1</v>
          </cell>
          <cell r="E44">
            <v>725</v>
          </cell>
          <cell r="F44">
            <v>14383</v>
          </cell>
          <cell r="G44">
            <v>15108</v>
          </cell>
        </row>
        <row r="45">
          <cell r="C45">
            <v>868</v>
          </cell>
          <cell r="D45">
            <v>1</v>
          </cell>
          <cell r="E45">
            <v>868</v>
          </cell>
          <cell r="F45">
            <v>14963</v>
          </cell>
          <cell r="G45">
            <v>15831</v>
          </cell>
        </row>
        <row r="46">
          <cell r="C46">
            <v>901</v>
          </cell>
          <cell r="D46">
            <v>1</v>
          </cell>
          <cell r="E46">
            <v>901</v>
          </cell>
          <cell r="F46">
            <v>12923</v>
          </cell>
          <cell r="G46">
            <v>13824</v>
          </cell>
        </row>
        <row r="47">
          <cell r="C47">
            <v>1026</v>
          </cell>
          <cell r="D47">
            <v>1</v>
          </cell>
          <cell r="E47">
            <v>1026</v>
          </cell>
          <cell r="F47">
            <v>5796</v>
          </cell>
          <cell r="G47">
            <v>6822</v>
          </cell>
        </row>
        <row r="48">
          <cell r="C48">
            <v>2838</v>
          </cell>
          <cell r="D48">
            <v>0.97699999999999998</v>
          </cell>
          <cell r="E48">
            <v>2773</v>
          </cell>
          <cell r="F48">
            <v>37138</v>
          </cell>
          <cell r="G48">
            <v>39911</v>
          </cell>
        </row>
        <row r="49">
          <cell r="C49">
            <v>542</v>
          </cell>
          <cell r="D49">
            <v>0.96399999999999997</v>
          </cell>
          <cell r="E49">
            <v>522</v>
          </cell>
          <cell r="F49">
            <v>14882</v>
          </cell>
          <cell r="G49">
            <v>15404</v>
          </cell>
        </row>
        <row r="50">
          <cell r="C50">
            <v>21700</v>
          </cell>
          <cell r="D50">
            <v>0.96899999999999997</v>
          </cell>
          <cell r="E50">
            <v>21027</v>
          </cell>
          <cell r="F50">
            <v>265216</v>
          </cell>
          <cell r="G50">
            <v>286243</v>
          </cell>
        </row>
        <row r="51">
          <cell r="C51">
            <v>352</v>
          </cell>
          <cell r="D51">
            <v>1.0289999999999999</v>
          </cell>
          <cell r="E51">
            <v>362</v>
          </cell>
          <cell r="F51">
            <v>6367</v>
          </cell>
          <cell r="G51">
            <v>6729</v>
          </cell>
        </row>
        <row r="52">
          <cell r="C52">
            <v>471</v>
          </cell>
          <cell r="D52">
            <v>1.222</v>
          </cell>
          <cell r="E52">
            <v>576</v>
          </cell>
          <cell r="F52">
            <v>8617</v>
          </cell>
          <cell r="G52">
            <v>9193</v>
          </cell>
        </row>
        <row r="53">
          <cell r="C53">
            <v>295</v>
          </cell>
          <cell r="D53">
            <v>1.833</v>
          </cell>
          <cell r="E53">
            <v>541</v>
          </cell>
          <cell r="F53">
            <v>31163</v>
          </cell>
          <cell r="G53">
            <v>31704</v>
          </cell>
        </row>
        <row r="58">
          <cell r="B58" t="str">
            <v>(4) 2008 - 2020: (2) * (3); 1986 - 2007: from TWIA's annual statements</v>
          </cell>
        </row>
        <row r="60">
          <cell r="B60" t="str">
            <v>(6) 1986 - 2020: (4) + (5); prior years from prior TWIA annual statements</v>
          </cell>
        </row>
      </sheetData>
      <sheetData sheetId="17">
        <row r="14">
          <cell r="C14">
            <v>391</v>
          </cell>
          <cell r="D14">
            <v>312</v>
          </cell>
          <cell r="E14">
            <v>322</v>
          </cell>
          <cell r="F14">
            <v>316</v>
          </cell>
          <cell r="G14">
            <v>335</v>
          </cell>
          <cell r="H14">
            <v>324</v>
          </cell>
          <cell r="I14">
            <v>323</v>
          </cell>
        </row>
        <row r="15">
          <cell r="C15">
            <v>515</v>
          </cell>
          <cell r="D15">
            <v>592</v>
          </cell>
          <cell r="E15">
            <v>609</v>
          </cell>
          <cell r="F15">
            <v>682</v>
          </cell>
          <cell r="G15">
            <v>629</v>
          </cell>
          <cell r="H15">
            <v>745</v>
          </cell>
          <cell r="I15">
            <v>725</v>
          </cell>
        </row>
        <row r="16">
          <cell r="C16">
            <v>516</v>
          </cell>
          <cell r="D16">
            <v>679</v>
          </cell>
          <cell r="E16">
            <v>719</v>
          </cell>
          <cell r="F16">
            <v>632</v>
          </cell>
          <cell r="G16">
            <v>917</v>
          </cell>
          <cell r="H16">
            <v>880</v>
          </cell>
          <cell r="I16">
            <v>868</v>
          </cell>
        </row>
        <row r="17">
          <cell r="C17">
            <v>802</v>
          </cell>
          <cell r="D17">
            <v>806</v>
          </cell>
          <cell r="E17">
            <v>715</v>
          </cell>
          <cell r="F17">
            <v>1089</v>
          </cell>
          <cell r="G17">
            <v>991</v>
          </cell>
          <cell r="H17">
            <v>971</v>
          </cell>
          <cell r="I17">
            <v>901</v>
          </cell>
        </row>
        <row r="18">
          <cell r="C18">
            <v>516</v>
          </cell>
          <cell r="D18">
            <v>493</v>
          </cell>
          <cell r="E18">
            <v>1085</v>
          </cell>
          <cell r="F18">
            <v>1266</v>
          </cell>
          <cell r="G18">
            <v>1077</v>
          </cell>
          <cell r="H18">
            <v>1028</v>
          </cell>
          <cell r="I18">
            <v>1026</v>
          </cell>
        </row>
        <row r="19">
          <cell r="C19">
            <v>973</v>
          </cell>
          <cell r="D19">
            <v>1818</v>
          </cell>
          <cell r="E19">
            <v>2355</v>
          </cell>
          <cell r="F19">
            <v>2749</v>
          </cell>
          <cell r="G19">
            <v>2944</v>
          </cell>
          <cell r="H19">
            <v>2838</v>
          </cell>
        </row>
        <row r="20">
          <cell r="C20">
            <v>412</v>
          </cell>
          <cell r="D20">
            <v>678</v>
          </cell>
          <cell r="E20">
            <v>746</v>
          </cell>
          <cell r="F20">
            <v>571</v>
          </cell>
          <cell r="G20">
            <v>542</v>
          </cell>
        </row>
        <row r="21">
          <cell r="C21">
            <v>891</v>
          </cell>
          <cell r="D21">
            <v>16490</v>
          </cell>
          <cell r="E21">
            <v>21865</v>
          </cell>
          <cell r="F21">
            <v>21700</v>
          </cell>
        </row>
        <row r="22">
          <cell r="C22">
            <v>301</v>
          </cell>
          <cell r="D22">
            <v>361</v>
          </cell>
          <cell r="E22">
            <v>352</v>
          </cell>
        </row>
        <row r="23">
          <cell r="C23">
            <v>48</v>
          </cell>
          <cell r="D23">
            <v>471</v>
          </cell>
          <cell r="L23">
            <v>44196</v>
          </cell>
        </row>
        <row r="24">
          <cell r="C24">
            <v>295</v>
          </cell>
        </row>
        <row r="48">
          <cell r="C48">
            <v>1.5</v>
          </cell>
          <cell r="D48">
            <v>1.1879999999999999</v>
          </cell>
          <cell r="E48">
            <v>1.0620000000000001</v>
          </cell>
          <cell r="F48">
            <v>1.0049999999999999</v>
          </cell>
          <cell r="G48">
            <v>0.98699999999999999</v>
          </cell>
          <cell r="H48">
            <v>0.97699999999999998</v>
          </cell>
          <cell r="I48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3">
          <cell r="B33" t="str">
            <v>Inforce-Premium as of 11/30/20 at Present Rates</v>
          </cell>
        </row>
      </sheetData>
      <sheetData sheetId="27"/>
      <sheetData sheetId="28"/>
      <sheetData sheetId="29"/>
      <sheetData sheetId="30">
        <row r="14">
          <cell r="A14">
            <v>1851</v>
          </cell>
          <cell r="B14" t="str">
            <v>Jun</v>
          </cell>
          <cell r="E14">
            <v>1933</v>
          </cell>
          <cell r="F14" t="str">
            <v>Sep</v>
          </cell>
        </row>
        <row r="15">
          <cell r="A15">
            <v>1854</v>
          </cell>
          <cell r="B15" t="str">
            <v>Jun</v>
          </cell>
          <cell r="E15">
            <v>1934</v>
          </cell>
          <cell r="F15" t="str">
            <v>Jul</v>
          </cell>
        </row>
        <row r="16">
          <cell r="A16">
            <v>1854</v>
          </cell>
          <cell r="B16" t="str">
            <v>Sep</v>
          </cell>
          <cell r="C16" t="str">
            <v>“Matagorda”</v>
          </cell>
          <cell r="E16">
            <v>1936</v>
          </cell>
          <cell r="F16" t="str">
            <v>Jun</v>
          </cell>
        </row>
        <row r="17">
          <cell r="A17">
            <v>1865</v>
          </cell>
          <cell r="B17" t="str">
            <v>Sep</v>
          </cell>
          <cell r="C17" t="str">
            <v>“Sabine River-Lake Calcasieu”</v>
          </cell>
          <cell r="E17">
            <v>1940</v>
          </cell>
          <cell r="F17" t="str">
            <v>Aug</v>
          </cell>
        </row>
        <row r="18">
          <cell r="A18">
            <v>1866</v>
          </cell>
          <cell r="B18" t="str">
            <v>Jul</v>
          </cell>
          <cell r="E18">
            <v>1941</v>
          </cell>
          <cell r="F18" t="str">
            <v>Sep</v>
          </cell>
        </row>
        <row r="19">
          <cell r="A19">
            <v>1867</v>
          </cell>
          <cell r="B19" t="str">
            <v>Oct</v>
          </cell>
          <cell r="C19" t="str">
            <v>“Galveston”</v>
          </cell>
          <cell r="E19">
            <v>1942</v>
          </cell>
          <cell r="F19" t="str">
            <v>Aug</v>
          </cell>
        </row>
        <row r="20">
          <cell r="A20">
            <v>1869</v>
          </cell>
          <cell r="B20" t="str">
            <v>Aug</v>
          </cell>
          <cell r="C20" t="str">
            <v>“Lower Texas Coast"</v>
          </cell>
          <cell r="E20">
            <v>1942</v>
          </cell>
          <cell r="F20" t="str">
            <v>Aug</v>
          </cell>
        </row>
        <row r="21">
          <cell r="A21">
            <v>1875</v>
          </cell>
          <cell r="B21" t="str">
            <v>Sep</v>
          </cell>
          <cell r="E21">
            <v>1943</v>
          </cell>
          <cell r="F21" t="str">
            <v>Jul</v>
          </cell>
        </row>
        <row r="22">
          <cell r="A22">
            <v>1879</v>
          </cell>
          <cell r="B22" t="str">
            <v>Aug</v>
          </cell>
          <cell r="E22">
            <v>1945</v>
          </cell>
          <cell r="F22" t="str">
            <v>Aug</v>
          </cell>
        </row>
        <row r="23">
          <cell r="A23">
            <v>1880</v>
          </cell>
          <cell r="B23" t="str">
            <v>Aug</v>
          </cell>
          <cell r="E23">
            <v>1947</v>
          </cell>
          <cell r="F23" t="str">
            <v>Aug</v>
          </cell>
        </row>
        <row r="24">
          <cell r="A24">
            <v>1882</v>
          </cell>
          <cell r="B24" t="str">
            <v>Sep</v>
          </cell>
          <cell r="E24">
            <v>1949</v>
          </cell>
          <cell r="F24" t="str">
            <v>Oct</v>
          </cell>
        </row>
        <row r="25">
          <cell r="A25">
            <v>1886</v>
          </cell>
          <cell r="B25" t="str">
            <v>Jun</v>
          </cell>
          <cell r="E25">
            <v>1957</v>
          </cell>
          <cell r="F25" t="str">
            <v>Jun</v>
          </cell>
          <cell r="G25" t="str">
            <v>Audrey</v>
          </cell>
        </row>
        <row r="26">
          <cell r="A26">
            <v>1886</v>
          </cell>
          <cell r="B26" t="str">
            <v>Aug</v>
          </cell>
          <cell r="C26" t="str">
            <v>“Indianola”</v>
          </cell>
          <cell r="E26">
            <v>1959</v>
          </cell>
          <cell r="F26" t="str">
            <v>Jul</v>
          </cell>
          <cell r="G26" t="str">
            <v>Debra</v>
          </cell>
        </row>
        <row r="27">
          <cell r="A27">
            <v>1886</v>
          </cell>
          <cell r="B27" t="str">
            <v>Sep</v>
          </cell>
          <cell r="E27">
            <v>1961</v>
          </cell>
          <cell r="F27" t="str">
            <v>Sep</v>
          </cell>
          <cell r="G27" t="str">
            <v>Carla</v>
          </cell>
        </row>
        <row r="28">
          <cell r="A28">
            <v>1886</v>
          </cell>
          <cell r="B28" t="str">
            <v>Oct</v>
          </cell>
          <cell r="E28">
            <v>1963</v>
          </cell>
          <cell r="F28" t="str">
            <v>Sep</v>
          </cell>
          <cell r="G28" t="str">
            <v>Cindy</v>
          </cell>
        </row>
        <row r="29">
          <cell r="A29">
            <v>1887</v>
          </cell>
          <cell r="B29" t="str">
            <v>Sep</v>
          </cell>
          <cell r="E29">
            <v>1967</v>
          </cell>
          <cell r="F29" t="str">
            <v>Sep</v>
          </cell>
          <cell r="G29" t="str">
            <v>Beulah</v>
          </cell>
        </row>
        <row r="30">
          <cell r="A30">
            <v>1888</v>
          </cell>
          <cell r="B30" t="str">
            <v>Jun</v>
          </cell>
          <cell r="E30">
            <v>1970</v>
          </cell>
          <cell r="F30" t="str">
            <v>Aug</v>
          </cell>
          <cell r="G30" t="str">
            <v>Celia</v>
          </cell>
        </row>
        <row r="31">
          <cell r="A31">
            <v>1891</v>
          </cell>
          <cell r="B31" t="str">
            <v>Jul</v>
          </cell>
          <cell r="E31">
            <v>1971</v>
          </cell>
          <cell r="F31" t="str">
            <v>Sep</v>
          </cell>
          <cell r="G31" t="str">
            <v>Fern</v>
          </cell>
        </row>
        <row r="32">
          <cell r="A32">
            <v>1895</v>
          </cell>
          <cell r="B32" t="str">
            <v>Aug</v>
          </cell>
          <cell r="E32">
            <v>1980</v>
          </cell>
          <cell r="F32" t="str">
            <v>Aug</v>
          </cell>
          <cell r="G32" t="str">
            <v>Allen</v>
          </cell>
        </row>
        <row r="33">
          <cell r="A33">
            <v>1897</v>
          </cell>
          <cell r="B33" t="str">
            <v>Sep</v>
          </cell>
          <cell r="E33">
            <v>1983</v>
          </cell>
          <cell r="F33" t="str">
            <v>Aug</v>
          </cell>
          <cell r="G33" t="str">
            <v>Alicia</v>
          </cell>
        </row>
        <row r="34">
          <cell r="A34">
            <v>1900</v>
          </cell>
          <cell r="B34" t="str">
            <v>Sep</v>
          </cell>
          <cell r="C34" t="str">
            <v>“Galveston”</v>
          </cell>
          <cell r="E34">
            <v>1986</v>
          </cell>
          <cell r="F34" t="str">
            <v>Jun</v>
          </cell>
          <cell r="G34" t="str">
            <v>Bonnie</v>
          </cell>
        </row>
        <row r="35">
          <cell r="A35">
            <v>1909</v>
          </cell>
          <cell r="B35" t="str">
            <v>Jun</v>
          </cell>
          <cell r="E35">
            <v>1989</v>
          </cell>
          <cell r="F35" t="str">
            <v>Aug</v>
          </cell>
          <cell r="G35" t="str">
            <v>Chantal</v>
          </cell>
        </row>
        <row r="36">
          <cell r="A36">
            <v>1909</v>
          </cell>
          <cell r="B36" t="str">
            <v>Jul</v>
          </cell>
          <cell r="C36" t="str">
            <v>“Velasco”</v>
          </cell>
          <cell r="E36">
            <v>1989</v>
          </cell>
          <cell r="F36" t="str">
            <v>Oct</v>
          </cell>
          <cell r="G36" t="str">
            <v>Jerry</v>
          </cell>
        </row>
        <row r="37">
          <cell r="A37">
            <v>1909</v>
          </cell>
          <cell r="B37" t="str">
            <v>Aug</v>
          </cell>
          <cell r="E37">
            <v>1999</v>
          </cell>
          <cell r="F37" t="str">
            <v>Aug</v>
          </cell>
          <cell r="G37" t="str">
            <v>Bret</v>
          </cell>
        </row>
        <row r="38">
          <cell r="A38">
            <v>1910</v>
          </cell>
          <cell r="B38" t="str">
            <v>Sep</v>
          </cell>
          <cell r="E38">
            <v>2003</v>
          </cell>
          <cell r="F38" t="str">
            <v>Jul</v>
          </cell>
          <cell r="G38" t="str">
            <v>Claudette</v>
          </cell>
        </row>
        <row r="39">
          <cell r="A39">
            <v>1912</v>
          </cell>
          <cell r="B39" t="str">
            <v>Oct</v>
          </cell>
          <cell r="E39">
            <v>2005</v>
          </cell>
          <cell r="F39" t="str">
            <v>Sep</v>
          </cell>
          <cell r="G39" t="str">
            <v>Rita</v>
          </cell>
        </row>
        <row r="40">
          <cell r="A40">
            <v>1913</v>
          </cell>
          <cell r="B40" t="str">
            <v>Jun</v>
          </cell>
          <cell r="E40">
            <v>2007</v>
          </cell>
          <cell r="F40" t="str">
            <v>Sep</v>
          </cell>
          <cell r="G40" t="str">
            <v>Humberto</v>
          </cell>
        </row>
        <row r="41">
          <cell r="A41">
            <v>1915</v>
          </cell>
          <cell r="B41" t="str">
            <v>Aug</v>
          </cell>
          <cell r="C41" t="str">
            <v>“Galveston”</v>
          </cell>
          <cell r="E41">
            <v>2008</v>
          </cell>
          <cell r="F41" t="str">
            <v>Jul</v>
          </cell>
          <cell r="G41" t="str">
            <v>Dolly</v>
          </cell>
        </row>
        <row r="42">
          <cell r="A42">
            <v>1916</v>
          </cell>
          <cell r="B42" t="str">
            <v>Aug</v>
          </cell>
          <cell r="C42"/>
          <cell r="E42">
            <v>2008</v>
          </cell>
          <cell r="F42" t="str">
            <v>Sep</v>
          </cell>
          <cell r="G42" t="str">
            <v>Ike</v>
          </cell>
        </row>
        <row r="43">
          <cell r="A43">
            <v>1919</v>
          </cell>
          <cell r="B43" t="str">
            <v>Sep</v>
          </cell>
          <cell r="C43"/>
          <cell r="E43">
            <v>2017</v>
          </cell>
          <cell r="F43" t="str">
            <v>Aug</v>
          </cell>
          <cell r="G43" t="str">
            <v>Harvey</v>
          </cell>
        </row>
        <row r="44">
          <cell r="A44">
            <v>1921</v>
          </cell>
          <cell r="B44" t="str">
            <v>Jun</v>
          </cell>
          <cell r="E44">
            <v>2020</v>
          </cell>
          <cell r="F44" t="str">
            <v>Jul</v>
          </cell>
          <cell r="G44" t="str">
            <v>Hanna</v>
          </cell>
        </row>
        <row r="45">
          <cell r="A45">
            <v>1929</v>
          </cell>
          <cell r="B45" t="str">
            <v>Jun</v>
          </cell>
          <cell r="E45">
            <v>2020</v>
          </cell>
          <cell r="F45" t="str">
            <v>Aug</v>
          </cell>
          <cell r="G45" t="str">
            <v>Laura</v>
          </cell>
        </row>
        <row r="46">
          <cell r="A46">
            <v>1932</v>
          </cell>
          <cell r="B46" t="str">
            <v>Aug</v>
          </cell>
          <cell r="C46" t="str">
            <v>“Freeport”</v>
          </cell>
          <cell r="E46">
            <v>2020</v>
          </cell>
          <cell r="F46" t="str">
            <v>Oct</v>
          </cell>
          <cell r="G46" t="str">
            <v>Delta</v>
          </cell>
        </row>
        <row r="47">
          <cell r="A47">
            <v>1933</v>
          </cell>
          <cell r="B47" t="str">
            <v>Aug</v>
          </cell>
          <cell r="E47"/>
          <cell r="F47"/>
          <cell r="G47"/>
        </row>
        <row r="58">
          <cell r="B58" t="str">
            <v>(1), (2) from NOAA Technical Memorandum NWS-NHC-6, updated with actual experience through 2020</v>
          </cell>
        </row>
      </sheetData>
      <sheetData sheetId="31"/>
      <sheetData sheetId="32"/>
      <sheetData sheetId="33"/>
      <sheetData sheetId="34">
        <row r="14">
          <cell r="D14">
            <v>395551679</v>
          </cell>
          <cell r="E14">
            <v>372016601</v>
          </cell>
          <cell r="F14">
            <v>369600488</v>
          </cell>
        </row>
        <row r="15">
          <cell r="D15">
            <v>409954258</v>
          </cell>
          <cell r="E15">
            <v>381571182</v>
          </cell>
          <cell r="F15">
            <v>369179093</v>
          </cell>
        </row>
        <row r="18">
          <cell r="D18">
            <v>63280811</v>
          </cell>
          <cell r="E18">
            <v>59474929</v>
          </cell>
          <cell r="F18">
            <v>59103153</v>
          </cell>
        </row>
        <row r="19">
          <cell r="G19">
            <v>0.16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G23">
            <v>0</v>
          </cell>
        </row>
        <row r="26">
          <cell r="D26">
            <v>30687177</v>
          </cell>
          <cell r="E26">
            <v>31461936</v>
          </cell>
          <cell r="F26">
            <v>31624678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2">
          <cell r="G32">
            <v>8.1000000000000003E-2</v>
          </cell>
        </row>
        <row r="35">
          <cell r="D35">
            <v>7590295</v>
          </cell>
          <cell r="E35">
            <v>7024246</v>
          </cell>
          <cell r="F35">
            <v>6904349</v>
          </cell>
        </row>
        <row r="36">
          <cell r="G36">
            <v>1.9E-2</v>
          </cell>
        </row>
        <row r="40">
          <cell r="G40">
            <v>0.186</v>
          </cell>
        </row>
        <row r="44">
          <cell r="G44">
            <v>0.17899999999999999</v>
          </cell>
        </row>
        <row r="46">
          <cell r="G46">
            <v>0.05</v>
          </cell>
        </row>
        <row r="54">
          <cell r="B54" t="str">
            <v>(1) - (6) From TWIA's Statutory Annual Statements and Insurance Expense Exhibits</v>
          </cell>
        </row>
        <row r="55">
          <cell r="B55" t="str">
            <v>(7) Exhibit 11, Sheet 2</v>
          </cell>
        </row>
        <row r="56">
          <cell r="B56" t="str">
            <v xml:space="preserve">(8) Outstanding Class 1 Public Security issued in 2014, Security depleted due to Hurricane Harvey; </v>
          </cell>
        </row>
        <row r="57">
          <cell r="B57" t="str">
            <v>0.186= Annual principal and interest payment $68.9M/Prospective written premium at present rate$373.3M</v>
          </cell>
        </row>
        <row r="58">
          <cell r="B58" t="str">
            <v>$373.3M = TWIA 2020 written premium $369.6M*(1+0.5%)^2; 0.5% from Exhibit 11, sheet 2, (3)</v>
          </cell>
        </row>
        <row r="59">
          <cell r="B59" t="str">
            <v>(9) = (5) + (7) + (8)</v>
          </cell>
        </row>
        <row r="60">
          <cell r="B60" t="str">
            <v>(10) = (3) + (4) + (6)</v>
          </cell>
        </row>
        <row r="61">
          <cell r="B61" t="str">
            <v xml:space="preserve">(11) CRTF contribution selected judgmentally </v>
          </cell>
        </row>
        <row r="62">
          <cell r="B62" t="str">
            <v>(12) = 100% - (10) - (11)</v>
          </cell>
        </row>
      </sheetData>
      <sheetData sheetId="35">
        <row r="7">
          <cell r="D7" t="str">
            <v>Combined</v>
          </cell>
          <cell r="E7" t="str">
            <v>Residential</v>
          </cell>
          <cell r="F7" t="str">
            <v>Commercial</v>
          </cell>
        </row>
        <row r="10">
          <cell r="D10">
            <v>97899030</v>
          </cell>
          <cell r="E10">
            <v>81437711.815379858</v>
          </cell>
          <cell r="F10">
            <v>16461318.184620142</v>
          </cell>
          <cell r="J10">
            <v>44348</v>
          </cell>
          <cell r="K10">
            <v>44712</v>
          </cell>
        </row>
        <row r="13">
          <cell r="C13" t="str">
            <v>100% of $1930M XS $2100M</v>
          </cell>
          <cell r="D13">
            <v>31044471.0926589</v>
          </cell>
          <cell r="E13">
            <v>25927581.262397397</v>
          </cell>
          <cell r="F13">
            <v>5116889.8302614661</v>
          </cell>
        </row>
        <row r="14">
          <cell r="J14">
            <v>44165</v>
          </cell>
        </row>
        <row r="18">
          <cell r="C18" t="str">
            <v>100% of $1930M XS $2100M</v>
          </cell>
          <cell r="D18">
            <v>16660779.102458199</v>
          </cell>
          <cell r="E18">
            <v>13804742.118772745</v>
          </cell>
          <cell r="F18">
            <v>2914357.6447952264</v>
          </cell>
          <cell r="J18">
            <v>1.0049999999999999</v>
          </cell>
        </row>
        <row r="22">
          <cell r="D22">
            <v>23852625.097558551</v>
          </cell>
          <cell r="E22">
            <v>19866161.690585069</v>
          </cell>
          <cell r="F22">
            <v>4015623.7375283465</v>
          </cell>
        </row>
        <row r="26">
          <cell r="D26">
            <v>23971888</v>
          </cell>
          <cell r="E26">
            <v>19965492</v>
          </cell>
          <cell r="F26">
            <v>4035702</v>
          </cell>
        </row>
        <row r="29">
          <cell r="J29">
            <v>44196</v>
          </cell>
        </row>
        <row r="30">
          <cell r="D30">
            <v>371145817.08333302</v>
          </cell>
          <cell r="E30">
            <v>311420426.08333302</v>
          </cell>
          <cell r="F30">
            <v>59725391</v>
          </cell>
        </row>
        <row r="32">
          <cell r="D32">
            <v>373778124</v>
          </cell>
          <cell r="E32">
            <v>313629138</v>
          </cell>
          <cell r="F32">
            <v>60148986</v>
          </cell>
        </row>
        <row r="34">
          <cell r="D34">
            <v>0.18816338967980908</v>
          </cell>
          <cell r="E34">
            <v>0.18645396402989783</v>
          </cell>
          <cell r="F34">
            <v>0.19651637825814955</v>
          </cell>
        </row>
        <row r="38">
          <cell r="B38" t="str">
            <v>(1) From TWIA reinsurance contract effective 6/1/2021 through 5/31/2022</v>
          </cell>
        </row>
        <row r="39">
          <cell r="B39" t="str">
            <v>(2a) Provided by Guy Carpenter, based on AIR model using TWIA exposures as of 11/30/2020</v>
          </cell>
        </row>
        <row r="40">
          <cell r="B40" t="str">
            <v>(2b) Provided by Guy Carpenter, based on RMS model using TWIA exposures as of 11/30/2020</v>
          </cell>
        </row>
        <row r="41">
          <cell r="B41" t="str">
            <v>(2c) Selected equal to the average of the modeled average annual losses</v>
          </cell>
        </row>
        <row r="42">
          <cell r="B42" t="str">
            <v>(3) Selected based on projections communicated to reinsurers</v>
          </cell>
        </row>
        <row r="43">
          <cell r="B43" t="str">
            <v>(4) = (2c) * [(1+ (3)) ^ 1.000](projected exposure growth from 11/30/2020 to 12/1/2021)</v>
          </cell>
        </row>
        <row r="44">
          <cell r="B44" t="str">
            <v>(5) = (1) - (4)*1.15,1.15 is the loading for loss adjustment factor</v>
          </cell>
        </row>
        <row r="45">
          <cell r="B45" t="str">
            <v>(6) = Commercial Exhibit 10, Sheet 1 + Residential Exhibit 10, Sheet 2, calendar year ending 12/31/2020</v>
          </cell>
        </row>
        <row r="46">
          <cell r="B46" t="str">
            <v>(7) = (6) adjusted for exposure growth trend * [(1+ (3)) ^ 1.417] (projected exposure growth from 7/1/2020 to 12/1/2021)</v>
          </cell>
        </row>
        <row r="47">
          <cell r="B47" t="str">
            <v>(8) = (5) / (7)</v>
          </cell>
        </row>
      </sheetData>
      <sheetData sheetId="36"/>
      <sheetData sheetId="37">
        <row r="14">
          <cell r="C14">
            <v>10672677</v>
          </cell>
          <cell r="D14">
            <v>15758330</v>
          </cell>
          <cell r="F14">
            <v>26510501</v>
          </cell>
        </row>
        <row r="15">
          <cell r="C15">
            <v>12865905</v>
          </cell>
          <cell r="D15">
            <v>19259265</v>
          </cell>
          <cell r="F15">
            <v>32419287</v>
          </cell>
        </row>
        <row r="16">
          <cell r="C16">
            <v>15640660</v>
          </cell>
          <cell r="D16">
            <v>24504127</v>
          </cell>
          <cell r="F16">
            <v>40358575</v>
          </cell>
        </row>
        <row r="17">
          <cell r="C17">
            <v>16536186</v>
          </cell>
          <cell r="D17">
            <v>25783455</v>
          </cell>
          <cell r="F17">
            <v>42462844</v>
          </cell>
        </row>
        <row r="18">
          <cell r="C18">
            <v>16558977</v>
          </cell>
          <cell r="D18">
            <v>27833800</v>
          </cell>
          <cell r="F18">
            <v>44410914</v>
          </cell>
        </row>
        <row r="19">
          <cell r="C19">
            <v>17394142.049999997</v>
          </cell>
          <cell r="D19">
            <v>27168992</v>
          </cell>
          <cell r="F19">
            <v>44581218</v>
          </cell>
        </row>
        <row r="20">
          <cell r="C20">
            <v>17332561</v>
          </cell>
          <cell r="D20">
            <v>29762296</v>
          </cell>
          <cell r="F20">
            <v>48012426</v>
          </cell>
        </row>
        <row r="21">
          <cell r="C21">
            <v>17544251</v>
          </cell>
          <cell r="D21">
            <v>36220622.519999996</v>
          </cell>
          <cell r="F21">
            <v>54630727</v>
          </cell>
        </row>
        <row r="22">
          <cell r="C22">
            <v>24013525</v>
          </cell>
          <cell r="D22">
            <v>48856422.25</v>
          </cell>
          <cell r="F22">
            <v>72967831</v>
          </cell>
        </row>
        <row r="23">
          <cell r="C23">
            <v>29220514</v>
          </cell>
          <cell r="D23">
            <v>58573191</v>
          </cell>
          <cell r="F23">
            <v>87987279</v>
          </cell>
        </row>
        <row r="24">
          <cell r="C24">
            <v>31009323</v>
          </cell>
          <cell r="D24">
            <v>71292702</v>
          </cell>
          <cell r="F24">
            <v>102384351</v>
          </cell>
        </row>
        <row r="25">
          <cell r="C25">
            <v>35740174</v>
          </cell>
          <cell r="D25">
            <v>78094458</v>
          </cell>
          <cell r="F25">
            <v>113927701</v>
          </cell>
        </row>
        <row r="26">
          <cell r="C26">
            <v>76847840</v>
          </cell>
          <cell r="D26">
            <v>119658576</v>
          </cell>
          <cell r="F26">
            <v>196833235</v>
          </cell>
        </row>
        <row r="27">
          <cell r="C27">
            <v>110951718</v>
          </cell>
          <cell r="D27">
            <v>203561196</v>
          </cell>
          <cell r="F27">
            <v>315139307</v>
          </cell>
        </row>
        <row r="28">
          <cell r="C28">
            <v>98036118.420000017</v>
          </cell>
          <cell r="D28">
            <v>232925989.76999998</v>
          </cell>
          <cell r="F28">
            <v>331057645</v>
          </cell>
        </row>
        <row r="29">
          <cell r="C29">
            <v>111269572.63</v>
          </cell>
          <cell r="D29">
            <v>269535059.02999997</v>
          </cell>
          <cell r="F29">
            <v>382342402</v>
          </cell>
        </row>
        <row r="30">
          <cell r="C30">
            <v>102174679.52999991</v>
          </cell>
          <cell r="D30">
            <v>278116922.00999999</v>
          </cell>
          <cell r="F30">
            <v>385549582</v>
          </cell>
        </row>
        <row r="31">
          <cell r="C31">
            <v>100017021</v>
          </cell>
          <cell r="D31">
            <v>307494236.20000005</v>
          </cell>
          <cell r="F31">
            <v>403748164</v>
          </cell>
        </row>
        <row r="32">
          <cell r="C32">
            <v>110524396.51999998</v>
          </cell>
          <cell r="D32">
            <v>335795725.19999981</v>
          </cell>
          <cell r="F32">
            <v>443479701</v>
          </cell>
        </row>
        <row r="33">
          <cell r="C33">
            <v>112904624</v>
          </cell>
          <cell r="D33">
            <v>360838080.7099998</v>
          </cell>
          <cell r="F33">
            <v>472739474</v>
          </cell>
        </row>
        <row r="34">
          <cell r="C34">
            <v>104642688</v>
          </cell>
          <cell r="D34">
            <v>389333918.13999987</v>
          </cell>
          <cell r="F34">
            <v>494036010</v>
          </cell>
        </row>
        <row r="35">
          <cell r="C35">
            <v>98715934</v>
          </cell>
          <cell r="D35">
            <v>407969846.0800004</v>
          </cell>
          <cell r="F35">
            <v>503824316</v>
          </cell>
        </row>
        <row r="36">
          <cell r="C36">
            <v>88278690</v>
          </cell>
          <cell r="D36">
            <v>399074847</v>
          </cell>
          <cell r="F36">
            <v>487353537</v>
          </cell>
        </row>
        <row r="37">
          <cell r="C37">
            <v>70749081</v>
          </cell>
          <cell r="D37">
            <v>352368052</v>
          </cell>
          <cell r="F37">
            <v>423074138</v>
          </cell>
        </row>
        <row r="38">
          <cell r="C38">
            <v>65696833</v>
          </cell>
          <cell r="D38">
            <v>331676957</v>
          </cell>
          <cell r="F38">
            <v>395551679</v>
          </cell>
        </row>
        <row r="39">
          <cell r="C39">
            <v>59123729</v>
          </cell>
          <cell r="D39">
            <v>314907158.99999952</v>
          </cell>
          <cell r="F39">
            <v>372016601</v>
          </cell>
        </row>
        <row r="40">
          <cell r="C40">
            <v>60327052</v>
          </cell>
          <cell r="D40">
            <v>310312753</v>
          </cell>
          <cell r="F40">
            <v>369600488</v>
          </cell>
        </row>
        <row r="46">
          <cell r="B46" t="str">
            <v>(2), (3) Provided by TWIA, as of 12/31/2020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M11">
            <v>12</v>
          </cell>
        </row>
      </sheetData>
      <sheetData sheetId="15"/>
      <sheetData sheetId="16">
        <row r="11">
          <cell r="L11">
            <v>12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9">
          <cell r="J249">
            <v>2.0131171511531929</v>
          </cell>
        </row>
      </sheetData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2"/>
      <sheetName val="2.1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12911</v>
          </cell>
        </row>
      </sheetData>
      <sheetData sheetId="14">
        <row r="14">
          <cell r="C14">
            <v>15215</v>
          </cell>
        </row>
      </sheetData>
      <sheetData sheetId="15">
        <row r="13">
          <cell r="G13">
            <v>1318</v>
          </cell>
        </row>
      </sheetData>
      <sheetData sheetId="16">
        <row r="14">
          <cell r="C14">
            <v>7335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3">
          <cell r="B33" t="str">
            <v>Inforce-Premium as of 11/30/19 at Present Rates</v>
          </cell>
        </row>
      </sheetData>
      <sheetData sheetId="26"/>
      <sheetData sheetId="27"/>
      <sheetData sheetId="28"/>
      <sheetData sheetId="29"/>
      <sheetData sheetId="30">
        <row r="1">
          <cell r="J1" t="str">
            <v>Exhibit 10</v>
          </cell>
        </row>
      </sheetData>
      <sheetData sheetId="31"/>
      <sheetData sheetId="32"/>
      <sheetData sheetId="33">
        <row r="14">
          <cell r="D14">
            <v>423074138</v>
          </cell>
        </row>
        <row r="40">
          <cell r="A40" t="str">
            <v>(8)</v>
          </cell>
          <cell r="B40" t="str">
            <v>Outstanding Class 1 Public Security Repayment</v>
          </cell>
        </row>
        <row r="42">
          <cell r="A42" t="str">
            <v>(9)</v>
          </cell>
          <cell r="B42" t="str">
            <v>Total Fixed Expenses</v>
          </cell>
        </row>
        <row r="44">
          <cell r="A44" t="str">
            <v>(10)</v>
          </cell>
          <cell r="B44" t="str">
            <v>Total Variable Expenses</v>
          </cell>
        </row>
        <row r="46">
          <cell r="A46" t="str">
            <v>(11)</v>
          </cell>
          <cell r="B46" t="str">
            <v>CRTF Contribution &amp; UW Contingency &amp; Uncertainty</v>
          </cell>
        </row>
      </sheetData>
      <sheetData sheetId="34">
        <row r="10">
          <cell r="D10">
            <v>102066435.825789</v>
          </cell>
        </row>
      </sheetData>
      <sheetData sheetId="35"/>
      <sheetData sheetId="36">
        <row r="14">
          <cell r="C14">
            <v>10672677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9CF4-958E-4F41-87CA-8E5C65EFF1A2}">
  <dimension ref="B31:I33"/>
  <sheetViews>
    <sheetView showGridLines="0" tabSelected="1" topLeftCell="A25" zoomScaleNormal="100" workbookViewId="0">
      <selection activeCell="F39" sqref="F39"/>
    </sheetView>
  </sheetViews>
  <sheetFormatPr defaultRowHeight="10" x14ac:dyDescent="0.2"/>
  <cols>
    <col min="1" max="1" width="13.44140625" customWidth="1"/>
    <col min="2" max="2" width="12.33203125" customWidth="1"/>
    <col min="3" max="12" width="10.44140625" customWidth="1"/>
  </cols>
  <sheetData>
    <row r="31" spans="2:9" ht="15.5" x14ac:dyDescent="0.35">
      <c r="B31" s="345" t="s">
        <v>0</v>
      </c>
      <c r="C31" s="345"/>
      <c r="D31" s="345"/>
      <c r="E31" s="345"/>
      <c r="F31" s="345"/>
      <c r="G31" s="345"/>
      <c r="H31" s="345"/>
      <c r="I31" s="345"/>
    </row>
    <row r="32" spans="2:9" ht="15.5" x14ac:dyDescent="0.35">
      <c r="B32" s="345" t="s">
        <v>1</v>
      </c>
      <c r="C32" s="345"/>
      <c r="D32" s="345"/>
      <c r="E32" s="345"/>
      <c r="F32" s="345"/>
      <c r="G32" s="345"/>
      <c r="H32" s="345"/>
      <c r="I32" s="345"/>
    </row>
    <row r="33" spans="2:9" ht="15.5" x14ac:dyDescent="0.35">
      <c r="B33" s="345" t="s">
        <v>440</v>
      </c>
      <c r="C33" s="345"/>
      <c r="D33" s="345"/>
      <c r="E33" s="345"/>
      <c r="F33" s="345"/>
      <c r="G33" s="345"/>
      <c r="H33" s="345"/>
      <c r="I33" s="345"/>
    </row>
  </sheetData>
  <mergeCells count="3">
    <mergeCell ref="B31:I31"/>
    <mergeCell ref="B32:I32"/>
    <mergeCell ref="B33:I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</sheetPr>
  <dimension ref="A1:M69"/>
  <sheetViews>
    <sheetView showGridLines="0" topLeftCell="A25" workbookViewId="0">
      <selection activeCell="C23" sqref="C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57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7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2011</v>
      </c>
      <c r="B14" s="25"/>
      <c r="C14" s="33">
        <f>'2.4b'!C14</f>
        <v>19201295</v>
      </c>
      <c r="D14" s="44">
        <v>1</v>
      </c>
      <c r="E14" s="31">
        <f t="shared" ref="E14:E23" si="1">ROUND(C14*D14,0)</f>
        <v>19201295</v>
      </c>
      <c r="K14" s="2"/>
    </row>
    <row r="15" spans="1:12" x14ac:dyDescent="0.2">
      <c r="A15" t="str">
        <f t="shared" si="0"/>
        <v>2012</v>
      </c>
      <c r="B15" s="25"/>
      <c r="C15" s="33">
        <f>'2.4b'!C15</f>
        <v>20630853</v>
      </c>
      <c r="D15" s="36">
        <f>INDEX('ldf 3.1a'!$C$46:$K$46,11-MATCH(A15,A$14:A$23))</f>
        <v>1</v>
      </c>
      <c r="E15" s="31">
        <f t="shared" si="1"/>
        <v>20630853</v>
      </c>
      <c r="K15" s="2"/>
    </row>
    <row r="16" spans="1:12" x14ac:dyDescent="0.2">
      <c r="A16" t="str">
        <f t="shared" si="0"/>
        <v>2013</v>
      </c>
      <c r="B16" s="25"/>
      <c r="C16" s="33">
        <f>'2.4b'!C16</f>
        <v>6175709</v>
      </c>
      <c r="D16" s="36">
        <f>INDEX('ldf 3.1a'!$C$46:$K$46,11-MATCH(A16,A$14:A$23))</f>
        <v>1</v>
      </c>
      <c r="E16" s="31">
        <f t="shared" si="1"/>
        <v>6175709</v>
      </c>
      <c r="K16" s="2"/>
    </row>
    <row r="17" spans="1:13" x14ac:dyDescent="0.2">
      <c r="A17" t="str">
        <f t="shared" si="0"/>
        <v>2014</v>
      </c>
      <c r="B17" s="25"/>
      <c r="C17" s="33">
        <f>'2.4b'!C17</f>
        <v>1618066</v>
      </c>
      <c r="D17" s="36">
        <f>INDEX('ldf 3.1a'!$C$46:$K$46,11-MATCH(A17,A$14:A$23))</f>
        <v>1</v>
      </c>
      <c r="E17" s="31">
        <f t="shared" si="1"/>
        <v>1618066</v>
      </c>
      <c r="K17" s="2"/>
    </row>
    <row r="18" spans="1:13" x14ac:dyDescent="0.2">
      <c r="A18" t="str">
        <f t="shared" si="0"/>
        <v>2015</v>
      </c>
      <c r="B18" s="25"/>
      <c r="C18" s="33">
        <f>'2.4b'!C18</f>
        <v>9461279</v>
      </c>
      <c r="D18" s="36">
        <f>INDEX('ldf 3.1a'!$C$46:$K$46,11-MATCH(A18,A$14:A$23))</f>
        <v>1.0009999999999999</v>
      </c>
      <c r="E18" s="31">
        <f t="shared" si="1"/>
        <v>9470740</v>
      </c>
      <c r="K18" s="2"/>
    </row>
    <row r="19" spans="1:13" x14ac:dyDescent="0.2">
      <c r="A19" t="str">
        <f t="shared" si="0"/>
        <v>2016</v>
      </c>
      <c r="B19" s="25"/>
      <c r="C19" s="33">
        <f>'2.4b'!C19</f>
        <v>9531194</v>
      </c>
      <c r="D19" s="36">
        <f>INDEX('ldf 3.1a'!$C$46:$K$46,11-MATCH(A19,A$14:A$23))</f>
        <v>1.004</v>
      </c>
      <c r="E19" s="31">
        <f t="shared" si="1"/>
        <v>9569319</v>
      </c>
      <c r="K19" s="2"/>
    </row>
    <row r="20" spans="1:13" x14ac:dyDescent="0.2">
      <c r="A20" t="str">
        <f t="shared" si="0"/>
        <v>2017</v>
      </c>
      <c r="B20" s="25"/>
      <c r="C20" s="33">
        <f>'2.4b'!C20</f>
        <v>7641292</v>
      </c>
      <c r="D20" s="36">
        <f>INDEX('ldf 3.1a'!$C$46:$K$46,11-MATCH(A20,A$14:A$23))</f>
        <v>1.0129999999999999</v>
      </c>
      <c r="E20" s="31">
        <f t="shared" si="1"/>
        <v>7740629</v>
      </c>
      <c r="K20" s="2"/>
    </row>
    <row r="21" spans="1:13" x14ac:dyDescent="0.2">
      <c r="A21" t="str">
        <f t="shared" si="0"/>
        <v>2018</v>
      </c>
      <c r="B21" s="25"/>
      <c r="C21" s="33">
        <f>'2.4b'!C21</f>
        <v>1138023</v>
      </c>
      <c r="D21" s="36">
        <f>INDEX('ldf 3.1a'!$C$46:$K$46,11-MATCH(A21,A$14:A$23))</f>
        <v>1.032</v>
      </c>
      <c r="E21" s="31">
        <f t="shared" si="1"/>
        <v>1174440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2019</v>
      </c>
      <c r="B22" s="51"/>
      <c r="C22" s="49">
        <f>'2.4b'!C22</f>
        <v>822616</v>
      </c>
      <c r="D22" s="36">
        <f>INDEX('ldf 3.1a'!$C$46:$K$46,11-MATCH(A22,A$14:A$23))</f>
        <v>1.0860000000000001</v>
      </c>
      <c r="E22" s="123">
        <f t="shared" si="1"/>
        <v>893361</v>
      </c>
      <c r="K22" s="2"/>
      <c r="L22" s="84">
        <f>'2.4a'!L$22</f>
        <v>44104</v>
      </c>
      <c r="M22" s="84">
        <f>'2.4a'!M$22</f>
        <v>44196</v>
      </c>
    </row>
    <row r="23" spans="1:13" x14ac:dyDescent="0.2">
      <c r="A23" t="str">
        <f>TEXT(YEAR($L$22),"#")</f>
        <v>2020</v>
      </c>
      <c r="B23" s="51"/>
      <c r="C23" s="49">
        <f>'2.4b'!C23</f>
        <v>359896</v>
      </c>
      <c r="D23" s="36">
        <f>INDEX('ldf 3.1a'!$C$46:$K$46,11-MATCH(A23,A$14:A$23))</f>
        <v>1.266</v>
      </c>
      <c r="E23" s="123">
        <f t="shared" si="1"/>
        <v>455628</v>
      </c>
      <c r="K23" s="2"/>
      <c r="L23" s="84"/>
      <c r="M23" s="84"/>
    </row>
    <row r="24" spans="1:13" x14ac:dyDescent="0.2">
      <c r="A24" s="9"/>
      <c r="B24" s="26"/>
      <c r="C24" s="34"/>
      <c r="D24" s="19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76580223</v>
      </c>
      <c r="E26" s="19">
        <f>SUM(E14:E24)</f>
        <v>76930040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"&amp;'2.4b'!$J$1&amp;", "&amp;'2.4b'!$J$2&amp;", as of "&amp;TEXT($M$22,"m/d/yy")</f>
        <v>(2) Exhibit 2, Sheet 4b, as of 12/31/20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</sheetPr>
  <dimension ref="A1:M69"/>
  <sheetViews>
    <sheetView showGridLines="0" topLeftCell="A19" workbookViewId="0">
      <selection activeCell="C23" sqref="C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58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7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2011</v>
      </c>
      <c r="B14" s="25"/>
      <c r="C14" s="33">
        <f>'2.4c'!C14</f>
        <v>56124736</v>
      </c>
      <c r="D14" s="44">
        <v>1</v>
      </c>
      <c r="E14" s="31">
        <f t="shared" ref="E14:E23" si="1">ROUND(C14*D14,0)</f>
        <v>56124736</v>
      </c>
      <c r="K14" s="2"/>
    </row>
    <row r="15" spans="1:12" x14ac:dyDescent="0.2">
      <c r="A15" t="str">
        <f t="shared" si="0"/>
        <v>2012</v>
      </c>
      <c r="B15" s="25"/>
      <c r="C15" s="33">
        <f>'2.4c'!C15</f>
        <v>18946421</v>
      </c>
      <c r="D15" s="36">
        <f>INDEX('ldf 3.1a'!$C$46:$K$46,11-MATCH(A15,A$14:A$23))</f>
        <v>1</v>
      </c>
      <c r="E15" s="31">
        <f t="shared" si="1"/>
        <v>18946421</v>
      </c>
      <c r="K15" s="2"/>
    </row>
    <row r="16" spans="1:12" x14ac:dyDescent="0.2">
      <c r="A16" t="str">
        <f t="shared" si="0"/>
        <v>2013</v>
      </c>
      <c r="B16" s="25"/>
      <c r="C16" s="33">
        <f>'2.4c'!C16</f>
        <v>4828270</v>
      </c>
      <c r="D16" s="36">
        <f>INDEX('ldf 3.1a'!$C$46:$K$46,11-MATCH(A16,A$14:A$23))</f>
        <v>1</v>
      </c>
      <c r="E16" s="31">
        <f t="shared" si="1"/>
        <v>4828270</v>
      </c>
      <c r="K16" s="2"/>
    </row>
    <row r="17" spans="1:13" x14ac:dyDescent="0.2">
      <c r="A17" t="str">
        <f t="shared" si="0"/>
        <v>2014</v>
      </c>
      <c r="B17" s="25"/>
      <c r="C17" s="33">
        <f>'2.4c'!C17</f>
        <v>2844673</v>
      </c>
      <c r="D17" s="36">
        <f>INDEX('ldf 3.1a'!$C$46:$K$46,11-MATCH(A17,A$14:A$23))</f>
        <v>1</v>
      </c>
      <c r="E17" s="31">
        <f t="shared" si="1"/>
        <v>2844673</v>
      </c>
      <c r="K17" s="2"/>
    </row>
    <row r="18" spans="1:13" x14ac:dyDescent="0.2">
      <c r="A18" t="str">
        <f t="shared" si="0"/>
        <v>2015</v>
      </c>
      <c r="B18" s="25"/>
      <c r="C18" s="33">
        <f>'2.4c'!C18</f>
        <v>86406840</v>
      </c>
      <c r="D18" s="36">
        <f>INDEX('ldf 3.1a'!$C$46:$K$46,11-MATCH(A18,A$14:A$23))</f>
        <v>1.0009999999999999</v>
      </c>
      <c r="E18" s="31">
        <f t="shared" si="1"/>
        <v>86493247</v>
      </c>
      <c r="K18" s="2"/>
    </row>
    <row r="19" spans="1:13" x14ac:dyDescent="0.2">
      <c r="A19" t="str">
        <f t="shared" si="0"/>
        <v>2016</v>
      </c>
      <c r="B19" s="25"/>
      <c r="C19" s="33">
        <f>'2.4c'!C19</f>
        <v>12167890</v>
      </c>
      <c r="D19" s="36">
        <f>INDEX('ldf 3.1a'!$C$46:$K$46,11-MATCH(A19,A$14:A$23))</f>
        <v>1.004</v>
      </c>
      <c r="E19" s="31">
        <f t="shared" si="1"/>
        <v>12216562</v>
      </c>
      <c r="K19" s="2"/>
    </row>
    <row r="20" spans="1:13" x14ac:dyDescent="0.2">
      <c r="A20" t="str">
        <f t="shared" si="0"/>
        <v>2017</v>
      </c>
      <c r="B20" s="25"/>
      <c r="C20" s="33">
        <f>'2.4c'!C20</f>
        <v>21791214</v>
      </c>
      <c r="D20" s="36">
        <f>INDEX('ldf 3.1a'!$C$46:$K$46,11-MATCH(A20,A$14:A$23))</f>
        <v>1.0129999999999999</v>
      </c>
      <c r="E20" s="31">
        <f t="shared" si="1"/>
        <v>22074500</v>
      </c>
      <c r="K20" s="2"/>
    </row>
    <row r="21" spans="1:13" x14ac:dyDescent="0.2">
      <c r="A21" t="str">
        <f t="shared" si="0"/>
        <v>2018</v>
      </c>
      <c r="B21" s="25"/>
      <c r="C21" s="33">
        <f>'2.4c'!C21</f>
        <v>6753481</v>
      </c>
      <c r="D21" s="36">
        <f>INDEX('ldf 3.1a'!$C$46:$K$46,11-MATCH(A21,A$14:A$23))</f>
        <v>1.032</v>
      </c>
      <c r="E21" s="31">
        <f t="shared" si="1"/>
        <v>6969592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2019</v>
      </c>
      <c r="B22" s="51"/>
      <c r="C22" s="49">
        <f>'2.4c'!C22</f>
        <v>9866468</v>
      </c>
      <c r="D22" s="36">
        <f>INDEX('ldf 3.1a'!$C$46:$K$46,11-MATCH(A22,A$14:A$23))</f>
        <v>1.0860000000000001</v>
      </c>
      <c r="E22" s="123">
        <f t="shared" si="1"/>
        <v>10714984</v>
      </c>
      <c r="K22" s="2"/>
      <c r="L22" s="84">
        <f>'2.4a'!L$22</f>
        <v>44104</v>
      </c>
      <c r="M22" s="84">
        <f>'2.4a'!M$22</f>
        <v>44196</v>
      </c>
    </row>
    <row r="23" spans="1:13" x14ac:dyDescent="0.2">
      <c r="A23" t="str">
        <f>TEXT(YEAR($L$22),"#")</f>
        <v>2020</v>
      </c>
      <c r="B23" s="51"/>
      <c r="C23" s="49">
        <f>'2.4c'!C23</f>
        <v>16989231</v>
      </c>
      <c r="D23" s="36">
        <f>INDEX('ldf 3.1a'!$C$46:$K$46,11-MATCH(A23,A$14:A$23))</f>
        <v>1.266</v>
      </c>
      <c r="E23" s="123">
        <f t="shared" si="1"/>
        <v>21508366</v>
      </c>
      <c r="K23" s="2"/>
      <c r="L23" s="84"/>
      <c r="M23" s="84"/>
    </row>
    <row r="24" spans="1:13" x14ac:dyDescent="0.2">
      <c r="A24" s="9"/>
      <c r="B24" s="26"/>
      <c r="C24" s="34"/>
      <c r="D24" s="19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236719224</v>
      </c>
      <c r="E26" s="19">
        <f>SUM(E14:E24)</f>
        <v>242721351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"&amp;'2.4c'!$J$1&amp;", "&amp;'2.4c'!$J$2&amp;", as of "&amp;TEXT($M$22,"m/d/yy")</f>
        <v>(2) Exhibit 2, Sheet 4c, as of 12/31/20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</sheetPr>
  <dimension ref="A1:M69"/>
  <sheetViews>
    <sheetView showGridLines="0" topLeftCell="E16" workbookViewId="0">
      <selection activeCell="M28" sqref="M28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59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333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7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7" t="str">
        <f>TEXT(COLUMN(),"(#)")</f>
        <v>(1)</v>
      </c>
      <c r="B12" s="7"/>
      <c r="C12" s="7" t="str">
        <f>TEXT(COLUMN()-1,"(#)")</f>
        <v>(2)</v>
      </c>
      <c r="D12" s="7" t="str">
        <f>TEXT(COLUMN()-1,"(#)")</f>
        <v>(3)</v>
      </c>
      <c r="E12" s="7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2011</v>
      </c>
      <c r="B14" s="25"/>
      <c r="C14" s="33">
        <f>'2.4d'!C14</f>
        <v>54382</v>
      </c>
      <c r="D14" s="44">
        <v>1</v>
      </c>
      <c r="E14" s="31">
        <f>ROUND(C14*D14,0)</f>
        <v>54382</v>
      </c>
      <c r="K14" s="2"/>
    </row>
    <row r="15" spans="1:12" x14ac:dyDescent="0.2">
      <c r="A15" t="str">
        <f t="shared" si="0"/>
        <v>2012</v>
      </c>
      <c r="B15" s="25"/>
      <c r="C15" s="33">
        <f>'2.4d'!C15</f>
        <v>259290</v>
      </c>
      <c r="D15" s="36">
        <f>INDEX('ldf 3.1a'!$C$46:$K$46,11-MATCH(A15,A$14:A$23))</f>
        <v>1</v>
      </c>
      <c r="E15" s="31">
        <f t="shared" ref="E15:E22" si="1">ROUND(C15*D15,0)</f>
        <v>259290</v>
      </c>
      <c r="K15" s="2"/>
    </row>
    <row r="16" spans="1:12" x14ac:dyDescent="0.2">
      <c r="A16" t="str">
        <f t="shared" si="0"/>
        <v>2013</v>
      </c>
      <c r="B16" s="25"/>
      <c r="C16" s="33">
        <f>'2.4d'!C16</f>
        <v>502759</v>
      </c>
      <c r="D16" s="36">
        <f>INDEX('ldf 3.1a'!$C$46:$K$46,11-MATCH(A16,A$14:A$23))</f>
        <v>1</v>
      </c>
      <c r="E16" s="31">
        <f t="shared" si="1"/>
        <v>502759</v>
      </c>
      <c r="K16" s="2"/>
    </row>
    <row r="17" spans="1:13" x14ac:dyDescent="0.2">
      <c r="A17" t="str">
        <f t="shared" si="0"/>
        <v>2014</v>
      </c>
      <c r="B17" s="25"/>
      <c r="C17" s="33">
        <f>'2.4d'!C17</f>
        <v>30748</v>
      </c>
      <c r="D17" s="36">
        <f>INDEX('ldf 3.1a'!$C$46:$K$46,11-MATCH(A17,A$14:A$23))</f>
        <v>1</v>
      </c>
      <c r="E17" s="31">
        <f t="shared" si="1"/>
        <v>30748</v>
      </c>
      <c r="K17" s="2"/>
    </row>
    <row r="18" spans="1:13" x14ac:dyDescent="0.2">
      <c r="A18" t="str">
        <f t="shared" si="0"/>
        <v>2015</v>
      </c>
      <c r="B18" s="25"/>
      <c r="C18" s="33">
        <f>'2.4d'!C18</f>
        <v>339352</v>
      </c>
      <c r="D18" s="36">
        <f>INDEX('ldf 3.1a'!$C$46:$K$46,11-MATCH(A18,A$14:A$23))</f>
        <v>1.0009999999999999</v>
      </c>
      <c r="E18" s="31">
        <f t="shared" si="1"/>
        <v>339691</v>
      </c>
      <c r="K18" s="2"/>
    </row>
    <row r="19" spans="1:13" x14ac:dyDescent="0.2">
      <c r="A19" t="str">
        <f t="shared" si="0"/>
        <v>2016</v>
      </c>
      <c r="B19" s="25"/>
      <c r="C19" s="33">
        <f>'2.4d'!C19</f>
        <v>446449</v>
      </c>
      <c r="D19" s="36">
        <f>INDEX('ldf 3.1a'!$C$46:$K$46,11-MATCH(A19,A$14:A$23))</f>
        <v>1.004</v>
      </c>
      <c r="E19" s="31">
        <f t="shared" si="1"/>
        <v>448235</v>
      </c>
      <c r="K19" s="2"/>
    </row>
    <row r="20" spans="1:13" x14ac:dyDescent="0.2">
      <c r="A20" t="str">
        <f t="shared" si="0"/>
        <v>2017</v>
      </c>
      <c r="B20" s="25"/>
      <c r="C20" s="33">
        <f>'2.4d'!C20</f>
        <v>481121</v>
      </c>
      <c r="D20" s="36">
        <f>INDEX('ldf 3.1a'!$C$46:$K$46,11-MATCH(A20,A$14:A$23))</f>
        <v>1.0129999999999999</v>
      </c>
      <c r="E20" s="31">
        <f t="shared" si="1"/>
        <v>487376</v>
      </c>
      <c r="K20" s="2"/>
    </row>
    <row r="21" spans="1:13" x14ac:dyDescent="0.2">
      <c r="A21" t="str">
        <f t="shared" si="0"/>
        <v>2018</v>
      </c>
      <c r="B21" s="25"/>
      <c r="C21" s="33">
        <f>'2.4d'!C21</f>
        <v>282195</v>
      </c>
      <c r="D21" s="36">
        <f>INDEX('ldf 3.1a'!$C$46:$K$46,11-MATCH(A21,A$14:A$23))</f>
        <v>1.032</v>
      </c>
      <c r="E21" s="31">
        <f t="shared" si="1"/>
        <v>291225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2019</v>
      </c>
      <c r="B22" s="51"/>
      <c r="C22" s="49">
        <f>'2.4d'!C22</f>
        <v>2547550</v>
      </c>
      <c r="D22" s="36">
        <f>INDEX('ldf 3.1a'!$C$46:$K$46,11-MATCH(A22,A$14:A$23))</f>
        <v>1.0860000000000001</v>
      </c>
      <c r="E22" s="123">
        <f t="shared" si="1"/>
        <v>2766639</v>
      </c>
      <c r="K22" s="2"/>
      <c r="L22" s="84">
        <f>'2.4a'!L$22</f>
        <v>44104</v>
      </c>
      <c r="M22" s="84">
        <f>'2.4a'!M$22</f>
        <v>44196</v>
      </c>
    </row>
    <row r="23" spans="1:13" x14ac:dyDescent="0.2">
      <c r="A23" t="str">
        <f>TEXT(YEAR($L$22),"#")</f>
        <v>2020</v>
      </c>
      <c r="B23" s="51"/>
      <c r="C23" s="49">
        <f>'2.4d'!C23</f>
        <v>280252</v>
      </c>
      <c r="D23" s="36">
        <f>INDEX('ldf 3.1a'!$C$46:$K$46,11-MATCH(A23,A$14:A$23))</f>
        <v>1.266</v>
      </c>
      <c r="E23" s="123">
        <f>ROUND(C23*D23,0)</f>
        <v>354799</v>
      </c>
      <c r="K23" s="2"/>
      <c r="L23" s="84"/>
      <c r="M23" s="84"/>
    </row>
    <row r="24" spans="1:13" x14ac:dyDescent="0.2">
      <c r="A24" s="9"/>
      <c r="B24" s="26"/>
      <c r="C24" s="34"/>
      <c r="D24" s="19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SUM(C14:C23)</f>
        <v>5224098</v>
      </c>
      <c r="E26" s="19">
        <f>SUM(E14:E23)</f>
        <v>5535144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"&amp;'2.4d'!$J$1&amp;", "&amp;'2.4d'!$J$2&amp;", as of "&amp;TEXT($M$22,"m/d/yy")</f>
        <v>(2) Exhibit 2, Sheet 4d, as of 12/31/20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G35" t="s">
        <v>330</v>
      </c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</sheetPr>
  <dimension ref="A1:M69"/>
  <sheetViews>
    <sheetView showGridLines="0" workbookViewId="0">
      <selection activeCell="K20" sqref="K20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3" width="15.33203125" style="11" customWidth="1"/>
    <col min="4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61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12/31/20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205"/>
      <c r="D7" s="6"/>
      <c r="E7" s="6"/>
      <c r="K7" s="2"/>
    </row>
    <row r="8" spans="1:12" ht="10.5" thickTop="1" x14ac:dyDescent="0.2">
      <c r="K8" s="2"/>
    </row>
    <row r="9" spans="1:12" x14ac:dyDescent="0.2">
      <c r="C9" s="24" t="s">
        <v>60</v>
      </c>
      <c r="K9" s="2"/>
      <c r="L9" s="27"/>
    </row>
    <row r="10" spans="1:12" x14ac:dyDescent="0.2">
      <c r="A10" t="s">
        <v>53</v>
      </c>
      <c r="C10"/>
      <c r="K10" s="2"/>
    </row>
    <row r="11" spans="1:12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/>
      <c r="K13" s="2"/>
    </row>
    <row r="14" spans="1:12" x14ac:dyDescent="0.2">
      <c r="A14" t="str">
        <f t="shared" ref="A14:A22" si="0">TEXT(A15-1,"#")</f>
        <v>2011</v>
      </c>
      <c r="B14" s="25"/>
      <c r="C14" s="80">
        <f>ROUND('[4]TICO 3'!$X26,0)</f>
        <v>1277401</v>
      </c>
      <c r="D14" s="80">
        <f>ROUND('[4]TICO 3'!$S26,0)</f>
        <v>0</v>
      </c>
      <c r="E14" s="31">
        <f t="shared" ref="E14:E23" si="1">C14+D14</f>
        <v>1277401</v>
      </c>
      <c r="K14" s="2"/>
    </row>
    <row r="15" spans="1:12" x14ac:dyDescent="0.2">
      <c r="A15" t="str">
        <f t="shared" si="0"/>
        <v>2012</v>
      </c>
      <c r="B15" s="25"/>
      <c r="C15" s="80">
        <f>ROUND('[4]TICO 3'!$X27,0)</f>
        <v>10634874</v>
      </c>
      <c r="D15" s="80">
        <f>ROUND('[4]TICO 3'!$S27,0)</f>
        <v>0</v>
      </c>
      <c r="E15" s="31">
        <f t="shared" si="1"/>
        <v>10634874</v>
      </c>
      <c r="K15" s="2"/>
    </row>
    <row r="16" spans="1:12" x14ac:dyDescent="0.2">
      <c r="A16" t="str">
        <f t="shared" si="0"/>
        <v>2013</v>
      </c>
      <c r="B16" s="25"/>
      <c r="C16" s="80">
        <f>ROUND('[4]TICO 3'!$X28,0)</f>
        <v>54064828</v>
      </c>
      <c r="D16" s="80">
        <f>ROUND('[4]TICO 3'!$S28,0)</f>
        <v>0</v>
      </c>
      <c r="E16" s="31">
        <f t="shared" si="1"/>
        <v>54064828</v>
      </c>
      <c r="K16" s="2"/>
    </row>
    <row r="17" spans="1:13" x14ac:dyDescent="0.2">
      <c r="A17" t="str">
        <f t="shared" si="0"/>
        <v>2014</v>
      </c>
      <c r="B17" s="25"/>
      <c r="C17" s="80">
        <f>ROUND('[4]TICO 3'!$X29,0)</f>
        <v>520624</v>
      </c>
      <c r="D17" s="80">
        <f>ROUND('[4]TICO 3'!$S29,0)</f>
        <v>0</v>
      </c>
      <c r="E17" s="31">
        <f t="shared" si="1"/>
        <v>520624</v>
      </c>
      <c r="K17" s="2"/>
    </row>
    <row r="18" spans="1:13" x14ac:dyDescent="0.2">
      <c r="A18" t="str">
        <f t="shared" si="0"/>
        <v>2015</v>
      </c>
      <c r="B18" s="25"/>
      <c r="C18" s="80">
        <f>ROUND('[4]TICO 3'!$X30,0)</f>
        <v>17432597</v>
      </c>
      <c r="D18" s="80">
        <f>ROUND('[4]TICO 3'!$S30,0)</f>
        <v>0</v>
      </c>
      <c r="E18" s="31">
        <f t="shared" si="1"/>
        <v>17432597</v>
      </c>
      <c r="K18" s="2"/>
    </row>
    <row r="19" spans="1:13" x14ac:dyDescent="0.2">
      <c r="A19" t="str">
        <f t="shared" si="0"/>
        <v>2016</v>
      </c>
      <c r="B19" s="25"/>
      <c r="C19" s="80">
        <f>ROUND('[4]TICO 3'!$X31,0)</f>
        <v>10980881</v>
      </c>
      <c r="D19" s="80">
        <f>ROUND('[4]TICO 3'!$S31,0)</f>
        <v>0</v>
      </c>
      <c r="E19" s="31">
        <f t="shared" si="1"/>
        <v>10980881</v>
      </c>
      <c r="K19" s="2"/>
    </row>
    <row r="20" spans="1:13" x14ac:dyDescent="0.2">
      <c r="A20" t="str">
        <f t="shared" si="0"/>
        <v>2017</v>
      </c>
      <c r="B20" s="25"/>
      <c r="C20" s="80">
        <f>ROUND('[4]TICO 3'!$X32,0)</f>
        <v>2691919</v>
      </c>
      <c r="D20" s="80">
        <f>ROUND('[4]TICO 3'!$S32,0)</f>
        <v>34578896</v>
      </c>
      <c r="E20" s="31">
        <f t="shared" si="1"/>
        <v>37270815</v>
      </c>
      <c r="K20" s="2"/>
    </row>
    <row r="21" spans="1:13" x14ac:dyDescent="0.2">
      <c r="A21" t="str">
        <f t="shared" si="0"/>
        <v>2018</v>
      </c>
      <c r="B21" s="25"/>
      <c r="C21" s="80">
        <f>ROUND('[4]TICO 3'!$X33,0)</f>
        <v>2499891</v>
      </c>
      <c r="D21" s="80">
        <f>ROUND('[4]TICO 3'!$S33,0)</f>
        <v>0</v>
      </c>
      <c r="E21" s="31">
        <f t="shared" si="1"/>
        <v>2499891</v>
      </c>
      <c r="K21" s="2"/>
      <c r="L21" t="s">
        <v>217</v>
      </c>
      <c r="M21" t="s">
        <v>218</v>
      </c>
    </row>
    <row r="22" spans="1:13" x14ac:dyDescent="0.2">
      <c r="A22" s="50" t="str">
        <f t="shared" si="0"/>
        <v>2019</v>
      </c>
      <c r="B22" s="25"/>
      <c r="C22" s="80">
        <f>ROUND('[4]TICO 3'!$X34,0)</f>
        <v>4565298</v>
      </c>
      <c r="D22" s="80">
        <f>ROUND('[4]TICO 3'!$S34,0)</f>
        <v>0</v>
      </c>
      <c r="E22" s="31">
        <f t="shared" si="1"/>
        <v>4565298</v>
      </c>
      <c r="K22" s="2"/>
      <c r="L22" s="82">
        <f>'[4]TICO 3'!$E$1</f>
        <v>44104</v>
      </c>
      <c r="M22" s="82">
        <f>'[4]TICO 3'!$E$2</f>
        <v>44196</v>
      </c>
    </row>
    <row r="23" spans="1:13" x14ac:dyDescent="0.2">
      <c r="A23" s="50" t="str">
        <f>TEXT(YEAR($L$22),"#")</f>
        <v>2020</v>
      </c>
      <c r="B23" s="25"/>
      <c r="C23" s="80">
        <f>ROUND('[4]TICO 3'!$X35,0)</f>
        <v>3883157</v>
      </c>
      <c r="D23" s="80">
        <f>ROUND('[4]TICO 3'!$S35,0)</f>
        <v>24705</v>
      </c>
      <c r="E23" s="31">
        <f t="shared" si="1"/>
        <v>3907862</v>
      </c>
      <c r="K23" s="2"/>
      <c r="L23" s="82"/>
      <c r="M23" s="82"/>
    </row>
    <row r="24" spans="1:13" x14ac:dyDescent="0.2">
      <c r="A24" s="9"/>
      <c r="B24" s="26"/>
      <c r="C24" s="67"/>
      <c r="D24" s="67"/>
      <c r="E24" s="32"/>
      <c r="K24" s="2"/>
    </row>
    <row r="25" spans="1:13" x14ac:dyDescent="0.2">
      <c r="C25"/>
      <c r="K25" s="2"/>
    </row>
    <row r="26" spans="1:13" x14ac:dyDescent="0.2">
      <c r="A26" t="s">
        <v>9</v>
      </c>
      <c r="C26" s="19">
        <f>SUM(C14:C24)</f>
        <v>108551470</v>
      </c>
      <c r="D26" s="19">
        <f>SUM(D14:D24)</f>
        <v>34603601</v>
      </c>
      <c r="E26" s="19">
        <f>SUM(E14:E24)</f>
        <v>143155071</v>
      </c>
      <c r="K26" s="2"/>
    </row>
    <row r="27" spans="1:13" ht="10.5" thickBot="1" x14ac:dyDescent="0.25">
      <c r="A27" s="6"/>
      <c r="B27" s="6"/>
      <c r="C27" s="205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C12&amp;","&amp;D12&amp;"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B32" s="22"/>
      <c r="K32" s="2"/>
    </row>
    <row r="33" spans="1:11" x14ac:dyDescent="0.2">
      <c r="B33" s="22"/>
      <c r="K33" s="2"/>
    </row>
    <row r="34" spans="1:11" x14ac:dyDescent="0.2">
      <c r="K34" s="2"/>
    </row>
    <row r="35" spans="1:11" x14ac:dyDescent="0.2">
      <c r="A35" s="59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206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2D050"/>
  </sheetPr>
  <dimension ref="A1:M69"/>
  <sheetViews>
    <sheetView showGridLines="0" topLeftCell="A10" workbookViewId="0">
      <selection activeCell="D20" sqref="D20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62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12/31/20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24" t="s">
        <v>60</v>
      </c>
      <c r="K9" s="2"/>
      <c r="L9" s="27"/>
    </row>
    <row r="10" spans="1:12" x14ac:dyDescent="0.2">
      <c r="A10" t="s">
        <v>53</v>
      </c>
      <c r="K10" s="2"/>
    </row>
    <row r="11" spans="1:12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 s="59"/>
      <c r="D13" s="59"/>
      <c r="K13" s="2"/>
    </row>
    <row r="14" spans="1:12" x14ac:dyDescent="0.2">
      <c r="A14" t="str">
        <f t="shared" ref="A14:A22" si="0">TEXT(A15-1,"#")</f>
        <v>2011</v>
      </c>
      <c r="B14" s="25"/>
      <c r="C14" s="80">
        <f>ROUND('[4]TICO 3'!$Y26,0)</f>
        <v>19201295</v>
      </c>
      <c r="D14" s="80">
        <f>ROUND('[4]TICO 3'!T26,0)</f>
        <v>0</v>
      </c>
      <c r="E14" s="31">
        <f t="shared" ref="E14:E23" si="1">C14+D14</f>
        <v>19201295</v>
      </c>
      <c r="K14" s="2"/>
    </row>
    <row r="15" spans="1:12" x14ac:dyDescent="0.2">
      <c r="A15" t="str">
        <f t="shared" si="0"/>
        <v>2012</v>
      </c>
      <c r="B15" s="25"/>
      <c r="C15" s="80">
        <f>ROUND('[4]TICO 3'!$Y27,0)</f>
        <v>20630853</v>
      </c>
      <c r="D15" s="80">
        <f>ROUND('[4]TICO 3'!T27,0)</f>
        <v>0</v>
      </c>
      <c r="E15" s="31">
        <f t="shared" si="1"/>
        <v>20630853</v>
      </c>
      <c r="K15" s="2"/>
    </row>
    <row r="16" spans="1:12" x14ac:dyDescent="0.2">
      <c r="A16" t="str">
        <f t="shared" si="0"/>
        <v>2013</v>
      </c>
      <c r="B16" s="25"/>
      <c r="C16" s="80">
        <f>ROUND('[4]TICO 3'!$Y28,0)</f>
        <v>6175709</v>
      </c>
      <c r="D16" s="80">
        <f>ROUND('[4]TICO 3'!T28,0)</f>
        <v>0</v>
      </c>
      <c r="E16" s="31">
        <f t="shared" si="1"/>
        <v>6175709</v>
      </c>
      <c r="K16" s="2"/>
    </row>
    <row r="17" spans="1:13" x14ac:dyDescent="0.2">
      <c r="A17" t="str">
        <f t="shared" si="0"/>
        <v>2014</v>
      </c>
      <c r="B17" s="25"/>
      <c r="C17" s="80">
        <f>ROUND('[4]TICO 3'!$Y29,0)</f>
        <v>1618066</v>
      </c>
      <c r="D17" s="80">
        <f>ROUND('[4]TICO 3'!T29,0)</f>
        <v>0</v>
      </c>
      <c r="E17" s="31">
        <f t="shared" si="1"/>
        <v>1618066</v>
      </c>
      <c r="K17" s="2"/>
    </row>
    <row r="18" spans="1:13" x14ac:dyDescent="0.2">
      <c r="A18" t="str">
        <f t="shared" si="0"/>
        <v>2015</v>
      </c>
      <c r="B18" s="25"/>
      <c r="C18" s="80">
        <f>ROUND('[4]TICO 3'!$Y30,0)</f>
        <v>9461279</v>
      </c>
      <c r="D18" s="80">
        <f>ROUND('[4]TICO 3'!T30,0)</f>
        <v>0</v>
      </c>
      <c r="E18" s="31">
        <f t="shared" si="1"/>
        <v>9461279</v>
      </c>
      <c r="K18" s="2"/>
    </row>
    <row r="19" spans="1:13" x14ac:dyDescent="0.2">
      <c r="A19" t="str">
        <f t="shared" si="0"/>
        <v>2016</v>
      </c>
      <c r="B19" s="25"/>
      <c r="C19" s="80">
        <f>ROUND('[4]TICO 3'!$Y31,0)</f>
        <v>9531194</v>
      </c>
      <c r="D19" s="80">
        <f>ROUND('[4]TICO 3'!T31,0)</f>
        <v>0</v>
      </c>
      <c r="E19" s="31">
        <f t="shared" si="1"/>
        <v>9531194</v>
      </c>
      <c r="K19" s="2"/>
    </row>
    <row r="20" spans="1:13" x14ac:dyDescent="0.2">
      <c r="A20" t="str">
        <f t="shared" si="0"/>
        <v>2017</v>
      </c>
      <c r="B20" s="25"/>
      <c r="C20" s="80">
        <f>ROUND('[4]TICO 3'!$Y32,0)</f>
        <v>7641292</v>
      </c>
      <c r="D20" s="80">
        <f>ROUND('[4]TICO 3'!T32,0)</f>
        <v>247337056</v>
      </c>
      <c r="E20" s="31">
        <f t="shared" si="1"/>
        <v>254978348</v>
      </c>
      <c r="K20" s="2"/>
    </row>
    <row r="21" spans="1:13" x14ac:dyDescent="0.2">
      <c r="A21" t="str">
        <f t="shared" si="0"/>
        <v>2018</v>
      </c>
      <c r="B21" s="25"/>
      <c r="C21" s="80">
        <f>ROUND('[4]TICO 3'!$Y33,0)</f>
        <v>1138023</v>
      </c>
      <c r="D21" s="80">
        <f>ROUND('[4]TICO 3'!T33,0)</f>
        <v>0</v>
      </c>
      <c r="E21" s="31">
        <f t="shared" si="1"/>
        <v>1138023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2019</v>
      </c>
      <c r="B22" s="51"/>
      <c r="C22" s="80">
        <f>ROUND('[4]TICO 3'!$Y34,0)</f>
        <v>822616</v>
      </c>
      <c r="D22" s="80">
        <f>ROUND('[4]TICO 3'!T34,0)</f>
        <v>0</v>
      </c>
      <c r="E22" s="123">
        <f t="shared" si="1"/>
        <v>822616</v>
      </c>
      <c r="K22" s="2"/>
      <c r="L22" s="84">
        <f>'2.4a'!L$22</f>
        <v>44104</v>
      </c>
      <c r="M22" s="84">
        <f>'2.4a'!M$22</f>
        <v>44196</v>
      </c>
    </row>
    <row r="23" spans="1:13" x14ac:dyDescent="0.2">
      <c r="A23" t="str">
        <f>TEXT(YEAR($L$22),"#")</f>
        <v>2020</v>
      </c>
      <c r="B23" s="51"/>
      <c r="C23" s="80">
        <f>ROUND('[4]TICO 3'!$Y35,0)</f>
        <v>359896</v>
      </c>
      <c r="D23" s="80">
        <f>ROUND('[4]TICO 3'!T35,0)</f>
        <v>1228141</v>
      </c>
      <c r="E23" s="123">
        <f t="shared" si="1"/>
        <v>1588037</v>
      </c>
      <c r="K23" s="2"/>
      <c r="L23" s="84"/>
      <c r="M23" s="84"/>
    </row>
    <row r="24" spans="1:13" x14ac:dyDescent="0.2">
      <c r="A24" s="9"/>
      <c r="B24" s="26"/>
      <c r="C24" s="67"/>
      <c r="D24" s="6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76580223</v>
      </c>
      <c r="D26" s="19">
        <f>SUM(D14:D24)</f>
        <v>248565197</v>
      </c>
      <c r="E26" s="19">
        <f>SUM(E14:E24)</f>
        <v>325145420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C12&amp;","&amp;D12&amp; 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</sheetPr>
  <dimension ref="A1:M69"/>
  <sheetViews>
    <sheetView showGridLines="0" topLeftCell="A10" workbookViewId="0">
      <selection activeCell="C23" sqref="C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63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12/31/20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24" t="s">
        <v>60</v>
      </c>
      <c r="K9" s="2"/>
      <c r="L9" s="27"/>
    </row>
    <row r="10" spans="1:12" x14ac:dyDescent="0.2">
      <c r="A10" t="s">
        <v>53</v>
      </c>
      <c r="K10" s="2"/>
    </row>
    <row r="11" spans="1:12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2011</v>
      </c>
      <c r="B14" s="25"/>
      <c r="C14" s="80">
        <f>ROUND('[4]TICO 3'!Z26,0)</f>
        <v>56124736</v>
      </c>
      <c r="D14" s="80">
        <f>ROUND('[4]TICO 3'!U26,0)</f>
        <v>0</v>
      </c>
      <c r="E14" s="31">
        <f>C14+D14</f>
        <v>56124736</v>
      </c>
      <c r="K14" s="2"/>
    </row>
    <row r="15" spans="1:12" x14ac:dyDescent="0.2">
      <c r="A15" t="str">
        <f t="shared" si="0"/>
        <v>2012</v>
      </c>
      <c r="B15" s="25"/>
      <c r="C15" s="80">
        <f>ROUND('[4]TICO 3'!Z27,0)</f>
        <v>18946421</v>
      </c>
      <c r="D15" s="80">
        <f>ROUND('[4]TICO 3'!U27,0)</f>
        <v>0</v>
      </c>
      <c r="E15" s="31">
        <f t="shared" ref="E15:E23" si="1">C15+D15</f>
        <v>18946421</v>
      </c>
      <c r="K15" s="2"/>
    </row>
    <row r="16" spans="1:12" x14ac:dyDescent="0.2">
      <c r="A16" t="str">
        <f t="shared" si="0"/>
        <v>2013</v>
      </c>
      <c r="B16" s="25"/>
      <c r="C16" s="80">
        <f>ROUND('[4]TICO 3'!Z28,0)</f>
        <v>4828270</v>
      </c>
      <c r="D16" s="80">
        <f>ROUND('[4]TICO 3'!U28,0)</f>
        <v>0</v>
      </c>
      <c r="E16" s="31">
        <f t="shared" si="1"/>
        <v>4828270</v>
      </c>
      <c r="K16" s="2"/>
    </row>
    <row r="17" spans="1:13" x14ac:dyDescent="0.2">
      <c r="A17" t="str">
        <f t="shared" si="0"/>
        <v>2014</v>
      </c>
      <c r="B17" s="25"/>
      <c r="C17" s="80">
        <f>ROUND('[4]TICO 3'!Z29,0)</f>
        <v>2844673</v>
      </c>
      <c r="D17" s="80">
        <f>ROUND('[4]TICO 3'!U29,0)</f>
        <v>0</v>
      </c>
      <c r="E17" s="31">
        <f t="shared" si="1"/>
        <v>2844673</v>
      </c>
      <c r="K17" s="2"/>
    </row>
    <row r="18" spans="1:13" x14ac:dyDescent="0.2">
      <c r="A18" t="str">
        <f t="shared" si="0"/>
        <v>2015</v>
      </c>
      <c r="B18" s="25"/>
      <c r="C18" s="80">
        <f>ROUND('[4]TICO 3'!Z30,0)</f>
        <v>86406840</v>
      </c>
      <c r="D18" s="80">
        <f>ROUND('[4]TICO 3'!U30,0)</f>
        <v>0</v>
      </c>
      <c r="E18" s="31">
        <f t="shared" si="1"/>
        <v>86406840</v>
      </c>
      <c r="K18" s="2"/>
    </row>
    <row r="19" spans="1:13" x14ac:dyDescent="0.2">
      <c r="A19" t="str">
        <f t="shared" si="0"/>
        <v>2016</v>
      </c>
      <c r="B19" s="25"/>
      <c r="C19" s="80">
        <f>ROUND('[4]TICO 3'!Z31,0)</f>
        <v>12167890</v>
      </c>
      <c r="D19" s="80">
        <f>ROUND('[4]TICO 3'!U31,0)</f>
        <v>0</v>
      </c>
      <c r="E19" s="31">
        <f t="shared" si="1"/>
        <v>12167890</v>
      </c>
      <c r="K19" s="2"/>
    </row>
    <row r="20" spans="1:13" x14ac:dyDescent="0.2">
      <c r="A20" t="str">
        <f t="shared" si="0"/>
        <v>2017</v>
      </c>
      <c r="B20" s="25"/>
      <c r="C20" s="80">
        <f>ROUND('[4]TICO 3'!Z32,0)</f>
        <v>21791214</v>
      </c>
      <c r="D20" s="80">
        <f>ROUND('[4]TICO 3'!U32,0)</f>
        <v>619717457</v>
      </c>
      <c r="E20" s="31">
        <f t="shared" si="1"/>
        <v>641508671</v>
      </c>
      <c r="K20" s="2"/>
    </row>
    <row r="21" spans="1:13" x14ac:dyDescent="0.2">
      <c r="A21" t="str">
        <f t="shared" si="0"/>
        <v>2018</v>
      </c>
      <c r="B21" s="25"/>
      <c r="C21" s="80">
        <f>ROUND('[4]TICO 3'!Z33,0)</f>
        <v>6753481</v>
      </c>
      <c r="D21" s="80">
        <f>ROUND('[4]TICO 3'!U33,0)</f>
        <v>0</v>
      </c>
      <c r="E21" s="31">
        <f t="shared" si="1"/>
        <v>6753481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2019</v>
      </c>
      <c r="B22" s="51"/>
      <c r="C22" s="80">
        <f>ROUND('[4]TICO 3'!Z34,0)</f>
        <v>9866468</v>
      </c>
      <c r="D22" s="80">
        <f>ROUND('[4]TICO 3'!U34,0)</f>
        <v>0</v>
      </c>
      <c r="E22" s="123">
        <f t="shared" si="1"/>
        <v>9866468</v>
      </c>
      <c r="K22" s="2"/>
      <c r="L22" s="84">
        <f>'2.4a'!L$22</f>
        <v>44104</v>
      </c>
      <c r="M22" s="84">
        <f>'2.4a'!M$22</f>
        <v>44196</v>
      </c>
    </row>
    <row r="23" spans="1:13" x14ac:dyDescent="0.2">
      <c r="A23" t="str">
        <f>TEXT(YEAR($L$22),"#")</f>
        <v>2020</v>
      </c>
      <c r="B23" s="51"/>
      <c r="C23" s="80">
        <f>ROUND('[4]TICO 3'!Z35,0)</f>
        <v>16989231</v>
      </c>
      <c r="D23" s="80">
        <f>ROUND('[4]TICO 3'!U35,0)</f>
        <v>5323059</v>
      </c>
      <c r="E23" s="123">
        <f t="shared" si="1"/>
        <v>22312290</v>
      </c>
      <c r="K23" s="2"/>
      <c r="L23" s="84"/>
      <c r="M23" s="84"/>
    </row>
    <row r="24" spans="1:13" x14ac:dyDescent="0.2">
      <c r="A24" s="26"/>
      <c r="B24" s="26"/>
      <c r="C24" s="67"/>
      <c r="D24" s="6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236719224</v>
      </c>
      <c r="D26" s="19">
        <f>SUM(D14:D24)</f>
        <v>625040516</v>
      </c>
      <c r="E26" s="19">
        <f>SUM(E14:E24)</f>
        <v>861759740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B33" s="22"/>
      <c r="K33" s="2"/>
    </row>
    <row r="34" spans="1:11" x14ac:dyDescent="0.2">
      <c r="A34" s="59"/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2D050"/>
  </sheetPr>
  <dimension ref="A1:R69"/>
  <sheetViews>
    <sheetView showGridLines="0" topLeftCell="A13" workbookViewId="0">
      <selection activeCell="C23" sqref="C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8" ht="10.5" x14ac:dyDescent="0.25">
      <c r="A1" s="8" t="str">
        <f>'1'!$A$1</f>
        <v>Texas Windstorm Insurance Association</v>
      </c>
      <c r="B1" s="12"/>
      <c r="J1" s="7" t="s">
        <v>20</v>
      </c>
      <c r="K1" s="1"/>
      <c r="M1" s="329" t="s">
        <v>439</v>
      </c>
    </row>
    <row r="2" spans="1:18" ht="10.5" x14ac:dyDescent="0.25">
      <c r="A2" s="8" t="str">
        <f>'1'!$A$2</f>
        <v>Residential Property - Wind &amp; Hail</v>
      </c>
      <c r="B2" s="12"/>
      <c r="J2" s="7" t="s">
        <v>64</v>
      </c>
      <c r="K2" s="2"/>
    </row>
    <row r="3" spans="1:18" ht="10.5" x14ac:dyDescent="0.25">
      <c r="A3" s="8" t="str">
        <f>'1'!$A$3</f>
        <v>Rate Level Review</v>
      </c>
      <c r="B3" s="12"/>
      <c r="K3" s="2"/>
    </row>
    <row r="4" spans="1:18" x14ac:dyDescent="0.2">
      <c r="A4" t="str">
        <f>"Summary of TWIA Historical Paid Loss as of "&amp;TEXT($M$22,"m/d/yy")</f>
        <v>Summary of TWIA Historical Paid Loss as of 12/31/20</v>
      </c>
      <c r="B4" s="12"/>
      <c r="K4" s="2"/>
    </row>
    <row r="5" spans="1:18" x14ac:dyDescent="0.2">
      <c r="A5" t="s">
        <v>332</v>
      </c>
      <c r="B5" s="12"/>
      <c r="K5" s="2"/>
    </row>
    <row r="6" spans="1:18" x14ac:dyDescent="0.2">
      <c r="K6" s="2"/>
    </row>
    <row r="7" spans="1:18" ht="10.5" thickBot="1" x14ac:dyDescent="0.25">
      <c r="A7" s="6"/>
      <c r="B7" s="6"/>
      <c r="C7" s="6"/>
      <c r="D7" s="6"/>
      <c r="E7" s="6"/>
      <c r="K7" s="2"/>
    </row>
    <row r="8" spans="1:18" ht="10.5" thickTop="1" x14ac:dyDescent="0.2">
      <c r="K8" s="2"/>
      <c r="Q8" s="19"/>
      <c r="R8" s="19"/>
    </row>
    <row r="9" spans="1:18" x14ac:dyDescent="0.2">
      <c r="C9" s="24" t="s">
        <v>60</v>
      </c>
      <c r="K9" s="2"/>
      <c r="L9" s="27"/>
      <c r="Q9" s="19"/>
      <c r="R9" s="19"/>
    </row>
    <row r="10" spans="1:18" x14ac:dyDescent="0.2">
      <c r="A10" t="s">
        <v>53</v>
      </c>
      <c r="K10" s="2"/>
      <c r="Q10" s="19"/>
      <c r="R10" s="19"/>
    </row>
    <row r="11" spans="1:18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  <c r="Q11" s="19"/>
      <c r="R11" s="19"/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8" x14ac:dyDescent="0.2">
      <c r="K13" s="2"/>
    </row>
    <row r="14" spans="1:18" x14ac:dyDescent="0.2">
      <c r="A14" t="str">
        <f t="shared" ref="A14:A22" si="0">TEXT(A15-1,"#")</f>
        <v>2011</v>
      </c>
      <c r="B14" s="25"/>
      <c r="C14" s="80">
        <f>ROUND('[4]TICO 3'!AA26,0)</f>
        <v>54382</v>
      </c>
      <c r="D14" s="80">
        <f>ROUND('[4]TICO 3'!V26,0)</f>
        <v>0</v>
      </c>
      <c r="E14" s="31">
        <f>C14+D14</f>
        <v>54382</v>
      </c>
      <c r="F14" s="19"/>
      <c r="K14" s="2"/>
    </row>
    <row r="15" spans="1:18" x14ac:dyDescent="0.2">
      <c r="A15" t="str">
        <f t="shared" si="0"/>
        <v>2012</v>
      </c>
      <c r="B15" s="25"/>
      <c r="C15" s="80">
        <f>ROUND('[4]TICO 3'!AA27,0)</f>
        <v>259290</v>
      </c>
      <c r="D15" s="80">
        <f>ROUND('[4]TICO 3'!V27,0)</f>
        <v>0</v>
      </c>
      <c r="E15" s="31">
        <f t="shared" ref="E15:E22" si="1">C15+D15</f>
        <v>259290</v>
      </c>
      <c r="F15" s="19"/>
      <c r="K15" s="2"/>
    </row>
    <row r="16" spans="1:18" x14ac:dyDescent="0.2">
      <c r="A16" t="str">
        <f t="shared" si="0"/>
        <v>2013</v>
      </c>
      <c r="B16" s="25"/>
      <c r="C16" s="80">
        <f>ROUND('[4]TICO 3'!AA28,0)</f>
        <v>502759</v>
      </c>
      <c r="D16" s="80">
        <f>ROUND('[4]TICO 3'!V28,0)</f>
        <v>0</v>
      </c>
      <c r="E16" s="31">
        <f t="shared" si="1"/>
        <v>502759</v>
      </c>
      <c r="F16" s="19"/>
      <c r="K16" s="2"/>
    </row>
    <row r="17" spans="1:13" x14ac:dyDescent="0.2">
      <c r="A17" t="str">
        <f t="shared" si="0"/>
        <v>2014</v>
      </c>
      <c r="B17" s="25"/>
      <c r="C17" s="80">
        <f>ROUND('[4]TICO 3'!AA29,0)</f>
        <v>30748</v>
      </c>
      <c r="D17" s="80">
        <f>ROUND('[4]TICO 3'!V29,0)</f>
        <v>0</v>
      </c>
      <c r="E17" s="31">
        <f t="shared" si="1"/>
        <v>30748</v>
      </c>
      <c r="F17" s="19"/>
      <c r="K17" s="2"/>
    </row>
    <row r="18" spans="1:13" x14ac:dyDescent="0.2">
      <c r="A18" t="str">
        <f t="shared" si="0"/>
        <v>2015</v>
      </c>
      <c r="B18" s="25"/>
      <c r="C18" s="80">
        <f>ROUND('[4]TICO 3'!AA30,0)</f>
        <v>339352</v>
      </c>
      <c r="D18" s="80">
        <f>ROUND('[4]TICO 3'!V30,0)</f>
        <v>0</v>
      </c>
      <c r="E18" s="31">
        <f t="shared" si="1"/>
        <v>339352</v>
      </c>
      <c r="F18" s="19"/>
      <c r="K18" s="2"/>
    </row>
    <row r="19" spans="1:13" x14ac:dyDescent="0.2">
      <c r="A19" t="str">
        <f t="shared" si="0"/>
        <v>2016</v>
      </c>
      <c r="B19" s="25"/>
      <c r="C19" s="80">
        <f>ROUND('[4]TICO 3'!AA31,0)</f>
        <v>446449</v>
      </c>
      <c r="D19" s="80">
        <f>ROUND('[4]TICO 3'!V31,0)</f>
        <v>0</v>
      </c>
      <c r="E19" s="31">
        <f t="shared" si="1"/>
        <v>446449</v>
      </c>
      <c r="F19" s="19"/>
      <c r="K19" s="2"/>
    </row>
    <row r="20" spans="1:13" x14ac:dyDescent="0.2">
      <c r="A20" t="str">
        <f t="shared" si="0"/>
        <v>2017</v>
      </c>
      <c r="B20" s="25"/>
      <c r="C20" s="80">
        <f>ROUND('[4]TICO 3'!AA32,0)</f>
        <v>481121</v>
      </c>
      <c r="D20" s="80">
        <f>ROUND('[4]TICO 3'!V32,0)</f>
        <v>3363572</v>
      </c>
      <c r="E20" s="31">
        <f t="shared" si="1"/>
        <v>3844693</v>
      </c>
      <c r="F20" s="19"/>
      <c r="K20" s="2"/>
    </row>
    <row r="21" spans="1:13" x14ac:dyDescent="0.2">
      <c r="A21" t="str">
        <f t="shared" si="0"/>
        <v>2018</v>
      </c>
      <c r="B21" s="25"/>
      <c r="C21" s="80">
        <f>ROUND('[4]TICO 3'!AA33,0)</f>
        <v>282195</v>
      </c>
      <c r="D21" s="80">
        <f>ROUND('[4]TICO 3'!V33,0)</f>
        <v>0</v>
      </c>
      <c r="E21" s="31">
        <f t="shared" si="1"/>
        <v>282195</v>
      </c>
      <c r="F21" s="19"/>
      <c r="K21" s="2"/>
      <c r="L21" t="s">
        <v>217</v>
      </c>
      <c r="M21" t="s">
        <v>218</v>
      </c>
    </row>
    <row r="22" spans="1:13" x14ac:dyDescent="0.2">
      <c r="A22" t="str">
        <f t="shared" si="0"/>
        <v>2019</v>
      </c>
      <c r="B22" s="25"/>
      <c r="C22" s="80">
        <f>ROUND('[4]TICO 3'!AA34,0)</f>
        <v>2547550</v>
      </c>
      <c r="D22" s="80">
        <f>ROUND('[4]TICO 3'!V34,0)</f>
        <v>0</v>
      </c>
      <c r="E22" s="31">
        <f t="shared" si="1"/>
        <v>2547550</v>
      </c>
      <c r="F22" s="19"/>
      <c r="K22" s="2"/>
      <c r="L22" s="84">
        <f>'2.4a'!L$22</f>
        <v>44104</v>
      </c>
      <c r="M22" s="84">
        <f>'2.4a'!M$22</f>
        <v>44196</v>
      </c>
    </row>
    <row r="23" spans="1:13" x14ac:dyDescent="0.2">
      <c r="A23" t="str">
        <f>TEXT(YEAR($L$22),"#")</f>
        <v>2020</v>
      </c>
      <c r="B23" s="25"/>
      <c r="C23" s="80">
        <f>ROUND('[4]TICO 3'!AA35,0)</f>
        <v>280252</v>
      </c>
      <c r="D23" s="80">
        <f>ROUND('[4]TICO 3'!V35,0)</f>
        <v>6672</v>
      </c>
      <c r="E23" s="31">
        <f>C23+D23</f>
        <v>286924</v>
      </c>
      <c r="F23" s="19"/>
      <c r="K23" s="2"/>
      <c r="L23" s="84"/>
      <c r="M23" s="84"/>
    </row>
    <row r="24" spans="1:13" x14ac:dyDescent="0.2">
      <c r="A24" s="26"/>
      <c r="B24" s="26"/>
      <c r="C24" s="67"/>
      <c r="D24" s="67"/>
      <c r="E24" s="32"/>
      <c r="F24" s="19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5224098</v>
      </c>
      <c r="D26" s="19">
        <f>SUM(D14:D24)</f>
        <v>3370244</v>
      </c>
      <c r="E26" s="19">
        <f>SUM(E14:E24)</f>
        <v>8594342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A33" s="59"/>
      <c r="B33" s="22"/>
      <c r="K33" s="2"/>
    </row>
    <row r="34" spans="1:11" x14ac:dyDescent="0.2"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R64"/>
  <sheetViews>
    <sheetView showGridLines="0" topLeftCell="A40" workbookViewId="0">
      <selection activeCell="A33" sqref="A33"/>
    </sheetView>
  </sheetViews>
  <sheetFormatPr defaultColWidth="11.33203125" defaultRowHeight="10" x14ac:dyDescent="0.2"/>
  <cols>
    <col min="1" max="1" width="8.44140625" style="131" bestFit="1" customWidth="1"/>
    <col min="2" max="2" width="10.6640625" style="131" customWidth="1"/>
    <col min="3" max="4" width="11.33203125" style="131" customWidth="1"/>
    <col min="5" max="5" width="12.109375" style="131" customWidth="1"/>
    <col min="6" max="10" width="11.33203125" style="131" customWidth="1"/>
    <col min="11" max="11" width="11.33203125" style="131" hidden="1" customWidth="1"/>
    <col min="12" max="12" width="2.44140625" style="131" customWidth="1"/>
    <col min="13" max="16384" width="11.33203125" style="131"/>
  </cols>
  <sheetData>
    <row r="1" spans="1:18" ht="10.5" x14ac:dyDescent="0.25">
      <c r="A1" s="8" t="str">
        <f>'1'!$A$1</f>
        <v>Texas Windstorm Insurance Association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7" t="s">
        <v>20</v>
      </c>
      <c r="M1" s="130"/>
    </row>
    <row r="2" spans="1:18" ht="10.5" x14ac:dyDescent="0.25">
      <c r="A2" s="8" t="str">
        <f>'1'!$A$2</f>
        <v>Residential Property - Wind &amp; Hail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7" t="s">
        <v>94</v>
      </c>
      <c r="M2" s="132"/>
    </row>
    <row r="3" spans="1:18" ht="10.5" x14ac:dyDescent="0.25">
      <c r="A3" s="8" t="str">
        <f>'1'!$A$3</f>
        <v>Rate Level Review</v>
      </c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32"/>
    </row>
    <row r="4" spans="1:18" x14ac:dyDescent="0.2">
      <c r="A4" s="128" t="s">
        <v>267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32"/>
    </row>
    <row r="5" spans="1:18" x14ac:dyDescent="0.2">
      <c r="A5" s="133"/>
      <c r="B5" s="134"/>
      <c r="C5" s="133"/>
      <c r="D5" s="133"/>
      <c r="E5" s="133"/>
      <c r="F5" s="128"/>
      <c r="G5" s="128"/>
      <c r="H5" s="128"/>
      <c r="I5" s="128"/>
      <c r="J5" s="128"/>
      <c r="K5" s="128"/>
      <c r="L5" s="128"/>
      <c r="M5" s="132"/>
    </row>
    <row r="6" spans="1:18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32"/>
    </row>
    <row r="7" spans="1:18" ht="10.5" thickBot="1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28"/>
      <c r="K7" s="128"/>
      <c r="L7" s="128"/>
      <c r="M7" s="132"/>
      <c r="N7" t="s">
        <v>215</v>
      </c>
    </row>
    <row r="8" spans="1:18" ht="10.5" thickTop="1" x14ac:dyDescent="0.2">
      <c r="A8" s="128"/>
      <c r="B8" s="128"/>
      <c r="C8" s="128" t="s">
        <v>71</v>
      </c>
      <c r="D8" s="128"/>
      <c r="E8" s="128"/>
      <c r="F8" s="128"/>
      <c r="G8" s="128"/>
      <c r="H8" s="128"/>
      <c r="I8" s="128"/>
      <c r="J8" s="128"/>
      <c r="K8" s="128"/>
      <c r="L8" s="128"/>
      <c r="M8" s="132"/>
      <c r="N8" s="89">
        <v>44196</v>
      </c>
    </row>
    <row r="9" spans="1:18" x14ac:dyDescent="0.2">
      <c r="A9" s="128"/>
      <c r="B9" s="128"/>
      <c r="C9" s="137" t="s">
        <v>328</v>
      </c>
      <c r="D9" s="128"/>
      <c r="E9" s="128"/>
      <c r="F9" s="128"/>
      <c r="G9" s="128"/>
      <c r="H9" s="128"/>
      <c r="I9" s="128"/>
      <c r="J9" s="128"/>
      <c r="K9" s="128"/>
      <c r="L9" s="128"/>
      <c r="M9" s="132"/>
      <c r="N9"/>
    </row>
    <row r="10" spans="1:18" x14ac:dyDescent="0.2">
      <c r="A10" s="128" t="s">
        <v>232</v>
      </c>
      <c r="B10" s="128"/>
      <c r="C10" s="131" t="s">
        <v>343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32"/>
      <c r="N10"/>
    </row>
    <row r="11" spans="1:18" x14ac:dyDescent="0.2">
      <c r="A11" s="136" t="s">
        <v>234</v>
      </c>
      <c r="B11" s="136"/>
      <c r="C11" s="275" t="s">
        <v>329</v>
      </c>
      <c r="D11" s="137"/>
      <c r="E11" s="137"/>
      <c r="F11" s="137"/>
      <c r="G11" s="137"/>
      <c r="H11" s="128"/>
      <c r="I11" s="128"/>
      <c r="J11" s="128"/>
      <c r="K11" s="128"/>
      <c r="L11" s="128"/>
      <c r="M11" s="132"/>
      <c r="N11"/>
    </row>
    <row r="12" spans="1:18" ht="10.5" thickBot="1" x14ac:dyDescent="0.25">
      <c r="A12" s="138" t="s">
        <v>189</v>
      </c>
      <c r="B12" s="139"/>
      <c r="C12" s="140" t="s">
        <v>190</v>
      </c>
      <c r="J12" s="128"/>
      <c r="K12" s="128"/>
      <c r="L12" s="128"/>
      <c r="M12" s="132"/>
    </row>
    <row r="13" spans="1:18" x14ac:dyDescent="0.2">
      <c r="A13" s="128"/>
      <c r="B13" s="128"/>
      <c r="C13" s="228"/>
      <c r="D13" s="142" t="s">
        <v>191</v>
      </c>
      <c r="E13" s="128" t="s">
        <v>268</v>
      </c>
      <c r="F13" s="128"/>
      <c r="G13" s="128"/>
      <c r="H13" s="128"/>
      <c r="I13" s="313">
        <v>44013</v>
      </c>
      <c r="J13" s="128"/>
      <c r="K13" s="128"/>
      <c r="L13" s="128"/>
      <c r="M13" s="132"/>
      <c r="N13" s="286" t="s">
        <v>336</v>
      </c>
      <c r="O13" s="287"/>
      <c r="P13" s="287"/>
      <c r="Q13" s="288"/>
    </row>
    <row r="14" spans="1:18" x14ac:dyDescent="0.2">
      <c r="A14" s="137" t="str">
        <f t="shared" ref="A14:A22" si="0">R14&amp;" / 3"</f>
        <v>2012 / 3</v>
      </c>
      <c r="B14" s="128"/>
      <c r="C14" s="277">
        <f>'3.2 premium trend'!G19</f>
        <v>1600.2431265713308</v>
      </c>
      <c r="D14" s="142" t="s">
        <v>141</v>
      </c>
      <c r="E14" s="128" t="s">
        <v>269</v>
      </c>
      <c r="I14" s="314">
        <v>44013</v>
      </c>
      <c r="J14" s="128"/>
      <c r="K14" s="128"/>
      <c r="L14" s="128"/>
      <c r="M14" s="132"/>
      <c r="N14" s="289"/>
      <c r="O14" s="290"/>
      <c r="P14" s="290"/>
      <c r="Q14" s="291"/>
      <c r="R14" s="131">
        <f t="shared" ref="R14:R21" si="1">R15-1</f>
        <v>2012</v>
      </c>
    </row>
    <row r="15" spans="1:18" x14ac:dyDescent="0.2">
      <c r="A15" s="137" t="str">
        <f t="shared" si="0"/>
        <v>2013 / 3</v>
      </c>
      <c r="B15" s="141"/>
      <c r="C15" s="278">
        <f>ROUND('3.2 premium trend'!$G$23,2)</f>
        <v>1631.23</v>
      </c>
      <c r="D15" s="142" t="s">
        <v>120</v>
      </c>
      <c r="E15" s="128" t="s">
        <v>270</v>
      </c>
      <c r="F15" s="128"/>
      <c r="G15" s="128"/>
      <c r="H15" s="128"/>
      <c r="I15" s="313">
        <v>44927</v>
      </c>
      <c r="J15" s="128"/>
      <c r="K15" s="128"/>
      <c r="L15" s="128"/>
      <c r="M15" s="132"/>
      <c r="N15" s="289"/>
      <c r="O15" s="290"/>
      <c r="P15" s="290"/>
      <c r="Q15" s="291"/>
      <c r="R15" s="131">
        <f t="shared" si="1"/>
        <v>2013</v>
      </c>
    </row>
    <row r="16" spans="1:18" x14ac:dyDescent="0.2">
      <c r="A16" s="137" t="str">
        <f t="shared" si="0"/>
        <v>2014 / 3</v>
      </c>
      <c r="B16" s="141"/>
      <c r="C16" s="278">
        <f>ROUND('3.2 premium trend'!$G$27,2)</f>
        <v>1649.95</v>
      </c>
      <c r="D16" s="142" t="s">
        <v>124</v>
      </c>
      <c r="E16" s="128" t="s">
        <v>271</v>
      </c>
      <c r="F16" s="128"/>
      <c r="G16" s="128"/>
      <c r="H16" s="128"/>
      <c r="I16" s="143">
        <f>YEAR(I15)-YEAR(I13+1)+(MONTH(I15)-MONTH(I13+1))/12</f>
        <v>2.5</v>
      </c>
      <c r="J16" s="128"/>
      <c r="K16" s="128"/>
      <c r="L16" s="128"/>
      <c r="M16" s="132"/>
      <c r="N16" s="289"/>
      <c r="O16" s="290"/>
      <c r="P16" s="290"/>
      <c r="Q16" s="291"/>
      <c r="R16" s="131">
        <f t="shared" si="1"/>
        <v>2014</v>
      </c>
    </row>
    <row r="17" spans="1:18" x14ac:dyDescent="0.2">
      <c r="A17" s="137" t="str">
        <f t="shared" si="0"/>
        <v>2015 / 3</v>
      </c>
      <c r="B17" s="141"/>
      <c r="C17" s="278">
        <f>ROUND('3.2 premium trend'!$G$31,2)</f>
        <v>1664.45</v>
      </c>
      <c r="D17" s="142" t="s">
        <v>123</v>
      </c>
      <c r="E17" s="131" t="s">
        <v>272</v>
      </c>
      <c r="I17" s="143">
        <f>YEAR(I15)-YEAR(I14+1)+(MONTH(I15)-MONTH(I14+1))/12</f>
        <v>2.5</v>
      </c>
      <c r="J17" s="128"/>
      <c r="K17" s="128"/>
      <c r="L17" s="128"/>
      <c r="M17" s="132"/>
      <c r="N17" s="289"/>
      <c r="O17" s="290"/>
      <c r="P17" s="290"/>
      <c r="Q17" s="291"/>
      <c r="R17" s="131">
        <f t="shared" si="1"/>
        <v>2015</v>
      </c>
    </row>
    <row r="18" spans="1:18" ht="10.5" thickBot="1" x14ac:dyDescent="0.25">
      <c r="A18" s="137" t="str">
        <f t="shared" si="0"/>
        <v>2016 / 3</v>
      </c>
      <c r="B18" s="141"/>
      <c r="C18" s="278">
        <f>ROUND('3.2 premium trend'!$G$35,2)</f>
        <v>1667.78</v>
      </c>
      <c r="D18" s="142" t="s">
        <v>122</v>
      </c>
      <c r="E18" s="128" t="s">
        <v>223</v>
      </c>
      <c r="F18" s="128"/>
      <c r="G18" s="128"/>
      <c r="H18" s="128"/>
      <c r="I18" s="151">
        <f>'3.2 premium trend'!$L$58</f>
        <v>1.4771875818603758E-2</v>
      </c>
      <c r="J18" s="128"/>
      <c r="K18" s="128"/>
      <c r="L18" s="128"/>
      <c r="M18" s="132"/>
      <c r="N18" s="292"/>
      <c r="O18" s="293"/>
      <c r="P18" s="293"/>
      <c r="Q18" s="294"/>
      <c r="R18" s="131">
        <f t="shared" si="1"/>
        <v>2016</v>
      </c>
    </row>
    <row r="19" spans="1:18" x14ac:dyDescent="0.2">
      <c r="A19" s="137" t="str">
        <f t="shared" si="0"/>
        <v>2017 / 3</v>
      </c>
      <c r="B19" s="141"/>
      <c r="C19" s="278">
        <f>ROUND('3.2 premium trend'!$G$39,2)</f>
        <v>1656.1</v>
      </c>
      <c r="D19" s="142" t="s">
        <v>121</v>
      </c>
      <c r="E19" s="128" t="s">
        <v>284</v>
      </c>
      <c r="F19" s="128"/>
      <c r="G19" s="128"/>
      <c r="H19" s="128"/>
      <c r="I19" s="151">
        <f>'3.3a'!F28</f>
        <v>1.9E-2</v>
      </c>
      <c r="J19" s="128"/>
      <c r="K19" s="128"/>
      <c r="L19" s="128"/>
      <c r="M19" s="132"/>
      <c r="R19" s="131">
        <f t="shared" si="1"/>
        <v>2017</v>
      </c>
    </row>
    <row r="20" spans="1:18" x14ac:dyDescent="0.2">
      <c r="A20" s="137" t="str">
        <f t="shared" si="0"/>
        <v>2018 / 3</v>
      </c>
      <c r="C20" s="278">
        <f>ROUND('3.2 premium trend'!$G$43,2)</f>
        <v>1660.23</v>
      </c>
      <c r="J20" s="128"/>
      <c r="K20" s="128"/>
      <c r="L20" s="128"/>
      <c r="M20" s="132"/>
      <c r="R20" s="131">
        <f t="shared" si="1"/>
        <v>2018</v>
      </c>
    </row>
    <row r="21" spans="1:18" x14ac:dyDescent="0.2">
      <c r="A21" s="137" t="str">
        <f t="shared" si="0"/>
        <v>2019 / 3</v>
      </c>
      <c r="C21" s="278">
        <f>ROUND('3.2 premium trend'!$G$47,2)</f>
        <v>1686.68</v>
      </c>
      <c r="D21" s="142"/>
      <c r="E21" s="128"/>
      <c r="F21" s="144"/>
      <c r="G21" s="144"/>
      <c r="H21" s="128"/>
      <c r="I21" s="143"/>
      <c r="J21" s="128"/>
      <c r="K21" s="128"/>
      <c r="L21" s="128"/>
      <c r="M21" s="132"/>
      <c r="R21" s="131">
        <f t="shared" si="1"/>
        <v>2019</v>
      </c>
    </row>
    <row r="22" spans="1:18" x14ac:dyDescent="0.2">
      <c r="A22" s="137" t="str">
        <f t="shared" si="0"/>
        <v>2020 / 3</v>
      </c>
      <c r="C22" s="278">
        <f>ROUND('3.2 premium trend'!$G$51,2)</f>
        <v>1700.13</v>
      </c>
      <c r="J22" s="128"/>
      <c r="K22" s="128"/>
      <c r="L22" s="128"/>
      <c r="M22" s="132"/>
      <c r="R22" s="131">
        <f>YEAR(N8)</f>
        <v>2020</v>
      </c>
    </row>
    <row r="23" spans="1:18" x14ac:dyDescent="0.2">
      <c r="J23" s="128"/>
      <c r="K23" s="128"/>
      <c r="L23" s="128"/>
      <c r="M23" s="132"/>
    </row>
    <row r="24" spans="1:18" x14ac:dyDescent="0.2">
      <c r="A24" s="128"/>
      <c r="B24" s="141"/>
      <c r="C24" s="145"/>
      <c r="D24" s="146"/>
      <c r="E24" s="146"/>
      <c r="F24" s="146"/>
      <c r="G24" s="146"/>
      <c r="H24" s="128"/>
      <c r="I24" s="128"/>
      <c r="J24" s="128"/>
      <c r="K24" s="128"/>
      <c r="L24" s="128"/>
      <c r="M24" s="132"/>
    </row>
    <row r="25" spans="1:18" x14ac:dyDescent="0.2">
      <c r="A25" s="128"/>
      <c r="B25" s="128"/>
      <c r="C25" s="134" t="s">
        <v>228</v>
      </c>
      <c r="D25" s="134" t="s">
        <v>228</v>
      </c>
      <c r="E25" s="134" t="s">
        <v>229</v>
      </c>
      <c r="F25" s="134" t="s">
        <v>229</v>
      </c>
      <c r="G25" s="134" t="s">
        <v>38</v>
      </c>
      <c r="H25" s="128"/>
      <c r="I25" s="128"/>
      <c r="J25" s="128"/>
      <c r="K25" s="128"/>
      <c r="L25" s="128"/>
      <c r="M25" s="132"/>
    </row>
    <row r="26" spans="1:18" x14ac:dyDescent="0.2">
      <c r="A26" s="128" t="s">
        <v>53</v>
      </c>
      <c r="B26" s="128"/>
      <c r="C26" s="128" t="s">
        <v>127</v>
      </c>
      <c r="D26" s="128" t="s">
        <v>41</v>
      </c>
      <c r="E26" s="128" t="s">
        <v>127</v>
      </c>
      <c r="F26" s="128" t="s">
        <v>41</v>
      </c>
      <c r="G26" s="128" t="s">
        <v>39</v>
      </c>
      <c r="H26" s="128"/>
      <c r="I26" s="128"/>
      <c r="J26" s="128"/>
      <c r="K26" s="128"/>
      <c r="L26" s="128"/>
      <c r="M26" s="132"/>
    </row>
    <row r="27" spans="1:18" x14ac:dyDescent="0.2">
      <c r="A27" s="136" t="s">
        <v>54</v>
      </c>
      <c r="B27" s="136"/>
      <c r="C27" s="136" t="s">
        <v>39</v>
      </c>
      <c r="D27" s="136" t="s">
        <v>39</v>
      </c>
      <c r="E27" s="136" t="s">
        <v>39</v>
      </c>
      <c r="F27" s="136" t="s">
        <v>39</v>
      </c>
      <c r="G27" s="136" t="s">
        <v>37</v>
      </c>
      <c r="H27" s="128"/>
      <c r="I27" s="128"/>
      <c r="J27" s="128"/>
      <c r="K27" s="128"/>
      <c r="L27" s="128"/>
      <c r="M27" s="132"/>
    </row>
    <row r="28" spans="1:18" x14ac:dyDescent="0.2">
      <c r="A28" s="138" t="s">
        <v>114</v>
      </c>
      <c r="B28" s="139"/>
      <c r="C28" s="138" t="s">
        <v>205</v>
      </c>
      <c r="D28" s="138" t="s">
        <v>273</v>
      </c>
      <c r="E28" s="140" t="s">
        <v>274</v>
      </c>
      <c r="F28" s="140" t="s">
        <v>275</v>
      </c>
      <c r="G28" s="140" t="s">
        <v>206</v>
      </c>
      <c r="H28" s="128"/>
      <c r="I28" s="128"/>
      <c r="J28" s="128"/>
      <c r="K28" s="128"/>
      <c r="L28" s="128"/>
      <c r="M28" s="132"/>
    </row>
    <row r="29" spans="1:18" x14ac:dyDescent="0.2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32"/>
    </row>
    <row r="30" spans="1:18" x14ac:dyDescent="0.2">
      <c r="A30" t="str">
        <f t="shared" ref="A30:A38" si="2">TEXT(A31-1,"#")</f>
        <v>2011</v>
      </c>
      <c r="B30" s="141"/>
      <c r="C30" s="191">
        <f>C31</f>
        <v>1.0624198109462817</v>
      </c>
      <c r="D30" s="143">
        <f>'3.3a'!F14</f>
        <v>1.18</v>
      </c>
      <c r="E30" s="143">
        <f>(1+I$18)^I$16</f>
        <v>1.0373398355814132</v>
      </c>
      <c r="F30" s="143">
        <f t="shared" ref="F30:F39" si="3">(1+I$19)^I$17</f>
        <v>1.048179013375625</v>
      </c>
      <c r="G30" s="143">
        <f>ROUND(PRODUCT(D30,F30)/PRODUCT(C30,E30),3)</f>
        <v>1.1220000000000001</v>
      </c>
      <c r="H30" s="128"/>
      <c r="I30" s="128"/>
      <c r="J30" s="128"/>
      <c r="K30" s="128"/>
      <c r="L30" s="128"/>
      <c r="M30" s="132"/>
    </row>
    <row r="31" spans="1:18" x14ac:dyDescent="0.2">
      <c r="A31" t="str">
        <f t="shared" si="2"/>
        <v>2012</v>
      </c>
      <c r="B31" s="141"/>
      <c r="C31" s="192">
        <f>C$22/C14</f>
        <v>1.0624198109462817</v>
      </c>
      <c r="D31" s="143">
        <f>'3.3a'!F15</f>
        <v>1.157</v>
      </c>
      <c r="E31" s="143">
        <f t="shared" ref="E31:E39" si="4">(1+I$18)^I$16</f>
        <v>1.0373398355814132</v>
      </c>
      <c r="F31" s="143">
        <f t="shared" si="3"/>
        <v>1.048179013375625</v>
      </c>
      <c r="G31" s="143">
        <f t="shared" ref="G31:G38" si="5">ROUND(PRODUCT(D31,F31)/PRODUCT(C31,E31),3)</f>
        <v>1.1000000000000001</v>
      </c>
      <c r="H31" s="128"/>
      <c r="I31" s="128"/>
      <c r="J31" s="128"/>
      <c r="K31" s="128"/>
      <c r="L31" s="128"/>
      <c r="M31" s="132"/>
    </row>
    <row r="32" spans="1:18" x14ac:dyDescent="0.2">
      <c r="A32" t="str">
        <f t="shared" si="2"/>
        <v>2013</v>
      </c>
      <c r="B32" s="128"/>
      <c r="C32" s="192">
        <f t="shared" ref="C32:C38" si="6">C$22/C15</f>
        <v>1.0422380657540629</v>
      </c>
      <c r="D32" s="143">
        <f>'3.3a'!F16</f>
        <v>1.1259999999999999</v>
      </c>
      <c r="E32" s="143">
        <f t="shared" si="4"/>
        <v>1.0373398355814132</v>
      </c>
      <c r="F32" s="143">
        <f t="shared" si="3"/>
        <v>1.048179013375625</v>
      </c>
      <c r="G32" s="143">
        <f t="shared" si="5"/>
        <v>1.0920000000000001</v>
      </c>
      <c r="H32" s="128"/>
      <c r="I32" s="128"/>
      <c r="J32" s="128"/>
      <c r="K32" s="128"/>
      <c r="L32" s="128"/>
      <c r="M32" s="132"/>
    </row>
    <row r="33" spans="1:13" x14ac:dyDescent="0.2">
      <c r="A33" t="str">
        <f t="shared" si="2"/>
        <v>2014</v>
      </c>
      <c r="B33" s="128"/>
      <c r="C33" s="192">
        <f t="shared" si="6"/>
        <v>1.0304130428194793</v>
      </c>
      <c r="D33" s="143">
        <f>'3.3a'!F17</f>
        <v>1.091</v>
      </c>
      <c r="E33" s="143">
        <f t="shared" si="4"/>
        <v>1.0373398355814132</v>
      </c>
      <c r="F33" s="143">
        <f t="shared" si="3"/>
        <v>1.048179013375625</v>
      </c>
      <c r="G33" s="143">
        <f t="shared" si="5"/>
        <v>1.07</v>
      </c>
      <c r="H33" s="128"/>
      <c r="I33" s="128"/>
      <c r="J33" s="128"/>
      <c r="K33" s="128"/>
      <c r="L33" s="128"/>
      <c r="M33" s="132"/>
    </row>
    <row r="34" spans="1:13" x14ac:dyDescent="0.2">
      <c r="A34" t="str">
        <f t="shared" si="2"/>
        <v>2015</v>
      </c>
      <c r="B34" s="128"/>
      <c r="C34" s="192">
        <f t="shared" si="6"/>
        <v>1.0214365105590435</v>
      </c>
      <c r="D34" s="143">
        <f>'3.3a'!F18</f>
        <v>1.0680000000000001</v>
      </c>
      <c r="E34" s="143">
        <f t="shared" si="4"/>
        <v>1.0373398355814132</v>
      </c>
      <c r="F34" s="143">
        <f t="shared" si="3"/>
        <v>1.048179013375625</v>
      </c>
      <c r="G34" s="143">
        <f t="shared" si="5"/>
        <v>1.0569999999999999</v>
      </c>
      <c r="H34" s="128"/>
      <c r="I34" s="128"/>
      <c r="J34" s="128"/>
      <c r="K34" s="128"/>
      <c r="L34" s="128"/>
      <c r="M34" s="132"/>
    </row>
    <row r="35" spans="1:13" x14ac:dyDescent="0.2">
      <c r="A35" t="str">
        <f t="shared" si="2"/>
        <v>2016</v>
      </c>
      <c r="B35" s="128"/>
      <c r="C35" s="192">
        <f t="shared" si="6"/>
        <v>1.0193970427754262</v>
      </c>
      <c r="D35" s="143">
        <f>'3.3a'!F19</f>
        <v>1.07</v>
      </c>
      <c r="E35" s="143">
        <f t="shared" si="4"/>
        <v>1.0373398355814132</v>
      </c>
      <c r="F35" s="143">
        <f t="shared" si="3"/>
        <v>1.048179013375625</v>
      </c>
      <c r="G35" s="143">
        <f t="shared" si="5"/>
        <v>1.0609999999999999</v>
      </c>
      <c r="H35" s="128"/>
      <c r="I35" s="128"/>
      <c r="J35" s="128"/>
      <c r="K35" s="128"/>
      <c r="L35" s="128"/>
      <c r="M35" s="132"/>
    </row>
    <row r="36" spans="1:13" x14ac:dyDescent="0.2">
      <c r="A36" t="str">
        <f t="shared" si="2"/>
        <v>2017</v>
      </c>
      <c r="B36" s="128"/>
      <c r="C36" s="192">
        <f t="shared" si="6"/>
        <v>1.0265865587826823</v>
      </c>
      <c r="D36" s="143">
        <f>'3.3a'!F20</f>
        <v>1.0589999999999999</v>
      </c>
      <c r="E36" s="143">
        <f t="shared" si="4"/>
        <v>1.0373398355814132</v>
      </c>
      <c r="F36" s="143">
        <f t="shared" si="3"/>
        <v>1.048179013375625</v>
      </c>
      <c r="G36" s="143">
        <f t="shared" si="5"/>
        <v>1.042</v>
      </c>
      <c r="H36" s="128"/>
      <c r="I36" s="128"/>
      <c r="J36" s="128"/>
      <c r="K36" s="128"/>
      <c r="L36" s="128"/>
      <c r="M36" s="132"/>
    </row>
    <row r="37" spans="1:13" x14ac:dyDescent="0.2">
      <c r="A37" t="str">
        <f t="shared" si="2"/>
        <v>2018</v>
      </c>
      <c r="B37" s="128"/>
      <c r="C37" s="192">
        <f t="shared" si="6"/>
        <v>1.0240328147304891</v>
      </c>
      <c r="D37" s="143">
        <f>'3.3a'!F21</f>
        <v>1.026</v>
      </c>
      <c r="E37" s="143">
        <f t="shared" si="4"/>
        <v>1.0373398355814132</v>
      </c>
      <c r="F37" s="143">
        <f t="shared" si="3"/>
        <v>1.048179013375625</v>
      </c>
      <c r="G37" s="143">
        <f>ROUND(PRODUCT(D37,F37)/PRODUCT(C37,E37),3)</f>
        <v>1.012</v>
      </c>
      <c r="H37" s="128"/>
      <c r="I37" s="128"/>
      <c r="J37" s="128"/>
      <c r="K37" s="128"/>
      <c r="L37" s="128"/>
      <c r="M37" s="132"/>
    </row>
    <row r="38" spans="1:13" x14ac:dyDescent="0.2">
      <c r="A38" t="str">
        <f t="shared" si="2"/>
        <v>2019</v>
      </c>
      <c r="B38" s="128"/>
      <c r="C38" s="192">
        <f t="shared" si="6"/>
        <v>1.0079742452628833</v>
      </c>
      <c r="D38" s="143">
        <f>'3.3a'!F22</f>
        <v>0.997</v>
      </c>
      <c r="E38" s="143">
        <f t="shared" si="4"/>
        <v>1.0373398355814132</v>
      </c>
      <c r="F38" s="143">
        <f t="shared" si="3"/>
        <v>1.048179013375625</v>
      </c>
      <c r="G38" s="143">
        <f t="shared" si="5"/>
        <v>0.999</v>
      </c>
      <c r="H38" s="128"/>
      <c r="I38" s="128"/>
      <c r="J38" s="128"/>
      <c r="K38" s="128"/>
      <c r="L38" s="128"/>
      <c r="M38" s="132"/>
    </row>
    <row r="39" spans="1:13" x14ac:dyDescent="0.2">
      <c r="A39" s="50" t="str">
        <f>TEXT(YEAR($N$8),"#")</f>
        <v>2020</v>
      </c>
      <c r="B39" s="128"/>
      <c r="C39" s="192">
        <f>C$22/C22</f>
        <v>1</v>
      </c>
      <c r="D39" s="143">
        <f>'3.3a'!F23</f>
        <v>1</v>
      </c>
      <c r="E39" s="143">
        <f t="shared" si="4"/>
        <v>1.0373398355814132</v>
      </c>
      <c r="F39" s="143">
        <f t="shared" si="3"/>
        <v>1.048179013375625</v>
      </c>
      <c r="G39" s="143">
        <f>ROUND(PRODUCT(D39,F39)/PRODUCT(C39,E39),3)</f>
        <v>1.01</v>
      </c>
      <c r="H39" s="128"/>
      <c r="I39" s="128"/>
      <c r="J39" s="128"/>
      <c r="K39" s="128"/>
      <c r="L39" s="128"/>
      <c r="M39" s="132"/>
    </row>
    <row r="40" spans="1:13" ht="10.5" thickBot="1" x14ac:dyDescent="0.25">
      <c r="A40" s="135"/>
      <c r="B40" s="135"/>
      <c r="C40" s="196"/>
      <c r="D40" s="196"/>
      <c r="E40" s="196"/>
      <c r="F40" s="196"/>
      <c r="G40" s="196"/>
      <c r="H40" s="135"/>
      <c r="I40" s="135"/>
      <c r="J40" s="128"/>
      <c r="K40" s="128"/>
      <c r="L40" s="128"/>
      <c r="M40" s="132"/>
    </row>
    <row r="41" spans="1:13" ht="10.5" thickTop="1" x14ac:dyDescent="0.2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32"/>
    </row>
    <row r="42" spans="1:13" x14ac:dyDescent="0.2">
      <c r="A42" s="128" t="s">
        <v>17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32"/>
    </row>
    <row r="43" spans="1:13" x14ac:dyDescent="0.2">
      <c r="A43" s="128"/>
      <c r="B43" s="134" t="str">
        <f>C12&amp;" "&amp;'3.2 premium trend'!$L$1&amp;", "&amp;'3.2 premium trend'!$L$2&amp;" "&amp;'3.2 premium trend'!$G$12</f>
        <v>(2) Exhibit 3, Sheet 2 (6)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32"/>
    </row>
    <row r="44" spans="1:13" x14ac:dyDescent="0.2">
      <c r="A44" s="128"/>
      <c r="B44" s="128" t="str">
        <f>D13&amp;" Latest Year / Quarter Ending Date - 6 Months"</f>
        <v>(3) Latest Year / Quarter Ending Date - 6 Months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32"/>
    </row>
    <row r="45" spans="1:13" x14ac:dyDescent="0.2">
      <c r="A45" s="128"/>
      <c r="B45" s="128" t="str">
        <f>D14&amp;" Latest Accident Year Ending Date - 6 Months"</f>
        <v>(4) Latest Accident Year Ending Date - 6 Months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32"/>
    </row>
    <row r="46" spans="1:13" x14ac:dyDescent="0.2">
      <c r="A46" s="128"/>
      <c r="B46" s="128" t="str">
        <f>D15&amp;" Rate Effective Date + 12 Months"</f>
        <v>(5) Rate Effective Date + 12 Months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32"/>
    </row>
    <row r="47" spans="1:13" x14ac:dyDescent="0.2">
      <c r="A47" s="128"/>
      <c r="B47" s="128" t="str">
        <f>D16&amp;" = "&amp;D15&amp;" - "&amp;D13</f>
        <v>(6) = (5) - (3)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32"/>
    </row>
    <row r="48" spans="1:13" x14ac:dyDescent="0.2">
      <c r="A48" s="128"/>
      <c r="B48" s="128" t="str">
        <f>D17&amp;" = "&amp;D15&amp;" - "&amp;D14</f>
        <v>(7) = (5) - (4)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32"/>
    </row>
    <row r="49" spans="1:13" x14ac:dyDescent="0.2">
      <c r="A49" s="128"/>
      <c r="B49" s="134" t="str">
        <f>D18&amp;" "&amp;'3.2 premium trend'!$L$1&amp;", "&amp;'3.2 premium trend'!$L$2</f>
        <v>(8) Exhibit 3, Sheet 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32"/>
    </row>
    <row r="50" spans="1:13" x14ac:dyDescent="0.2">
      <c r="A50" s="128"/>
      <c r="B50" s="134" t="str">
        <f>D19&amp;" "&amp;'3.3a'!$L$1&amp;", "&amp;'3.3a'!$L$2</f>
        <v>(9) Exhibit 3, Sheet 3a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32"/>
    </row>
    <row r="51" spans="1:13" x14ac:dyDescent="0.2">
      <c r="A51" s="128"/>
      <c r="B51" s="156" t="str">
        <f>C28&amp;" = "&amp;C12&amp;" Indexed to "&amp;A22</f>
        <v>(11) = (2) Indexed to 2020 / 3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32"/>
    </row>
    <row r="52" spans="1:13" x14ac:dyDescent="0.2">
      <c r="A52" s="128"/>
      <c r="B52" s="134" t="str">
        <f>D28&amp;" "&amp;'3.3a'!$L$1&amp;", "&amp;'3.3a'!$L$2</f>
        <v>(12) Exhibit 3, Sheet 3a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32"/>
    </row>
    <row r="53" spans="1:13" x14ac:dyDescent="0.2">
      <c r="A53" s="128"/>
      <c r="B53" s="128" t="str">
        <f>E28&amp;" = [1 + "&amp;D18&amp;"] ^ "&amp;D16</f>
        <v>(13) = [1 + (8)] ^ (6)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32"/>
    </row>
    <row r="54" spans="1:13" x14ac:dyDescent="0.2">
      <c r="A54" s="128"/>
      <c r="B54" s="128" t="str">
        <f>F28&amp;" = [1 + "&amp;D19&amp;"] ^ "&amp;D17</f>
        <v>(14) = [1 + (9)] ^ (7)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32"/>
    </row>
    <row r="55" spans="1:13" x14ac:dyDescent="0.2">
      <c r="A55" s="128"/>
      <c r="B55" s="128" t="str">
        <f>G28&amp;" = ["&amp;D28&amp;" * "&amp;F28&amp;"] / ["&amp;C28&amp;" * "&amp;E28&amp;"]"</f>
        <v>(15) = [(12) * (14)] / [(11) * (13)]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32"/>
    </row>
    <row r="56" spans="1:13" x14ac:dyDescent="0.2">
      <c r="A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32"/>
    </row>
    <row r="57" spans="1:13" x14ac:dyDescent="0.2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32"/>
    </row>
    <row r="58" spans="1:13" x14ac:dyDescent="0.2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32"/>
    </row>
    <row r="59" spans="1:13" x14ac:dyDescent="0.2">
      <c r="A59" s="128"/>
      <c r="B59" s="128"/>
      <c r="C59" s="147"/>
      <c r="D59" s="128"/>
      <c r="E59" s="128"/>
      <c r="F59" s="147"/>
      <c r="G59" s="147"/>
      <c r="H59" s="128"/>
      <c r="I59" s="128"/>
      <c r="J59" s="128"/>
      <c r="K59" s="128"/>
      <c r="L59" s="128"/>
      <c r="M59" s="132"/>
    </row>
    <row r="60" spans="1:13" x14ac:dyDescent="0.2">
      <c r="A60" s="128"/>
      <c r="B60" s="141"/>
      <c r="C60" s="157"/>
      <c r="J60" s="128"/>
      <c r="K60" s="128"/>
      <c r="L60" s="128"/>
      <c r="M60" s="132"/>
    </row>
    <row r="61" spans="1:13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32"/>
    </row>
    <row r="62" spans="1:13" x14ac:dyDescent="0.2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32"/>
    </row>
    <row r="63" spans="1:13" ht="10.5" thickBot="1" x14ac:dyDescent="0.2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32"/>
    </row>
    <row r="64" spans="1:13" ht="10.5" thickBot="1" x14ac:dyDescent="0.25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50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2D050"/>
  </sheetPr>
  <dimension ref="A1:O51"/>
  <sheetViews>
    <sheetView showGridLines="0" topLeftCell="A40" workbookViewId="0">
      <selection activeCell="E47" sqref="E47"/>
    </sheetView>
  </sheetViews>
  <sheetFormatPr defaultColWidth="11.33203125" defaultRowHeight="10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4" ht="10.5" x14ac:dyDescent="0.25">
      <c r="A1" s="8" t="str">
        <f>'1'!$A$1</f>
        <v>Texas Windstorm Insurance Association</v>
      </c>
      <c r="B1" s="12"/>
      <c r="L1" s="7" t="s">
        <v>67</v>
      </c>
      <c r="M1" s="1"/>
    </row>
    <row r="2" spans="1:14" ht="10.5" x14ac:dyDescent="0.25">
      <c r="A2" s="8" t="str">
        <f>'1'!$A$2</f>
        <v>Residential Property - Wind &amp; Hail</v>
      </c>
      <c r="B2" s="12"/>
      <c r="L2" s="7" t="s">
        <v>21</v>
      </c>
      <c r="M2" s="2"/>
    </row>
    <row r="3" spans="1:14" ht="10.5" x14ac:dyDescent="0.25">
      <c r="A3" s="8" t="str">
        <f>'1'!$A$3</f>
        <v>Rate Level Review</v>
      </c>
      <c r="B3" s="12"/>
      <c r="M3" s="2"/>
    </row>
    <row r="4" spans="1:14" x14ac:dyDescent="0.2">
      <c r="A4" t="s">
        <v>65</v>
      </c>
      <c r="B4" s="12"/>
      <c r="M4" s="2"/>
    </row>
    <row r="5" spans="1:14" x14ac:dyDescent="0.2">
      <c r="A5" t="s">
        <v>66</v>
      </c>
      <c r="B5" s="12"/>
      <c r="M5" s="2"/>
    </row>
    <row r="6" spans="1:14" x14ac:dyDescent="0.2">
      <c r="M6" s="2"/>
    </row>
    <row r="7" spans="1:14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0.5" thickTop="1" x14ac:dyDescent="0.2">
      <c r="M8" s="2"/>
    </row>
    <row r="9" spans="1:14" x14ac:dyDescent="0.2">
      <c r="C9" s="24" t="s">
        <v>68</v>
      </c>
      <c r="M9" s="2"/>
      <c r="N9" s="27"/>
    </row>
    <row r="10" spans="1:14" x14ac:dyDescent="0.2">
      <c r="A10" t="s">
        <v>53</v>
      </c>
      <c r="M10" s="2"/>
      <c r="N10" t="s">
        <v>69</v>
      </c>
    </row>
    <row r="11" spans="1:14" x14ac:dyDescent="0.2">
      <c r="A11" s="9" t="s">
        <v>54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88">
        <f>(YEAR($O$23)-YEAR($N$23)+1)*12+MONTH($O$23)-MONTH($N$23)</f>
        <v>15</v>
      </c>
    </row>
    <row r="12" spans="1:14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4" x14ac:dyDescent="0.2">
      <c r="M13" s="2"/>
    </row>
    <row r="14" spans="1:14" x14ac:dyDescent="0.2">
      <c r="A14" t="str">
        <f t="shared" ref="A14:A22" si="2">TEXT(A15-1,"#")</f>
        <v>2011</v>
      </c>
      <c r="B14" s="25"/>
      <c r="C14" s="182">
        <f>ROUND('[4]EC LDF'!B$41/1000,0)</f>
        <v>137269</v>
      </c>
      <c r="D14" s="182">
        <f>ROUND('[4]EC LDF'!C$41/1000,0)</f>
        <v>154006</v>
      </c>
      <c r="E14" s="182">
        <f>ROUND('[4]EC LDF'!D$41/1000,0)</f>
        <v>156583</v>
      </c>
      <c r="F14" s="182">
        <f>ROUND('[4]EC LDF'!E$41/1000,0)</f>
        <v>157456</v>
      </c>
      <c r="G14" s="182">
        <f>ROUND('[4]EC LDF'!F$41/1000,0)</f>
        <v>157929</v>
      </c>
      <c r="H14" s="182">
        <f>ROUND('[4]EC LDF'!G$41/1000,0)</f>
        <v>157995</v>
      </c>
      <c r="I14" s="182">
        <f>ROUND('[4]EC LDF'!H$41/1000,0)</f>
        <v>158032</v>
      </c>
      <c r="J14" s="182">
        <f>ROUND('[4]EC LDF'!I$41/1000,0)</f>
        <v>158046</v>
      </c>
      <c r="K14" s="182">
        <f>ROUND('[4]EC LDF'!J$41/1000,0)</f>
        <v>158071</v>
      </c>
      <c r="L14" s="90"/>
      <c r="M14" s="2"/>
    </row>
    <row r="15" spans="1:14" x14ac:dyDescent="0.2">
      <c r="A15" t="str">
        <f t="shared" si="2"/>
        <v>2012</v>
      </c>
      <c r="B15" s="25"/>
      <c r="C15" s="182">
        <f>ROUND('[4]EC LDF'!B$45/1000,0)</f>
        <v>162844</v>
      </c>
      <c r="D15" s="182">
        <f>ROUND('[4]EC LDF'!C$45/1000,0)</f>
        <v>196788</v>
      </c>
      <c r="E15" s="182">
        <f>ROUND('[4]EC LDF'!D$45/1000,0)</f>
        <v>232373</v>
      </c>
      <c r="F15" s="182">
        <f>ROUND('[4]EC LDF'!E$45/1000,0)</f>
        <v>242523</v>
      </c>
      <c r="G15" s="182">
        <f>ROUND('[4]EC LDF'!F$45/1000,0)</f>
        <v>245227</v>
      </c>
      <c r="H15" s="182">
        <f>ROUND('[4]EC LDF'!G$45/1000,0)</f>
        <v>246785</v>
      </c>
      <c r="I15" s="182">
        <f>ROUND('[4]EC LDF'!H$45/1000,0)</f>
        <v>247419</v>
      </c>
      <c r="J15" s="182">
        <f>ROUND('[4]EC LDF'!I$45/1000,0)</f>
        <v>247577</v>
      </c>
      <c r="K15" s="182">
        <f>ROUND('[4]EC LDF'!J$45/1000,0)</f>
        <v>247574</v>
      </c>
      <c r="L15" s="90"/>
      <c r="M15" s="2"/>
    </row>
    <row r="16" spans="1:14" x14ac:dyDescent="0.2">
      <c r="A16" t="str">
        <f t="shared" si="2"/>
        <v>2013</v>
      </c>
      <c r="B16" s="25"/>
      <c r="C16" s="182">
        <f>ROUND('[4]EC LDF'!B$49/1000,0)</f>
        <v>124050</v>
      </c>
      <c r="D16" s="182">
        <f>ROUND('[4]EC LDF'!C$49/1000,0)</f>
        <v>143359</v>
      </c>
      <c r="E16" s="182">
        <f>ROUND('[4]EC LDF'!D$49/1000,0)</f>
        <v>151995</v>
      </c>
      <c r="F16" s="182">
        <f>ROUND('[4]EC LDF'!E$49/1000,0)</f>
        <v>154466</v>
      </c>
      <c r="G16" s="182">
        <f>ROUND('[4]EC LDF'!F$49/1000,0)</f>
        <v>156218</v>
      </c>
      <c r="H16" s="182">
        <f>ROUND('[4]EC LDF'!G$49/1000,0)</f>
        <v>156541</v>
      </c>
      <c r="I16" s="182">
        <f>ROUND('[4]EC LDF'!H$49/1000,0)</f>
        <v>156580</v>
      </c>
      <c r="J16" s="182">
        <f>ROUND('[4]EC LDF'!I$49/1000,0)</f>
        <v>156628</v>
      </c>
      <c r="K16" s="182"/>
      <c r="L16" s="90"/>
      <c r="M16" s="2"/>
    </row>
    <row r="17" spans="1:15" x14ac:dyDescent="0.2">
      <c r="A17" t="str">
        <f>TEXT(A18-1,"#")</f>
        <v>2014</v>
      </c>
      <c r="B17" s="25"/>
      <c r="C17" s="182">
        <f>ROUND('[4]EC LDF'!B$53/1000,0)</f>
        <v>151510</v>
      </c>
      <c r="D17" s="182">
        <f>ROUND('[4]EC LDF'!C$53/1000,0)</f>
        <v>178253</v>
      </c>
      <c r="E17" s="182">
        <f>ROUND('[4]EC LDF'!D$53/1000,0)</f>
        <v>187490</v>
      </c>
      <c r="F17" s="182">
        <f>ROUND('[4]EC LDF'!E$53/1000,0)</f>
        <v>191068</v>
      </c>
      <c r="G17" s="182">
        <f>ROUND('[4]EC LDF'!F$53/1000,0)</f>
        <v>191825</v>
      </c>
      <c r="H17" s="182">
        <f>ROUND('[4]EC LDF'!G$53/1000,0)</f>
        <v>192297</v>
      </c>
      <c r="I17" s="182">
        <f>ROUND('[4]EC LDF'!H$53/1000,0)</f>
        <v>192389</v>
      </c>
      <c r="J17" s="182"/>
      <c r="K17" s="182"/>
      <c r="L17" s="90"/>
      <c r="M17" s="2"/>
    </row>
    <row r="18" spans="1:15" x14ac:dyDescent="0.2">
      <c r="A18" t="str">
        <f t="shared" si="2"/>
        <v>2015</v>
      </c>
      <c r="B18" s="25"/>
      <c r="C18" s="182">
        <f>ROUND('[4]EC LDF'!B$57/1000,0)</f>
        <v>173851</v>
      </c>
      <c r="D18" s="182">
        <f>ROUND('[4]EC LDF'!C$57/1000,0)</f>
        <v>200069</v>
      </c>
      <c r="E18" s="182">
        <f>ROUND('[4]EC LDF'!D$57/1000,0)</f>
        <v>206343</v>
      </c>
      <c r="F18" s="182">
        <f>ROUND('[4]EC LDF'!E$57/1000,0)</f>
        <v>208327</v>
      </c>
      <c r="G18" s="182">
        <f>ROUND('[4]EC LDF'!F$57/1000,0)</f>
        <v>209063</v>
      </c>
      <c r="H18" s="182">
        <f>ROUND('[4]EC LDF'!G$57/1000,0)</f>
        <v>209156</v>
      </c>
      <c r="I18" s="182"/>
      <c r="J18" s="182"/>
      <c r="K18" s="182"/>
      <c r="L18" s="90"/>
      <c r="M18" s="2"/>
    </row>
    <row r="19" spans="1:15" x14ac:dyDescent="0.2">
      <c r="A19" t="str">
        <f t="shared" si="2"/>
        <v>2016</v>
      </c>
      <c r="B19" s="25"/>
      <c r="C19" s="182">
        <f>ROUND('[4]EC LDF'!B$61/1000,0)</f>
        <v>486124</v>
      </c>
      <c r="D19" s="182">
        <f>ROUND('[4]EC LDF'!C$61/1000,0)</f>
        <v>553332</v>
      </c>
      <c r="E19" s="182">
        <f>ROUND('[4]EC LDF'!D$61/1000,0)</f>
        <v>561570</v>
      </c>
      <c r="F19" s="182">
        <f>ROUND('[4]EC LDF'!E$61/1000,0)</f>
        <v>563809</v>
      </c>
      <c r="G19" s="182">
        <f>ROUND('[4]EC LDF'!F$61/1000,0)</f>
        <v>564583</v>
      </c>
      <c r="H19" s="182"/>
      <c r="I19" s="182"/>
      <c r="J19" s="182"/>
      <c r="K19" s="182"/>
      <c r="L19" s="90"/>
      <c r="M19" s="2"/>
    </row>
    <row r="20" spans="1:15" x14ac:dyDescent="0.2">
      <c r="A20" t="str">
        <f t="shared" si="2"/>
        <v>2017</v>
      </c>
      <c r="B20" s="25"/>
      <c r="C20" s="182">
        <f>ROUND('[4]EC LDF'!B$65/1000,0)</f>
        <v>634033</v>
      </c>
      <c r="D20" s="182">
        <f>ROUND('[4]EC LDF'!C$65/1000,0)</f>
        <v>775472</v>
      </c>
      <c r="E20" s="182">
        <f>ROUND('[4]EC LDF'!D$65/1000,0)</f>
        <v>803501</v>
      </c>
      <c r="F20" s="182">
        <f>ROUND('[4]EC LDF'!E$65/1000,0)</f>
        <v>815757</v>
      </c>
      <c r="G20" s="182"/>
      <c r="H20" s="182"/>
      <c r="I20" s="182"/>
      <c r="J20" s="182"/>
      <c r="K20" s="182"/>
      <c r="L20" s="90"/>
      <c r="M20" s="2"/>
    </row>
    <row r="21" spans="1:15" x14ac:dyDescent="0.2">
      <c r="A21" t="str">
        <f t="shared" si="2"/>
        <v>2018</v>
      </c>
      <c r="B21" s="25"/>
      <c r="C21" s="182">
        <f>ROUND('[4]EC LDF'!B$69/1000,0)</f>
        <v>181011</v>
      </c>
      <c r="D21" s="182">
        <f>ROUND('[4]EC LDF'!C$69/1000,0)</f>
        <v>217042</v>
      </c>
      <c r="E21" s="182">
        <f>ROUND('[4]EC LDF'!D$69/1000,0)</f>
        <v>220050</v>
      </c>
      <c r="F21" s="182"/>
      <c r="G21" s="182"/>
      <c r="H21" s="182"/>
      <c r="I21" s="182"/>
      <c r="J21" s="182"/>
      <c r="K21" s="182"/>
      <c r="L21" s="90"/>
      <c r="M21" s="2"/>
    </row>
    <row r="22" spans="1:15" x14ac:dyDescent="0.2">
      <c r="A22" t="str">
        <f t="shared" si="2"/>
        <v>2019</v>
      </c>
      <c r="B22" s="25"/>
      <c r="C22" s="182">
        <f>ROUND('[4]EC LDF'!B73/1000,0)</f>
        <v>276104</v>
      </c>
      <c r="D22" s="182">
        <f>ROUND('[4]EC LDF'!C73/1000,0)</f>
        <v>316560</v>
      </c>
      <c r="E22" s="182"/>
      <c r="F22" s="182"/>
      <c r="G22" s="182"/>
      <c r="H22" s="182"/>
      <c r="I22" s="182"/>
      <c r="J22" s="182"/>
      <c r="K22" s="182"/>
      <c r="L22" s="90"/>
      <c r="M22" s="2"/>
      <c r="N22" t="s">
        <v>217</v>
      </c>
      <c r="O22" t="s">
        <v>218</v>
      </c>
    </row>
    <row r="23" spans="1:15" x14ac:dyDescent="0.2">
      <c r="A23" t="str">
        <f>TEXT(YEAR($N$23),"#")</f>
        <v>2020</v>
      </c>
      <c r="B23" s="25"/>
      <c r="C23" s="182">
        <f>ROUND('[4]EC LDF'!$B$77/1000,0)</f>
        <v>322634</v>
      </c>
      <c r="D23" s="182"/>
      <c r="E23" s="182"/>
      <c r="F23" s="182"/>
      <c r="G23" s="182"/>
      <c r="H23" s="182"/>
      <c r="I23" s="182"/>
      <c r="J23" s="182"/>
      <c r="K23" s="182"/>
      <c r="L23" s="90"/>
      <c r="M23" s="2"/>
      <c r="N23" s="82">
        <f>'[4]EC LDF'!$B$1</f>
        <v>44104</v>
      </c>
      <c r="O23" s="82">
        <f>'[4]EC LDF'!$B$2</f>
        <v>44196</v>
      </c>
    </row>
    <row r="24" spans="1:15" x14ac:dyDescent="0.2">
      <c r="A24" s="9"/>
      <c r="B24" s="26"/>
      <c r="C24" s="91"/>
      <c r="D24" s="91"/>
      <c r="E24" s="91"/>
      <c r="F24" s="91"/>
      <c r="G24" s="91"/>
      <c r="H24" s="91"/>
      <c r="I24" s="91"/>
      <c r="J24" s="91"/>
      <c r="K24" s="91"/>
      <c r="L24" s="90"/>
      <c r="M24" s="2"/>
    </row>
    <row r="25" spans="1:15" x14ac:dyDescent="0.2">
      <c r="M25" s="2"/>
    </row>
    <row r="26" spans="1:15" x14ac:dyDescent="0.2">
      <c r="C26" s="24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2011</v>
      </c>
      <c r="B31" s="25"/>
      <c r="C31" s="39">
        <f>IF(ISNUMBER(D14),D14/C14,"")</f>
        <v>1.1219284762036585</v>
      </c>
      <c r="D31" s="39">
        <f t="shared" ref="D31:J31" si="6">IF(ISNUMBER(E14),E14/D14,"")</f>
        <v>1.0167331142942482</v>
      </c>
      <c r="E31" s="39">
        <f t="shared" si="6"/>
        <v>1.0055753178825289</v>
      </c>
      <c r="F31" s="39">
        <f t="shared" si="6"/>
        <v>1.0030040138197338</v>
      </c>
      <c r="G31" s="39">
        <f t="shared" si="6"/>
        <v>1.0004179093136789</v>
      </c>
      <c r="H31" s="39">
        <f t="shared" si="6"/>
        <v>1.0002341846260958</v>
      </c>
      <c r="I31" s="39">
        <f t="shared" si="6"/>
        <v>1.0000885896527285</v>
      </c>
      <c r="J31" s="39">
        <f t="shared" si="6"/>
        <v>1.0001581817951735</v>
      </c>
      <c r="K31" s="39" t="str">
        <f t="shared" ref="K31:K39" si="7">IF(ISNUMBER(M14),M14/K14,"")</f>
        <v/>
      </c>
      <c r="L31" s="39"/>
      <c r="M31" s="2"/>
    </row>
    <row r="32" spans="1:15" x14ac:dyDescent="0.2">
      <c r="A32" t="str">
        <f t="shared" si="5"/>
        <v>2012</v>
      </c>
      <c r="B32" s="25"/>
      <c r="C32" s="39">
        <f t="shared" ref="C32:J32" si="8">IF(ISNUMBER(D15),D15/C15,"")</f>
        <v>1.2084448920439192</v>
      </c>
      <c r="D32" s="39">
        <f t="shared" si="8"/>
        <v>1.1808291155964794</v>
      </c>
      <c r="E32" s="39">
        <f t="shared" si="8"/>
        <v>1.0436797734676575</v>
      </c>
      <c r="F32" s="39">
        <f t="shared" si="8"/>
        <v>1.0111494579895515</v>
      </c>
      <c r="G32" s="39">
        <f t="shared" si="8"/>
        <v>1.006353297149172</v>
      </c>
      <c r="H32" s="39">
        <f t="shared" si="8"/>
        <v>1.002569037826448</v>
      </c>
      <c r="I32" s="39">
        <f t="shared" si="8"/>
        <v>1.0006385928324018</v>
      </c>
      <c r="J32" s="39">
        <f t="shared" si="8"/>
        <v>0.99998788255774973</v>
      </c>
      <c r="K32" s="39" t="str">
        <f t="shared" si="7"/>
        <v/>
      </c>
      <c r="L32" s="39"/>
      <c r="M32" s="2"/>
    </row>
    <row r="33" spans="1:13" x14ac:dyDescent="0.2">
      <c r="A33" t="str">
        <f t="shared" si="5"/>
        <v>2013</v>
      </c>
      <c r="B33" s="25"/>
      <c r="C33" s="39">
        <f t="shared" ref="C33:J33" si="9">IF(ISNUMBER(D16),D16/C16,"")</f>
        <v>1.1556549778315195</v>
      </c>
      <c r="D33" s="39">
        <f t="shared" si="9"/>
        <v>1.0602403755606553</v>
      </c>
      <c r="E33" s="39">
        <f t="shared" si="9"/>
        <v>1.016257113720846</v>
      </c>
      <c r="F33" s="39">
        <f t="shared" si="9"/>
        <v>1.0113423018657828</v>
      </c>
      <c r="G33" s="39">
        <f t="shared" si="9"/>
        <v>1.0020676234492825</v>
      </c>
      <c r="H33" s="39">
        <f t="shared" si="9"/>
        <v>1.0002491360090966</v>
      </c>
      <c r="I33" s="39">
        <f t="shared" si="9"/>
        <v>1.0003065525609911</v>
      </c>
      <c r="J33" s="39" t="str">
        <f t="shared" si="9"/>
        <v/>
      </c>
      <c r="K33" s="39" t="str">
        <f t="shared" si="7"/>
        <v/>
      </c>
      <c r="L33" s="39"/>
      <c r="M33" s="2"/>
    </row>
    <row r="34" spans="1:13" x14ac:dyDescent="0.2">
      <c r="A34" t="str">
        <f t="shared" si="5"/>
        <v>2014</v>
      </c>
      <c r="B34" s="25"/>
      <c r="C34" s="39">
        <f t="shared" ref="C34:J34" si="10">IF(ISNUMBER(D17),D17/C17,"")</f>
        <v>1.1765098013332453</v>
      </c>
      <c r="D34" s="39">
        <f t="shared" si="10"/>
        <v>1.0518196047191353</v>
      </c>
      <c r="E34" s="39">
        <f t="shared" si="10"/>
        <v>1.0190836844631714</v>
      </c>
      <c r="F34" s="39">
        <f t="shared" si="10"/>
        <v>1.0039619402516382</v>
      </c>
      <c r="G34" s="39">
        <f t="shared" si="10"/>
        <v>1.0024605760458751</v>
      </c>
      <c r="H34" s="39">
        <f t="shared" si="10"/>
        <v>1.0004784266005189</v>
      </c>
      <c r="I34" s="39" t="str">
        <f t="shared" si="10"/>
        <v/>
      </c>
      <c r="J34" s="39" t="str">
        <f t="shared" si="10"/>
        <v/>
      </c>
      <c r="K34" s="39" t="str">
        <f t="shared" si="7"/>
        <v/>
      </c>
      <c r="L34" s="39"/>
      <c r="M34" s="2"/>
    </row>
    <row r="35" spans="1:13" x14ac:dyDescent="0.2">
      <c r="A35" t="str">
        <f t="shared" si="5"/>
        <v>2015</v>
      </c>
      <c r="B35" s="25"/>
      <c r="C35" s="39">
        <f t="shared" ref="C35:J35" si="11">IF(ISNUMBER(D18),D18/C18,"")</f>
        <v>1.150807300504455</v>
      </c>
      <c r="D35" s="39">
        <f t="shared" si="11"/>
        <v>1.0313591810825264</v>
      </c>
      <c r="E35" s="39">
        <f t="shared" si="11"/>
        <v>1.0096150584221417</v>
      </c>
      <c r="F35" s="39">
        <f t="shared" si="11"/>
        <v>1.0035329074003849</v>
      </c>
      <c r="G35" s="39">
        <f t="shared" si="11"/>
        <v>1.0004448419854302</v>
      </c>
      <c r="H35" s="39" t="str">
        <f t="shared" si="11"/>
        <v/>
      </c>
      <c r="I35" s="39" t="str">
        <f t="shared" si="11"/>
        <v/>
      </c>
      <c r="J35" s="39" t="str">
        <f t="shared" si="11"/>
        <v/>
      </c>
      <c r="K35" s="39" t="str">
        <f t="shared" si="7"/>
        <v/>
      </c>
      <c r="L35" s="39"/>
      <c r="M35" s="2"/>
    </row>
    <row r="36" spans="1:13" x14ac:dyDescent="0.2">
      <c r="A36" t="str">
        <f t="shared" si="5"/>
        <v>2016</v>
      </c>
      <c r="B36" s="25"/>
      <c r="C36" s="39">
        <f t="shared" ref="C36:J36" si="12">IF(ISNUMBER(D19),D19/C19,"")</f>
        <v>1.1382527914688434</v>
      </c>
      <c r="D36" s="39">
        <f t="shared" si="12"/>
        <v>1.0148879876818979</v>
      </c>
      <c r="E36" s="39">
        <f t="shared" si="12"/>
        <v>1.003987036344534</v>
      </c>
      <c r="F36" s="39">
        <f t="shared" si="12"/>
        <v>1.0013728053294644</v>
      </c>
      <c r="G36" s="39" t="str">
        <f t="shared" si="12"/>
        <v/>
      </c>
      <c r="H36" s="39" t="str">
        <f t="shared" si="12"/>
        <v/>
      </c>
      <c r="I36" s="39" t="str">
        <f t="shared" si="12"/>
        <v/>
      </c>
      <c r="J36" s="39" t="str">
        <f t="shared" si="12"/>
        <v/>
      </c>
      <c r="K36" s="39" t="str">
        <f t="shared" si="7"/>
        <v/>
      </c>
      <c r="L36" s="39"/>
      <c r="M36" s="2"/>
    </row>
    <row r="37" spans="1:13" x14ac:dyDescent="0.2">
      <c r="A37" t="str">
        <f t="shared" si="5"/>
        <v>2017</v>
      </c>
      <c r="B37" s="25"/>
      <c r="C37" s="39">
        <f t="shared" ref="C37:J37" si="13">IF(ISNUMBER(D20),D20/C20,"")</f>
        <v>1.2230782940320142</v>
      </c>
      <c r="D37" s="39">
        <f t="shared" si="13"/>
        <v>1.0361444384839169</v>
      </c>
      <c r="E37" s="39">
        <f t="shared" si="13"/>
        <v>1.0152532479735557</v>
      </c>
      <c r="F37" s="39" t="str">
        <f t="shared" si="13"/>
        <v/>
      </c>
      <c r="G37" s="39" t="str">
        <f t="shared" si="13"/>
        <v/>
      </c>
      <c r="H37" s="39" t="str">
        <f t="shared" si="13"/>
        <v/>
      </c>
      <c r="I37" s="39" t="str">
        <f t="shared" si="13"/>
        <v/>
      </c>
      <c r="J37" s="39" t="str">
        <f t="shared" si="13"/>
        <v/>
      </c>
      <c r="K37" s="39" t="str">
        <f t="shared" si="7"/>
        <v/>
      </c>
      <c r="L37" s="39"/>
      <c r="M37" s="2"/>
    </row>
    <row r="38" spans="1:13" x14ac:dyDescent="0.2">
      <c r="A38" t="str">
        <f t="shared" si="5"/>
        <v>2018</v>
      </c>
      <c r="B38" s="25"/>
      <c r="C38" s="39">
        <f t="shared" ref="C38:J38" si="14">IF(ISNUMBER(D21),D21/C21,"")</f>
        <v>1.1990542011258984</v>
      </c>
      <c r="D38" s="39">
        <f t="shared" si="14"/>
        <v>1.0138590687516702</v>
      </c>
      <c r="E38" s="39" t="str">
        <f t="shared" si="14"/>
        <v/>
      </c>
      <c r="F38" s="39" t="str">
        <f t="shared" si="14"/>
        <v/>
      </c>
      <c r="G38" s="39" t="str">
        <f t="shared" si="14"/>
        <v/>
      </c>
      <c r="H38" s="39" t="str">
        <f t="shared" si="14"/>
        <v/>
      </c>
      <c r="I38" s="39" t="str">
        <f t="shared" si="14"/>
        <v/>
      </c>
      <c r="J38" s="39" t="str">
        <f t="shared" si="14"/>
        <v/>
      </c>
      <c r="K38" s="39" t="str">
        <f t="shared" si="7"/>
        <v/>
      </c>
      <c r="L38" s="39"/>
      <c r="M38" s="2"/>
    </row>
    <row r="39" spans="1:13" x14ac:dyDescent="0.2">
      <c r="A39" t="str">
        <f t="shared" si="5"/>
        <v>2019</v>
      </c>
      <c r="B39" s="25"/>
      <c r="C39" s="39">
        <f>IF(ISNUMBER(D22),D22/C22,"")</f>
        <v>1.1465244980152407</v>
      </c>
      <c r="D39" s="39" t="str">
        <f t="shared" ref="D39:J39" si="15">IF(ISNUMBER(E22),E22/D22,"")</f>
        <v/>
      </c>
      <c r="E39" s="39" t="str">
        <f t="shared" si="15"/>
        <v/>
      </c>
      <c r="F39" s="39" t="str">
        <f t="shared" si="15"/>
        <v/>
      </c>
      <c r="G39" s="39" t="str">
        <f t="shared" si="15"/>
        <v/>
      </c>
      <c r="H39" s="39" t="str">
        <f t="shared" si="15"/>
        <v/>
      </c>
      <c r="I39" s="39" t="str">
        <f t="shared" si="15"/>
        <v/>
      </c>
      <c r="J39" s="39" t="str">
        <f t="shared" si="15"/>
        <v/>
      </c>
      <c r="K39" s="39" t="str">
        <f t="shared" si="7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71</v>
      </c>
      <c r="B42" s="25"/>
      <c r="C42" s="41">
        <f>AVERAGE(C31:C39)</f>
        <v>1.1689172480620884</v>
      </c>
      <c r="D42" s="41">
        <f t="shared" ref="D42:J42" si="16">AVERAGE(D31:D39)</f>
        <v>1.0507341107713164</v>
      </c>
      <c r="E42" s="41">
        <f t="shared" si="16"/>
        <v>1.0162073188963479</v>
      </c>
      <c r="F42" s="41">
        <f t="shared" si="16"/>
        <v>1.0057272377760926</v>
      </c>
      <c r="G42" s="41">
        <f t="shared" si="16"/>
        <v>1.0023488495886876</v>
      </c>
      <c r="H42" s="41">
        <f t="shared" si="16"/>
        <v>1.0008826962655397</v>
      </c>
      <c r="I42" s="41">
        <f t="shared" si="16"/>
        <v>1.000344578348707</v>
      </c>
      <c r="J42" s="41">
        <f t="shared" si="16"/>
        <v>1.0000730321764615</v>
      </c>
      <c r="M42" s="2"/>
    </row>
    <row r="43" spans="1:13" x14ac:dyDescent="0.2">
      <c r="A43" t="s">
        <v>72</v>
      </c>
      <c r="B43" s="25"/>
      <c r="C43" s="41">
        <f>AVERAGE(C35:C39)</f>
        <v>1.1715434170292904</v>
      </c>
      <c r="D43" s="41">
        <f>AVERAGE(D34:D38)</f>
        <v>1.0296140561438294</v>
      </c>
      <c r="E43" s="41">
        <f>AVERAGE(E33:E37)</f>
        <v>1.0128392281848497</v>
      </c>
      <c r="F43" s="41">
        <f>AVERAGE(F32:F36)</f>
        <v>1.0062718825673644</v>
      </c>
      <c r="G43" s="41">
        <f>AVERAGE(G31:G35)</f>
        <v>1.0023488495886876</v>
      </c>
      <c r="H43" s="41">
        <f>AVERAGE(H31:H34)</f>
        <v>1.0008826962655397</v>
      </c>
      <c r="I43" s="41">
        <f>AVERAGE(I31:I33)</f>
        <v>1.000344578348707</v>
      </c>
      <c r="J43" s="41">
        <f>AVERAGE(J31:J32)</f>
        <v>1.0000730321764615</v>
      </c>
      <c r="M43" s="2"/>
    </row>
    <row r="44" spans="1:13" x14ac:dyDescent="0.2">
      <c r="A44" t="s">
        <v>265</v>
      </c>
      <c r="C44" s="121">
        <v>1.1632333284734895</v>
      </c>
      <c r="D44" s="121">
        <v>1.0534863589651469</v>
      </c>
      <c r="E44" s="121">
        <v>1.0207652633440825</v>
      </c>
      <c r="F44" s="121">
        <v>1.0124877820839187</v>
      </c>
      <c r="G44" s="121">
        <v>1.0040456693296214</v>
      </c>
      <c r="H44" s="121">
        <v>1.0005907895658877</v>
      </c>
      <c r="I44" s="121">
        <v>1.0004158454563368</v>
      </c>
      <c r="J44" s="121">
        <v>1.0001480570049455</v>
      </c>
      <c r="K44" s="121">
        <v>1</v>
      </c>
      <c r="L44" s="121"/>
      <c r="M44" s="2"/>
    </row>
    <row r="45" spans="1:13" x14ac:dyDescent="0.2">
      <c r="A45" t="s">
        <v>73</v>
      </c>
      <c r="C45" s="42">
        <f>AVERAGE(C42,C44)</f>
        <v>1.1660752882677889</v>
      </c>
      <c r="D45" s="42">
        <f t="shared" ref="D45:K45" si="17">AVERAGE(D42,D44)</f>
        <v>1.0521102348682316</v>
      </c>
      <c r="E45" s="42">
        <f t="shared" si="17"/>
        <v>1.0184862911202153</v>
      </c>
      <c r="F45" s="42">
        <f t="shared" si="17"/>
        <v>1.0091075099300055</v>
      </c>
      <c r="G45" s="42">
        <f t="shared" si="17"/>
        <v>1.0031972594591545</v>
      </c>
      <c r="H45" s="42">
        <f t="shared" si="17"/>
        <v>1.0007367429157137</v>
      </c>
      <c r="I45" s="42">
        <f t="shared" si="17"/>
        <v>1.000380211902522</v>
      </c>
      <c r="J45" s="42">
        <f t="shared" si="17"/>
        <v>1.0001105445907035</v>
      </c>
      <c r="K45" s="42">
        <f t="shared" si="17"/>
        <v>1</v>
      </c>
      <c r="L45" s="42"/>
      <c r="M45" s="2"/>
    </row>
    <row r="46" spans="1:13" x14ac:dyDescent="0.2">
      <c r="A46" t="s">
        <v>331</v>
      </c>
      <c r="C46" s="36">
        <f>ROUND(C45*D46,3)</f>
        <v>1.266</v>
      </c>
      <c r="D46" s="36">
        <f t="shared" ref="D46:J46" si="18">ROUND(D45*E46,3)</f>
        <v>1.0860000000000001</v>
      </c>
      <c r="E46" s="36">
        <f>ROUND(E45*F46,3)</f>
        <v>1.032</v>
      </c>
      <c r="F46" s="36">
        <f t="shared" si="18"/>
        <v>1.0129999999999999</v>
      </c>
      <c r="G46" s="36">
        <f t="shared" si="18"/>
        <v>1.004</v>
      </c>
      <c r="H46" s="36">
        <f t="shared" si="18"/>
        <v>1.0009999999999999</v>
      </c>
      <c r="I46" s="36">
        <f t="shared" si="18"/>
        <v>1</v>
      </c>
      <c r="J46" s="36">
        <f t="shared" si="18"/>
        <v>1</v>
      </c>
      <c r="K46" s="36">
        <v>1</v>
      </c>
      <c r="M46" s="2"/>
    </row>
    <row r="47" spans="1:13" ht="10.5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0.5" thickTop="1" x14ac:dyDescent="0.2">
      <c r="A48" t="s">
        <v>17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0.5" thickBot="1" x14ac:dyDescent="0.25">
      <c r="M50" s="2"/>
    </row>
    <row r="51" spans="1:13" ht="10.5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honeticPr fontId="0" type="noConversion"/>
  <pageMargins left="0.5" right="0.5" top="0.5" bottom="0.5" header="0.5" footer="0.5"/>
  <pageSetup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S51"/>
  <sheetViews>
    <sheetView showGridLines="0" topLeftCell="A40" workbookViewId="0">
      <selection activeCell="I58" sqref="I58"/>
    </sheetView>
  </sheetViews>
  <sheetFormatPr defaultColWidth="11.33203125" defaultRowHeight="10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9" ht="10.5" x14ac:dyDescent="0.25">
      <c r="A1" s="8" t="str">
        <f>'1'!$A$1</f>
        <v>Texas Windstorm Insurance Association</v>
      </c>
      <c r="B1" s="12"/>
      <c r="L1" s="7" t="s">
        <v>67</v>
      </c>
      <c r="M1" s="1"/>
      <c r="S1" s="329" t="s">
        <v>437</v>
      </c>
    </row>
    <row r="2" spans="1:19" ht="10.5" x14ac:dyDescent="0.25">
      <c r="A2" s="8" t="str">
        <f>'1'!$A$2</f>
        <v>Residential Property - Wind &amp; Hail</v>
      </c>
      <c r="B2" s="12"/>
      <c r="L2" s="7" t="s">
        <v>21</v>
      </c>
      <c r="M2" s="2"/>
    </row>
    <row r="3" spans="1:19" ht="10.5" x14ac:dyDescent="0.25">
      <c r="A3" s="8" t="str">
        <f>'1'!$A$3</f>
        <v>Rate Level Review</v>
      </c>
      <c r="B3" s="12"/>
      <c r="M3" s="2"/>
    </row>
    <row r="4" spans="1:19" x14ac:dyDescent="0.2">
      <c r="A4" t="s">
        <v>89</v>
      </c>
      <c r="B4" s="12"/>
      <c r="M4" s="2"/>
    </row>
    <row r="5" spans="1:19" x14ac:dyDescent="0.2">
      <c r="A5" t="s">
        <v>357</v>
      </c>
      <c r="B5" s="12"/>
      <c r="M5" s="2"/>
    </row>
    <row r="6" spans="1:19" x14ac:dyDescent="0.2">
      <c r="M6" s="2"/>
    </row>
    <row r="7" spans="1:19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9" ht="10.5" thickTop="1" x14ac:dyDescent="0.2">
      <c r="M8" s="2"/>
    </row>
    <row r="9" spans="1:19" x14ac:dyDescent="0.2">
      <c r="C9" s="24" t="s">
        <v>68</v>
      </c>
      <c r="M9" s="2"/>
      <c r="N9" s="27"/>
    </row>
    <row r="10" spans="1:19" x14ac:dyDescent="0.2">
      <c r="A10" t="s">
        <v>53</v>
      </c>
      <c r="M10" s="2"/>
      <c r="N10" t="s">
        <v>69</v>
      </c>
    </row>
    <row r="11" spans="1:19" x14ac:dyDescent="0.2">
      <c r="A11" s="9" t="s">
        <v>54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88">
        <f>(YEAR($O$23)-YEAR($N$23)+1)*12+MONTH($O$23)-MONTH($N$23)</f>
        <v>15</v>
      </c>
    </row>
    <row r="12" spans="1:19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9" x14ac:dyDescent="0.2">
      <c r="M13" s="2"/>
    </row>
    <row r="14" spans="1:19" x14ac:dyDescent="0.2">
      <c r="A14" t="str">
        <f t="shared" ref="A14:A22" si="2">TEXT(A15-1,"#")</f>
        <v>2011</v>
      </c>
      <c r="B14" s="25"/>
      <c r="C14" s="182">
        <f>ROUND('[4]EC LDF'!B$43/1000,0)</f>
        <v>143685</v>
      </c>
      <c r="D14" s="182">
        <f>ROUND('[4]EC LDF'!C$43/1000,0)</f>
        <v>155082</v>
      </c>
      <c r="E14" s="182">
        <f>ROUND('[4]EC LDF'!D$43/1000,0)</f>
        <v>157261</v>
      </c>
      <c r="F14" s="182">
        <f>ROUND('[4]EC LDF'!E$43/1000,0)</f>
        <v>157739</v>
      </c>
      <c r="G14" s="182">
        <f>ROUND('[4]EC LDF'!F$43/1000,0)</f>
        <v>158014</v>
      </c>
      <c r="H14" s="182">
        <f>ROUND('[4]EC LDF'!G$43/1000,0)</f>
        <v>157995</v>
      </c>
      <c r="I14" s="182">
        <f>ROUND('[4]EC LDF'!H$43/1000,0)</f>
        <v>158050</v>
      </c>
      <c r="J14" s="182">
        <f>ROUND('[4]EC LDF'!I$43/1000,0)</f>
        <v>158046</v>
      </c>
      <c r="K14" s="182">
        <f>ROUND('[4]EC LDF'!J$43/1000,0)</f>
        <v>158071</v>
      </c>
      <c r="L14" s="90"/>
      <c r="M14" s="2"/>
    </row>
    <row r="15" spans="1:19" x14ac:dyDescent="0.2">
      <c r="A15" t="str">
        <f t="shared" si="2"/>
        <v>2012</v>
      </c>
      <c r="B15" s="25"/>
      <c r="C15" s="182">
        <f>ROUND('[4]EC LDF'!B$47/1000,0)</f>
        <v>170023</v>
      </c>
      <c r="D15" s="182">
        <f>ROUND('[4]EC LDF'!C$47/1000,0)</f>
        <v>203480</v>
      </c>
      <c r="E15" s="182">
        <f>ROUND('[4]EC LDF'!D$47/1000,0)</f>
        <v>240439</v>
      </c>
      <c r="F15" s="182">
        <f>ROUND('[4]EC LDF'!E$47/1000,0)</f>
        <v>246180</v>
      </c>
      <c r="G15" s="182">
        <f>ROUND('[4]EC LDF'!F$47/1000,0)</f>
        <v>247027</v>
      </c>
      <c r="H15" s="182">
        <f>ROUND('[4]EC LDF'!G$47/1000,0)</f>
        <v>247422</v>
      </c>
      <c r="I15" s="182">
        <f>ROUND('[4]EC LDF'!H$47/1000,0)</f>
        <v>247520</v>
      </c>
      <c r="J15" s="182">
        <f>ROUND('[4]EC LDF'!I$47/1000,0)</f>
        <v>247594</v>
      </c>
      <c r="K15" s="182">
        <f>ROUND('[4]EC LDF'!J$47/1000,0)</f>
        <v>247574</v>
      </c>
      <c r="L15" s="90"/>
      <c r="M15" s="2"/>
    </row>
    <row r="16" spans="1:19" x14ac:dyDescent="0.2">
      <c r="A16" t="str">
        <f t="shared" si="2"/>
        <v>2013</v>
      </c>
      <c r="B16" s="25"/>
      <c r="C16" s="182">
        <f>ROUND('[4]EC LDF'!B$51/1000,0)</f>
        <v>127453</v>
      </c>
      <c r="D16" s="182">
        <f>ROUND('[4]EC LDF'!C$51/1000,0)</f>
        <v>147009</v>
      </c>
      <c r="E16" s="182">
        <f>ROUND('[4]EC LDF'!D$51/1000,0)</f>
        <v>154930</v>
      </c>
      <c r="F16" s="182">
        <f>ROUND('[4]EC LDF'!E$51/1000,0)</f>
        <v>155922</v>
      </c>
      <c r="G16" s="182">
        <f>ROUND('[4]EC LDF'!F$51/1000,0)</f>
        <v>156569</v>
      </c>
      <c r="H16" s="182">
        <f>ROUND('[4]EC LDF'!G$51/1000,0)</f>
        <v>156577</v>
      </c>
      <c r="I16" s="182">
        <f>ROUND('[4]EC LDF'!H$51/1000,0)</f>
        <v>156580</v>
      </c>
      <c r="J16" s="182">
        <f>ROUND('[4]EC LDF'!I$51/1000,0)</f>
        <v>156628</v>
      </c>
      <c r="K16" s="182"/>
      <c r="L16" s="90"/>
      <c r="M16" s="2"/>
    </row>
    <row r="17" spans="1:15" x14ac:dyDescent="0.2">
      <c r="A17" t="str">
        <f>TEXT(A18-1,"#")</f>
        <v>2014</v>
      </c>
      <c r="B17" s="25"/>
      <c r="C17" s="182">
        <f>ROUND('[4]EC LDF'!B$55/1000,0)</f>
        <v>157426</v>
      </c>
      <c r="D17" s="182">
        <f>ROUND('[4]EC LDF'!C$55/1000,0)</f>
        <v>183366</v>
      </c>
      <c r="E17" s="182">
        <f>ROUND('[4]EC LDF'!D$55/1000,0)</f>
        <v>190278</v>
      </c>
      <c r="F17" s="182">
        <f>ROUND('[4]EC LDF'!E$55/1000,0)</f>
        <v>191866</v>
      </c>
      <c r="G17" s="182">
        <f>ROUND('[4]EC LDF'!F$55/1000,0)</f>
        <v>192056</v>
      </c>
      <c r="H17" s="182">
        <f>ROUND('[4]EC LDF'!G$55/1000,0)</f>
        <v>192342</v>
      </c>
      <c r="I17" s="182">
        <f>ROUND('[4]EC LDF'!H$55/1000,0)</f>
        <v>192403</v>
      </c>
      <c r="J17" s="182"/>
      <c r="K17" s="182"/>
      <c r="L17" s="90"/>
      <c r="M17" s="2"/>
    </row>
    <row r="18" spans="1:15" x14ac:dyDescent="0.2">
      <c r="A18" t="str">
        <f t="shared" si="2"/>
        <v>2015</v>
      </c>
      <c r="B18" s="25"/>
      <c r="C18" s="182">
        <f>ROUND('[4]EC LDF'!B$59/1000,0)</f>
        <v>183266</v>
      </c>
      <c r="D18" s="182">
        <f>ROUND('[4]EC LDF'!C$59/1000,0)</f>
        <v>204239</v>
      </c>
      <c r="E18" s="182">
        <f>ROUND('[4]EC LDF'!D$59/1000,0)</f>
        <v>208541</v>
      </c>
      <c r="F18" s="182">
        <f>ROUND('[4]EC LDF'!E$59/1000,0)</f>
        <v>209008</v>
      </c>
      <c r="G18" s="182">
        <f>ROUND('[4]EC LDF'!F$59/1000,0)</f>
        <v>209335</v>
      </c>
      <c r="H18" s="182">
        <f>ROUND('[4]EC LDF'!G$59/1000,0)</f>
        <v>209189</v>
      </c>
      <c r="I18" s="182"/>
      <c r="J18" s="182"/>
      <c r="K18" s="182"/>
      <c r="L18" s="90"/>
      <c r="M18" s="2"/>
    </row>
    <row r="19" spans="1:15" x14ac:dyDescent="0.2">
      <c r="A19" t="str">
        <f t="shared" si="2"/>
        <v>2016</v>
      </c>
      <c r="B19" s="25"/>
      <c r="C19" s="182">
        <f>ROUND('[4]EC LDF'!B$63/1000,0)</f>
        <v>498092</v>
      </c>
      <c r="D19" s="182">
        <f>ROUND('[4]EC LDF'!C$63/1000,0)</f>
        <v>556120</v>
      </c>
      <c r="E19" s="182">
        <f>ROUND('[4]EC LDF'!D$63/1000,0)</f>
        <v>562298</v>
      </c>
      <c r="F19" s="182">
        <f>ROUND('[4]EC LDF'!E$63/1000,0)</f>
        <v>564014</v>
      </c>
      <c r="G19" s="182">
        <f>ROUND('[4]EC LDF'!F$63/1000,0)</f>
        <v>564747</v>
      </c>
      <c r="H19" s="182"/>
      <c r="I19" s="182"/>
      <c r="J19" s="182"/>
      <c r="K19" s="182"/>
      <c r="L19" s="90"/>
      <c r="M19" s="2"/>
    </row>
    <row r="20" spans="1:15" x14ac:dyDescent="0.2">
      <c r="A20" t="str">
        <f t="shared" si="2"/>
        <v>2017</v>
      </c>
      <c r="B20" s="25"/>
      <c r="C20" s="182">
        <f>ROUND('[4]EC LDF'!B$67/1000,0)</f>
        <v>665247</v>
      </c>
      <c r="D20" s="182">
        <f>ROUND('[4]EC LDF'!C$67/1000,0)</f>
        <v>791814</v>
      </c>
      <c r="E20" s="182">
        <f>ROUND('[4]EC LDF'!D$67/1000,0)</f>
        <v>816792</v>
      </c>
      <c r="F20" s="182">
        <f>ROUND('[4]EC LDF'!E$67/1000,0)</f>
        <v>822501</v>
      </c>
      <c r="G20" s="182"/>
      <c r="H20" s="182"/>
      <c r="I20" s="182"/>
      <c r="J20" s="182"/>
      <c r="K20" s="182"/>
      <c r="L20" s="90"/>
      <c r="M20" s="2"/>
    </row>
    <row r="21" spans="1:15" x14ac:dyDescent="0.2">
      <c r="A21" t="str">
        <f t="shared" si="2"/>
        <v>2018</v>
      </c>
      <c r="B21" s="25"/>
      <c r="C21" s="182">
        <f>ROUND('[4]EC LDF'!B$71/1000,0)</f>
        <v>186500</v>
      </c>
      <c r="D21" s="182">
        <f>ROUND('[4]EC LDF'!C$71/1000,0)</f>
        <v>218189</v>
      </c>
      <c r="E21" s="182">
        <f>ROUND('[4]EC LDF'!D$71/1000,0)</f>
        <v>220721</v>
      </c>
      <c r="F21" s="182"/>
      <c r="G21" s="182"/>
      <c r="H21" s="182"/>
      <c r="I21" s="182"/>
      <c r="J21" s="182"/>
      <c r="K21" s="182"/>
      <c r="L21" s="90"/>
      <c r="M21" s="2"/>
    </row>
    <row r="22" spans="1:15" x14ac:dyDescent="0.2">
      <c r="A22" t="str">
        <f t="shared" si="2"/>
        <v>2019</v>
      </c>
      <c r="B22" s="25"/>
      <c r="C22" s="182">
        <f>ROUND('[4]EC LDF'!B$75/1000,0)</f>
        <v>283698</v>
      </c>
      <c r="D22" s="182">
        <f>ROUND('[4]EC LDF'!C$75/1000,0)</f>
        <v>318858</v>
      </c>
      <c r="E22" s="182"/>
      <c r="F22" s="182"/>
      <c r="G22" s="182"/>
      <c r="H22" s="182"/>
      <c r="I22" s="182"/>
      <c r="J22" s="182"/>
      <c r="K22" s="182"/>
      <c r="L22" s="90"/>
      <c r="M22" s="2"/>
      <c r="N22" t="s">
        <v>217</v>
      </c>
      <c r="O22" t="s">
        <v>218</v>
      </c>
    </row>
    <row r="23" spans="1:15" x14ac:dyDescent="0.2">
      <c r="A23" t="str">
        <f>TEXT(YEAR($N$23),"#")</f>
        <v>2020</v>
      </c>
      <c r="B23" s="25"/>
      <c r="C23" s="182">
        <f>ROUND('[4]EC LDF'!$B$79/1000,0)</f>
        <v>338256</v>
      </c>
      <c r="D23" s="182"/>
      <c r="E23" s="182"/>
      <c r="F23" s="182"/>
      <c r="G23" s="182"/>
      <c r="H23" s="182"/>
      <c r="I23" s="182"/>
      <c r="J23" s="182"/>
      <c r="K23" s="182"/>
      <c r="L23" s="90"/>
      <c r="M23" s="2"/>
      <c r="N23" s="82">
        <f>'[4]EC LDF'!$B$1</f>
        <v>44104</v>
      </c>
      <c r="O23" s="82">
        <f>'[4]EC LDF'!$B$2</f>
        <v>44196</v>
      </c>
    </row>
    <row r="24" spans="1:15" x14ac:dyDescent="0.2">
      <c r="A24" s="9"/>
      <c r="B24" s="26"/>
      <c r="C24" s="91"/>
      <c r="D24" s="91"/>
      <c r="E24" s="91"/>
      <c r="F24" s="91"/>
      <c r="G24" s="91"/>
      <c r="H24" s="91"/>
      <c r="I24" s="91"/>
      <c r="J24" s="91"/>
      <c r="K24" s="91"/>
      <c r="L24" s="90"/>
      <c r="M24" s="2"/>
    </row>
    <row r="25" spans="1:15" x14ac:dyDescent="0.2">
      <c r="M25" s="2"/>
    </row>
    <row r="26" spans="1:15" x14ac:dyDescent="0.2">
      <c r="C26" s="24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2011</v>
      </c>
      <c r="B31" s="25"/>
      <c r="C31" s="39">
        <f>IF(ISNUMBER(D14),D14/C14,"")</f>
        <v>1.0793193443992066</v>
      </c>
      <c r="D31" s="39">
        <f t="shared" ref="D31:J31" si="6">IF(ISNUMBER(E14),E14/D14,"")</f>
        <v>1.0140506312789364</v>
      </c>
      <c r="E31" s="39">
        <f t="shared" si="6"/>
        <v>1.0030395330056403</v>
      </c>
      <c r="F31" s="39">
        <f t="shared" si="6"/>
        <v>1.0017433862266147</v>
      </c>
      <c r="G31" s="39">
        <f t="shared" si="6"/>
        <v>0.9998797574898427</v>
      </c>
      <c r="H31" s="39">
        <f t="shared" si="6"/>
        <v>1.0003481122820344</v>
      </c>
      <c r="I31" s="39">
        <f t="shared" si="6"/>
        <v>0.99997469155330587</v>
      </c>
      <c r="J31" s="39">
        <f t="shared" si="6"/>
        <v>1.0001581817951735</v>
      </c>
      <c r="K31" s="39">
        <v>1</v>
      </c>
      <c r="L31" s="39"/>
      <c r="M31" s="2"/>
    </row>
    <row r="32" spans="1:15" x14ac:dyDescent="0.2">
      <c r="A32" t="str">
        <f t="shared" si="5"/>
        <v>2012</v>
      </c>
      <c r="B32" s="25"/>
      <c r="C32" s="39">
        <f t="shared" ref="C32:J39" si="7">IF(ISNUMBER(D15),D15/C15,"")</f>
        <v>1.1967792592766862</v>
      </c>
      <c r="D32" s="39">
        <f t="shared" si="7"/>
        <v>1.1816345586789856</v>
      </c>
      <c r="E32" s="39">
        <f t="shared" si="7"/>
        <v>1.0238771580317669</v>
      </c>
      <c r="F32" s="39">
        <f t="shared" si="7"/>
        <v>1.0034405719392314</v>
      </c>
      <c r="G32" s="39">
        <f t="shared" si="7"/>
        <v>1.0015990154922336</v>
      </c>
      <c r="H32" s="39">
        <f t="shared" si="7"/>
        <v>1.0003960844225654</v>
      </c>
      <c r="I32" s="39">
        <f t="shared" si="7"/>
        <v>1.0002989657401422</v>
      </c>
      <c r="J32" s="39">
        <f t="shared" si="7"/>
        <v>0.99991922259828592</v>
      </c>
      <c r="K32" s="39" t="str">
        <f t="shared" ref="K32:K39" si="8">IF(ISNUMBER(M15),M15/K15,"")</f>
        <v/>
      </c>
      <c r="L32" s="39"/>
      <c r="M32" s="2"/>
    </row>
    <row r="33" spans="1:13" x14ac:dyDescent="0.2">
      <c r="A33" t="str">
        <f t="shared" si="5"/>
        <v>2013</v>
      </c>
      <c r="B33" s="25"/>
      <c r="C33" s="39">
        <f t="shared" si="7"/>
        <v>1.1534369532298181</v>
      </c>
      <c r="D33" s="39">
        <f t="shared" si="7"/>
        <v>1.0538810549014006</v>
      </c>
      <c r="E33" s="39">
        <f t="shared" si="7"/>
        <v>1.0064028916284773</v>
      </c>
      <c r="F33" s="39">
        <f t="shared" si="7"/>
        <v>1.0041495106527623</v>
      </c>
      <c r="G33" s="39">
        <f t="shared" si="7"/>
        <v>1.0000510956830535</v>
      </c>
      <c r="H33" s="39">
        <f t="shared" si="7"/>
        <v>1.0000191599021568</v>
      </c>
      <c r="I33" s="39">
        <f t="shared" si="7"/>
        <v>1.0003065525609911</v>
      </c>
      <c r="J33" s="39" t="str">
        <f t="shared" si="7"/>
        <v/>
      </c>
      <c r="K33" s="39" t="str">
        <f t="shared" si="8"/>
        <v/>
      </c>
      <c r="L33" s="39"/>
      <c r="M33" s="2"/>
    </row>
    <row r="34" spans="1:13" x14ac:dyDescent="0.2">
      <c r="A34" t="str">
        <f t="shared" si="5"/>
        <v>2014</v>
      </c>
      <c r="B34" s="25"/>
      <c r="C34" s="39">
        <f t="shared" si="7"/>
        <v>1.1647758311841754</v>
      </c>
      <c r="D34" s="39">
        <f t="shared" si="7"/>
        <v>1.0376951016000786</v>
      </c>
      <c r="E34" s="39">
        <f t="shared" si="7"/>
        <v>1.0083456836838731</v>
      </c>
      <c r="F34" s="39">
        <f t="shared" si="7"/>
        <v>1.0009902744623853</v>
      </c>
      <c r="G34" s="39">
        <f t="shared" si="7"/>
        <v>1.001489148998209</v>
      </c>
      <c r="H34" s="39">
        <f t="shared" si="7"/>
        <v>1.0003171434216136</v>
      </c>
      <c r="I34" s="39" t="str">
        <f t="shared" si="7"/>
        <v/>
      </c>
      <c r="J34" s="39" t="str">
        <f t="shared" si="7"/>
        <v/>
      </c>
      <c r="K34" s="39" t="str">
        <f t="shared" si="8"/>
        <v/>
      </c>
      <c r="L34" s="39"/>
      <c r="M34" s="2"/>
    </row>
    <row r="35" spans="1:13" x14ac:dyDescent="0.2">
      <c r="A35" t="str">
        <f t="shared" si="5"/>
        <v>2015</v>
      </c>
      <c r="B35" s="25"/>
      <c r="C35" s="39">
        <f t="shared" si="7"/>
        <v>1.1144402125871684</v>
      </c>
      <c r="D35" s="39">
        <f t="shared" si="7"/>
        <v>1.0210635578905107</v>
      </c>
      <c r="E35" s="39">
        <f t="shared" si="7"/>
        <v>1.0022393677981787</v>
      </c>
      <c r="F35" s="39">
        <f t="shared" si="7"/>
        <v>1.001564533414989</v>
      </c>
      <c r="G35" s="39">
        <f t="shared" si="7"/>
        <v>0.99930255332362006</v>
      </c>
      <c r="H35" s="39" t="str">
        <f t="shared" si="7"/>
        <v/>
      </c>
      <c r="I35" s="39" t="str">
        <f t="shared" si="7"/>
        <v/>
      </c>
      <c r="J35" s="39" t="str">
        <f t="shared" si="7"/>
        <v/>
      </c>
      <c r="K35" s="39" t="str">
        <f t="shared" si="8"/>
        <v/>
      </c>
      <c r="L35" s="39"/>
      <c r="M35" s="2"/>
    </row>
    <row r="36" spans="1:13" x14ac:dyDescent="0.2">
      <c r="A36" t="str">
        <f t="shared" si="5"/>
        <v>2016</v>
      </c>
      <c r="B36" s="25"/>
      <c r="C36" s="39">
        <f t="shared" si="7"/>
        <v>1.1165005661604683</v>
      </c>
      <c r="D36" s="39">
        <f t="shared" si="7"/>
        <v>1.0111091131410488</v>
      </c>
      <c r="E36" s="39">
        <f t="shared" si="7"/>
        <v>1.0030517625885207</v>
      </c>
      <c r="F36" s="39">
        <f t="shared" si="7"/>
        <v>1.0012996131301706</v>
      </c>
      <c r="G36" s="39" t="str">
        <f t="shared" si="7"/>
        <v/>
      </c>
      <c r="H36" s="39" t="str">
        <f t="shared" si="7"/>
        <v/>
      </c>
      <c r="I36" s="39" t="str">
        <f t="shared" si="7"/>
        <v/>
      </c>
      <c r="J36" s="39" t="str">
        <f t="shared" si="7"/>
        <v/>
      </c>
      <c r="K36" s="39" t="str">
        <f t="shared" si="8"/>
        <v/>
      </c>
      <c r="L36" s="39"/>
      <c r="M36" s="2"/>
    </row>
    <row r="37" spans="1:13" x14ac:dyDescent="0.2">
      <c r="A37" t="str">
        <f t="shared" si="5"/>
        <v>2017</v>
      </c>
      <c r="B37" s="25"/>
      <c r="C37" s="39">
        <f t="shared" si="7"/>
        <v>1.1902556494054088</v>
      </c>
      <c r="D37" s="39">
        <f t="shared" si="7"/>
        <v>1.0315452871507702</v>
      </c>
      <c r="E37" s="39">
        <f t="shared" si="7"/>
        <v>1.0069895395645403</v>
      </c>
      <c r="F37" s="39" t="str">
        <f t="shared" si="7"/>
        <v/>
      </c>
      <c r="G37" s="39" t="str">
        <f t="shared" si="7"/>
        <v/>
      </c>
      <c r="H37" s="39" t="str">
        <f t="shared" si="7"/>
        <v/>
      </c>
      <c r="I37" s="39" t="str">
        <f t="shared" si="7"/>
        <v/>
      </c>
      <c r="J37" s="39" t="str">
        <f t="shared" si="7"/>
        <v/>
      </c>
      <c r="K37" s="39" t="str">
        <f t="shared" si="8"/>
        <v/>
      </c>
      <c r="L37" s="39"/>
      <c r="M37" s="2"/>
    </row>
    <row r="38" spans="1:13" x14ac:dyDescent="0.2">
      <c r="A38" t="str">
        <f t="shared" si="5"/>
        <v>2018</v>
      </c>
      <c r="B38" s="25"/>
      <c r="C38" s="39">
        <f t="shared" si="7"/>
        <v>1.1699142091152814</v>
      </c>
      <c r="D38" s="39">
        <f t="shared" si="7"/>
        <v>1.011604618014657</v>
      </c>
      <c r="E38" s="39" t="str">
        <f t="shared" si="7"/>
        <v/>
      </c>
      <c r="F38" s="39" t="str">
        <f t="shared" si="7"/>
        <v/>
      </c>
      <c r="G38" s="39" t="str">
        <f t="shared" si="7"/>
        <v/>
      </c>
      <c r="H38" s="39" t="str">
        <f t="shared" si="7"/>
        <v/>
      </c>
      <c r="I38" s="39" t="str">
        <f t="shared" si="7"/>
        <v/>
      </c>
      <c r="J38" s="39" t="str">
        <f t="shared" si="7"/>
        <v/>
      </c>
      <c r="K38" s="39" t="str">
        <f t="shared" si="8"/>
        <v/>
      </c>
      <c r="L38" s="39"/>
      <c r="M38" s="2"/>
    </row>
    <row r="39" spans="1:13" x14ac:dyDescent="0.2">
      <c r="A39" t="str">
        <f t="shared" si="5"/>
        <v>2019</v>
      </c>
      <c r="B39" s="25"/>
      <c r="C39" s="39">
        <f>IF(ISNUMBER(D22),D22/C22,"")</f>
        <v>1.123934606518199</v>
      </c>
      <c r="D39" s="39" t="str">
        <f t="shared" si="7"/>
        <v/>
      </c>
      <c r="E39" s="39" t="str">
        <f t="shared" si="7"/>
        <v/>
      </c>
      <c r="F39" s="39" t="str">
        <f t="shared" si="7"/>
        <v/>
      </c>
      <c r="G39" s="39" t="str">
        <f t="shared" si="7"/>
        <v/>
      </c>
      <c r="H39" s="39" t="str">
        <f t="shared" si="7"/>
        <v/>
      </c>
      <c r="I39" s="39" t="str">
        <f t="shared" si="7"/>
        <v/>
      </c>
      <c r="J39" s="39" t="str">
        <f t="shared" si="7"/>
        <v/>
      </c>
      <c r="K39" s="39" t="str">
        <f t="shared" si="8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71</v>
      </c>
      <c r="B42" s="25"/>
      <c r="C42" s="41">
        <f>AVERAGE(C31:C39)</f>
        <v>1.1454840702084903</v>
      </c>
      <c r="D42" s="41">
        <f t="shared" ref="D42:J42" si="9">AVERAGE(D31:D39)</f>
        <v>1.0453229903320485</v>
      </c>
      <c r="E42" s="41">
        <f t="shared" si="9"/>
        <v>1.0077065623287138</v>
      </c>
      <c r="F42" s="41">
        <f t="shared" si="9"/>
        <v>1.002197981637692</v>
      </c>
      <c r="G42" s="41">
        <f t="shared" si="9"/>
        <v>1.0004643141973917</v>
      </c>
      <c r="H42" s="41">
        <f t="shared" si="9"/>
        <v>1.0002701250070927</v>
      </c>
      <c r="I42" s="41">
        <f t="shared" si="9"/>
        <v>1.000193403284813</v>
      </c>
      <c r="J42" s="41">
        <f t="shared" si="9"/>
        <v>1.0000387021967296</v>
      </c>
      <c r="K42" s="43">
        <v>1</v>
      </c>
      <c r="M42" s="2"/>
    </row>
    <row r="43" spans="1:13" x14ac:dyDescent="0.2">
      <c r="A43" t="s">
        <v>72</v>
      </c>
      <c r="B43" s="25"/>
      <c r="C43" s="41">
        <f>AVERAGE(C35:C39)</f>
        <v>1.1430090487573055</v>
      </c>
      <c r="D43" s="41">
        <f>AVERAGE(D34:D38)</f>
        <v>1.0226035355594132</v>
      </c>
      <c r="E43" s="41">
        <f>AVERAGE(E33:E37)</f>
        <v>1.005405849052718</v>
      </c>
      <c r="F43" s="41">
        <f>AVERAGE(F32:F36)</f>
        <v>1.0022889007199076</v>
      </c>
      <c r="G43" s="41">
        <f>AVERAGE(G31:G35)</f>
        <v>1.0004643141973917</v>
      </c>
      <c r="H43" s="41">
        <f>AVERAGE(H31:H34)</f>
        <v>1.0002701250070927</v>
      </c>
      <c r="I43" s="41">
        <f>AVERAGE(I31:I33)</f>
        <v>1.000193403284813</v>
      </c>
      <c r="J43" s="41">
        <f>AVERAGE(J31:J32)</f>
        <v>1.0000387021967296</v>
      </c>
      <c r="M43" s="2"/>
    </row>
    <row r="44" spans="1:13" x14ac:dyDescent="0.2">
      <c r="A44" t="s">
        <v>265</v>
      </c>
      <c r="C44" s="121">
        <v>1.1518046634807433</v>
      </c>
      <c r="D44" s="121">
        <v>1.04938297043353</v>
      </c>
      <c r="E44" s="121">
        <v>1.0145083799194681</v>
      </c>
      <c r="F44" s="121">
        <v>1.0071475429089967</v>
      </c>
      <c r="G44" s="121">
        <v>1.0021973137770173</v>
      </c>
      <c r="H44" s="121">
        <v>1.0003141516115959</v>
      </c>
      <c r="I44" s="121">
        <v>1.0002109874837291</v>
      </c>
      <c r="J44" s="121">
        <v>1.000101775708528</v>
      </c>
      <c r="K44" s="121">
        <v>1</v>
      </c>
      <c r="L44" s="121"/>
      <c r="M44" s="2"/>
    </row>
    <row r="45" spans="1:13" x14ac:dyDescent="0.2">
      <c r="A45" t="s">
        <v>73</v>
      </c>
      <c r="C45" s="42">
        <f>AVERAGE(C42,C44)</f>
        <v>1.1486443668446169</v>
      </c>
      <c r="D45" s="42">
        <f t="shared" ref="D45:J45" si="10">AVERAGE(D42,D44)</f>
        <v>1.0473529803827892</v>
      </c>
      <c r="E45" s="42">
        <f t="shared" si="10"/>
        <v>1.0111074711240908</v>
      </c>
      <c r="F45" s="42">
        <f t="shared" si="10"/>
        <v>1.0046727622733442</v>
      </c>
      <c r="G45" s="42">
        <f t="shared" si="10"/>
        <v>1.0013308139872046</v>
      </c>
      <c r="H45" s="42">
        <f t="shared" si="10"/>
        <v>1.0002921383093444</v>
      </c>
      <c r="I45" s="42">
        <f t="shared" si="10"/>
        <v>1.000202195384271</v>
      </c>
      <c r="J45" s="42">
        <f t="shared" si="10"/>
        <v>1.0000702389526288</v>
      </c>
      <c r="K45" s="42">
        <f>AVERAGE(K42,K44)</f>
        <v>1</v>
      </c>
      <c r="L45" s="42"/>
      <c r="M45" s="2"/>
    </row>
    <row r="46" spans="1:13" x14ac:dyDescent="0.2">
      <c r="A46" t="s">
        <v>331</v>
      </c>
      <c r="C46" s="36">
        <f t="shared" ref="C46:J46" si="11">ROUND(C45*D46,3)</f>
        <v>1.2230000000000001</v>
      </c>
      <c r="D46" s="36">
        <f t="shared" si="11"/>
        <v>1.0649999999999999</v>
      </c>
      <c r="E46" s="36">
        <f t="shared" si="11"/>
        <v>1.0169999999999999</v>
      </c>
      <c r="F46" s="36">
        <f t="shared" si="11"/>
        <v>1.006</v>
      </c>
      <c r="G46" s="36">
        <f t="shared" si="11"/>
        <v>1.0009999999999999</v>
      </c>
      <c r="H46" s="36">
        <f t="shared" si="11"/>
        <v>1</v>
      </c>
      <c r="I46" s="36">
        <f t="shared" si="11"/>
        <v>1</v>
      </c>
      <c r="J46" s="36">
        <f t="shared" si="11"/>
        <v>1</v>
      </c>
      <c r="K46" s="36">
        <v>1</v>
      </c>
      <c r="M46" s="2"/>
    </row>
    <row r="47" spans="1:13" ht="10.5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0.5" thickTop="1" x14ac:dyDescent="0.2">
      <c r="A48" t="s">
        <v>17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0.5" thickBot="1" x14ac:dyDescent="0.25">
      <c r="M50" s="2"/>
    </row>
    <row r="51" spans="1:13" ht="10.5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ageMargins left="0.5" right="0.5" top="0.5" bottom="0.5" header="0.5" footer="0.5"/>
  <pageSetup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5997-B5B2-4662-9320-B70C2A511345}">
  <sheetPr>
    <pageSetUpPr fitToPage="1"/>
  </sheetPr>
  <dimension ref="A1:I56"/>
  <sheetViews>
    <sheetView showGridLines="0" topLeftCell="A41" workbookViewId="0">
      <selection activeCell="D39" sqref="D39"/>
    </sheetView>
  </sheetViews>
  <sheetFormatPr defaultRowHeight="10" x14ac:dyDescent="0.2"/>
  <cols>
    <col min="1" max="1" width="66.44140625" bestFit="1" customWidth="1"/>
    <col min="2" max="2" width="1.77734375" customWidth="1"/>
    <col min="3" max="3" width="50.109375" customWidth="1"/>
    <col min="4" max="4" width="1.77734375" customWidth="1"/>
    <col min="5" max="5" width="8.77734375" bestFit="1" customWidth="1"/>
    <col min="6" max="6" width="0.33203125" customWidth="1"/>
    <col min="7" max="7" width="8.33203125" bestFit="1" customWidth="1"/>
    <col min="8" max="8" width="1.6640625" customWidth="1"/>
    <col min="9" max="9" width="15.6640625" style="25" bestFit="1" customWidth="1"/>
  </cols>
  <sheetData>
    <row r="1" spans="1:9" ht="10.5" x14ac:dyDescent="0.25">
      <c r="A1" s="8" t="s">
        <v>0</v>
      </c>
    </row>
    <row r="2" spans="1:9" ht="10.5" x14ac:dyDescent="0.25">
      <c r="A2" s="8" t="s">
        <v>1</v>
      </c>
    </row>
    <row r="3" spans="1:9" ht="10.5" x14ac:dyDescent="0.25">
      <c r="A3" s="8" t="s">
        <v>2</v>
      </c>
    </row>
    <row r="4" spans="1:9" ht="10.5" hidden="1" x14ac:dyDescent="0.25">
      <c r="A4" s="8"/>
    </row>
    <row r="5" spans="1:9" ht="10.5" x14ac:dyDescent="0.25">
      <c r="A5" s="346" t="s">
        <v>398</v>
      </c>
      <c r="B5" s="346"/>
      <c r="C5" s="346"/>
      <c r="D5" s="346"/>
      <c r="E5" s="346"/>
      <c r="F5" s="346"/>
      <c r="G5" s="346"/>
      <c r="H5" s="346"/>
      <c r="I5" s="346"/>
    </row>
    <row r="6" spans="1:9" ht="10.5" hidden="1" x14ac:dyDescent="0.25">
      <c r="A6" s="8"/>
    </row>
    <row r="8" spans="1:9" ht="10.5" x14ac:dyDescent="0.25">
      <c r="A8" s="316" t="s">
        <v>399</v>
      </c>
      <c r="C8" s="316" t="s">
        <v>400</v>
      </c>
      <c r="E8" s="316" t="s">
        <v>401</v>
      </c>
      <c r="F8" s="8"/>
      <c r="G8" s="316" t="s">
        <v>402</v>
      </c>
      <c r="H8" s="8"/>
      <c r="I8" s="317" t="s">
        <v>403</v>
      </c>
    </row>
    <row r="9" spans="1:9" x14ac:dyDescent="0.2">
      <c r="A9" t="s">
        <v>3</v>
      </c>
      <c r="C9" t="str">
        <f>'[1]1'!$A$5</f>
        <v>By Method for Projecting Hurricane Loss &amp; LAE</v>
      </c>
      <c r="E9" t="str">
        <f>'[1]1'!$K$1</f>
        <v>Exhibit 1</v>
      </c>
      <c r="G9" s="318"/>
      <c r="H9" s="318"/>
      <c r="I9" s="25">
        <v>1</v>
      </c>
    </row>
    <row r="10" spans="1:9" x14ac:dyDescent="0.2">
      <c r="A10" t="str">
        <f>'[1]2.1'!$A$4</f>
        <v>Projected Ultimate Non-Hurricane Loss &amp; LAE Ratio</v>
      </c>
      <c r="C10" t="str">
        <f>'[1]2.1'!$A$5</f>
        <v>All Territory Weighted Average</v>
      </c>
      <c r="E10" t="str">
        <f>'[1]2.1'!$J$1</f>
        <v>Exhibit 2</v>
      </c>
      <c r="G10" t="str">
        <f>'[1]2.1'!$J$2</f>
        <v>Sheet 1</v>
      </c>
      <c r="I10" s="25">
        <v>2.1</v>
      </c>
    </row>
    <row r="11" spans="1:9" x14ac:dyDescent="0.2">
      <c r="A11" t="str">
        <f>'[1]2.2a'!$A$4</f>
        <v>Projected Ultimate Non-Hurricane Loss &amp; LAE Ratio based on TWIA experience</v>
      </c>
      <c r="C11" t="str">
        <f>'[1]2.2a'!$A$5</f>
        <v>Tier 1 -- Territory 8 (Galveston County)</v>
      </c>
      <c r="E11" t="str">
        <f>'[1]2.2a'!$J$1</f>
        <v>Exhibit 2</v>
      </c>
      <c r="G11" t="str">
        <f>'[1]2.2a'!$J$2</f>
        <v>Sheet 2a</v>
      </c>
      <c r="I11" s="25" t="s">
        <v>404</v>
      </c>
    </row>
    <row r="12" spans="1:9" x14ac:dyDescent="0.2">
      <c r="A12" t="str">
        <f>'[1]2.2b'!$A$4</f>
        <v>Projected Ultimate Non-Hurricane Loss &amp; LAE Ratio based on TWIA experience</v>
      </c>
      <c r="C12" t="str">
        <f>'[1]2.2b'!$A$5</f>
        <v>Tier 1 -- Territory 9 (Nueces County)</v>
      </c>
      <c r="E12" t="str">
        <f>'[1]2.2b'!$J$1</f>
        <v>Exhibit 2</v>
      </c>
      <c r="G12" t="str">
        <f>'[1]2.2b'!$J$2</f>
        <v>Sheet 2b</v>
      </c>
      <c r="I12" s="25" t="s">
        <v>405</v>
      </c>
    </row>
    <row r="13" spans="1:9" x14ac:dyDescent="0.2">
      <c r="A13" t="str">
        <f>'[1]2.3a'!$A$4</f>
        <v>Projected Ultimate Non-Hurricane Loss</v>
      </c>
      <c r="C13" t="str">
        <f>'[1]2.2c'!$A$5</f>
        <v>Tier 1 -- Territory 10 (Other Tier 1)</v>
      </c>
      <c r="E13" t="str">
        <f>'[1]2.2c'!$J$1</f>
        <v>Exhibit 2</v>
      </c>
      <c r="G13" t="str">
        <f>'[1]2.2c'!$J$2</f>
        <v>Sheet 2c</v>
      </c>
      <c r="I13" s="25" t="s">
        <v>406</v>
      </c>
    </row>
    <row r="14" spans="1:9" x14ac:dyDescent="0.2">
      <c r="A14" t="str">
        <f>'[1]2.2d'!$A$4</f>
        <v>Projected Ultimate Non-Hurricane Loss &amp; LAE Ratio based on TWIA experience</v>
      </c>
      <c r="C14" t="str">
        <f>'[1]2.2d'!$A$5</f>
        <v>Tier 2 -- (Territories 1)</v>
      </c>
      <c r="E14" t="str">
        <f>'[1]2.2d'!$J$1</f>
        <v>Exhibit 2</v>
      </c>
      <c r="G14" t="str">
        <f>'[1]2.2d'!$J$2</f>
        <v>Sheet 2d</v>
      </c>
      <c r="I14" s="25" t="s">
        <v>407</v>
      </c>
    </row>
    <row r="15" spans="1:9" x14ac:dyDescent="0.2">
      <c r="A15" t="str">
        <f>'[1]2.3a'!$A$4</f>
        <v>Projected Ultimate Non-Hurricane Loss</v>
      </c>
      <c r="C15" t="str">
        <f>'[1]2.3a'!$A$5</f>
        <v>Tier 1 -- Territory 8 (Galveston County)</v>
      </c>
      <c r="E15" t="str">
        <f>'[1]2.3a'!$J$1</f>
        <v>Exhibit 2</v>
      </c>
      <c r="G15" t="str">
        <f>'[1]2.3a'!$J$2</f>
        <v>Sheet 3a</v>
      </c>
      <c r="I15" s="25" t="s">
        <v>408</v>
      </c>
    </row>
    <row r="16" spans="1:9" x14ac:dyDescent="0.2">
      <c r="A16" t="str">
        <f>'[1]2.3b'!$A$4</f>
        <v>Projected Ultimate Non-Hurricane Loss</v>
      </c>
      <c r="C16" t="str">
        <f>'[1]2.3b'!$A$5</f>
        <v>Tier 1 -- Territory 9 (Nueces County)</v>
      </c>
      <c r="E16" t="str">
        <f>'[1]2.3b'!$J$1</f>
        <v>Exhibit 2</v>
      </c>
      <c r="G16" t="str">
        <f>'[1]2.3b'!$J$2</f>
        <v>Sheet 3b</v>
      </c>
      <c r="I16" s="25" t="s">
        <v>409</v>
      </c>
    </row>
    <row r="17" spans="1:9" x14ac:dyDescent="0.2">
      <c r="A17" t="str">
        <f>'[1]2.3c'!$A$4</f>
        <v>Projected Ultimate Non-Hurricane Loss</v>
      </c>
      <c r="C17" t="str">
        <f>'[1]2.3c'!$A$5</f>
        <v>Tier 1 -- Territory 10 (Other Tier 1)</v>
      </c>
      <c r="E17" t="str">
        <f>'[1]2.3c'!$J$1</f>
        <v>Exhibit 2</v>
      </c>
      <c r="G17" t="str">
        <f>'[1]2.3c'!$J$2</f>
        <v>Sheet 3c</v>
      </c>
      <c r="I17" s="25" t="s">
        <v>410</v>
      </c>
    </row>
    <row r="18" spans="1:9" x14ac:dyDescent="0.2">
      <c r="A18" t="str">
        <f>'[1]2.3d'!$A$4</f>
        <v>Projected Ultimate Non-Hurricane Loss</v>
      </c>
      <c r="C18" t="str">
        <f>'[1]2.3d'!$A$5</f>
        <v>Tier 2 -- (Territories 1 )</v>
      </c>
      <c r="E18" t="str">
        <f>'[1]2.3d'!$J$1</f>
        <v>Exhibit 2</v>
      </c>
      <c r="G18" t="str">
        <f>'[1]2.3d'!$J$2</f>
        <v>Sheet 3d</v>
      </c>
      <c r="I18" s="25" t="s">
        <v>411</v>
      </c>
    </row>
    <row r="19" spans="1:9" x14ac:dyDescent="0.2">
      <c r="A19" t="s">
        <v>431</v>
      </c>
      <c r="C19" t="str">
        <f>'[1]2.4a'!$A$5</f>
        <v>Tier 1 -- Territory 8 (Galveston County)</v>
      </c>
      <c r="E19" t="str">
        <f>'[1]2.4a'!$J$1</f>
        <v>Exhibit 2</v>
      </c>
      <c r="G19" t="str">
        <f>'[1]2.4a'!$J$2</f>
        <v>Sheet 4a</v>
      </c>
      <c r="I19" s="25" t="s">
        <v>412</v>
      </c>
    </row>
    <row r="20" spans="1:9" x14ac:dyDescent="0.2">
      <c r="A20" t="s">
        <v>431</v>
      </c>
      <c r="C20" t="str">
        <f>'[1]2.4b'!$A$5</f>
        <v>Tier 1 -- Territory 9 (Nueces County)</v>
      </c>
      <c r="E20" t="str">
        <f>'[1]2.4b'!$J$1</f>
        <v>Exhibit 2</v>
      </c>
      <c r="G20" t="str">
        <f>'[1]2.4b'!$J$2</f>
        <v>Sheet 4b</v>
      </c>
      <c r="I20" s="25" t="s">
        <v>413</v>
      </c>
    </row>
    <row r="21" spans="1:9" x14ac:dyDescent="0.2">
      <c r="A21" t="s">
        <v>431</v>
      </c>
      <c r="C21" t="str">
        <f>'[1]2.4c'!$A$5</f>
        <v>Tier 1 -- Territory 10 (Other Tier 1)</v>
      </c>
      <c r="E21" t="str">
        <f>'[1]2.4c'!$J$1</f>
        <v>Exhibit 2</v>
      </c>
      <c r="G21" t="str">
        <f>'[1]2.4c'!$J$2</f>
        <v>Sheet 4c</v>
      </c>
      <c r="I21" s="25" t="s">
        <v>414</v>
      </c>
    </row>
    <row r="22" spans="1:9" x14ac:dyDescent="0.2">
      <c r="A22" t="s">
        <v>431</v>
      </c>
      <c r="C22" t="str">
        <f>'[1]2.4d'!$A$5</f>
        <v>Tier 2 -- (Territories 1)</v>
      </c>
      <c r="E22" t="str">
        <f>'[1]2.4d'!$J$1</f>
        <v>Exhibit 2</v>
      </c>
      <c r="G22" t="str">
        <f>'[1]2.4d'!$J$2</f>
        <v>Sheet 4d</v>
      </c>
      <c r="I22" s="25" t="s">
        <v>415</v>
      </c>
    </row>
    <row r="23" spans="1:9" x14ac:dyDescent="0.2">
      <c r="A23" t="str">
        <f>'[1]trend 2.5'!$A$4</f>
        <v>Calculation of Net Trend Factors</v>
      </c>
      <c r="C23" s="296"/>
      <c r="E23" t="str">
        <f>'[1]trend 2.5'!$L$1</f>
        <v>Exhibit 2</v>
      </c>
      <c r="G23" t="str">
        <f>'[1]trend 2.5'!$L$2</f>
        <v>Sheet 5</v>
      </c>
      <c r="I23" s="25" t="s">
        <v>416</v>
      </c>
    </row>
    <row r="24" spans="1:9" x14ac:dyDescent="0.2">
      <c r="A24" t="str">
        <f>'[1]ldf 3.1a'!$A$4</f>
        <v>Paid Loss Development Factors</v>
      </c>
      <c r="C24" t="str">
        <f>'[1]ldf 3.1a'!$A$5</f>
        <v>Statewide Industry Extended Coverage Dwelling Paid Loss</v>
      </c>
      <c r="E24" t="str">
        <f>'[1]ldf 3.1a'!$L$1</f>
        <v>Exhibit 3</v>
      </c>
      <c r="G24" t="str">
        <f>'[1]ldf 3.1a'!$L$2</f>
        <v>Sheet 1</v>
      </c>
      <c r="I24" s="25" t="s">
        <v>417</v>
      </c>
    </row>
    <row r="25" spans="1:9" x14ac:dyDescent="0.2">
      <c r="A25" t="str">
        <f>'[1]ldf 3.1b'!$A$4</f>
        <v>Incurred Loss Development Factors</v>
      </c>
      <c r="C25" t="str">
        <f>'[1]ldf 3.1b'!$A$5</f>
        <v>Statewide Industry Extended Coverage Dwelling Paid Loss</v>
      </c>
      <c r="E25" t="str">
        <f>'[1]ldf 3.1b'!$L$1</f>
        <v>Exhibit 3</v>
      </c>
      <c r="G25" t="str">
        <f>'[1]ldf 3.1b'!$L$2</f>
        <v>Sheet 1</v>
      </c>
      <c r="I25" s="25" t="s">
        <v>418</v>
      </c>
    </row>
    <row r="26" spans="1:9" x14ac:dyDescent="0.2">
      <c r="A26" t="str">
        <f>'[1]3.2 premium trend'!$A$4</f>
        <v>Premium Trend Analysis</v>
      </c>
      <c r="C26" t="str">
        <f>'[1]3.2 premium trend'!$A$5</f>
        <v>TWIA Residential Earned Premium at Present Rates</v>
      </c>
      <c r="I26" s="25" t="s">
        <v>419</v>
      </c>
    </row>
    <row r="27" spans="1:9" x14ac:dyDescent="0.2">
      <c r="A27" t="str">
        <f>'[1]3.3a'!$A$4</f>
        <v>Loss Trend Analysis</v>
      </c>
      <c r="C27" t="str">
        <f>'[1]3.3a'!$A$5</f>
        <v>Summary of Indices and Calculation of Prospective Loss Costs</v>
      </c>
      <c r="E27" t="str">
        <f>'[1]3.3a'!$L$1</f>
        <v>Exhibit 3</v>
      </c>
      <c r="G27" t="str">
        <f>'[1]3.3a'!$L$2</f>
        <v>Sheet 3a</v>
      </c>
      <c r="I27" s="25" t="s">
        <v>420</v>
      </c>
    </row>
    <row r="28" spans="1:9" x14ac:dyDescent="0.2">
      <c r="A28" t="str">
        <f>'[1]3.3b'!$A$4</f>
        <v>Loss Trend Analysis</v>
      </c>
      <c r="C28" t="str">
        <f>'[1]3.3b'!$A$5</f>
        <v>Boeckh Residential Construction Index Trend (Statewide)</v>
      </c>
      <c r="E28" t="str">
        <f>'[1]3.3b'!$L$1</f>
        <v>Exhibit 3</v>
      </c>
      <c r="G28" t="str">
        <f>'[1]3.3b'!$L$2</f>
        <v>Sheet 3b</v>
      </c>
      <c r="I28" s="25" t="s">
        <v>421</v>
      </c>
    </row>
    <row r="29" spans="1:9" x14ac:dyDescent="0.2">
      <c r="A29" t="str">
        <f>'[1]3.3c'!$A$4</f>
        <v>Loss Trend Analysis</v>
      </c>
      <c r="C29" t="str">
        <f>'[1]3.3c'!$A$5</f>
        <v>Boeckh Residential Construction Index Trend (Coastal)</v>
      </c>
      <c r="E29" t="str">
        <f>'[1]3.3c'!$L$1</f>
        <v>Exhibit 3</v>
      </c>
      <c r="G29" t="str">
        <f>'[1]3.3c'!$L$2</f>
        <v>Sheet 3c</v>
      </c>
      <c r="I29" s="25" t="s">
        <v>422</v>
      </c>
    </row>
    <row r="30" spans="1:9" x14ac:dyDescent="0.2">
      <c r="A30" t="str">
        <f>'[1]3.3d'!$A$4</f>
        <v>Loss Trend Analysis</v>
      </c>
      <c r="C30" t="str">
        <f>'[1]3.3d'!$A$5</f>
        <v>Modified Consumer Price Index - External Trend</v>
      </c>
      <c r="E30" t="str">
        <f>'[1]3.3d'!$L$1</f>
        <v>Exhibit 3</v>
      </c>
      <c r="G30" t="str">
        <f>'[1]3.3d'!$L$2</f>
        <v>Sheet 3d</v>
      </c>
      <c r="I30" s="25" t="s">
        <v>423</v>
      </c>
    </row>
    <row r="31" spans="1:9" x14ac:dyDescent="0.2">
      <c r="A31" t="str">
        <f>'[1]4.1'!$A$4</f>
        <v>Development of LAE factor Using TWIA Commercial + Residential Experience</v>
      </c>
      <c r="C31" s="318"/>
      <c r="E31" t="str">
        <f>+'[1]4.1'!J1</f>
        <v>Exhibit 4</v>
      </c>
      <c r="G31" t="str">
        <f>+'[1]4.1'!J2</f>
        <v>Sheet 1</v>
      </c>
      <c r="I31" s="25">
        <v>4.0999999999999996</v>
      </c>
    </row>
    <row r="32" spans="1:9" x14ac:dyDescent="0.2">
      <c r="A32" t="str">
        <f>'[1]4.2'!$A$4</f>
        <v>Ultimate Loss (TWIA All Lines)</v>
      </c>
      <c r="C32" s="318"/>
      <c r="E32" t="str">
        <f>+'[1]4.2'!K1</f>
        <v>Exhibit 4</v>
      </c>
      <c r="G32" t="str">
        <f>+'[1]4.2'!K2</f>
        <v>Sheet 2</v>
      </c>
      <c r="I32" s="25">
        <v>4.2</v>
      </c>
    </row>
    <row r="33" spans="1:9" x14ac:dyDescent="0.2">
      <c r="A33" t="str">
        <f>+'[1]4.3AS loss Dev'!A4</f>
        <v>Incurred Loss Development Factors</v>
      </c>
      <c r="C33" t="str">
        <f>+'[1]4.3AS loss Dev'!A5</f>
        <v>TWIA Schedule P Incurred Loss (Including IBNR)</v>
      </c>
      <c r="E33" t="str">
        <f>+'[1]4.3AS loss Dev'!K1</f>
        <v>Exhibit 4</v>
      </c>
      <c r="G33" t="str">
        <f>+'[1]4.3AS loss Dev'!K2</f>
        <v>Sheet 3</v>
      </c>
      <c r="I33" s="25" t="s">
        <v>424</v>
      </c>
    </row>
    <row r="34" spans="1:9" x14ac:dyDescent="0.2">
      <c r="A34" t="str">
        <f>+'[1]4.4'!A4</f>
        <v>Ultimate LAE (TWIA All Lines)</v>
      </c>
      <c r="C34" s="318"/>
      <c r="E34" t="str">
        <f>+'[1]4.4'!J1</f>
        <v>Exhibit 4</v>
      </c>
      <c r="G34" t="str">
        <f>+'[1]4.4'!J2</f>
        <v>Sheet 4</v>
      </c>
      <c r="I34" s="25">
        <v>4.4000000000000004</v>
      </c>
    </row>
    <row r="35" spans="1:9" x14ac:dyDescent="0.2">
      <c r="A35" t="str">
        <f>+'[1]4.5AS LAE Dev'!A4</f>
        <v>Incurred ALAE Development Factors</v>
      </c>
      <c r="C35" t="str">
        <f>+'[1]4.5AS LAE Dev'!A5</f>
        <v>TWIA Schedule P Incurred ALAE (Including IBNR)</v>
      </c>
      <c r="E35" t="str">
        <f>+'[1]4.5AS LAE Dev'!K1</f>
        <v>Exhibit 4</v>
      </c>
      <c r="G35" t="str">
        <f>+'[1]4.5AS LAE Dev'!K2</f>
        <v>Sheet 5</v>
      </c>
      <c r="I35" s="25" t="s">
        <v>425</v>
      </c>
    </row>
    <row r="36" spans="1:9" x14ac:dyDescent="0.2">
      <c r="A36" t="str">
        <f>+'[1]5'!A4</f>
        <v>Summary of Indicated Hurricane Loss &amp; LAE Ratios</v>
      </c>
      <c r="C36" s="318"/>
      <c r="E36" t="str">
        <f>+'[1]5'!H1</f>
        <v>Exhibit 5</v>
      </c>
      <c r="G36" s="318"/>
      <c r="H36" s="318"/>
      <c r="I36" s="25">
        <v>5</v>
      </c>
    </row>
    <row r="37" spans="1:9" x14ac:dyDescent="0.2">
      <c r="A37" t="str">
        <f>+'[1]6.1'!A4</f>
        <v>Industry Experience -- Residential Extended Coverage</v>
      </c>
      <c r="C37" t="s">
        <v>433</v>
      </c>
      <c r="E37" t="str">
        <f>+'[1]6.1'!K1</f>
        <v>Exhibit 6</v>
      </c>
      <c r="G37" t="str">
        <f>+'[1]6.1'!K2</f>
        <v>Sheet 1</v>
      </c>
      <c r="I37" s="25">
        <v>6.1</v>
      </c>
    </row>
    <row r="38" spans="1:9" x14ac:dyDescent="0.2">
      <c r="A38" t="str">
        <f>+'[1]6.2'!A4</f>
        <v>Industry Experience -- Residential Extended Coverage</v>
      </c>
      <c r="C38" t="s">
        <v>434</v>
      </c>
      <c r="E38" t="str">
        <f>+'[1]6.2'!J1</f>
        <v>Exhibit 6</v>
      </c>
      <c r="G38" t="str">
        <f>+'[1]6.2'!J2</f>
        <v>Sheet 2</v>
      </c>
      <c r="I38" s="25">
        <v>6.2</v>
      </c>
    </row>
    <row r="39" spans="1:9" x14ac:dyDescent="0.2">
      <c r="A39" t="str">
        <f>+'[1]6.3'!A4</f>
        <v>Industry Experience -- Residential Extended Coverage</v>
      </c>
      <c r="I39" s="25">
        <v>6.3</v>
      </c>
    </row>
    <row r="40" spans="1:9" x14ac:dyDescent="0.2">
      <c r="A40" t="str">
        <f>'[1]6.4'!$A$4</f>
        <v>Industry Experience -- Residential Extended Coverage</v>
      </c>
      <c r="C40" t="str">
        <f>+'[1]6.4'!A5</f>
        <v>Tier 1 -- Territory 8 (Galveston County)</v>
      </c>
      <c r="E40" t="str">
        <f>+'[1]6.4'!I1</f>
        <v>Exhibit 6</v>
      </c>
      <c r="G40" t="str">
        <f>+'[1]6.4'!I2</f>
        <v>Sheet 4</v>
      </c>
      <c r="I40" s="25">
        <v>6.4</v>
      </c>
    </row>
    <row r="41" spans="1:9" x14ac:dyDescent="0.2">
      <c r="A41" t="str">
        <f>+'[1]6.5'!A4</f>
        <v>Industry Experience -- Residential Extended Coverage</v>
      </c>
      <c r="C41" t="str">
        <f>+'[1]6.5'!A5</f>
        <v>Tier 1 -- Territory 9 (Nueces County)</v>
      </c>
      <c r="E41" t="str">
        <f>+'[1]6.5'!I1</f>
        <v>Exhibit 6</v>
      </c>
      <c r="G41" t="str">
        <f>+'[1]6.5'!I2</f>
        <v>Sheet 5</v>
      </c>
      <c r="I41" s="25">
        <v>6.5</v>
      </c>
    </row>
    <row r="42" spans="1:9" x14ac:dyDescent="0.2">
      <c r="A42" t="str">
        <f>+'[1]6.5'!A4</f>
        <v>Industry Experience -- Residential Extended Coverage</v>
      </c>
      <c r="C42" t="str">
        <f>+'[1]6.6'!A5</f>
        <v>Tier 1 -- Territory 10 (Other Tier 1)</v>
      </c>
      <c r="E42" t="str">
        <f>+'[1]6.6'!I1</f>
        <v>Exhibit 6</v>
      </c>
      <c r="G42" t="str">
        <f>+'[1]6.6'!I2</f>
        <v>Sheet 6</v>
      </c>
      <c r="I42" s="25">
        <v>6.6</v>
      </c>
    </row>
    <row r="43" spans="1:9" x14ac:dyDescent="0.2">
      <c r="A43" t="str">
        <f>+'[1]6.7'!A4</f>
        <v>Industry Experience -- Residential Extended Coverage</v>
      </c>
      <c r="C43" t="str">
        <f>+'[1]6.7'!A5</f>
        <v>Tier 2 -- (Territories 1 and 11)</v>
      </c>
      <c r="E43" t="str">
        <f>+'[1]6.7'!I1</f>
        <v>Exhibit 6</v>
      </c>
      <c r="G43" t="str">
        <f>+'[1]6.7'!I2</f>
        <v>Sheet 7</v>
      </c>
      <c r="I43" s="25">
        <v>6.7</v>
      </c>
    </row>
    <row r="44" spans="1:9" x14ac:dyDescent="0.2">
      <c r="A44" t="str">
        <f>+'[1]7.1'!A4</f>
        <v>Hurricane Loss Ratio -- AIR Model</v>
      </c>
      <c r="E44" t="str">
        <f>+'[1]7.1'!K1</f>
        <v>Exhibit 7</v>
      </c>
      <c r="G44" t="str">
        <f>+'[1]7.1'!K2</f>
        <v>Sheet 1</v>
      </c>
      <c r="I44" s="25">
        <v>7.1</v>
      </c>
    </row>
    <row r="45" spans="1:9" x14ac:dyDescent="0.2">
      <c r="A45" t="str">
        <f>+'[1]7.2'!A4</f>
        <v>AIR Simulated Hurricane Results</v>
      </c>
      <c r="E45" t="str">
        <f>+'[1]7.2'!K1</f>
        <v>Exhibit 7</v>
      </c>
      <c r="G45" t="str">
        <f>+'[1]7.2'!K2</f>
        <v>Sheet 2</v>
      </c>
      <c r="I45" s="25">
        <v>7.2</v>
      </c>
    </row>
    <row r="46" spans="1:9" x14ac:dyDescent="0.2">
      <c r="A46" t="str">
        <f>+'[1]8.1'!A4</f>
        <v>Hurricane Loss Ratio -- RMS Model</v>
      </c>
      <c r="E46" t="str">
        <f>+'[1]8.1'!K1</f>
        <v>Exhibit 8</v>
      </c>
      <c r="G46" t="str">
        <f>+'[1]8.1'!K2</f>
        <v>Sheet 1</v>
      </c>
      <c r="I46" s="25">
        <v>8.1</v>
      </c>
    </row>
    <row r="47" spans="1:9" x14ac:dyDescent="0.2">
      <c r="A47" t="str">
        <f>+'[1]8.2'!A4</f>
        <v>RMS Simulated Hurricane Results</v>
      </c>
      <c r="E47" t="str">
        <f>+'[1]8.2'!K1</f>
        <v>Exhibit 8</v>
      </c>
      <c r="G47" t="str">
        <f>+'[1]8.2'!K2</f>
        <v>Sheet 2</v>
      </c>
      <c r="I47" s="25">
        <v>8.1999999999999993</v>
      </c>
    </row>
    <row r="48" spans="1:9" x14ac:dyDescent="0.2">
      <c r="A48" t="s">
        <v>432</v>
      </c>
      <c r="E48" t="str">
        <f>+'[1]9'!J1</f>
        <v>Exhibit 9</v>
      </c>
      <c r="G48" s="318"/>
      <c r="H48" s="318"/>
      <c r="I48" s="25">
        <v>9</v>
      </c>
    </row>
    <row r="49" spans="1:9" x14ac:dyDescent="0.2">
      <c r="A49" t="str">
        <f>+'[1]10.1a'!A4</f>
        <v>Calculation of TWIA Earned Premium at Present Rate Level</v>
      </c>
      <c r="C49" t="str">
        <f>+'[1]10.1a'!A5</f>
        <v>Tier 1 -- Territory 8 (Galveston County)</v>
      </c>
      <c r="E49" t="str">
        <f>+'[1]10.1a'!J1</f>
        <v>Exhibit 10</v>
      </c>
      <c r="G49" t="str">
        <f>+'[1]10.1a'!J2</f>
        <v>Sheet 1a</v>
      </c>
      <c r="I49" s="25" t="s">
        <v>426</v>
      </c>
    </row>
    <row r="50" spans="1:9" x14ac:dyDescent="0.2">
      <c r="A50" t="str">
        <f>+'[1]10.1b'!A4</f>
        <v>Calculation of TWIA Earned Premium at Present Rate Level</v>
      </c>
      <c r="C50" t="str">
        <f>+'[1]10.1b'!A5</f>
        <v>Tier 1 -- Territory 9 (Nueces County)</v>
      </c>
      <c r="E50" t="str">
        <f>+'[1]10.1b'!J1</f>
        <v>Exhibit 10</v>
      </c>
      <c r="G50" t="str">
        <f>+'[1]10.1b'!J2</f>
        <v>Sheet 1b</v>
      </c>
      <c r="I50" s="25" t="s">
        <v>427</v>
      </c>
    </row>
    <row r="51" spans="1:9" x14ac:dyDescent="0.2">
      <c r="A51" t="str">
        <f>+'[1]10.1c'!A4</f>
        <v>Calculation of TWIA Earned Premium at Present Rate Level</v>
      </c>
      <c r="C51" t="str">
        <f>+'[1]10.1c'!A5</f>
        <v>Tier 1 -- Territory 10 (Other Tier 1)</v>
      </c>
      <c r="E51" t="str">
        <f>+'[1]10.1c'!J1</f>
        <v>Exhibit 10</v>
      </c>
      <c r="G51" t="str">
        <f>+'[1]10.1c'!J2</f>
        <v>Sheet 1c</v>
      </c>
      <c r="I51" s="25" t="s">
        <v>428</v>
      </c>
    </row>
    <row r="52" spans="1:9" x14ac:dyDescent="0.2">
      <c r="A52" t="str">
        <f>+'[1]10.1d'!A4</f>
        <v>Calculation of TWIA Earned Premium at Present Rate Level</v>
      </c>
      <c r="C52" t="str">
        <f>+'[1]10.1d'!A5</f>
        <v>Tier 2 -- (Territories 1 and 11)</v>
      </c>
      <c r="E52" t="str">
        <f>+'[1]10.1d'!J1</f>
        <v>Exhibit 10</v>
      </c>
      <c r="G52" t="str">
        <f>+'[1]10.1d'!J2</f>
        <v>Sheet 1d</v>
      </c>
      <c r="I52" s="25" t="s">
        <v>429</v>
      </c>
    </row>
    <row r="53" spans="1:9" x14ac:dyDescent="0.2">
      <c r="A53" t="str">
        <f>+'[1]10.2'!A4</f>
        <v>Calculation of TWIA Earned Premium at Present Rate Level</v>
      </c>
      <c r="E53" t="str">
        <f>+'[1]10.2'!J1</f>
        <v>Exhibit 10</v>
      </c>
      <c r="G53" t="str">
        <f>+'[1]10.2'!J2</f>
        <v>Sheet 2</v>
      </c>
      <c r="I53" s="25">
        <v>10.199999999999999</v>
      </c>
    </row>
    <row r="54" spans="1:9" x14ac:dyDescent="0.2">
      <c r="A54" t="str">
        <f>+'[1]11.1'!A4</f>
        <v>Fixed Expenses and Variable Permissible Loss &amp; LAE Ratios</v>
      </c>
      <c r="E54" t="str">
        <f>+'[1]11.1'!J1</f>
        <v>Exhibit 11</v>
      </c>
      <c r="G54" t="str">
        <f>+'[1]11.1'!J2</f>
        <v>Sheet 1</v>
      </c>
      <c r="I54" s="25">
        <v>11.1</v>
      </c>
    </row>
    <row r="55" spans="1:9" x14ac:dyDescent="0.2">
      <c r="A55" t="str">
        <f>+'[1]11.2'!A4</f>
        <v>Development of Reinsurer Expense</v>
      </c>
      <c r="C55" t="str">
        <f>+'[1]11.2'!A5</f>
        <v>Using Average of AIR and  RMS Hurricane Models</v>
      </c>
      <c r="E55" t="str">
        <f>+'[1]11.2'!H1</f>
        <v>Exhibit 11</v>
      </c>
      <c r="G55" t="str">
        <f>+'[1]11.2'!H2</f>
        <v>Sheet 2</v>
      </c>
      <c r="I55" s="25">
        <v>11.2</v>
      </c>
    </row>
    <row r="56" spans="1:9" x14ac:dyDescent="0.2">
      <c r="A56" t="str">
        <f>+'[1]12'!A4</f>
        <v>Reconciliation of Premium Data to Annual Statement</v>
      </c>
      <c r="E56" t="str">
        <f>+'[1]12'!J1</f>
        <v>Exhibit 12</v>
      </c>
      <c r="G56" s="318"/>
      <c r="H56" s="318"/>
      <c r="I56" s="25">
        <v>12</v>
      </c>
    </row>
  </sheetData>
  <mergeCells count="1">
    <mergeCell ref="A5:I5"/>
  </mergeCells>
  <pageMargins left="0.7" right="0.7" top="0.75" bottom="0.75" header="0.3" footer="0.3"/>
  <pageSetup scale="9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1">
    <tabColor rgb="FF92D050"/>
    <pageSetUpPr fitToPage="1"/>
  </sheetPr>
  <dimension ref="A1:R71"/>
  <sheetViews>
    <sheetView showGridLines="0" topLeftCell="A40" workbookViewId="0">
      <selection activeCell="D49" sqref="D49:D52"/>
    </sheetView>
  </sheetViews>
  <sheetFormatPr defaultColWidth="11.33203125" defaultRowHeight="10" x14ac:dyDescent="0.2"/>
  <cols>
    <col min="1" max="1" width="4.44140625" style="96" bestFit="1" customWidth="1"/>
    <col min="2" max="2" width="3.44140625" style="96" customWidth="1"/>
    <col min="3" max="3" width="14.33203125" style="256" customWidth="1"/>
    <col min="4" max="4" width="11.109375" style="96" bestFit="1" customWidth="1"/>
    <col min="5" max="5" width="7.33203125" style="96" bestFit="1" customWidth="1"/>
    <col min="6" max="6" width="15.77734375" style="96" customWidth="1"/>
    <col min="7" max="7" width="16.44140625" style="96" customWidth="1"/>
    <col min="8" max="8" width="18.77734375" style="96" customWidth="1"/>
    <col min="9" max="9" width="11.77734375" style="96" customWidth="1"/>
    <col min="10" max="10" width="12.109375" style="96" customWidth="1"/>
    <col min="11" max="11" width="12" style="96" customWidth="1"/>
    <col min="12" max="12" width="12.6640625" style="96" customWidth="1"/>
    <col min="13" max="16384" width="11.33203125" style="96"/>
  </cols>
  <sheetData>
    <row r="1" spans="1:17" ht="10.5" x14ac:dyDescent="0.25">
      <c r="A1" s="8" t="str">
        <f>'1'!$A$1</f>
        <v>Texas Windstorm Insurance Association</v>
      </c>
      <c r="C1" s="11"/>
      <c r="D1"/>
      <c r="E1"/>
      <c r="F1"/>
      <c r="G1"/>
      <c r="H1"/>
      <c r="L1" s="7" t="s">
        <v>67</v>
      </c>
      <c r="M1" s="1"/>
    </row>
    <row r="2" spans="1:17" ht="10.5" x14ac:dyDescent="0.25">
      <c r="A2" s="8" t="str">
        <f>'1'!$A$2</f>
        <v>Residential Property - Wind &amp; Hail</v>
      </c>
      <c r="C2" s="11"/>
      <c r="D2"/>
      <c r="E2"/>
      <c r="F2"/>
      <c r="G2"/>
      <c r="H2"/>
      <c r="L2" s="7" t="s">
        <v>85</v>
      </c>
      <c r="M2" s="2"/>
    </row>
    <row r="3" spans="1:17" ht="10.5" x14ac:dyDescent="0.25">
      <c r="A3" s="8" t="str">
        <f>'1'!$A$3</f>
        <v>Rate Level Review</v>
      </c>
      <c r="C3" s="11"/>
      <c r="D3"/>
      <c r="E3"/>
      <c r="F3"/>
      <c r="G3"/>
      <c r="H3"/>
      <c r="I3"/>
      <c r="J3"/>
      <c r="K3"/>
      <c r="L3"/>
      <c r="M3" s="2"/>
    </row>
    <row r="4" spans="1:17" x14ac:dyDescent="0.2">
      <c r="A4" t="s">
        <v>230</v>
      </c>
      <c r="C4" s="11"/>
      <c r="D4"/>
      <c r="E4"/>
      <c r="F4"/>
      <c r="G4"/>
      <c r="H4"/>
      <c r="I4"/>
      <c r="J4"/>
      <c r="K4"/>
      <c r="L4"/>
      <c r="M4" s="2"/>
    </row>
    <row r="5" spans="1:17" x14ac:dyDescent="0.2">
      <c r="A5" s="12" t="s">
        <v>294</v>
      </c>
      <c r="C5" s="11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 s="11"/>
      <c r="D6"/>
      <c r="E6"/>
      <c r="F6"/>
      <c r="G6"/>
      <c r="H6"/>
      <c r="I6"/>
      <c r="J6"/>
      <c r="K6"/>
      <c r="L6"/>
      <c r="M6" s="2"/>
    </row>
    <row r="7" spans="1:17" ht="10.5" thickBot="1" x14ac:dyDescent="0.25">
      <c r="A7" s="6"/>
      <c r="B7" s="6"/>
      <c r="C7" s="205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7" ht="10.5" thickTop="1" x14ac:dyDescent="0.2">
      <c r="A8"/>
      <c r="B8"/>
      <c r="C8" s="11"/>
      <c r="D8"/>
      <c r="E8"/>
      <c r="F8"/>
      <c r="G8" s="170" t="s">
        <v>71</v>
      </c>
      <c r="H8" s="50" t="s">
        <v>71</v>
      </c>
      <c r="I8"/>
      <c r="J8"/>
      <c r="K8"/>
      <c r="L8"/>
      <c r="M8" s="2"/>
    </row>
    <row r="9" spans="1:17" x14ac:dyDescent="0.2">
      <c r="A9"/>
      <c r="B9"/>
      <c r="C9" s="251"/>
      <c r="D9" s="12"/>
      <c r="E9" t="s">
        <v>297</v>
      </c>
      <c r="G9" t="s">
        <v>212</v>
      </c>
      <c r="H9" t="s">
        <v>212</v>
      </c>
      <c r="I9"/>
      <c r="J9"/>
      <c r="K9"/>
      <c r="L9"/>
      <c r="M9" s="2"/>
    </row>
    <row r="10" spans="1:17" x14ac:dyDescent="0.2">
      <c r="A10" t="s">
        <v>232</v>
      </c>
      <c r="B10"/>
      <c r="C10" s="11" t="s">
        <v>338</v>
      </c>
      <c r="D10" t="s">
        <v>231</v>
      </c>
      <c r="E10" t="s">
        <v>288</v>
      </c>
      <c r="F10" s="50" t="s">
        <v>212</v>
      </c>
      <c r="G10" s="96" t="s">
        <v>286</v>
      </c>
      <c r="H10" s="96" t="s">
        <v>286</v>
      </c>
      <c r="I10" s="10" t="s">
        <v>287</v>
      </c>
      <c r="J10"/>
      <c r="K10"/>
      <c r="L10"/>
      <c r="M10" s="2"/>
      <c r="N10" s="11" t="s">
        <v>233</v>
      </c>
    </row>
    <row r="11" spans="1:17" x14ac:dyDescent="0.2">
      <c r="A11" s="9" t="s">
        <v>234</v>
      </c>
      <c r="B11" s="9"/>
      <c r="C11" s="252" t="s">
        <v>231</v>
      </c>
      <c r="D11" s="9" t="s">
        <v>127</v>
      </c>
      <c r="E11" s="9" t="s">
        <v>293</v>
      </c>
      <c r="F11" s="300" t="s">
        <v>286</v>
      </c>
      <c r="G11" s="300" t="s">
        <v>339</v>
      </c>
      <c r="H11" s="300" t="s">
        <v>340</v>
      </c>
      <c r="I11" s="9" t="s">
        <v>289</v>
      </c>
      <c r="J11" s="9" t="s">
        <v>281</v>
      </c>
      <c r="K11" s="9" t="s">
        <v>282</v>
      </c>
      <c r="L11" s="9" t="s">
        <v>283</v>
      </c>
      <c r="M11" s="2"/>
      <c r="N11" s="249" t="s">
        <v>34</v>
      </c>
      <c r="O11" s="248" t="s">
        <v>235</v>
      </c>
    </row>
    <row r="12" spans="1:17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302" t="s">
        <v>123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7" x14ac:dyDescent="0.2">
      <c r="A13"/>
      <c r="B13"/>
      <c r="C13" s="11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s="72" t="str">
        <f t="shared" ref="A14:A48" si="1">YEAR(N14)&amp;" / "&amp;MONTH(N14)/3</f>
        <v>2011 / 2</v>
      </c>
      <c r="C14" s="253">
        <f>'[4]TWIA 4 Premium Trend'!F22</f>
        <v>75601</v>
      </c>
      <c r="D14" s="174">
        <f>'[4]TWIA 4 Premium Trend'!E22</f>
        <v>90742856</v>
      </c>
      <c r="E14" s="336">
        <f>'[5]3.2 premium trend'!E14</f>
        <v>1.3400956406250004</v>
      </c>
      <c r="F14" s="280">
        <f>D14*E14</f>
        <v>121604105.74346216</v>
      </c>
      <c r="G14" s="273">
        <f>F14/C14</f>
        <v>1608.4986408045154</v>
      </c>
      <c r="H14" s="273"/>
      <c r="I14" s="19"/>
      <c r="J14" s="19"/>
      <c r="K14" s="19"/>
      <c r="L14" s="19"/>
      <c r="M14" s="2"/>
      <c r="N14" s="168">
        <f t="shared" ref="N14:N43" si="2">DATE(YEAR(N15+1),MONTH(N15+1)-3,1)-1</f>
        <v>40724</v>
      </c>
      <c r="O14" s="169">
        <f t="shared" ref="O14:O48" si="3">YEAR(N14)+MONTH(N14)/12</f>
        <v>2011.5</v>
      </c>
      <c r="Q14" s="340">
        <f>D14/C14</f>
        <v>1200.2864512374174</v>
      </c>
    </row>
    <row r="15" spans="1:17" x14ac:dyDescent="0.2">
      <c r="A15" s="72" t="str">
        <f t="shared" si="1"/>
        <v>2011 / 3</v>
      </c>
      <c r="C15" s="253">
        <f>'[4]TWIA 4 Premium Trend'!F23</f>
        <v>82435</v>
      </c>
      <c r="D15" s="174">
        <f>'[4]TWIA 4 Premium Trend'!E23</f>
        <v>99110457</v>
      </c>
      <c r="E15" s="336">
        <f>'[5]3.2 premium trend'!E15</f>
        <v>1.3400956406250004</v>
      </c>
      <c r="F15" s="280">
        <f t="shared" ref="F15:F51" si="4">D15*E15</f>
        <v>132817491.36605155</v>
      </c>
      <c r="G15" s="273">
        <f t="shared" ref="G15:G52" si="5">F15/C15</f>
        <v>1611.1783995396561</v>
      </c>
      <c r="H15" s="273"/>
      <c r="I15" s="19"/>
      <c r="J15" s="19"/>
      <c r="K15" s="19"/>
      <c r="L15" s="19"/>
      <c r="M15" s="2"/>
      <c r="N15" s="168">
        <f t="shared" si="2"/>
        <v>40816</v>
      </c>
      <c r="O15" s="169">
        <f t="shared" si="3"/>
        <v>2011.75</v>
      </c>
      <c r="Q15" s="340">
        <f t="shared" ref="Q15:Q52" si="6">D15/C15</f>
        <v>1202.2861284648511</v>
      </c>
    </row>
    <row r="16" spans="1:17" x14ac:dyDescent="0.2">
      <c r="A16" s="72" t="str">
        <f t="shared" si="1"/>
        <v>2011 / 4</v>
      </c>
      <c r="C16" s="253">
        <f>'[4]TWIA 4 Premium Trend'!F24</f>
        <v>54497</v>
      </c>
      <c r="D16" s="174">
        <f>'[4]TWIA 4 Premium Trend'!E24</f>
        <v>66729933</v>
      </c>
      <c r="E16" s="336">
        <f>'[5]3.2 premium trend'!E16</f>
        <v>1.3400956406250004</v>
      </c>
      <c r="F16" s="280">
        <f t="shared" si="4"/>
        <v>89424492.312498361</v>
      </c>
      <c r="G16" s="273">
        <f t="shared" si="5"/>
        <v>1640.9066978457229</v>
      </c>
      <c r="H16" s="273"/>
      <c r="I16" s="19"/>
      <c r="J16" s="19"/>
      <c r="K16" s="19"/>
      <c r="L16" s="19"/>
      <c r="M16" s="2"/>
      <c r="N16" s="168">
        <f t="shared" si="2"/>
        <v>40908</v>
      </c>
      <c r="O16" s="169">
        <f t="shared" si="3"/>
        <v>2012</v>
      </c>
      <c r="Q16" s="340">
        <f t="shared" si="6"/>
        <v>1224.4698423766447</v>
      </c>
    </row>
    <row r="17" spans="1:18" x14ac:dyDescent="0.2">
      <c r="A17" s="72" t="str">
        <f t="shared" si="1"/>
        <v>2012 / 1</v>
      </c>
      <c r="B17"/>
      <c r="C17" s="253">
        <f>'[4]TWIA 4 Premium Trend'!F25</f>
        <v>54769</v>
      </c>
      <c r="D17" s="174">
        <f>'[4]TWIA 4 Premium Trend'!E25</f>
        <v>68658174</v>
      </c>
      <c r="E17" s="336">
        <f>'[5]3.2 premium trend'!E17</f>
        <v>1.2762815625000004</v>
      </c>
      <c r="F17" s="280">
        <f t="shared" si="4"/>
        <v>87627161.591116905</v>
      </c>
      <c r="G17" s="273">
        <f t="shared" si="5"/>
        <v>1599.9408714987842</v>
      </c>
      <c r="H17" s="301">
        <f>IFERROR(SUM(F14:F17)/SUM(C14:C17),0)</f>
        <v>1614.1789100460489</v>
      </c>
      <c r="I17" s="265">
        <f>GROWTH($H$17:$H$52,$O$17:$O$52,$O17,1)</f>
        <v>1610.3687290000994</v>
      </c>
      <c r="M17" s="2"/>
      <c r="N17" s="168">
        <f t="shared" si="2"/>
        <v>40999</v>
      </c>
      <c r="O17" s="169">
        <f t="shared" si="3"/>
        <v>2012.25</v>
      </c>
      <c r="Q17" s="340">
        <f t="shared" si="6"/>
        <v>1253.5955376216473</v>
      </c>
    </row>
    <row r="18" spans="1:18" x14ac:dyDescent="0.2">
      <c r="A18" s="72" t="str">
        <f t="shared" si="1"/>
        <v>2012 / 2</v>
      </c>
      <c r="B18" s="51"/>
      <c r="C18" s="253">
        <f>'[4]TWIA 4 Premium Trend'!F26</f>
        <v>77155</v>
      </c>
      <c r="D18" s="174">
        <f>'[4]TWIA 4 Premium Trend'!E26</f>
        <v>96214511</v>
      </c>
      <c r="E18" s="336">
        <f>'[5]3.2 premium trend'!E18</f>
        <v>1.2762815625000004</v>
      </c>
      <c r="F18" s="280">
        <f t="shared" si="4"/>
        <v>122796806.43425347</v>
      </c>
      <c r="G18" s="273">
        <f t="shared" si="5"/>
        <v>1591.5599304549733</v>
      </c>
      <c r="H18" s="301">
        <f>IFERROR(SUM(F15:F18)/SUM(C15:C18),0)</f>
        <v>1609.2850883146377</v>
      </c>
      <c r="I18" s="265">
        <f t="shared" ref="I18:I52" si="7">GROWTH($H$17:$H$52,$O$17:$O$52,$O18,1)</f>
        <v>1612.2960928663383</v>
      </c>
      <c r="J18" s="266"/>
      <c r="K18" s="266"/>
      <c r="L18" s="266"/>
      <c r="M18" s="2"/>
      <c r="N18" s="168">
        <f t="shared" si="2"/>
        <v>41090</v>
      </c>
      <c r="O18" s="169">
        <f t="shared" si="3"/>
        <v>2012.5</v>
      </c>
      <c r="Q18" s="340">
        <f t="shared" si="6"/>
        <v>1247.0288510141922</v>
      </c>
    </row>
    <row r="19" spans="1:18" x14ac:dyDescent="0.2">
      <c r="A19" s="72" t="str">
        <f t="shared" si="1"/>
        <v>2012 / 3</v>
      </c>
      <c r="C19" s="253">
        <f>'[4]TWIA 4 Premium Trend'!F27</f>
        <v>89431</v>
      </c>
      <c r="D19" s="174">
        <f>'[4]TWIA 4 Premium Trend'!E27</f>
        <v>112131482</v>
      </c>
      <c r="E19" s="336">
        <f>'[5]3.2 premium trend'!E19</f>
        <v>1.2762815625000004</v>
      </c>
      <c r="F19" s="280">
        <f t="shared" si="4"/>
        <v>143111343.05240068</v>
      </c>
      <c r="G19" s="273">
        <f t="shared" si="5"/>
        <v>1600.2431265713308</v>
      </c>
      <c r="H19" s="301">
        <f t="shared" ref="H19:H51" si="8">IFERROR(SUM(F16:F19)/SUM(C16:C19),0)</f>
        <v>1605.7878985480236</v>
      </c>
      <c r="I19" s="265">
        <f t="shared" si="7"/>
        <v>1614.2257634909026</v>
      </c>
      <c r="J19" s="264"/>
      <c r="K19" s="264"/>
      <c r="L19" s="264"/>
      <c r="M19" s="2"/>
      <c r="N19" s="168">
        <f t="shared" si="2"/>
        <v>41182</v>
      </c>
      <c r="O19" s="169">
        <f t="shared" si="3"/>
        <v>2012.75</v>
      </c>
      <c r="P19" s="234"/>
      <c r="Q19" s="340">
        <f t="shared" si="6"/>
        <v>1253.8323623799354</v>
      </c>
    </row>
    <row r="20" spans="1:18" x14ac:dyDescent="0.2">
      <c r="A20" s="72" t="str">
        <f t="shared" si="1"/>
        <v>2012 / 4</v>
      </c>
      <c r="C20" s="253">
        <f>'[4]TWIA 4 Premium Trend'!F28</f>
        <v>54952</v>
      </c>
      <c r="D20" s="174">
        <f>'[4]TWIA 4 Premium Trend'!E28</f>
        <v>70018382</v>
      </c>
      <c r="E20" s="336">
        <f>'[5]3.2 premium trend'!E20</f>
        <v>1.2762815625000004</v>
      </c>
      <c r="F20" s="280">
        <f t="shared" si="4"/>
        <v>89363169.9826819</v>
      </c>
      <c r="G20" s="273">
        <f t="shared" si="5"/>
        <v>1626.2041414813273</v>
      </c>
      <c r="H20" s="301">
        <f t="shared" si="8"/>
        <v>1602.9216815370328</v>
      </c>
      <c r="I20" s="265">
        <f t="shared" si="7"/>
        <v>1616.1577436346281</v>
      </c>
      <c r="J20" s="267"/>
      <c r="K20" s="267"/>
      <c r="L20" s="267"/>
      <c r="M20" s="2"/>
      <c r="N20" s="168">
        <f t="shared" si="2"/>
        <v>41274</v>
      </c>
      <c r="O20" s="169">
        <f t="shared" si="3"/>
        <v>2013</v>
      </c>
      <c r="P20" s="234"/>
      <c r="Q20" s="340">
        <f t="shared" si="6"/>
        <v>1274.1734968699957</v>
      </c>
    </row>
    <row r="21" spans="1:18" x14ac:dyDescent="0.2">
      <c r="A21" s="72" t="str">
        <f t="shared" si="1"/>
        <v>2013 / 1</v>
      </c>
      <c r="B21"/>
      <c r="C21" s="253">
        <f>'[4]TWIA 4 Premium Trend'!F29</f>
        <v>54742</v>
      </c>
      <c r="D21" s="174">
        <f>'[4]TWIA 4 Premium Trend'!E29</f>
        <v>71740155</v>
      </c>
      <c r="E21" s="336">
        <f>'[5]3.2 premium trend'!E21</f>
        <v>1.2155062500000002</v>
      </c>
      <c r="F21" s="280">
        <f t="shared" si="4"/>
        <v>87200606.778468773</v>
      </c>
      <c r="G21" s="273">
        <f t="shared" si="5"/>
        <v>1592.9379046886993</v>
      </c>
      <c r="H21" s="301">
        <f t="shared" si="8"/>
        <v>1601.5344080201419</v>
      </c>
      <c r="I21" s="265">
        <f t="shared" si="7"/>
        <v>1618.0920360616565</v>
      </c>
      <c r="J21" s="267"/>
      <c r="K21" s="267"/>
      <c r="L21" s="267"/>
      <c r="M21" s="2"/>
      <c r="N21" s="168">
        <f t="shared" si="2"/>
        <v>41364</v>
      </c>
      <c r="O21" s="169">
        <f t="shared" si="3"/>
        <v>2013.25</v>
      </c>
      <c r="P21" s="234"/>
      <c r="Q21" s="340">
        <f t="shared" si="6"/>
        <v>1310.5139563771875</v>
      </c>
    </row>
    <row r="22" spans="1:18" x14ac:dyDescent="0.2">
      <c r="A22" s="72" t="str">
        <f t="shared" si="1"/>
        <v>2013 / 2</v>
      </c>
      <c r="B22" s="25"/>
      <c r="C22" s="253">
        <f>'[4]TWIA 4 Premium Trend'!F30</f>
        <v>82182</v>
      </c>
      <c r="D22" s="174">
        <f>'[4]TWIA 4 Premium Trend'!E30</f>
        <v>108632729</v>
      </c>
      <c r="E22" s="336">
        <f>'[5]3.2 premium trend'!E22</f>
        <v>1.2155062500000002</v>
      </c>
      <c r="F22" s="280">
        <f t="shared" si="4"/>
        <v>132043761.05405627</v>
      </c>
      <c r="G22" s="273">
        <f t="shared" si="5"/>
        <v>1606.7236262692106</v>
      </c>
      <c r="H22" s="301">
        <f t="shared" si="8"/>
        <v>1605.786137094376</v>
      </c>
      <c r="I22" s="265">
        <f t="shared" si="7"/>
        <v>1620.02864353943</v>
      </c>
      <c r="J22" s="267"/>
      <c r="K22" s="267"/>
      <c r="L22" s="267"/>
      <c r="M22" s="2"/>
      <c r="N22" s="168">
        <f t="shared" si="2"/>
        <v>41455</v>
      </c>
      <c r="O22" s="169">
        <f t="shared" si="3"/>
        <v>2013.5</v>
      </c>
      <c r="P22" s="234"/>
      <c r="Q22" s="340">
        <f t="shared" si="6"/>
        <v>1321.8555036382663</v>
      </c>
    </row>
    <row r="23" spans="1:18" x14ac:dyDescent="0.2">
      <c r="A23" s="72" t="str">
        <f t="shared" si="1"/>
        <v>2013 / 3</v>
      </c>
      <c r="B23" s="25"/>
      <c r="C23" s="253">
        <f>'[4]TWIA 4 Premium Trend'!F31</f>
        <v>83114</v>
      </c>
      <c r="D23" s="174">
        <f>'[4]TWIA 4 Premium Trend'!E31</f>
        <v>111540208</v>
      </c>
      <c r="E23" s="336">
        <f>'[5]3.2 premium trend'!E23</f>
        <v>1.2155062500000002</v>
      </c>
      <c r="F23" s="280">
        <f t="shared" si="4"/>
        <v>135577819.95030004</v>
      </c>
      <c r="G23" s="273">
        <f t="shared" si="5"/>
        <v>1631.2272294715697</v>
      </c>
      <c r="H23" s="301">
        <f t="shared" si="8"/>
        <v>1615.2782201734863</v>
      </c>
      <c r="I23" s="265">
        <f t="shared" si="7"/>
        <v>1621.9675688387115</v>
      </c>
      <c r="J23" s="267"/>
      <c r="K23" s="267"/>
      <c r="L23" s="267"/>
      <c r="M23" s="2"/>
      <c r="N23" s="168">
        <f t="shared" si="2"/>
        <v>41547</v>
      </c>
      <c r="O23" s="169">
        <f t="shared" si="3"/>
        <v>2013.75</v>
      </c>
      <c r="P23" s="235"/>
      <c r="Q23" s="340">
        <f t="shared" si="6"/>
        <v>1342.0146786341652</v>
      </c>
    </row>
    <row r="24" spans="1:18" x14ac:dyDescent="0.2">
      <c r="A24" s="72" t="str">
        <f t="shared" si="1"/>
        <v>2013 / 4</v>
      </c>
      <c r="B24" s="25"/>
      <c r="C24" s="253">
        <f>'[4]TWIA 4 Premium Trend'!F32</f>
        <v>60544</v>
      </c>
      <c r="D24" s="174">
        <f>'[4]TWIA 4 Premium Trend'!E32</f>
        <v>81734680</v>
      </c>
      <c r="E24" s="336">
        <f>'[5]3.2 premium trend'!E24</f>
        <v>1.2155062500000002</v>
      </c>
      <c r="F24" s="280">
        <f t="shared" si="4"/>
        <v>99349014.381750017</v>
      </c>
      <c r="G24" s="273">
        <f t="shared" si="5"/>
        <v>1640.939058895184</v>
      </c>
      <c r="H24" s="301">
        <f t="shared" si="8"/>
        <v>1618.6754751358787</v>
      </c>
      <c r="I24" s="265">
        <f t="shared" si="7"/>
        <v>1623.9088147335769</v>
      </c>
      <c r="J24" s="267"/>
      <c r="K24" s="267"/>
      <c r="L24" s="267"/>
      <c r="M24" s="2"/>
      <c r="N24" s="168">
        <f t="shared" si="2"/>
        <v>41639</v>
      </c>
      <c r="O24" s="169">
        <f t="shared" si="3"/>
        <v>2014</v>
      </c>
      <c r="P24" s="235"/>
      <c r="Q24" s="340">
        <f t="shared" si="6"/>
        <v>1350.0046247357293</v>
      </c>
    </row>
    <row r="25" spans="1:18" x14ac:dyDescent="0.2">
      <c r="A25" s="72" t="str">
        <f t="shared" si="1"/>
        <v>2014 / 1</v>
      </c>
      <c r="B25" s="25"/>
      <c r="C25" s="253">
        <f>'[4]TWIA 4 Premium Trend'!F33</f>
        <v>55592</v>
      </c>
      <c r="D25" s="174">
        <f>'[4]TWIA 4 Premium Trend'!E33</f>
        <v>77867785</v>
      </c>
      <c r="E25" s="336">
        <f>'[5]3.2 premium trend'!E25</f>
        <v>1.1576250000000001</v>
      </c>
      <c r="F25" s="280">
        <f t="shared" si="4"/>
        <v>90141694.610625014</v>
      </c>
      <c r="G25" s="273">
        <f t="shared" si="5"/>
        <v>1621.4868076454347</v>
      </c>
      <c r="H25" s="301">
        <f>IFERROR(SUM(F22:F25)/SUM(C22:C25),0)</f>
        <v>1624.2370803488282</v>
      </c>
      <c r="I25" s="265">
        <f t="shared" si="7"/>
        <v>1625.8523840014227</v>
      </c>
      <c r="J25" s="265"/>
      <c r="K25" s="265"/>
      <c r="L25" s="265"/>
      <c r="M25" s="2"/>
      <c r="N25" s="168">
        <f t="shared" si="2"/>
        <v>41729</v>
      </c>
      <c r="O25" s="169">
        <f t="shared" si="3"/>
        <v>2014.25</v>
      </c>
      <c r="P25" s="235"/>
      <c r="Q25" s="341">
        <f t="shared" si="6"/>
        <v>1400.7012699669017</v>
      </c>
    </row>
    <row r="26" spans="1:18" x14ac:dyDescent="0.2">
      <c r="A26" s="72" t="str">
        <f t="shared" si="1"/>
        <v>2014 / 2</v>
      </c>
      <c r="B26" s="25"/>
      <c r="C26" s="253">
        <f>'[4]TWIA 4 Premium Trend'!F34</f>
        <v>79155</v>
      </c>
      <c r="D26" s="174">
        <f>'[4]TWIA 4 Premium Trend'!E34</f>
        <v>111616003</v>
      </c>
      <c r="E26" s="336">
        <f>'[5]3.2 premium trend'!E26</f>
        <v>1.1576250000000001</v>
      </c>
      <c r="F26" s="280">
        <f t="shared" si="4"/>
        <v>129209475.47287501</v>
      </c>
      <c r="G26" s="273">
        <f t="shared" si="5"/>
        <v>1632.3602485361002</v>
      </c>
      <c r="H26" s="301">
        <f t="shared" si="8"/>
        <v>1631.7164002641837</v>
      </c>
      <c r="I26" s="265">
        <f t="shared" si="7"/>
        <v>1627.798279422969</v>
      </c>
      <c r="J26" s="265"/>
      <c r="K26" s="265"/>
      <c r="L26" s="265"/>
      <c r="M26" s="2"/>
      <c r="N26" s="168">
        <f t="shared" si="2"/>
        <v>41820</v>
      </c>
      <c r="O26" s="169">
        <f t="shared" si="3"/>
        <v>2014.5</v>
      </c>
      <c r="P26" s="235"/>
      <c r="Q26" s="341">
        <f t="shared" si="6"/>
        <v>1410.0941570336681</v>
      </c>
    </row>
    <row r="27" spans="1:18" x14ac:dyDescent="0.2">
      <c r="A27" s="72" t="str">
        <f t="shared" si="1"/>
        <v>2014 / 3</v>
      </c>
      <c r="B27" s="25"/>
      <c r="C27" s="253">
        <f>'[4]TWIA 4 Premium Trend'!F35</f>
        <v>89874</v>
      </c>
      <c r="D27" s="174">
        <f>'[4]TWIA 4 Premium Trend'!E35</f>
        <v>128096479</v>
      </c>
      <c r="E27" s="336">
        <f>'[5]3.2 premium trend'!E27</f>
        <v>1.1576250000000001</v>
      </c>
      <c r="F27" s="280">
        <f t="shared" si="4"/>
        <v>148287686.50237501</v>
      </c>
      <c r="G27" s="273">
        <f t="shared" si="5"/>
        <v>1649.9508923868416</v>
      </c>
      <c r="H27" s="301">
        <f t="shared" si="8"/>
        <v>1637.6058456249013</v>
      </c>
      <c r="I27" s="265">
        <f t="shared" si="7"/>
        <v>1629.7465037822676</v>
      </c>
      <c r="J27" s="265"/>
      <c r="K27" s="265"/>
      <c r="L27" s="265"/>
      <c r="M27" s="2"/>
      <c r="N27" s="168">
        <f t="shared" si="2"/>
        <v>41912</v>
      </c>
      <c r="O27" s="169">
        <f t="shared" si="3"/>
        <v>2014.75</v>
      </c>
      <c r="P27" s="235"/>
      <c r="Q27" s="341">
        <f t="shared" si="6"/>
        <v>1425.2896165743152</v>
      </c>
    </row>
    <row r="28" spans="1:18" x14ac:dyDescent="0.2">
      <c r="A28" s="72" t="str">
        <f t="shared" si="1"/>
        <v>2014 / 4</v>
      </c>
      <c r="B28" s="25"/>
      <c r="C28" s="253">
        <f>'[4]TWIA 4 Premium Trend'!F36</f>
        <v>60646</v>
      </c>
      <c r="D28" s="174">
        <f>'[4]TWIA 4 Premium Trend'!E36</f>
        <v>86711448</v>
      </c>
      <c r="E28" s="336">
        <f>'[5]3.2 premium trend'!E28</f>
        <v>1.1576250000000001</v>
      </c>
      <c r="F28" s="280">
        <f t="shared" si="4"/>
        <v>100379339.99100001</v>
      </c>
      <c r="G28" s="273">
        <f t="shared" si="5"/>
        <v>1655.168353906276</v>
      </c>
      <c r="H28" s="301">
        <f>IFERROR(SUM(F25:F28)/SUM(C25:C28),0)</f>
        <v>1640.632097567805</v>
      </c>
      <c r="I28" s="265">
        <f>GROWTH($H$17:$H$52,$O$17:$O$52,$O28,1)</f>
        <v>1631.6970598666926</v>
      </c>
      <c r="J28" s="265"/>
      <c r="K28" s="265"/>
      <c r="L28" s="265"/>
      <c r="M28" s="2"/>
      <c r="N28" s="168">
        <f t="shared" si="2"/>
        <v>42004</v>
      </c>
      <c r="O28" s="169">
        <f t="shared" si="3"/>
        <v>2015</v>
      </c>
      <c r="P28" s="235"/>
      <c r="Q28" s="341">
        <f t="shared" si="6"/>
        <v>1429.7966560036937</v>
      </c>
    </row>
    <row r="29" spans="1:18" x14ac:dyDescent="0.2">
      <c r="A29" s="72" t="str">
        <f t="shared" si="1"/>
        <v>2015 / 1</v>
      </c>
      <c r="B29" s="25"/>
      <c r="C29" s="253">
        <f>'[4]TWIA 4 Premium Trend'!F37</f>
        <v>57651</v>
      </c>
      <c r="D29" s="174">
        <f>'[4]TWIA 4 Premium Trend'!E37</f>
        <v>85327979</v>
      </c>
      <c r="E29" s="336">
        <f>'[5]3.2 premium trend'!E29</f>
        <v>1.1025</v>
      </c>
      <c r="F29" s="280">
        <f t="shared" si="4"/>
        <v>94074096.847499996</v>
      </c>
      <c r="G29" s="273">
        <f t="shared" si="5"/>
        <v>1631.7860374928448</v>
      </c>
      <c r="H29" s="301">
        <f t="shared" si="8"/>
        <v>1642.5614069515116</v>
      </c>
      <c r="I29" s="265">
        <f t="shared" si="7"/>
        <v>1633.6499504669639</v>
      </c>
      <c r="J29" s="265"/>
      <c r="K29" s="265"/>
      <c r="L29" s="265"/>
      <c r="M29" s="2"/>
      <c r="N29" s="168">
        <f t="shared" si="2"/>
        <v>42094</v>
      </c>
      <c r="O29" s="169">
        <f t="shared" si="3"/>
        <v>2015.25</v>
      </c>
      <c r="P29" s="235"/>
      <c r="Q29" s="341">
        <f t="shared" si="6"/>
        <v>1480.0780385422629</v>
      </c>
      <c r="R29" s="235"/>
    </row>
    <row r="30" spans="1:18" x14ac:dyDescent="0.2">
      <c r="A30" s="72" t="str">
        <f t="shared" si="1"/>
        <v>2015 / 2</v>
      </c>
      <c r="B30" s="25"/>
      <c r="C30" s="253">
        <f>'[4]TWIA 4 Premium Trend'!F38</f>
        <v>82158</v>
      </c>
      <c r="D30" s="174">
        <f>'[4]TWIA 4 Premium Trend'!E38</f>
        <v>122581230</v>
      </c>
      <c r="E30" s="336">
        <f>'[5]3.2 premium trend'!E30</f>
        <v>1.1025</v>
      </c>
      <c r="F30" s="280">
        <f t="shared" si="4"/>
        <v>135145806.07500002</v>
      </c>
      <c r="G30" s="273">
        <f t="shared" si="5"/>
        <v>1644.9500483823854</v>
      </c>
      <c r="H30" s="301">
        <f t="shared" si="8"/>
        <v>1646.0185837993279</v>
      </c>
      <c r="I30" s="265">
        <f t="shared" si="7"/>
        <v>1635.6051783771386</v>
      </c>
      <c r="J30" s="265"/>
      <c r="K30" s="265"/>
      <c r="L30" s="265"/>
      <c r="M30" s="2"/>
      <c r="N30" s="168">
        <f t="shared" si="2"/>
        <v>42185</v>
      </c>
      <c r="O30" s="169">
        <f t="shared" si="3"/>
        <v>2015.5</v>
      </c>
      <c r="P30" s="235"/>
      <c r="Q30" s="341">
        <f t="shared" si="6"/>
        <v>1492.0181844738188</v>
      </c>
      <c r="R30" s="235"/>
    </row>
    <row r="31" spans="1:18" x14ac:dyDescent="0.2">
      <c r="A31" s="72" t="str">
        <f t="shared" si="1"/>
        <v>2015 / 3</v>
      </c>
      <c r="B31" s="51"/>
      <c r="C31" s="253">
        <f>'[4]TWIA 4 Premium Trend'!F39</f>
        <v>84402</v>
      </c>
      <c r="D31" s="174">
        <f>'[4]TWIA 4 Premium Trend'!E39</f>
        <v>127421809</v>
      </c>
      <c r="E31" s="336">
        <f>'[5]3.2 premium trend'!E31</f>
        <v>1.1025</v>
      </c>
      <c r="F31" s="280">
        <f t="shared" si="4"/>
        <v>140482544.42250001</v>
      </c>
      <c r="G31" s="273">
        <f t="shared" si="5"/>
        <v>1664.4456816485392</v>
      </c>
      <c r="H31" s="301">
        <f t="shared" si="8"/>
        <v>1650.2377941774296</v>
      </c>
      <c r="I31" s="265">
        <f t="shared" si="7"/>
        <v>1637.5627463946166</v>
      </c>
      <c r="J31" s="265"/>
      <c r="K31" s="265"/>
      <c r="L31" s="265"/>
      <c r="M31" s="2"/>
      <c r="N31" s="168">
        <f t="shared" si="2"/>
        <v>42277</v>
      </c>
      <c r="O31" s="169">
        <f t="shared" si="3"/>
        <v>2015.75</v>
      </c>
      <c r="P31" s="235"/>
      <c r="Q31" s="341">
        <f t="shared" si="6"/>
        <v>1509.7012985474278</v>
      </c>
      <c r="R31" s="235"/>
    </row>
    <row r="32" spans="1:18" x14ac:dyDescent="0.2">
      <c r="A32" s="72" t="str">
        <f t="shared" si="1"/>
        <v>2015 / 4</v>
      </c>
      <c r="B32" s="50"/>
      <c r="C32" s="253">
        <f>'[4]TWIA 4 Premium Trend'!F40</f>
        <v>57308</v>
      </c>
      <c r="D32" s="174">
        <f>'[4]TWIA 4 Premium Trend'!E40</f>
        <v>87342988</v>
      </c>
      <c r="E32" s="336">
        <f>'[5]3.2 premium trend'!E32</f>
        <v>1.1025</v>
      </c>
      <c r="F32" s="280">
        <f t="shared" si="4"/>
        <v>96295644.269999996</v>
      </c>
      <c r="G32" s="273">
        <f t="shared" si="5"/>
        <v>1680.3176566971451</v>
      </c>
      <c r="H32" s="301">
        <f t="shared" si="8"/>
        <v>1655.2989020812095</v>
      </c>
      <c r="I32" s="265">
        <f t="shared" si="7"/>
        <v>1639.5226573201469</v>
      </c>
      <c r="J32" s="265"/>
      <c r="K32" s="265"/>
      <c r="L32" s="265"/>
      <c r="M32" s="2"/>
      <c r="N32" s="168">
        <f t="shared" si="2"/>
        <v>42369</v>
      </c>
      <c r="O32" s="169">
        <f t="shared" si="3"/>
        <v>2016</v>
      </c>
      <c r="P32" s="235"/>
      <c r="Q32" s="341">
        <f t="shared" si="6"/>
        <v>1524.0976477978643</v>
      </c>
      <c r="R32" s="235"/>
    </row>
    <row r="33" spans="1:18" x14ac:dyDescent="0.2">
      <c r="A33" s="72" t="str">
        <f t="shared" si="1"/>
        <v>2016 / 1</v>
      </c>
      <c r="B33" s="50"/>
      <c r="C33" s="253">
        <f>'[4]TWIA 4 Premium Trend'!F41</f>
        <v>54113</v>
      </c>
      <c r="D33" s="174">
        <f>'[4]TWIA 4 Premium Trend'!E41</f>
        <v>84557230</v>
      </c>
      <c r="E33" s="336">
        <f>'[5]3.2 premium trend'!E33</f>
        <v>1.05</v>
      </c>
      <c r="F33" s="280">
        <f t="shared" si="4"/>
        <v>88785091.5</v>
      </c>
      <c r="G33" s="273">
        <f t="shared" si="5"/>
        <v>1640.7349712638368</v>
      </c>
      <c r="H33" s="301">
        <f t="shared" si="8"/>
        <v>1657.3402004723346</v>
      </c>
      <c r="I33" s="265">
        <f t="shared" si="7"/>
        <v>1641.4849139578307</v>
      </c>
      <c r="J33" s="265">
        <f>GROWTH($H$33:$H$52,$O$33:$O$52,$O33,1)</f>
        <v>1648.855082797126</v>
      </c>
      <c r="K33" s="265"/>
      <c r="L33" s="265"/>
      <c r="M33" s="2"/>
      <c r="N33" s="168">
        <f t="shared" si="2"/>
        <v>42460</v>
      </c>
      <c r="O33" s="169">
        <f t="shared" si="3"/>
        <v>2016.25</v>
      </c>
      <c r="P33" s="235"/>
      <c r="Q33" s="341">
        <f t="shared" si="6"/>
        <v>1562.6047345369875</v>
      </c>
      <c r="R33" s="235"/>
    </row>
    <row r="34" spans="1:18" x14ac:dyDescent="0.2">
      <c r="A34" s="72" t="str">
        <f t="shared" si="1"/>
        <v>2016 / 2</v>
      </c>
      <c r="B34" s="170"/>
      <c r="C34" s="253">
        <f>'[4]TWIA 4 Premium Trend'!F42</f>
        <v>79991</v>
      </c>
      <c r="D34" s="174">
        <f>'[4]TWIA 4 Premium Trend'!E42</f>
        <v>125845764</v>
      </c>
      <c r="E34" s="336">
        <f>'[5]3.2 premium trend'!E34</f>
        <v>1.05</v>
      </c>
      <c r="F34" s="280">
        <f t="shared" si="4"/>
        <v>132138052.2</v>
      </c>
      <c r="G34" s="273">
        <f t="shared" si="5"/>
        <v>1651.9114925429112</v>
      </c>
      <c r="H34" s="301">
        <f t="shared" si="8"/>
        <v>1659.4564902162326</v>
      </c>
      <c r="I34" s="265">
        <f t="shared" si="7"/>
        <v>1643.4495191151277</v>
      </c>
      <c r="J34" s="265">
        <f t="shared" ref="J34:J52" si="9">GROWTH($H$33:$H$52,$O$33:$O$52,$O34,1)</f>
        <v>1650.0388530304804</v>
      </c>
      <c r="K34" s="265"/>
      <c r="L34" s="265"/>
      <c r="M34" s="2"/>
      <c r="N34" s="168">
        <f t="shared" si="2"/>
        <v>42551</v>
      </c>
      <c r="O34" s="169">
        <f t="shared" si="3"/>
        <v>2016.5</v>
      </c>
      <c r="P34" s="235"/>
      <c r="Q34" s="341">
        <f t="shared" si="6"/>
        <v>1573.2490405170581</v>
      </c>
      <c r="R34" s="235"/>
    </row>
    <row r="35" spans="1:18" x14ac:dyDescent="0.2">
      <c r="A35" s="72" t="str">
        <f t="shared" si="1"/>
        <v>2016 / 3</v>
      </c>
      <c r="B35" s="170"/>
      <c r="C35" s="253">
        <f>'[4]TWIA 4 Premium Trend'!F43</f>
        <v>77932</v>
      </c>
      <c r="D35" s="174">
        <f>'[4]TWIA 4 Premium Trend'!E43</f>
        <v>123784247</v>
      </c>
      <c r="E35" s="336">
        <f>'[5]3.2 premium trend'!E35</f>
        <v>1.05</v>
      </c>
      <c r="F35" s="280">
        <f t="shared" si="4"/>
        <v>129973459.35000001</v>
      </c>
      <c r="G35" s="273">
        <f t="shared" si="5"/>
        <v>1667.7803642919469</v>
      </c>
      <c r="H35" s="301">
        <f>IFERROR(SUM(F32:F35)/SUM(C32:C35),0)</f>
        <v>1660.3015003861233</v>
      </c>
      <c r="I35" s="265">
        <f t="shared" si="7"/>
        <v>1645.4164756028492</v>
      </c>
      <c r="J35" s="265">
        <f t="shared" si="9"/>
        <v>1651.2234731335277</v>
      </c>
      <c r="K35" s="265"/>
      <c r="L35" s="265"/>
      <c r="M35" s="2"/>
      <c r="N35" s="168">
        <f t="shared" si="2"/>
        <v>42643</v>
      </c>
      <c r="O35" s="169">
        <f t="shared" si="3"/>
        <v>2016.75</v>
      </c>
      <c r="P35" s="235"/>
      <c r="Q35" s="341">
        <f t="shared" si="6"/>
        <v>1588.362251706616</v>
      </c>
      <c r="R35" s="235"/>
    </row>
    <row r="36" spans="1:18" x14ac:dyDescent="0.2">
      <c r="A36" s="72" t="str">
        <f t="shared" si="1"/>
        <v>2016 / 4</v>
      </c>
      <c r="B36" s="50"/>
      <c r="C36" s="253">
        <f>'[4]TWIA 4 Premium Trend'!F44</f>
        <v>51030</v>
      </c>
      <c r="D36" s="174">
        <f>'[4]TWIA 4 Premium Trend'!E44</f>
        <v>81959449</v>
      </c>
      <c r="E36" s="336">
        <f>'[5]3.2 premium trend'!E36</f>
        <v>1.05</v>
      </c>
      <c r="F36" s="280">
        <f t="shared" si="4"/>
        <v>86057421.450000003</v>
      </c>
      <c r="G36" s="273">
        <f t="shared" si="5"/>
        <v>1686.4084156378601</v>
      </c>
      <c r="H36" s="301">
        <f t="shared" si="8"/>
        <v>1661.0053161564017</v>
      </c>
      <c r="I36" s="265">
        <f t="shared" si="7"/>
        <v>1647.3857862351788</v>
      </c>
      <c r="J36" s="265">
        <f t="shared" si="9"/>
        <v>1652.4089437164207</v>
      </c>
      <c r="K36" s="265"/>
      <c r="L36" s="265"/>
      <c r="M36" s="2"/>
      <c r="N36" s="168">
        <f t="shared" si="2"/>
        <v>42735</v>
      </c>
      <c r="O36" s="169">
        <f t="shared" si="3"/>
        <v>2017</v>
      </c>
      <c r="P36" s="235"/>
      <c r="Q36" s="341">
        <f t="shared" si="6"/>
        <v>1606.1032529884383</v>
      </c>
      <c r="R36" s="235"/>
    </row>
    <row r="37" spans="1:18" x14ac:dyDescent="0.2">
      <c r="A37" s="72" t="str">
        <f t="shared" si="1"/>
        <v>2017 / 1</v>
      </c>
      <c r="B37" s="50"/>
      <c r="C37" s="253">
        <f>'[4]TWIA 4 Premium Trend'!F45</f>
        <v>50991</v>
      </c>
      <c r="D37" s="174">
        <f>'[4]TWIA 4 Premium Trend'!E45</f>
        <v>79037984</v>
      </c>
      <c r="E37" s="336">
        <f>'[5]3.2 premium trend'!E37</f>
        <v>1.05</v>
      </c>
      <c r="F37" s="280">
        <f t="shared" si="4"/>
        <v>82989883.200000003</v>
      </c>
      <c r="G37" s="273">
        <f t="shared" si="5"/>
        <v>1627.5398246749428</v>
      </c>
      <c r="H37" s="301">
        <f t="shared" si="8"/>
        <v>1658.6603891607422</v>
      </c>
      <c r="I37" s="265">
        <f t="shared" si="7"/>
        <v>1649.3574538296664</v>
      </c>
      <c r="J37" s="265">
        <f t="shared" si="9"/>
        <v>1653.5952653897491</v>
      </c>
      <c r="K37" s="265">
        <f>GROWTH($H$37:$H$52,$O$37:$O$52,$O37,1)</f>
        <v>1643.562651843655</v>
      </c>
      <c r="L37" s="265"/>
      <c r="M37" s="2"/>
      <c r="N37" s="168">
        <f t="shared" si="2"/>
        <v>42825</v>
      </c>
      <c r="O37" s="169">
        <f t="shared" si="3"/>
        <v>2017.25</v>
      </c>
      <c r="P37" s="235"/>
      <c r="Q37" s="341">
        <f t="shared" si="6"/>
        <v>1550.0379282618501</v>
      </c>
      <c r="R37" s="235"/>
    </row>
    <row r="38" spans="1:18" x14ac:dyDescent="0.2">
      <c r="A38" s="72" t="str">
        <f t="shared" si="1"/>
        <v>2017 / 2</v>
      </c>
      <c r="B38" s="50"/>
      <c r="C38" s="253">
        <f>'[4]TWIA 4 Premium Trend'!F46</f>
        <v>73614</v>
      </c>
      <c r="D38" s="174">
        <f>'[4]TWIA 4 Premium Trend'!E46</f>
        <v>114547681</v>
      </c>
      <c r="E38" s="336">
        <f>'[5]3.2 premium trend'!E38</f>
        <v>1.05</v>
      </c>
      <c r="F38" s="280">
        <f t="shared" si="4"/>
        <v>120275065.05000001</v>
      </c>
      <c r="G38" s="273">
        <f t="shared" si="5"/>
        <v>1633.8612906512351</v>
      </c>
      <c r="H38" s="301">
        <f t="shared" si="8"/>
        <v>1653.5898955700072</v>
      </c>
      <c r="I38" s="265">
        <f t="shared" si="7"/>
        <v>1651.3314812072329</v>
      </c>
      <c r="J38" s="265">
        <f t="shared" si="9"/>
        <v>1654.7824387645378</v>
      </c>
      <c r="K38" s="265">
        <f t="shared" ref="K38:K52" si="10">GROWTH($H$37:$H$52,$O$37:$O$52,$O38,1)</f>
        <v>1645.7829000874588</v>
      </c>
      <c r="L38" s="265"/>
      <c r="M38" s="2"/>
      <c r="N38" s="168">
        <f t="shared" si="2"/>
        <v>42916</v>
      </c>
      <c r="O38" s="169">
        <f t="shared" si="3"/>
        <v>2017.5</v>
      </c>
      <c r="P38" s="235"/>
      <c r="Q38" s="341">
        <f t="shared" si="6"/>
        <v>1556.058372048795</v>
      </c>
      <c r="R38" s="235"/>
    </row>
    <row r="39" spans="1:18" x14ac:dyDescent="0.2">
      <c r="A39" s="72" t="str">
        <f t="shared" si="1"/>
        <v>2017 / 3</v>
      </c>
      <c r="B39" s="100"/>
      <c r="C39" s="253">
        <f>'[4]TWIA 4 Premium Trend'!F47</f>
        <v>68864</v>
      </c>
      <c r="D39" s="174">
        <f>'[4]TWIA 4 Premium Trend'!E47</f>
        <v>108614623</v>
      </c>
      <c r="E39" s="336">
        <f>'[5]3.2 premium trend'!E39</f>
        <v>1.05</v>
      </c>
      <c r="F39" s="280">
        <f t="shared" si="4"/>
        <v>114045354.15000001</v>
      </c>
      <c r="G39" s="273">
        <f t="shared" si="5"/>
        <v>1656.0954076150094</v>
      </c>
      <c r="H39" s="301">
        <f t="shared" si="8"/>
        <v>1649.7724892535348</v>
      </c>
      <c r="I39" s="265">
        <f t="shared" si="7"/>
        <v>1653.307871192176</v>
      </c>
      <c r="J39" s="265">
        <f t="shared" si="9"/>
        <v>1655.9704644522556</v>
      </c>
      <c r="K39" s="265">
        <f t="shared" si="10"/>
        <v>1648.0061476098469</v>
      </c>
      <c r="L39" s="265"/>
      <c r="M39" s="2"/>
      <c r="N39" s="168">
        <f t="shared" si="2"/>
        <v>43008</v>
      </c>
      <c r="O39" s="169">
        <f t="shared" si="3"/>
        <v>2017.75</v>
      </c>
      <c r="P39" s="235"/>
      <c r="Q39" s="341">
        <f t="shared" si="6"/>
        <v>1577.2337215381042</v>
      </c>
      <c r="R39" s="235"/>
    </row>
    <row r="40" spans="1:18" x14ac:dyDescent="0.2">
      <c r="A40" s="72" t="str">
        <f t="shared" si="1"/>
        <v>2017 / 4</v>
      </c>
      <c r="B40" s="50"/>
      <c r="C40" s="253">
        <f>'[4]TWIA 4 Premium Trend'!F48</f>
        <v>45960</v>
      </c>
      <c r="D40" s="174">
        <f>'[4]TWIA 4 Premium Trend'!E48</f>
        <v>73697340</v>
      </c>
      <c r="E40" s="336">
        <f>'[5]3.2 premium trend'!E40</f>
        <v>1.05</v>
      </c>
      <c r="F40" s="280">
        <f>D40*E40</f>
        <v>77382207</v>
      </c>
      <c r="G40" s="273">
        <f t="shared" si="5"/>
        <v>1683.6859660574412</v>
      </c>
      <c r="H40" s="301">
        <f t="shared" si="8"/>
        <v>1648.4741171704345</v>
      </c>
      <c r="I40" s="265">
        <f t="shared" si="7"/>
        <v>1655.2866266121769</v>
      </c>
      <c r="J40" s="265">
        <f t="shared" si="9"/>
        <v>1657.1593430648047</v>
      </c>
      <c r="K40" s="265">
        <f t="shared" si="10"/>
        <v>1650.2323984624713</v>
      </c>
      <c r="L40" s="265"/>
      <c r="M40" s="2"/>
      <c r="N40" s="168">
        <f t="shared" si="2"/>
        <v>43100</v>
      </c>
      <c r="O40" s="169">
        <f t="shared" si="3"/>
        <v>2018</v>
      </c>
      <c r="P40" s="235"/>
      <c r="Q40" s="341">
        <f t="shared" si="6"/>
        <v>1603.5104438642297</v>
      </c>
      <c r="R40" s="235"/>
    </row>
    <row r="41" spans="1:18" x14ac:dyDescent="0.2">
      <c r="A41" s="72" t="str">
        <f t="shared" si="1"/>
        <v>2018 / 1</v>
      </c>
      <c r="B41" s="51"/>
      <c r="C41" s="253">
        <f>'[4]TWIA 4 Premium Trend'!F49</f>
        <v>44101</v>
      </c>
      <c r="D41" s="174">
        <f>'[4]TWIA 4 Premium Trend'!E49</f>
        <v>71679332</v>
      </c>
      <c r="E41" s="336">
        <f>'[5]3.2 premium trend'!E41</f>
        <v>1</v>
      </c>
      <c r="F41" s="280">
        <f t="shared" si="4"/>
        <v>71679332</v>
      </c>
      <c r="G41" s="273">
        <f t="shared" si="5"/>
        <v>1625.3448221128772</v>
      </c>
      <c r="H41" s="301">
        <f t="shared" si="8"/>
        <v>1648.6781064681625</v>
      </c>
      <c r="I41" s="265">
        <f t="shared" si="7"/>
        <v>1657.2677502982917</v>
      </c>
      <c r="J41" s="265">
        <f t="shared" si="9"/>
        <v>1658.3490752145321</v>
      </c>
      <c r="K41" s="265">
        <f t="shared" si="10"/>
        <v>1652.4616567024536</v>
      </c>
      <c r="L41" s="265">
        <f>GROWTH($H$41:$H$52,$O$41:$O$52,$O41,1)</f>
        <v>1642.4327951990547</v>
      </c>
      <c r="M41" s="2"/>
      <c r="N41" s="168">
        <f t="shared" si="2"/>
        <v>43190</v>
      </c>
      <c r="O41" s="169">
        <f t="shared" si="3"/>
        <v>2018.25</v>
      </c>
      <c r="P41" s="235"/>
      <c r="Q41" s="341">
        <f t="shared" si="6"/>
        <v>1625.3448221128772</v>
      </c>
      <c r="R41" s="235"/>
    </row>
    <row r="42" spans="1:18" x14ac:dyDescent="0.2">
      <c r="A42" s="72" t="str">
        <f t="shared" si="1"/>
        <v>2018 / 2</v>
      </c>
      <c r="B42" s="51"/>
      <c r="C42" s="253">
        <f>'[4]TWIA 4 Premium Trend'!F50</f>
        <v>63851</v>
      </c>
      <c r="D42" s="174">
        <f>'[4]TWIA 4 Premium Trend'!E50</f>
        <v>104163394</v>
      </c>
      <c r="E42" s="336">
        <f>'[5]3.2 premium trend'!E42</f>
        <v>1</v>
      </c>
      <c r="F42" s="280">
        <f t="shared" si="4"/>
        <v>104163394</v>
      </c>
      <c r="G42" s="273">
        <f t="shared" si="5"/>
        <v>1631.351020344239</v>
      </c>
      <c r="H42" s="301">
        <f t="shared" si="8"/>
        <v>1648.6079611358493</v>
      </c>
      <c r="I42" s="265">
        <f t="shared" si="7"/>
        <v>1659.2512450849742</v>
      </c>
      <c r="J42" s="265">
        <f t="shared" si="9"/>
        <v>1659.5396615142192</v>
      </c>
      <c r="K42" s="265">
        <f t="shared" si="10"/>
        <v>1654.6939263924048</v>
      </c>
      <c r="L42" s="265">
        <f t="shared" ref="L42:L52" si="11">GROWTH($H$41:$H$52,$O$41:$O$52,$O42,1)</f>
        <v>1646.1266024079059</v>
      </c>
      <c r="M42" s="2"/>
      <c r="N42" s="168">
        <f t="shared" si="2"/>
        <v>43281</v>
      </c>
      <c r="O42" s="169">
        <f t="shared" si="3"/>
        <v>2018.5</v>
      </c>
      <c r="P42" s="235"/>
      <c r="Q42" s="341">
        <f t="shared" si="6"/>
        <v>1631.351020344239</v>
      </c>
      <c r="R42" s="235"/>
    </row>
    <row r="43" spans="1:18" x14ac:dyDescent="0.2">
      <c r="A43" s="72" t="str">
        <f t="shared" si="1"/>
        <v>2018 / 3</v>
      </c>
      <c r="B43" s="51"/>
      <c r="C43" s="253">
        <f>'[4]TWIA 4 Premium Trend'!F51</f>
        <v>61408</v>
      </c>
      <c r="D43" s="174">
        <f>'[4]TWIA 4 Premium Trend'!E51</f>
        <v>101951681</v>
      </c>
      <c r="E43" s="336">
        <f>'[5]3.2 premium trend'!E43</f>
        <v>1</v>
      </c>
      <c r="F43" s="280">
        <f t="shared" si="4"/>
        <v>101951681</v>
      </c>
      <c r="G43" s="273">
        <f t="shared" si="5"/>
        <v>1660.234513418447</v>
      </c>
      <c r="H43" s="301">
        <f t="shared" si="8"/>
        <v>1649.5291380271224</v>
      </c>
      <c r="I43" s="265">
        <f t="shared" si="7"/>
        <v>1661.2371138100671</v>
      </c>
      <c r="J43" s="265">
        <f t="shared" si="9"/>
        <v>1660.7311025770907</v>
      </c>
      <c r="K43" s="265">
        <f t="shared" si="10"/>
        <v>1656.9292116004158</v>
      </c>
      <c r="L43" s="265">
        <f t="shared" si="11"/>
        <v>1649.8287169348625</v>
      </c>
      <c r="M43" s="2"/>
      <c r="N43" s="168">
        <f t="shared" si="2"/>
        <v>43373</v>
      </c>
      <c r="O43" s="169">
        <f t="shared" si="3"/>
        <v>2018.75</v>
      </c>
      <c r="P43" s="235"/>
      <c r="Q43" s="341">
        <f t="shared" si="6"/>
        <v>1660.234513418447</v>
      </c>
      <c r="R43" s="235"/>
    </row>
    <row r="44" spans="1:18" x14ac:dyDescent="0.2">
      <c r="A44" s="72" t="str">
        <f t="shared" si="1"/>
        <v>2018 / 4</v>
      </c>
      <c r="B44" s="50"/>
      <c r="C44" s="253">
        <f>'[4]TWIA 4 Premium Trend'!F52</f>
        <v>40418</v>
      </c>
      <c r="D44" s="174">
        <f>'[4]TWIA 4 Premium Trend'!E52</f>
        <v>68300637</v>
      </c>
      <c r="E44" s="336">
        <f>'[5]3.2 premium trend'!E44</f>
        <v>1</v>
      </c>
      <c r="F44" s="280">
        <f t="shared" si="4"/>
        <v>68300637</v>
      </c>
      <c r="G44" s="273">
        <f t="shared" si="5"/>
        <v>1689.8569201840764</v>
      </c>
      <c r="H44" s="301">
        <f t="shared" si="8"/>
        <v>1649.8157290087615</v>
      </c>
      <c r="I44" s="265">
        <f t="shared" si="7"/>
        <v>1663.2253593148096</v>
      </c>
      <c r="J44" s="265">
        <f t="shared" si="9"/>
        <v>1661.9233990168129</v>
      </c>
      <c r="K44" s="265">
        <f t="shared" si="10"/>
        <v>1659.1675164000753</v>
      </c>
      <c r="L44" s="265">
        <f t="shared" si="11"/>
        <v>1653.5391574629664</v>
      </c>
      <c r="M44" s="2"/>
      <c r="N44" s="168">
        <f t="shared" ref="N44:N51" si="12">DATE(YEAR(N45+1),MONTH(N45+1)-3,1)-1</f>
        <v>43465</v>
      </c>
      <c r="O44" s="169">
        <f t="shared" si="3"/>
        <v>2019</v>
      </c>
      <c r="P44" s="235"/>
      <c r="Q44" s="341">
        <f t="shared" si="6"/>
        <v>1689.8569201840764</v>
      </c>
      <c r="R44" s="235"/>
    </row>
    <row r="45" spans="1:18" x14ac:dyDescent="0.2">
      <c r="A45" s="72" t="str">
        <f t="shared" si="1"/>
        <v>2019 / 1</v>
      </c>
      <c r="B45" s="51"/>
      <c r="C45" s="253">
        <f>'[4]TWIA 4 Premium Trend'!F53</f>
        <v>39758</v>
      </c>
      <c r="D45" s="174">
        <f>'[4]TWIA 4 Premium Trend'!E53</f>
        <v>65036872</v>
      </c>
      <c r="E45" s="336">
        <f>'[5]3.2 premium trend'!E45</f>
        <v>1</v>
      </c>
      <c r="F45" s="280">
        <f t="shared" si="4"/>
        <v>65036872</v>
      </c>
      <c r="G45" s="273">
        <f t="shared" si="5"/>
        <v>1635.8185019367172</v>
      </c>
      <c r="H45" s="301">
        <f t="shared" si="8"/>
        <v>1652.360036021126</v>
      </c>
      <c r="I45" s="265">
        <f t="shared" si="7"/>
        <v>1665.2159844438422</v>
      </c>
      <c r="J45" s="265">
        <f>GROWTH($H$33:$H$52,$O$33:$O$52,$O45,1)</f>
        <v>1663.1165514474869</v>
      </c>
      <c r="K45" s="265">
        <f>GROWTH($H$37:$H$52,$O$37:$O$52,$O45,1)</f>
        <v>1661.4088448704726</v>
      </c>
      <c r="L45" s="265">
        <f>GROWTH($H$41:$H$52,$O$41:$O$52,$O45,1)</f>
        <v>1657.25794271726</v>
      </c>
      <c r="M45" s="2"/>
      <c r="N45" s="168">
        <f t="shared" si="12"/>
        <v>43555</v>
      </c>
      <c r="O45" s="169">
        <f t="shared" si="3"/>
        <v>2019.25</v>
      </c>
      <c r="P45" s="304"/>
      <c r="Q45" s="341">
        <f t="shared" si="6"/>
        <v>1635.8185019367172</v>
      </c>
      <c r="R45" s="235"/>
    </row>
    <row r="46" spans="1:18" x14ac:dyDescent="0.2">
      <c r="A46" s="72" t="str">
        <f t="shared" si="1"/>
        <v>2019 / 2</v>
      </c>
      <c r="B46" s="51"/>
      <c r="C46" s="253">
        <f>'[4]TWIA 4 Premium Trend'!F54</f>
        <v>60805</v>
      </c>
      <c r="D46" s="174">
        <f>'[4]TWIA 4 Premium Trend'!E54</f>
        <v>99948528</v>
      </c>
      <c r="E46" s="336">
        <f>'[5]3.2 premium trend'!E46</f>
        <v>1</v>
      </c>
      <c r="F46" s="280">
        <f>D46*E46</f>
        <v>99948528</v>
      </c>
      <c r="G46" s="273">
        <f t="shared" si="5"/>
        <v>1643.7550859304333</v>
      </c>
      <c r="H46" s="301">
        <f t="shared" si="8"/>
        <v>1656.4028578628286</v>
      </c>
      <c r="I46" s="265">
        <f t="shared" si="7"/>
        <v>1667.2089920452088</v>
      </c>
      <c r="J46" s="265">
        <f t="shared" si="9"/>
        <v>1664.3105604836619</v>
      </c>
      <c r="K46" s="265">
        <f t="shared" si="10"/>
        <v>1663.6532010962153</v>
      </c>
      <c r="L46" s="265">
        <f t="shared" si="11"/>
        <v>1660.985091464916</v>
      </c>
      <c r="M46" s="2"/>
      <c r="N46" s="168">
        <f t="shared" si="12"/>
        <v>43646</v>
      </c>
      <c r="O46" s="169">
        <f t="shared" si="3"/>
        <v>2019.5</v>
      </c>
      <c r="P46" s="304"/>
      <c r="Q46" s="341">
        <f t="shared" si="6"/>
        <v>1643.7550859304333</v>
      </c>
      <c r="R46" s="235"/>
    </row>
    <row r="47" spans="1:18" x14ac:dyDescent="0.2">
      <c r="A47" s="72" t="str">
        <f t="shared" si="1"/>
        <v>2019 / 3</v>
      </c>
      <c r="B47" s="51"/>
      <c r="C47" s="253">
        <f>'[4]TWIA 4 Premium Trend'!F55</f>
        <v>57547</v>
      </c>
      <c r="D47" s="174">
        <f>'[4]TWIA 4 Premium Trend'!E55</f>
        <v>97063357</v>
      </c>
      <c r="E47" s="336">
        <f>'[5]3.2 premium trend'!E47</f>
        <v>1</v>
      </c>
      <c r="F47" s="280">
        <f t="shared" si="4"/>
        <v>97063357</v>
      </c>
      <c r="G47" s="273">
        <f>F47/C47</f>
        <v>1686.6797052843763</v>
      </c>
      <c r="H47" s="301">
        <f t="shared" si="8"/>
        <v>1663.9939655867183</v>
      </c>
      <c r="I47" s="265">
        <f t="shared" si="7"/>
        <v>1669.2043849703664</v>
      </c>
      <c r="J47" s="265">
        <f t="shared" si="9"/>
        <v>1665.5054267403211</v>
      </c>
      <c r="K47" s="265">
        <f t="shared" si="10"/>
        <v>1665.9005891674208</v>
      </c>
      <c r="L47" s="265">
        <f t="shared" si="11"/>
        <v>1664.7206225153136</v>
      </c>
      <c r="M47" s="2"/>
      <c r="N47" s="168">
        <f t="shared" si="12"/>
        <v>43738</v>
      </c>
      <c r="O47" s="169">
        <f t="shared" si="3"/>
        <v>2019.75</v>
      </c>
      <c r="P47" s="304"/>
      <c r="Q47" s="341">
        <f t="shared" si="6"/>
        <v>1686.6797052843763</v>
      </c>
      <c r="R47" s="235"/>
    </row>
    <row r="48" spans="1:18" x14ac:dyDescent="0.2">
      <c r="A48" s="222" t="str">
        <f t="shared" si="1"/>
        <v>2019 / 4</v>
      </c>
      <c r="B48" s="51"/>
      <c r="C48" s="253">
        <f>'[4]TWIA 4 Premium Trend'!F56</f>
        <v>38375</v>
      </c>
      <c r="D48" s="174">
        <f>'[4]TWIA 4 Premium Trend'!E56</f>
        <v>65697652</v>
      </c>
      <c r="E48" s="336">
        <f>'[5]3.2 premium trend'!E48</f>
        <v>1</v>
      </c>
      <c r="F48" s="280">
        <f t="shared" si="4"/>
        <v>65697652</v>
      </c>
      <c r="G48" s="273">
        <f t="shared" si="5"/>
        <v>1711.9909315960913</v>
      </c>
      <c r="H48" s="301">
        <f t="shared" si="8"/>
        <v>1668.0479883960609</v>
      </c>
      <c r="I48" s="265">
        <f t="shared" si="7"/>
        <v>1671.2021660741741</v>
      </c>
      <c r="J48" s="265">
        <f t="shared" si="9"/>
        <v>1666.7011508328965</v>
      </c>
      <c r="K48" s="265">
        <f t="shared" si="10"/>
        <v>1668.151013179734</v>
      </c>
      <c r="L48" s="265">
        <f t="shared" si="11"/>
        <v>1668.4645547201164</v>
      </c>
      <c r="M48" s="2"/>
      <c r="N48" s="168">
        <f t="shared" si="12"/>
        <v>43830</v>
      </c>
      <c r="O48" s="169">
        <f t="shared" si="3"/>
        <v>2020</v>
      </c>
      <c r="P48" s="304"/>
      <c r="Q48" s="341">
        <f t="shared" si="6"/>
        <v>1711.9909315960913</v>
      </c>
      <c r="R48" s="235"/>
    </row>
    <row r="49" spans="1:18" x14ac:dyDescent="0.2">
      <c r="A49" s="222" t="str">
        <f>YEAR(N49)&amp;" / "&amp;MONTH(N49)/3</f>
        <v>2020 / 1</v>
      </c>
      <c r="B49" s="51"/>
      <c r="C49" s="253">
        <f>'[4]TWIA 4 Premium Trend'!F57</f>
        <v>38302</v>
      </c>
      <c r="D49" s="174">
        <f>'[4]TWIA 4 Premium Trend'!E57</f>
        <v>63498682</v>
      </c>
      <c r="E49" s="336">
        <f>'[5]3.2 premium trend'!E49</f>
        <v>1</v>
      </c>
      <c r="F49" s="280">
        <f t="shared" si="4"/>
        <v>63498682</v>
      </c>
      <c r="G49" s="273">
        <f t="shared" si="5"/>
        <v>1657.8424625345936</v>
      </c>
      <c r="H49" s="301">
        <f t="shared" si="8"/>
        <v>1672.6139138281999</v>
      </c>
      <c r="I49" s="265">
        <f t="shared" si="7"/>
        <v>1673.2023382149184</v>
      </c>
      <c r="J49" s="265">
        <f t="shared" si="9"/>
        <v>1667.8977333772543</v>
      </c>
      <c r="K49" s="265">
        <f t="shared" si="10"/>
        <v>1670.4044772343334</v>
      </c>
      <c r="L49" s="265">
        <f t="shared" si="11"/>
        <v>1672.2169069734039</v>
      </c>
      <c r="M49" s="2"/>
      <c r="N49" s="168">
        <f t="shared" si="12"/>
        <v>43921</v>
      </c>
      <c r="O49" s="169">
        <f>YEAR(N49)+MONTH(N49)/12</f>
        <v>2020.25</v>
      </c>
      <c r="P49" s="235"/>
      <c r="Q49" s="341">
        <f t="shared" si="6"/>
        <v>1657.8424625345936</v>
      </c>
      <c r="R49" s="235"/>
    </row>
    <row r="50" spans="1:18" x14ac:dyDescent="0.2">
      <c r="A50" s="222" t="str">
        <f>YEAR(N50)&amp;" / "&amp;MONTH(N50)/3</f>
        <v>2020 / 2</v>
      </c>
      <c r="B50" s="51"/>
      <c r="C50" s="253">
        <f>'[4]TWIA 4 Premium Trend'!F58</f>
        <v>59374</v>
      </c>
      <c r="D50" s="174">
        <f>'[4]TWIA 4 Premium Trend'!E58</f>
        <v>98472763</v>
      </c>
      <c r="E50" s="336">
        <f>'[5]3.2 premium trend'!E50</f>
        <v>1</v>
      </c>
      <c r="F50" s="280">
        <f t="shared" si="4"/>
        <v>98472763</v>
      </c>
      <c r="G50" s="273">
        <f t="shared" si="5"/>
        <v>1658.5165729107016</v>
      </c>
      <c r="H50" s="301">
        <f t="shared" si="8"/>
        <v>1677.3543838262792</v>
      </c>
      <c r="I50" s="265">
        <f t="shared" si="7"/>
        <v>1675.2049042543026</v>
      </c>
      <c r="J50" s="265">
        <f t="shared" si="9"/>
        <v>1669.0951749897092</v>
      </c>
      <c r="K50" s="265">
        <f t="shared" si="10"/>
        <v>1672.660985437934</v>
      </c>
      <c r="L50" s="265">
        <f t="shared" si="11"/>
        <v>1675.9776982117464</v>
      </c>
      <c r="M50" s="2"/>
      <c r="N50" s="168">
        <f t="shared" si="12"/>
        <v>44012</v>
      </c>
      <c r="O50" s="169">
        <f>YEAR(N50)+MONTH(N50)/12</f>
        <v>2020.5</v>
      </c>
      <c r="P50" s="235"/>
      <c r="Q50" s="341">
        <f t="shared" si="6"/>
        <v>1658.5165729107016</v>
      </c>
      <c r="R50" s="235"/>
    </row>
    <row r="51" spans="1:18" x14ac:dyDescent="0.2">
      <c r="A51" s="222" t="str">
        <f>YEAR(N51)&amp;" / "&amp;MONTH(N51)/3</f>
        <v>2020 / 3</v>
      </c>
      <c r="B51" s="51"/>
      <c r="C51" s="253">
        <f>'[4]TWIA 4 Premium Trend'!F59</f>
        <v>57963</v>
      </c>
      <c r="D51" s="174">
        <f>'[4]TWIA 4 Premium Trend'!E59</f>
        <v>98544861</v>
      </c>
      <c r="E51" s="336">
        <f>'[5]3.2 premium trend'!E51</f>
        <v>1</v>
      </c>
      <c r="F51" s="280">
        <f t="shared" si="4"/>
        <v>98544861</v>
      </c>
      <c r="G51" s="273">
        <f t="shared" si="5"/>
        <v>1700.133895761089</v>
      </c>
      <c r="H51" s="301">
        <f t="shared" si="8"/>
        <v>1681.3939097178554</v>
      </c>
      <c r="I51" s="265">
        <f t="shared" si="7"/>
        <v>1677.2098670574555</v>
      </c>
      <c r="J51" s="265">
        <f t="shared" si="9"/>
        <v>1670.293476287017</v>
      </c>
      <c r="K51" s="265">
        <f t="shared" si="10"/>
        <v>1674.9205419028074</v>
      </c>
      <c r="L51" s="265">
        <f t="shared" si="11"/>
        <v>1679.7469474142856</v>
      </c>
      <c r="M51" s="2"/>
      <c r="N51" s="168">
        <f t="shared" si="12"/>
        <v>44104</v>
      </c>
      <c r="O51" s="169">
        <f>YEAR(N51)+MONTH(N51)/12</f>
        <v>2020.75</v>
      </c>
      <c r="P51" s="235"/>
      <c r="Q51" s="341">
        <f t="shared" si="6"/>
        <v>1700.133895761089</v>
      </c>
      <c r="R51" s="235"/>
    </row>
    <row r="52" spans="1:18" x14ac:dyDescent="0.2">
      <c r="A52" s="222" t="str">
        <f>YEAR(N52)&amp;" / "&amp;MONTH(N52)/3</f>
        <v>2020 / 4</v>
      </c>
      <c r="B52" s="51"/>
      <c r="C52" s="253">
        <f>'[4]TWIA 4 Premium Trend'!F60</f>
        <v>37911</v>
      </c>
      <c r="D52" s="174">
        <f>'[4]TWIA 4 Premium Trend'!E60</f>
        <v>65820531</v>
      </c>
      <c r="E52" s="336">
        <f>'[5]3.2 premium trend'!E52</f>
        <v>1</v>
      </c>
      <c r="F52" s="280">
        <f>D52*E52</f>
        <v>65820531</v>
      </c>
      <c r="G52" s="273">
        <f t="shared" si="5"/>
        <v>1736.1855661945083</v>
      </c>
      <c r="H52" s="301">
        <f>IFERROR(SUM(F49:F52)/SUM(C49:C52),0)</f>
        <v>1686.0596073366055</v>
      </c>
      <c r="I52" s="265">
        <f t="shared" si="7"/>
        <v>1679.2172294929353</v>
      </c>
      <c r="J52" s="265">
        <f t="shared" si="9"/>
        <v>1671.4926378863724</v>
      </c>
      <c r="K52" s="265">
        <f t="shared" si="10"/>
        <v>1677.1831507467712</v>
      </c>
      <c r="L52" s="265">
        <f t="shared" si="11"/>
        <v>1683.5246736028653</v>
      </c>
      <c r="M52" s="2"/>
      <c r="N52" s="94">
        <v>44196</v>
      </c>
      <c r="O52" s="169">
        <f>YEAR(N52)+MONTH(N52)/12</f>
        <v>2021</v>
      </c>
      <c r="P52" s="235"/>
      <c r="Q52" s="341">
        <f t="shared" si="6"/>
        <v>1736.1855661945083</v>
      </c>
      <c r="R52" s="235"/>
    </row>
    <row r="53" spans="1:18" x14ac:dyDescent="0.2">
      <c r="A53" s="173"/>
      <c r="B53" s="26"/>
      <c r="C53" s="254"/>
      <c r="D53" s="175"/>
      <c r="E53" s="179"/>
      <c r="F53" s="175"/>
      <c r="G53" s="171"/>
      <c r="H53" s="171"/>
      <c r="I53" s="176"/>
      <c r="J53" s="176"/>
      <c r="K53" s="176"/>
      <c r="L53" s="176"/>
      <c r="M53" s="2"/>
    </row>
    <row r="54" spans="1:18" x14ac:dyDescent="0.2">
      <c r="A54" s="222"/>
      <c r="B54" s="51"/>
      <c r="C54" s="255"/>
      <c r="D54" s="174"/>
      <c r="E54" s="224"/>
      <c r="F54" s="223"/>
      <c r="G54" s="225"/>
      <c r="H54" s="225"/>
      <c r="I54" s="226"/>
      <c r="J54" s="226"/>
      <c r="K54" s="226"/>
      <c r="L54" s="226"/>
      <c r="M54" s="2"/>
      <c r="N54" s="94"/>
      <c r="O54" s="169"/>
    </row>
    <row r="55" spans="1:18" x14ac:dyDescent="0.2">
      <c r="A55" s="227" t="s">
        <v>275</v>
      </c>
      <c r="B55" s="50" t="s">
        <v>291</v>
      </c>
      <c r="C55" s="115"/>
      <c r="D55" s="50"/>
      <c r="E55" s="50"/>
      <c r="F55" s="50"/>
      <c r="G55" s="50"/>
      <c r="H55" s="50"/>
      <c r="I55" s="62">
        <f>LOGEST($I$18:$I$52,$O$18:$O$52,1,1)-1</f>
        <v>4.7959867342628471E-3</v>
      </c>
      <c r="J55" s="62">
        <f>LOGEST($J$33:$J$52,$O$33:$O$52,1,1)-1</f>
        <v>2.8748327503600457E-3</v>
      </c>
      <c r="K55" s="62">
        <f>LOGEST($K$37:$K$52,$O$37:$O$52,1,1)-1</f>
        <v>5.4144603789922918E-3</v>
      </c>
      <c r="L55" s="62">
        <f>LOGEST($L$41:$L$52,$O$41:$O$52,1,1)-1</f>
        <v>9.0263343264589402E-3</v>
      </c>
      <c r="M55" s="2"/>
      <c r="N55" s="172"/>
    </row>
    <row r="56" spans="1:18" x14ac:dyDescent="0.2">
      <c r="A56" s="104" t="s">
        <v>206</v>
      </c>
      <c r="B56" s="50" t="s">
        <v>290</v>
      </c>
      <c r="C56" s="46"/>
      <c r="D56" s="19"/>
      <c r="E56"/>
      <c r="F56" s="19"/>
      <c r="G56" s="19"/>
      <c r="H56" s="19"/>
      <c r="I56" s="62">
        <f>INDEX(LOGEST($H$17:$H$52,$O$17:$O$52,1,1),3,1)</f>
        <v>0.80918621736534524</v>
      </c>
      <c r="J56" s="62">
        <f>INDEX(LOGEST($H$33:$H$52,$O$33:$O$52,1,1),3,1)</f>
        <v>0.37859011378411012</v>
      </c>
      <c r="K56" s="62">
        <f>INDEX(LOGEST($H$37:$H$52,$O$37:$O$52,1,1),3,1)</f>
        <v>0.68748058008830804</v>
      </c>
      <c r="L56" s="62">
        <f>INDEX(LOGEST($H$41:$H$52,$O$41:$O$52,1,1),3,1)</f>
        <v>0.94452225596173778</v>
      </c>
      <c r="M56" s="2"/>
    </row>
    <row r="57" spans="1:18" x14ac:dyDescent="0.2">
      <c r="A57"/>
      <c r="C57" s="46"/>
      <c r="D57" s="19"/>
      <c r="E57"/>
      <c r="F57" s="19"/>
      <c r="G57" s="19"/>
      <c r="H57" s="19"/>
      <c r="I57" s="19"/>
      <c r="J57" s="19"/>
      <c r="K57" s="19"/>
      <c r="L57" s="19"/>
      <c r="M57" s="2"/>
    </row>
    <row r="58" spans="1:18" x14ac:dyDescent="0.2">
      <c r="A58" s="104" t="s">
        <v>292</v>
      </c>
      <c r="B58" s="12" t="s">
        <v>223</v>
      </c>
      <c r="C58" s="46"/>
      <c r="D58" s="19"/>
      <c r="F58" s="19"/>
      <c r="G58" s="19"/>
      <c r="H58" s="19"/>
      <c r="I58" s="19"/>
      <c r="J58" s="19"/>
      <c r="K58" s="19"/>
      <c r="L58" s="106">
        <f>AVERAGE(J55:L55)+0.009</f>
        <v>1.4771875818603758E-2</v>
      </c>
      <c r="M58" s="2"/>
    </row>
    <row r="59" spans="1:18" ht="10.5" thickBot="1" x14ac:dyDescent="0.25">
      <c r="A59" s="6"/>
      <c r="B59" s="6"/>
      <c r="C59" s="205"/>
      <c r="D59" s="6"/>
      <c r="E59" s="6"/>
      <c r="F59" s="6"/>
      <c r="G59" s="6"/>
      <c r="H59" s="6"/>
      <c r="I59" s="6"/>
      <c r="J59" s="6"/>
      <c r="K59" s="6"/>
      <c r="L59" s="6"/>
      <c r="M59" s="2"/>
    </row>
    <row r="60" spans="1:18" ht="10.5" thickTop="1" x14ac:dyDescent="0.2">
      <c r="A60"/>
      <c r="B60"/>
      <c r="C60" s="11"/>
      <c r="D60"/>
      <c r="E60"/>
      <c r="F60"/>
      <c r="G60"/>
      <c r="H60"/>
      <c r="I60"/>
      <c r="J60"/>
      <c r="K60"/>
      <c r="L60"/>
      <c r="M60" s="2"/>
    </row>
    <row r="61" spans="1:18" x14ac:dyDescent="0.2">
      <c r="A61" s="25" t="s">
        <v>17</v>
      </c>
      <c r="B61" s="25"/>
      <c r="C61" s="257" t="str">
        <f>C12&amp;" Provided by TWIA"</f>
        <v>(2) Provided by TWIA</v>
      </c>
      <c r="D61" s="259"/>
      <c r="E61" s="258"/>
      <c r="F61" s="25"/>
      <c r="G61" s="303" t="s">
        <v>342</v>
      </c>
      <c r="I61"/>
      <c r="J61"/>
      <c r="K61"/>
      <c r="L61"/>
      <c r="M61" s="2"/>
    </row>
    <row r="62" spans="1:18" x14ac:dyDescent="0.2">
      <c r="A62" s="25"/>
      <c r="B62" s="260"/>
      <c r="C62" s="257" t="str">
        <f>D12&amp;" Provided by TWIA"</f>
        <v>(3) Provided by TWIA</v>
      </c>
      <c r="D62" s="259"/>
      <c r="E62" s="258"/>
      <c r="F62" s="259"/>
      <c r="G62" s="22" t="str">
        <f>I12&amp;" - "&amp;L12&amp;" = "&amp;G12&amp;" fitted to an exponential distribution"</f>
        <v>(8) - (11) = (6) fitted to an exponential distribution</v>
      </c>
      <c r="H62" s="22"/>
      <c r="I62" s="97"/>
      <c r="J62" s="97"/>
      <c r="K62" s="97"/>
      <c r="L62"/>
      <c r="M62" s="2"/>
    </row>
    <row r="63" spans="1:18" x14ac:dyDescent="0.2">
      <c r="A63" s="259"/>
      <c r="B63" s="158"/>
      <c r="C63" s="257" t="str">
        <f>E12&amp;" Cumulative effect of annual rate changes"</f>
        <v>(4) Cumulative effect of annual rate changes</v>
      </c>
      <c r="D63" s="258"/>
      <c r="E63" s="259"/>
      <c r="F63" s="260"/>
      <c r="G63" s="158" t="str">
        <f>'3.2 premium trend'!A55&amp;" Fitted average annual change"</f>
        <v>(14) Fitted average annual change</v>
      </c>
      <c r="H63" s="158"/>
      <c r="I63" s="97"/>
      <c r="J63" s="97"/>
      <c r="K63" s="97"/>
      <c r="L63"/>
      <c r="M63" s="2"/>
    </row>
    <row r="64" spans="1:18" x14ac:dyDescent="0.2">
      <c r="A64" s="261"/>
      <c r="B64" s="259"/>
      <c r="C64" s="257" t="str">
        <f>F12&amp;" = "&amp;D12&amp;" * "&amp;E12</f>
        <v>(5) = (3) * (4)</v>
      </c>
      <c r="D64" s="259"/>
      <c r="E64" s="259"/>
      <c r="F64" s="260"/>
      <c r="G64" s="158" t="str">
        <f>'3.2 premium trend'!A56&amp;" Evaluates the predictability of the fitted curve"</f>
        <v>(15) Evaluates the predictability of the fitted curve</v>
      </c>
      <c r="H64" s="158"/>
      <c r="I64" s="97"/>
      <c r="J64" s="97"/>
      <c r="K64" s="97"/>
      <c r="L64"/>
      <c r="M64" s="2"/>
    </row>
    <row r="65" spans="1:13" x14ac:dyDescent="0.2">
      <c r="A65" s="25"/>
      <c r="B65" s="260"/>
      <c r="C65" s="261" t="s">
        <v>341</v>
      </c>
      <c r="D65" s="25"/>
      <c r="E65" s="25"/>
      <c r="F65" s="259"/>
      <c r="G65" s="158" t="str">
        <f>'3.2 premium trend'!A58&amp;" Selected based on judgment"</f>
        <v>(16) Selected based on judgment</v>
      </c>
      <c r="H65" s="158"/>
      <c r="I65" s="97"/>
      <c r="J65" s="97"/>
      <c r="K65" s="97"/>
      <c r="L65"/>
      <c r="M65" s="2"/>
    </row>
    <row r="66" spans="1:13" x14ac:dyDescent="0.2">
      <c r="A66" s="259"/>
      <c r="B66" s="158"/>
      <c r="C66" s="257"/>
      <c r="D66" s="259"/>
      <c r="E66" s="259"/>
      <c r="F66" s="259"/>
      <c r="L66"/>
      <c r="M66" s="2"/>
    </row>
    <row r="67" spans="1:13" x14ac:dyDescent="0.2">
      <c r="A67" s="259"/>
      <c r="B67" s="158"/>
      <c r="C67" s="257"/>
      <c r="D67" s="259"/>
      <c r="E67" s="259"/>
      <c r="F67" s="259"/>
      <c r="L67"/>
      <c r="M67" s="2"/>
    </row>
    <row r="68" spans="1:13" x14ac:dyDescent="0.2">
      <c r="A68" s="51"/>
      <c r="B68" s="259"/>
      <c r="C68" s="259"/>
      <c r="D68" s="262"/>
      <c r="E68" s="262"/>
      <c r="F68" s="263"/>
      <c r="G68" s="103"/>
      <c r="H68" s="103"/>
      <c r="I68" s="103"/>
      <c r="J68" s="103"/>
      <c r="K68" s="103"/>
      <c r="L68"/>
      <c r="M68" s="2"/>
    </row>
    <row r="69" spans="1:13" x14ac:dyDescent="0.2">
      <c r="A69" s="50"/>
      <c r="D69" s="50"/>
      <c r="E69" s="50"/>
      <c r="F69" s="50"/>
      <c r="G69" s="58"/>
      <c r="H69" s="58"/>
      <c r="I69" s="58"/>
      <c r="J69" s="58"/>
      <c r="K69" s="58"/>
      <c r="L69"/>
      <c r="M69" s="2"/>
    </row>
    <row r="70" spans="1:13" ht="10.5" thickBot="1" x14ac:dyDescent="0.25">
      <c r="A70"/>
      <c r="D70" s="19"/>
      <c r="E70"/>
      <c r="F70" s="19"/>
      <c r="G70" s="19"/>
      <c r="H70" s="19"/>
      <c r="I70" s="19"/>
      <c r="J70" s="19"/>
      <c r="K70" s="19"/>
      <c r="L70" s="19"/>
      <c r="M70" s="2"/>
    </row>
    <row r="71" spans="1:13" ht="10.5" thickBot="1" x14ac:dyDescent="0.25">
      <c r="A71" s="4"/>
      <c r="B71" s="5"/>
      <c r="C71" s="206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0" type="noConversion"/>
  <pageMargins left="0.5" right="0.5" top="0.5" bottom="0.5" header="0.5" footer="0.5"/>
  <pageSetup scale="86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rgb="FF92D050"/>
  </sheetPr>
  <dimension ref="A1:Q69"/>
  <sheetViews>
    <sheetView showGridLines="0" topLeftCell="A7" workbookViewId="0">
      <selection activeCell="D19" sqref="D19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33203125" style="12" customWidth="1"/>
    <col min="12" max="12" width="5.109375" style="12" customWidth="1"/>
    <col min="13" max="16384" width="11.33203125" style="12"/>
  </cols>
  <sheetData>
    <row r="1" spans="1:17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67</v>
      </c>
      <c r="M1" s="1"/>
    </row>
    <row r="2" spans="1:17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K2"/>
      <c r="L2" s="7" t="s">
        <v>51</v>
      </c>
      <c r="M2" s="2"/>
    </row>
    <row r="3" spans="1:17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07" t="s">
        <v>236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07" t="s">
        <v>237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7" ht="10.5" thickBot="1" x14ac:dyDescent="0.25">
      <c r="A7" s="6"/>
      <c r="B7" s="6"/>
      <c r="C7" s="6"/>
      <c r="D7" s="6"/>
      <c r="E7" s="6"/>
      <c r="F7" s="6"/>
      <c r="G7" s="50"/>
      <c r="H7" s="50"/>
      <c r="I7" s="50"/>
      <c r="J7" s="50"/>
      <c r="K7" s="50"/>
      <c r="L7" s="50"/>
      <c r="M7" s="2"/>
    </row>
    <row r="8" spans="1:17" ht="10.5" thickTop="1" x14ac:dyDescent="0.2">
      <c r="A8"/>
      <c r="B8"/>
      <c r="C8"/>
      <c r="D8"/>
      <c r="E8"/>
      <c r="F8"/>
      <c r="G8" s="50"/>
      <c r="H8" s="50"/>
      <c r="I8" s="50"/>
      <c r="J8" s="50"/>
      <c r="K8" s="50"/>
      <c r="L8" s="50"/>
      <c r="M8" s="2"/>
      <c r="N8" t="s">
        <v>217</v>
      </c>
    </row>
    <row r="9" spans="1:17" x14ac:dyDescent="0.2">
      <c r="A9" t="s">
        <v>239</v>
      </c>
      <c r="B9"/>
      <c r="C9" s="22"/>
      <c r="D9"/>
      <c r="E9"/>
      <c r="F9"/>
      <c r="G9"/>
      <c r="H9"/>
      <c r="I9"/>
      <c r="J9"/>
      <c r="K9"/>
      <c r="L9"/>
      <c r="M9" s="2"/>
      <c r="N9" s="89">
        <v>44104</v>
      </c>
    </row>
    <row r="10" spans="1:17" x14ac:dyDescent="0.2">
      <c r="A10" t="s">
        <v>34</v>
      </c>
      <c r="B10"/>
      <c r="C10" t="s">
        <v>240</v>
      </c>
      <c r="D10" t="s">
        <v>241</v>
      </c>
      <c r="E10" t="s">
        <v>242</v>
      </c>
      <c r="F10" t="s">
        <v>133</v>
      </c>
      <c r="G10"/>
      <c r="H10"/>
      <c r="I10"/>
      <c r="J10"/>
      <c r="K10"/>
      <c r="L10"/>
      <c r="M10" s="2"/>
      <c r="O10" t="s">
        <v>243</v>
      </c>
      <c r="Q10"/>
    </row>
    <row r="11" spans="1:17" x14ac:dyDescent="0.2">
      <c r="A11" s="9" t="str">
        <f>TEXT($N$9,"m/d/xx")</f>
        <v>9/30/xx</v>
      </c>
      <c r="B11" s="9"/>
      <c r="C11" s="9" t="s">
        <v>244</v>
      </c>
      <c r="D11" s="9" t="s">
        <v>244</v>
      </c>
      <c r="E11" s="9" t="s">
        <v>245</v>
      </c>
      <c r="F11" s="9" t="s">
        <v>71</v>
      </c>
      <c r="G11"/>
      <c r="H11"/>
      <c r="I11"/>
      <c r="J11"/>
      <c r="K11"/>
      <c r="L11"/>
      <c r="M11" s="2"/>
      <c r="N11" s="9" t="s">
        <v>235</v>
      </c>
      <c r="O11" s="9" t="s">
        <v>240</v>
      </c>
      <c r="P11" s="9" t="s">
        <v>241</v>
      </c>
      <c r="Q11" s="9" t="s">
        <v>246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/>
      <c r="H12"/>
      <c r="I12"/>
      <c r="J12"/>
      <c r="K12"/>
      <c r="L12"/>
      <c r="M12" s="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t="str">
        <f t="shared" ref="A14:A21" si="0">TEXT(A15-1,"#")</f>
        <v>2011</v>
      </c>
      <c r="B14" s="25"/>
      <c r="C14" s="75">
        <f>ROUND('3.3b'!$C$52/'3.3b'!$C$16,3)</f>
        <v>1.2010000000000001</v>
      </c>
      <c r="D14" s="75">
        <f>ROUND('3.3c'!$C$52/'3.3c'!$C$16,3)</f>
        <v>1.2110000000000001</v>
      </c>
      <c r="E14" s="36">
        <f>ROUND('3.3d'!$C$54/'3.3d'!$C$18,3)</f>
        <v>1.0860000000000001</v>
      </c>
      <c r="F14" s="36">
        <f>ROUND(SUMPRODUCT(C14:E14,$O14:$Q14)/SUMIF(C14:E14,"&gt;0",$O14:$Q14),3)</f>
        <v>1.18</v>
      </c>
      <c r="G14"/>
      <c r="H14"/>
      <c r="I14"/>
      <c r="J14" s="36"/>
      <c r="K14" s="36"/>
      <c r="M14" s="2"/>
      <c r="N14" s="12">
        <f t="shared" ref="N14:N23" si="1">VALUE(A14)-1900</f>
        <v>111</v>
      </c>
      <c r="O14" s="126">
        <v>0</v>
      </c>
      <c r="P14" s="126">
        <v>0.75</v>
      </c>
      <c r="Q14" s="126">
        <v>0.25</v>
      </c>
    </row>
    <row r="15" spans="1:17" x14ac:dyDescent="0.2">
      <c r="A15" t="str">
        <f t="shared" si="0"/>
        <v>2012</v>
      </c>
      <c r="B15" s="25"/>
      <c r="C15" s="75">
        <f>ROUND('3.3b'!$C$52/'3.3b'!$C$20,3)</f>
        <v>1.175</v>
      </c>
      <c r="D15" s="75">
        <f>ROUND('3.3c'!$C$52/'3.3c'!$C$20,3)</f>
        <v>1.1879999999999999</v>
      </c>
      <c r="E15" s="36">
        <f>ROUND('3.3d'!$C$54/'3.3d'!$C$22,3)</f>
        <v>1.0620000000000001</v>
      </c>
      <c r="F15" s="36">
        <f t="shared" ref="F15:F22" si="2">ROUND(SUMPRODUCT(C15:E15,$O15:$Q15)/SUMIF(C15:E15,"&gt;0",$O15:$Q15),3)</f>
        <v>1.157</v>
      </c>
      <c r="G15"/>
      <c r="H15"/>
      <c r="I15"/>
      <c r="J15" s="36"/>
      <c r="K15" s="36"/>
      <c r="L15"/>
      <c r="M15" s="2"/>
      <c r="N15" s="12">
        <f t="shared" si="1"/>
        <v>112</v>
      </c>
      <c r="O15" s="126">
        <v>0</v>
      </c>
      <c r="P15" s="126">
        <v>0.75</v>
      </c>
      <c r="Q15" s="126">
        <v>0.25</v>
      </c>
    </row>
    <row r="16" spans="1:17" x14ac:dyDescent="0.2">
      <c r="A16" t="str">
        <f t="shared" si="0"/>
        <v>2013</v>
      </c>
      <c r="B16" s="25"/>
      <c r="C16" s="75">
        <f>ROUND('3.3b'!$C$52/'3.3b'!$C$24,3)</f>
        <v>1.1399999999999999</v>
      </c>
      <c r="D16" s="75">
        <f>ROUND('3.3c'!$C$52/'3.3c'!$C$24,3)</f>
        <v>1.149</v>
      </c>
      <c r="E16" s="36">
        <f>ROUND('3.3d'!$C$54/'3.3d'!$C$26,3)</f>
        <v>1.0549999999999999</v>
      </c>
      <c r="F16" s="36">
        <f t="shared" si="2"/>
        <v>1.1259999999999999</v>
      </c>
      <c r="G16"/>
      <c r="H16"/>
      <c r="I16"/>
      <c r="J16" s="36"/>
      <c r="K16" s="36"/>
      <c r="L16"/>
      <c r="M16" s="2"/>
      <c r="N16" s="12">
        <f t="shared" si="1"/>
        <v>113</v>
      </c>
      <c r="O16" s="126">
        <v>0</v>
      </c>
      <c r="P16" s="126">
        <v>0.75</v>
      </c>
      <c r="Q16" s="126">
        <v>0.25</v>
      </c>
    </row>
    <row r="17" spans="1:17" x14ac:dyDescent="0.2">
      <c r="A17" t="str">
        <f t="shared" si="0"/>
        <v>2014</v>
      </c>
      <c r="B17" s="25"/>
      <c r="C17" s="75">
        <f>ROUND('3.3b'!$C$52/'3.3b'!$C$28,3)</f>
        <v>1.105</v>
      </c>
      <c r="D17" s="75">
        <f>ROUND('3.3c'!$C$52/'3.3c'!$C$28,3)</f>
        <v>1.1060000000000001</v>
      </c>
      <c r="E17" s="36">
        <f>ROUND('3.3d'!$C$54/'3.3d'!$C$30,3)</f>
        <v>1.0449999999999999</v>
      </c>
      <c r="F17" s="36">
        <f t="shared" si="2"/>
        <v>1.091</v>
      </c>
      <c r="G17"/>
      <c r="H17"/>
      <c r="I17"/>
      <c r="J17" s="36"/>
      <c r="K17" s="36"/>
      <c r="L17"/>
      <c r="M17" s="2"/>
      <c r="N17" s="12">
        <f t="shared" si="1"/>
        <v>114</v>
      </c>
      <c r="O17" s="126">
        <v>0</v>
      </c>
      <c r="P17" s="126">
        <v>0.75</v>
      </c>
      <c r="Q17" s="126">
        <v>0.25</v>
      </c>
    </row>
    <row r="18" spans="1:17" x14ac:dyDescent="0.2">
      <c r="A18" t="str">
        <f t="shared" si="0"/>
        <v>2015</v>
      </c>
      <c r="B18" s="25"/>
      <c r="C18" s="75">
        <f>ROUND('3.3b'!$C$52/'3.3b'!$C$32,3)</f>
        <v>1.077</v>
      </c>
      <c r="D18" s="75">
        <f>ROUND('3.3c'!$C$52/'3.3c'!$C$32,3)</f>
        <v>1.08</v>
      </c>
      <c r="E18" s="36">
        <f>ROUND('3.3d'!$C$54/'3.3d'!$C$34,3)</f>
        <v>1.0309999999999999</v>
      </c>
      <c r="F18" s="36">
        <f t="shared" si="2"/>
        <v>1.0680000000000001</v>
      </c>
      <c r="G18"/>
      <c r="H18"/>
      <c r="I18"/>
      <c r="J18" s="36"/>
      <c r="K18" s="36"/>
      <c r="L18"/>
      <c r="M18" s="2"/>
      <c r="N18" s="12">
        <f t="shared" si="1"/>
        <v>115</v>
      </c>
      <c r="O18" s="126">
        <v>0</v>
      </c>
      <c r="P18" s="126">
        <v>0.75</v>
      </c>
      <c r="Q18" s="126">
        <v>0.25</v>
      </c>
    </row>
    <row r="19" spans="1:17" x14ac:dyDescent="0.2">
      <c r="A19" t="str">
        <f t="shared" si="0"/>
        <v>2016</v>
      </c>
      <c r="B19" s="25"/>
      <c r="C19" s="75">
        <f>ROUND('3.3b'!$C$52/'3.3b'!$C$36,3)</f>
        <v>1.0840000000000001</v>
      </c>
      <c r="D19" s="75">
        <f>ROUND('3.3c'!$C$52/'3.3c'!$C$36,3)</f>
        <v>1.0880000000000001</v>
      </c>
      <c r="E19" s="36">
        <f>ROUND('3.3d'!$C$54/'3.3d'!$C$38,3)</f>
        <v>1.016</v>
      </c>
      <c r="F19" s="36">
        <f t="shared" si="2"/>
        <v>1.07</v>
      </c>
      <c r="G19"/>
      <c r="H19"/>
      <c r="I19"/>
      <c r="J19" s="36"/>
      <c r="K19" s="36"/>
      <c r="L19"/>
      <c r="M19" s="2"/>
      <c r="N19" s="12">
        <f t="shared" si="1"/>
        <v>116</v>
      </c>
      <c r="O19" s="126">
        <v>0</v>
      </c>
      <c r="P19" s="126">
        <v>0.75</v>
      </c>
      <c r="Q19" s="126">
        <v>0.25</v>
      </c>
    </row>
    <row r="20" spans="1:17" x14ac:dyDescent="0.2">
      <c r="A20" t="str">
        <f t="shared" si="0"/>
        <v>2017</v>
      </c>
      <c r="B20" s="25"/>
      <c r="C20" s="75">
        <f>ROUND('3.3b'!$C$52/'3.3b'!$C$40,3)</f>
        <v>1.0720000000000001</v>
      </c>
      <c r="D20" s="75">
        <f>ROUND('3.3c'!$C$52/'3.3c'!$C$40,3)</f>
        <v>1.075</v>
      </c>
      <c r="E20" s="36">
        <f>ROUND('3.3d'!$C$54/'3.3d'!$C$42,3)</f>
        <v>1.0089999999999999</v>
      </c>
      <c r="F20" s="36">
        <f t="shared" si="2"/>
        <v>1.0589999999999999</v>
      </c>
      <c r="G20"/>
      <c r="H20"/>
      <c r="I20"/>
      <c r="J20" s="36"/>
      <c r="K20" s="36"/>
      <c r="L20"/>
      <c r="M20" s="2"/>
      <c r="N20" s="12">
        <f t="shared" si="1"/>
        <v>117</v>
      </c>
      <c r="O20" s="126">
        <v>0</v>
      </c>
      <c r="P20" s="126">
        <v>0.75</v>
      </c>
      <c r="Q20" s="126">
        <v>0.25</v>
      </c>
    </row>
    <row r="21" spans="1:17" x14ac:dyDescent="0.2">
      <c r="A21" t="str">
        <f t="shared" si="0"/>
        <v>2018</v>
      </c>
      <c r="B21" s="25"/>
      <c r="C21" s="75">
        <f>ROUND('3.3b'!$C$52/'3.3b'!$C$44,3)</f>
        <v>1.0329999999999999</v>
      </c>
      <c r="D21" s="75">
        <f>ROUND('3.3c'!$C$52/'3.3c'!$C$44,3)</f>
        <v>1.034</v>
      </c>
      <c r="E21" s="36">
        <f>ROUND('3.3d'!$C$54/'3.3d'!$C$46,3)</f>
        <v>1.002</v>
      </c>
      <c r="F21" s="36">
        <f t="shared" si="2"/>
        <v>1.026</v>
      </c>
      <c r="G21"/>
      <c r="H21"/>
      <c r="I21"/>
      <c r="J21" s="36"/>
      <c r="K21" s="36"/>
      <c r="L21"/>
      <c r="M21" s="2"/>
      <c r="N21" s="12">
        <f t="shared" si="1"/>
        <v>118</v>
      </c>
      <c r="O21" s="126">
        <v>0</v>
      </c>
      <c r="P21" s="126">
        <v>0.75</v>
      </c>
      <c r="Q21" s="126">
        <v>0.25</v>
      </c>
    </row>
    <row r="22" spans="1:17" x14ac:dyDescent="0.2">
      <c r="A22" t="str">
        <f>TEXT(A23-1,"#")</f>
        <v>2019</v>
      </c>
      <c r="B22" s="25"/>
      <c r="C22" s="75">
        <f>ROUND('3.3b'!$C$52/'3.3b'!$C$48,3)</f>
        <v>1.01</v>
      </c>
      <c r="D22" s="75">
        <f>ROUND('3.3c'!$C$52/'3.3c'!$C$48,3)</f>
        <v>1.002</v>
      </c>
      <c r="E22" s="75">
        <f>ROUND('3.3d'!$C$54/'3.3d'!$C$50,3)</f>
        <v>0.98099999999999998</v>
      </c>
      <c r="F22" s="36">
        <f t="shared" si="2"/>
        <v>0.997</v>
      </c>
      <c r="G22"/>
      <c r="H22"/>
      <c r="I22"/>
      <c r="J22" s="36"/>
      <c r="K22" s="36"/>
      <c r="L22"/>
      <c r="M22" s="2"/>
      <c r="N22" s="12">
        <f t="shared" si="1"/>
        <v>119</v>
      </c>
      <c r="O22" s="126">
        <v>0</v>
      </c>
      <c r="P22" s="126">
        <v>0.75</v>
      </c>
      <c r="Q22" s="126">
        <v>0.25</v>
      </c>
    </row>
    <row r="23" spans="1:17" x14ac:dyDescent="0.2">
      <c r="A23" t="str">
        <f>TEXT(YEAR($N$9),"#")</f>
        <v>2020</v>
      </c>
      <c r="B23" s="25"/>
      <c r="C23" s="75">
        <f>ROUND('3.3b'!$C$52/'3.3b'!$C$52,3)</f>
        <v>1</v>
      </c>
      <c r="D23" s="75">
        <f>ROUND('3.3c'!$C$52/'3.3c'!$C$52,3)</f>
        <v>1</v>
      </c>
      <c r="E23" s="75">
        <f>ROUND('3.3d'!$C$54/'3.3d'!$C$54,3)</f>
        <v>1</v>
      </c>
      <c r="F23" s="36">
        <f>ROUND(SUMPRODUCT(C23:E23,$O23:$Q23)/SUMIF(C23:E23,"&gt;0",$O23:$Q23),3)</f>
        <v>1</v>
      </c>
      <c r="G23"/>
      <c r="H23"/>
      <c r="I23"/>
      <c r="J23" s="36"/>
      <c r="K23" s="36"/>
      <c r="L23"/>
      <c r="M23" s="2"/>
      <c r="N23" s="12">
        <f t="shared" si="1"/>
        <v>120</v>
      </c>
      <c r="O23" s="126">
        <v>0</v>
      </c>
      <c r="P23" s="126">
        <v>0.75</v>
      </c>
      <c r="Q23" s="126">
        <v>0.25</v>
      </c>
    </row>
    <row r="24" spans="1:17" x14ac:dyDescent="0.2">
      <c r="A24" s="9"/>
      <c r="B24" s="26"/>
      <c r="C24" s="37"/>
      <c r="D24" s="37"/>
      <c r="E24" s="37"/>
      <c r="F24" s="37"/>
      <c r="G24" s="103"/>
      <c r="H24" s="49"/>
      <c r="I24" s="49"/>
      <c r="J24" s="63"/>
      <c r="K24" s="63"/>
      <c r="L24" s="63"/>
      <c r="M24" s="2"/>
    </row>
    <row r="25" spans="1:17" x14ac:dyDescent="0.2">
      <c r="A25" s="50"/>
      <c r="B25" s="50"/>
      <c r="C25" s="58"/>
      <c r="D25" s="50"/>
      <c r="E25" s="50"/>
      <c r="F25" s="50"/>
      <c r="G25"/>
      <c r="H25"/>
      <c r="I25"/>
      <c r="J25"/>
      <c r="K25"/>
      <c r="L25"/>
      <c r="M25" s="2"/>
      <c r="Q25"/>
    </row>
    <row r="26" spans="1:17" x14ac:dyDescent="0.2">
      <c r="A26" s="12" t="s">
        <v>247</v>
      </c>
      <c r="H26"/>
      <c r="I26"/>
      <c r="J26"/>
      <c r="K26"/>
      <c r="L26"/>
      <c r="M26" s="2"/>
    </row>
    <row r="27" spans="1:17" x14ac:dyDescent="0.2">
      <c r="B27"/>
      <c r="C27" s="108"/>
      <c r="D27" s="108"/>
      <c r="E27" s="108"/>
      <c r="F27" s="109"/>
      <c r="G27"/>
      <c r="H27"/>
      <c r="I27"/>
      <c r="J27"/>
      <c r="K27"/>
      <c r="L27"/>
      <c r="M27" s="2"/>
    </row>
    <row r="28" spans="1:17" x14ac:dyDescent="0.2">
      <c r="A28" s="104" t="s">
        <v>124</v>
      </c>
      <c r="B28" t="s">
        <v>248</v>
      </c>
      <c r="C28" s="76">
        <f>ROUND('3.3b'!$G$56,3)</f>
        <v>2.1999999999999999E-2</v>
      </c>
      <c r="D28" s="76">
        <f>ROUND('3.3c'!$G$56,3)</f>
        <v>2.3E-2</v>
      </c>
      <c r="E28" s="76">
        <f>ROUND('3.3d'!$G$58,3)</f>
        <v>7.0000000000000001E-3</v>
      </c>
      <c r="F28" s="76">
        <f>ROUND(SUMPRODUCT(C28:E28,$O28:$Q28)/SUMIF(C28:E28,"&gt;0",$O28:$Q28),3)</f>
        <v>1.9E-2</v>
      </c>
      <c r="G28"/>
      <c r="H28"/>
      <c r="I28"/>
      <c r="J28"/>
      <c r="K28"/>
      <c r="L28"/>
      <c r="M28" s="2"/>
      <c r="O28" s="126">
        <v>0</v>
      </c>
      <c r="P28" s="126">
        <v>0.75</v>
      </c>
      <c r="Q28" s="126">
        <v>0.25</v>
      </c>
    </row>
    <row r="29" spans="1:17" x14ac:dyDescent="0.2">
      <c r="A29" s="110"/>
      <c r="B29" s="111"/>
      <c r="C29" s="50"/>
      <c r="D29" s="50"/>
      <c r="E29" s="50"/>
      <c r="F29" s="29"/>
      <c r="G29" s="50"/>
      <c r="H29" s="50"/>
      <c r="I29" s="50"/>
      <c r="J29" s="50"/>
      <c r="K29" s="50"/>
      <c r="L29" s="50"/>
      <c r="M29" s="2"/>
    </row>
    <row r="30" spans="1:17" x14ac:dyDescent="0.2">
      <c r="A30" s="104" t="s">
        <v>123</v>
      </c>
      <c r="B30" s="111" t="s">
        <v>250</v>
      </c>
      <c r="C30" s="103">
        <f>ROUND((1+C28)^$N$32,3)</f>
        <v>1.0620000000000001</v>
      </c>
      <c r="D30" s="103">
        <f>ROUND((1+D28)^$N$32,3)</f>
        <v>1.0649999999999999</v>
      </c>
      <c r="E30" s="103">
        <f>ROUND((1+E28)^$N$32,3)</f>
        <v>1.0189999999999999</v>
      </c>
      <c r="F30" s="103">
        <f>ROUND((1+F28)^$N$32,3)</f>
        <v>1.0529999999999999</v>
      </c>
      <c r="G30" s="50"/>
      <c r="H30" s="50"/>
      <c r="I30" s="50"/>
      <c r="J30" s="50"/>
      <c r="K30" s="50"/>
      <c r="L30" s="50"/>
      <c r="M30" s="2"/>
      <c r="O30" s="12" t="s">
        <v>249</v>
      </c>
    </row>
    <row r="31" spans="1:17" ht="10.5" thickBot="1" x14ac:dyDescent="0.25">
      <c r="A31" s="6"/>
      <c r="B31" s="6"/>
      <c r="C31" s="6"/>
      <c r="D31" s="6"/>
      <c r="E31" s="6"/>
      <c r="F31" s="6"/>
      <c r="G31" s="50"/>
      <c r="H31" s="50"/>
      <c r="I31" s="50"/>
      <c r="J31" s="50"/>
      <c r="K31" s="50"/>
      <c r="L31" s="50"/>
      <c r="M31" s="2"/>
      <c r="N31" s="12" t="s">
        <v>222</v>
      </c>
      <c r="O31" s="193" t="s">
        <v>228</v>
      </c>
      <c r="P31" s="193" t="s">
        <v>229</v>
      </c>
    </row>
    <row r="32" spans="1:17" ht="10.5" thickTop="1" x14ac:dyDescent="0.2">
      <c r="A32"/>
      <c r="B32"/>
      <c r="C32"/>
      <c r="D32"/>
      <c r="E32"/>
      <c r="F32"/>
      <c r="G32" s="50"/>
      <c r="H32" s="50"/>
      <c r="I32" s="50"/>
      <c r="J32" s="50"/>
      <c r="K32" s="50"/>
      <c r="L32" s="50"/>
      <c r="M32" s="2"/>
      <c r="N32" s="112">
        <f>YEAR(P32)-YEAR(O32)+(MONTH(P32)-MONTH(O32))/12</f>
        <v>2.75</v>
      </c>
      <c r="O32" s="239">
        <f>DATE(YEAR(N9+1),MONTH(N9+1)-6,1)</f>
        <v>43922</v>
      </c>
      <c r="P32" s="239">
        <f>'trend 2.5'!$I$15</f>
        <v>44927</v>
      </c>
    </row>
    <row r="33" spans="1:17" x14ac:dyDescent="0.2">
      <c r="A33" t="s">
        <v>17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7" x14ac:dyDescent="0.2">
      <c r="A34"/>
      <c r="B34" s="22" t="str">
        <f>C12&amp;" = "&amp;'3.3b'!$L$1&amp;", "&amp;'3.3b'!$L$2&amp;" trended forward to "&amp;TEXT($N$9,"m/d/yyyy")</f>
        <v>(2) = Exhibit 3, Sheet 3b trended forward to 9/30/2020</v>
      </c>
      <c r="F34"/>
      <c r="G34"/>
      <c r="J34"/>
      <c r="K34"/>
      <c r="L34"/>
      <c r="M34" s="2"/>
    </row>
    <row r="35" spans="1:17" x14ac:dyDescent="0.2">
      <c r="A35"/>
      <c r="B35" s="22" t="str">
        <f>D12&amp;" = "&amp;'3.3c'!$L$1&amp;", "&amp;'3.3c'!$L$2&amp;" trended forward to "&amp;TEXT($N$9,"m/d/yyyy")</f>
        <v>(3) = Exhibit 3, Sheet 3c trended forward to 9/30/2020</v>
      </c>
      <c r="C35"/>
      <c r="D35"/>
      <c r="E35"/>
      <c r="F35"/>
      <c r="H35"/>
      <c r="I35"/>
      <c r="J35"/>
      <c r="K35"/>
      <c r="L35"/>
      <c r="M35" s="2"/>
    </row>
    <row r="36" spans="1:17" x14ac:dyDescent="0.2">
      <c r="A36"/>
      <c r="B36" s="22" t="str">
        <f>E12&amp;" = "&amp;'3.3d'!$L$1&amp;", "&amp;'3.3d'!$L$2</f>
        <v>(4) = Exhibit 3, Sheet 3d</v>
      </c>
      <c r="D36"/>
      <c r="E36"/>
      <c r="F36"/>
      <c r="H36"/>
      <c r="I36"/>
      <c r="J36"/>
      <c r="K36"/>
      <c r="L36"/>
      <c r="M36" s="2"/>
    </row>
    <row r="37" spans="1:17" x14ac:dyDescent="0.2">
      <c r="A37"/>
      <c r="B37" s="22" t="str">
        <f>F12&amp;" = 25% "&amp;E11&amp;" and 75% "&amp;D11&amp;" (most appropriate available by year)"</f>
        <v>(5) = 25% CPI and 75% Boeckh (most appropriate available by year)</v>
      </c>
      <c r="C37"/>
      <c r="D37"/>
      <c r="E37"/>
      <c r="F37"/>
      <c r="H37"/>
      <c r="I37"/>
      <c r="J37"/>
      <c r="K37"/>
      <c r="L37"/>
      <c r="M37" s="2"/>
    </row>
    <row r="38" spans="1:17" x14ac:dyDescent="0.2">
      <c r="B38" s="12" t="str">
        <f>A28&amp;" = "&amp;C12&amp;" - "&amp;F12&amp;" fitted to an exponential curve using 5 years' data"</f>
        <v>(6) = (2) - (5) fitted to an exponential curve using 5 years' data</v>
      </c>
      <c r="L38"/>
      <c r="M38" s="2"/>
    </row>
    <row r="39" spans="1:17" x14ac:dyDescent="0.2">
      <c r="A39" s="113"/>
      <c r="B39" s="111" t="str">
        <f>A30&amp;" = [1 + "&amp;A28&amp;"] ^ "&amp;$N$32&amp;" (trended from "&amp;TEXT($O$32,"m/d/yyyy")&amp;" to "&amp;TEXT($P$32,"m/d/yyyy")&amp;")"</f>
        <v>(7) = [1 + (6)] ^ 2.75 (trended from 4/1/2020 to 1/1/2023)</v>
      </c>
      <c r="C39" s="101"/>
      <c r="D39" s="102"/>
      <c r="E39" s="102"/>
      <c r="F39" s="36"/>
      <c r="G39" s="103"/>
      <c r="H39" s="49"/>
      <c r="I39" s="49"/>
      <c r="J39" s="63"/>
      <c r="K39" s="63"/>
      <c r="L39" s="63"/>
      <c r="M39" s="2"/>
    </row>
    <row r="40" spans="1:17" x14ac:dyDescent="0.2">
      <c r="A40" s="113"/>
      <c r="B40" s="111"/>
      <c r="C40" s="101"/>
      <c r="D40" s="102"/>
      <c r="E40" s="102"/>
      <c r="F40" s="29"/>
      <c r="G40" s="103"/>
      <c r="H40" s="49"/>
      <c r="I40" s="49"/>
      <c r="J40" s="63"/>
      <c r="K40" s="63"/>
      <c r="L40" s="63"/>
      <c r="M40" s="2"/>
    </row>
    <row r="41" spans="1:17" x14ac:dyDescent="0.2">
      <c r="A41" s="114"/>
      <c r="B41" s="111"/>
      <c r="C41" s="101"/>
      <c r="D41" s="102"/>
      <c r="E41" s="102"/>
      <c r="F41" s="29"/>
      <c r="G41" s="103"/>
      <c r="H41" s="49"/>
      <c r="I41" s="49"/>
      <c r="J41" s="63"/>
      <c r="K41" s="63"/>
      <c r="L41" s="63"/>
      <c r="M41" s="2"/>
    </row>
    <row r="42" spans="1:17" x14ac:dyDescent="0.2">
      <c r="A42" s="50"/>
      <c r="B42" s="50"/>
      <c r="C42" s="63"/>
      <c r="D42" s="63"/>
      <c r="E42" s="63"/>
      <c r="F42" s="63"/>
      <c r="G42"/>
      <c r="H42"/>
      <c r="I42"/>
      <c r="J42"/>
      <c r="K42"/>
      <c r="L42"/>
      <c r="M42" s="2"/>
      <c r="Q42"/>
    </row>
    <row r="43" spans="1:17" x14ac:dyDescent="0.2">
      <c r="A43" s="114"/>
      <c r="B43" s="111"/>
      <c r="C43" s="101"/>
      <c r="D43" s="102"/>
      <c r="E43" s="102"/>
      <c r="F43" s="29"/>
      <c r="G43" s="103"/>
      <c r="H43" s="49"/>
      <c r="I43" s="49"/>
      <c r="J43" s="63"/>
      <c r="K43" s="63"/>
      <c r="L43" s="63"/>
      <c r="M43" s="2"/>
    </row>
    <row r="44" spans="1:17" x14ac:dyDescent="0.2">
      <c r="A44" s="50"/>
      <c r="B44" s="51"/>
      <c r="C44" s="101"/>
      <c r="D44" s="102"/>
      <c r="E44" s="102"/>
      <c r="F44" s="29"/>
      <c r="G44" s="103"/>
      <c r="H44" s="49"/>
      <c r="I44" s="49"/>
      <c r="J44" s="63"/>
      <c r="K44" s="63"/>
      <c r="L44" s="63"/>
      <c r="M44" s="2"/>
    </row>
    <row r="45" spans="1:17" x14ac:dyDescent="0.2">
      <c r="A45" s="114"/>
      <c r="B45" s="51"/>
      <c r="C45" s="101"/>
      <c r="D45" s="102"/>
      <c r="E45" s="102"/>
      <c r="F45" s="29"/>
      <c r="G45" s="103"/>
      <c r="H45" s="49"/>
      <c r="I45" s="49"/>
      <c r="J45" s="63"/>
      <c r="K45" s="63"/>
      <c r="L45" s="63"/>
      <c r="M45" s="2"/>
    </row>
    <row r="46" spans="1:17" x14ac:dyDescent="0.2">
      <c r="A46"/>
      <c r="B46" s="22"/>
      <c r="C46"/>
      <c r="D46"/>
      <c r="E46"/>
      <c r="F46"/>
      <c r="G46"/>
      <c r="H46"/>
      <c r="I46"/>
      <c r="L46"/>
      <c r="M46" s="2"/>
    </row>
    <row r="47" spans="1:17" x14ac:dyDescent="0.2">
      <c r="A47"/>
      <c r="B47" s="22"/>
      <c r="C47"/>
      <c r="D47"/>
      <c r="E47"/>
      <c r="F47"/>
      <c r="H47"/>
      <c r="I47"/>
      <c r="J47"/>
      <c r="K47"/>
      <c r="L47"/>
      <c r="M47" s="2"/>
    </row>
    <row r="48" spans="1:17" x14ac:dyDescent="0.2">
      <c r="A48" s="50"/>
      <c r="B48" s="22"/>
      <c r="C48" s="101"/>
      <c r="D48" s="102"/>
      <c r="E48" s="102"/>
      <c r="F48" s="103"/>
      <c r="G48" s="103"/>
      <c r="H48" s="49"/>
      <c r="I48" s="49"/>
      <c r="J48" s="63"/>
      <c r="K48" s="63"/>
      <c r="L48" s="63"/>
      <c r="M48" s="2"/>
    </row>
    <row r="49" spans="1:13" x14ac:dyDescent="0.2">
      <c r="A49" s="50"/>
      <c r="B49" s="22"/>
      <c r="C49" s="101"/>
      <c r="D49" s="102"/>
      <c r="E49" s="102"/>
      <c r="F49" s="103"/>
      <c r="G49" s="103"/>
      <c r="H49" s="49"/>
      <c r="I49" s="49"/>
      <c r="J49" s="63"/>
      <c r="K49" s="63"/>
      <c r="L49" s="63"/>
      <c r="M49" s="2"/>
    </row>
    <row r="50" spans="1:13" x14ac:dyDescent="0.2">
      <c r="A50" s="50"/>
      <c r="B50" s="22"/>
      <c r="C50" s="101"/>
      <c r="D50" s="102"/>
      <c r="E50" s="102"/>
      <c r="F50" s="103"/>
      <c r="G50" s="103"/>
      <c r="H50" s="49"/>
      <c r="I50" s="49"/>
      <c r="J50" s="63"/>
      <c r="K50" s="63"/>
      <c r="L50" s="63"/>
      <c r="M50" s="2"/>
    </row>
    <row r="51" spans="1:13" x14ac:dyDescent="0.2">
      <c r="A51" s="50"/>
      <c r="B51" s="22"/>
      <c r="C51" s="58"/>
      <c r="D51" s="50"/>
      <c r="E51" s="50"/>
      <c r="F51" s="50"/>
      <c r="G51" s="58"/>
      <c r="H51" s="58"/>
      <c r="I51" s="58"/>
      <c r="J51" s="58"/>
      <c r="K51" s="58"/>
      <c r="L51" s="50"/>
      <c r="M51" s="2"/>
    </row>
    <row r="52" spans="1:13" x14ac:dyDescent="0.2">
      <c r="A52" s="50"/>
      <c r="C52" s="58"/>
      <c r="D52" s="58"/>
      <c r="E52" s="50"/>
      <c r="F52" s="58"/>
      <c r="G52" s="58"/>
      <c r="H52" s="58"/>
      <c r="I52" s="58"/>
      <c r="J52" s="63"/>
      <c r="K52" s="63"/>
      <c r="L52"/>
      <c r="M52" s="2"/>
    </row>
    <row r="53" spans="1:13" x14ac:dyDescent="0.2">
      <c r="A53" s="113"/>
      <c r="B53" s="111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0.5" thickBot="1" x14ac:dyDescent="0.25">
      <c r="M68" s="2"/>
    </row>
    <row r="69" spans="1:13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rgb="FF92D050"/>
  </sheetPr>
  <dimension ref="A1:Q63"/>
  <sheetViews>
    <sheetView showGridLines="0" topLeftCell="A49" workbookViewId="0">
      <selection activeCell="A60" sqref="A60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44140625" style="12" customWidth="1"/>
    <col min="12" max="12" width="3.44140625" style="12" customWidth="1"/>
    <col min="13" max="16384" width="11.33203125" style="12"/>
  </cols>
  <sheetData>
    <row r="1" spans="1:17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</row>
    <row r="2" spans="1:17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57</v>
      </c>
      <c r="M2" s="2"/>
    </row>
    <row r="3" spans="1:17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07" t="s">
        <v>236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07" t="s">
        <v>251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7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7" ht="10.5" thickTop="1" x14ac:dyDescent="0.2">
      <c r="A8"/>
      <c r="B8"/>
      <c r="C8"/>
      <c r="D8"/>
      <c r="E8"/>
      <c r="F8"/>
      <c r="G8" s="50"/>
      <c r="H8"/>
      <c r="I8" s="50"/>
      <c r="J8"/>
      <c r="K8" s="50"/>
      <c r="L8" s="50"/>
      <c r="M8" s="2"/>
      <c r="N8" t="s">
        <v>238</v>
      </c>
    </row>
    <row r="9" spans="1:17" x14ac:dyDescent="0.2">
      <c r="A9"/>
      <c r="B9"/>
      <c r="C9" s="22" t="s">
        <v>252</v>
      </c>
      <c r="D9" s="10" t="s">
        <v>253</v>
      </c>
      <c r="E9"/>
      <c r="F9"/>
      <c r="G9"/>
      <c r="H9"/>
      <c r="I9"/>
      <c r="J9"/>
      <c r="K9"/>
      <c r="L9"/>
      <c r="M9" s="2"/>
      <c r="N9" s="89">
        <v>44196</v>
      </c>
    </row>
    <row r="10" spans="1:17" x14ac:dyDescent="0.2">
      <c r="A10" t="s">
        <v>239</v>
      </c>
      <c r="B10"/>
      <c r="C10" t="s">
        <v>240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  <c r="P10"/>
      <c r="Q10"/>
    </row>
    <row r="11" spans="1:17" x14ac:dyDescent="0.2">
      <c r="A11" s="9" t="s">
        <v>34</v>
      </c>
      <c r="B11" s="9"/>
      <c r="C11" s="9" t="s">
        <v>235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  <c r="Q11"/>
    </row>
    <row r="12" spans="1:17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  <c r="Q1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  <c r="O13"/>
      <c r="Q13"/>
    </row>
    <row r="14" spans="1:17" x14ac:dyDescent="0.2">
      <c r="A14" s="12" t="str">
        <f t="shared" ref="A14:A51" si="1">TEXT(DATE(YEAR(A15+1),MONTH(A15+1)-3,1)-1,"m/d/yyyy")</f>
        <v>3/31/2011</v>
      </c>
      <c r="B14" s="25"/>
      <c r="C14" s="221">
        <f>'[4]Boeckh (R)'!D58</f>
        <v>2065.1042416763394</v>
      </c>
      <c r="D14" s="116">
        <f>TREND($C$14:$C$53,$N$14:$N$53,$N14,TRUE)</f>
        <v>2068.0000486636563</v>
      </c>
      <c r="E14" s="116">
        <f>GROWTH($C$14:$C$53,$N$14:$N$53,$N14,TRUE)</f>
        <v>2074.0827106577062</v>
      </c>
      <c r="F14" s="36"/>
      <c r="G14"/>
      <c r="H14" s="36"/>
      <c r="I14"/>
      <c r="J14" s="36"/>
      <c r="K14"/>
      <c r="L14"/>
      <c r="M14" s="2"/>
      <c r="N14" s="12">
        <f t="shared" ref="N14:N53" si="2">YEAR(A14)+MONTH(A14)/12</f>
        <v>2011.25</v>
      </c>
      <c r="O14"/>
      <c r="Q14"/>
    </row>
    <row r="15" spans="1:17" x14ac:dyDescent="0.2">
      <c r="A15" s="12" t="str">
        <f t="shared" si="1"/>
        <v>6/30/2011</v>
      </c>
      <c r="B15" s="25"/>
      <c r="C15" s="221">
        <f>'[4]Boeckh (R)'!D59</f>
        <v>2070.208705448661</v>
      </c>
      <c r="D15" s="116">
        <f t="shared" ref="D15:D53" si="3">TREND($C$14:$C$53,$N$14:$N$53,$N15,TRUE)</f>
        <v>2079.4325074303779</v>
      </c>
      <c r="E15" s="116">
        <f t="shared" ref="E15:E53" si="4">GROWTH($C$14:$C$53,$N$14:$N$53,$N15,TRUE)</f>
        <v>2084.50203622256</v>
      </c>
      <c r="F15" s="36"/>
      <c r="G15"/>
      <c r="H15" s="36"/>
      <c r="I15"/>
      <c r="J15" s="36"/>
      <c r="K15"/>
      <c r="L15"/>
      <c r="M15" s="2"/>
      <c r="N15" s="12">
        <f t="shared" si="2"/>
        <v>2011.5</v>
      </c>
      <c r="O15" s="17"/>
      <c r="P15" s="17"/>
      <c r="Q15" s="17"/>
    </row>
    <row r="16" spans="1:17" x14ac:dyDescent="0.2">
      <c r="A16" s="12" t="str">
        <f t="shared" si="1"/>
        <v>9/30/2011</v>
      </c>
      <c r="B16" s="25"/>
      <c r="C16" s="221">
        <f>'[4]Boeckh (R)'!D60</f>
        <v>2075.7667736205358</v>
      </c>
      <c r="D16" s="116">
        <f t="shared" si="3"/>
        <v>2090.8649661970994</v>
      </c>
      <c r="E16" s="116">
        <f t="shared" si="4"/>
        <v>2094.9737041287626</v>
      </c>
      <c r="F16" s="36"/>
      <c r="G16"/>
      <c r="H16" s="36"/>
      <c r="I16"/>
      <c r="J16" s="36"/>
      <c r="K16"/>
      <c r="L16"/>
      <c r="M16" s="2"/>
      <c r="N16" s="12">
        <f t="shared" si="2"/>
        <v>2011.75</v>
      </c>
      <c r="O16"/>
      <c r="Q16"/>
    </row>
    <row r="17" spans="1:17" x14ac:dyDescent="0.2">
      <c r="A17" s="12" t="str">
        <f t="shared" si="1"/>
        <v>12/31/2011</v>
      </c>
      <c r="B17" s="25"/>
      <c r="C17" s="221">
        <f>'[4]Boeckh (R)'!D61</f>
        <v>2083.1629894464286</v>
      </c>
      <c r="D17" s="116">
        <f t="shared" si="3"/>
        <v>2102.297424963821</v>
      </c>
      <c r="E17" s="116">
        <f t="shared" si="4"/>
        <v>2105.4979773223827</v>
      </c>
      <c r="F17" s="36"/>
      <c r="G17"/>
      <c r="H17" s="36"/>
      <c r="I17"/>
      <c r="J17" s="36"/>
      <c r="K17"/>
      <c r="L17"/>
      <c r="M17" s="2"/>
      <c r="N17" s="12">
        <f t="shared" si="2"/>
        <v>2012</v>
      </c>
      <c r="O17"/>
      <c r="Q17"/>
    </row>
    <row r="18" spans="1:17" x14ac:dyDescent="0.2">
      <c r="A18" s="12" t="str">
        <f t="shared" si="1"/>
        <v>3/31/2012</v>
      </c>
      <c r="B18" s="25"/>
      <c r="C18" s="221">
        <f>'[4]Boeckh (R)'!D62</f>
        <v>2092.6853822098215</v>
      </c>
      <c r="D18" s="116">
        <f t="shared" si="3"/>
        <v>2113.7298837305425</v>
      </c>
      <c r="E18" s="116">
        <f t="shared" si="4"/>
        <v>2116.0751200704199</v>
      </c>
      <c r="F18" s="36"/>
      <c r="G18"/>
      <c r="H18" s="36"/>
      <c r="I18"/>
      <c r="J18" s="36"/>
      <c r="K18"/>
      <c r="L18"/>
      <c r="M18" s="2"/>
      <c r="N18" s="12">
        <f t="shared" si="2"/>
        <v>2012.25</v>
      </c>
      <c r="Q18"/>
    </row>
    <row r="19" spans="1:17" x14ac:dyDescent="0.2">
      <c r="A19" s="12" t="str">
        <f t="shared" si="1"/>
        <v>6/30/2012</v>
      </c>
      <c r="B19" s="25"/>
      <c r="C19" s="221">
        <f>'[4]Boeckh (R)'!D63</f>
        <v>2103.67658390625</v>
      </c>
      <c r="D19" s="116">
        <f t="shared" si="3"/>
        <v>2125.162342497264</v>
      </c>
      <c r="E19" s="116">
        <f t="shared" si="4"/>
        <v>2126.7053979674424</v>
      </c>
      <c r="F19" s="36"/>
      <c r="G19"/>
      <c r="H19" s="36"/>
      <c r="I19"/>
      <c r="J19" s="36"/>
      <c r="K19"/>
      <c r="L19"/>
      <c r="M19" s="2"/>
      <c r="N19" s="12">
        <f t="shared" si="2"/>
        <v>2012.5</v>
      </c>
      <c r="Q19"/>
    </row>
    <row r="20" spans="1:17" x14ac:dyDescent="0.2">
      <c r="A20" s="12" t="str">
        <f t="shared" si="1"/>
        <v>9/30/2012</v>
      </c>
      <c r="B20" s="25"/>
      <c r="C20" s="221">
        <f>'[4]Boeckh (R)'!D64</f>
        <v>2121.4649248437499</v>
      </c>
      <c r="D20" s="116">
        <f t="shared" si="3"/>
        <v>2136.5948012639856</v>
      </c>
      <c r="E20" s="116">
        <f t="shared" si="4"/>
        <v>2137.3890779422682</v>
      </c>
      <c r="F20" s="36"/>
      <c r="G20"/>
      <c r="H20" s="36"/>
      <c r="I20"/>
      <c r="J20" s="36"/>
      <c r="K20"/>
      <c r="L20"/>
      <c r="M20" s="2"/>
      <c r="N20" s="12">
        <f t="shared" si="2"/>
        <v>2012.75</v>
      </c>
      <c r="Q20"/>
    </row>
    <row r="21" spans="1:17" x14ac:dyDescent="0.2">
      <c r="A21" s="12" t="str">
        <f t="shared" si="1"/>
        <v>12/31/2012</v>
      </c>
      <c r="B21" s="25"/>
      <c r="C21" s="221">
        <f>'[4]Boeckh (R)'!D65</f>
        <v>2139.9674865625002</v>
      </c>
      <c r="D21" s="116">
        <f>TREND($C$14:$C$53,$N$14:$N$53,$N21,TRUE)</f>
        <v>2148.0272600307071</v>
      </c>
      <c r="E21" s="116">
        <f t="shared" si="4"/>
        <v>2148.1264282646093</v>
      </c>
      <c r="F21" s="36"/>
      <c r="G21"/>
      <c r="H21" s="36"/>
      <c r="I21"/>
      <c r="J21" s="36"/>
      <c r="K21"/>
      <c r="L21"/>
      <c r="M21" s="2"/>
      <c r="N21" s="12">
        <f t="shared" si="2"/>
        <v>2013</v>
      </c>
      <c r="Q21"/>
    </row>
    <row r="22" spans="1:17" x14ac:dyDescent="0.2">
      <c r="A22" s="12" t="str">
        <f t="shared" si="1"/>
        <v>3/31/2013</v>
      </c>
      <c r="B22" s="25"/>
      <c r="C22" s="221">
        <f>'[4]Boeckh (R)'!D66</f>
        <v>2155.4573617968749</v>
      </c>
      <c r="D22" s="116">
        <f t="shared" si="3"/>
        <v>2159.4597187974286</v>
      </c>
      <c r="E22" s="116">
        <f t="shared" si="4"/>
        <v>2158.9177185518993</v>
      </c>
      <c r="F22" s="36"/>
      <c r="G22"/>
      <c r="H22" s="36"/>
      <c r="I22"/>
      <c r="J22" s="36"/>
      <c r="K22"/>
      <c r="L22"/>
      <c r="M22" s="2"/>
      <c r="N22" s="12">
        <f t="shared" si="2"/>
        <v>2013.25</v>
      </c>
      <c r="Q22"/>
    </row>
    <row r="23" spans="1:17" x14ac:dyDescent="0.2">
      <c r="A23" s="12" t="str">
        <f t="shared" si="1"/>
        <v>6/30/2013</v>
      </c>
      <c r="B23" s="51"/>
      <c r="C23" s="221">
        <f>'[4]Boeckh (R)'!D67</f>
        <v>2172.5562767187498</v>
      </c>
      <c r="D23" s="116">
        <f t="shared" si="3"/>
        <v>2170.8921775641502</v>
      </c>
      <c r="E23" s="116">
        <f t="shared" si="4"/>
        <v>2169.7632197759995</v>
      </c>
      <c r="F23" s="36"/>
      <c r="G23"/>
      <c r="H23" s="36"/>
      <c r="I23"/>
      <c r="J23" s="36"/>
      <c r="K23"/>
      <c r="L23"/>
      <c r="M23" s="2"/>
      <c r="N23" s="12">
        <f t="shared" si="2"/>
        <v>2013.5</v>
      </c>
      <c r="Q23"/>
    </row>
    <row r="24" spans="1:17" x14ac:dyDescent="0.2">
      <c r="A24" s="12" t="str">
        <f t="shared" si="1"/>
        <v>9/30/2013</v>
      </c>
      <c r="B24"/>
      <c r="C24" s="221">
        <f>'[4]Boeckh (R)'!D68</f>
        <v>2188.3282736718747</v>
      </c>
      <c r="D24" s="116">
        <f t="shared" si="3"/>
        <v>2182.3246363308863</v>
      </c>
      <c r="E24" s="116">
        <f t="shared" si="4"/>
        <v>2180.6632042700235</v>
      </c>
      <c r="F24"/>
      <c r="G24"/>
      <c r="H24"/>
      <c r="I24"/>
      <c r="J24"/>
      <c r="K24"/>
      <c r="L24"/>
      <c r="M24" s="2"/>
      <c r="N24" s="12">
        <f t="shared" si="2"/>
        <v>2013.75</v>
      </c>
      <c r="Q24"/>
    </row>
    <row r="25" spans="1:17" x14ac:dyDescent="0.2">
      <c r="A25" s="12" t="str">
        <f t="shared" si="1"/>
        <v>12/31/2013</v>
      </c>
      <c r="B25"/>
      <c r="C25" s="221">
        <f>'[4]Boeckh (R)'!D69</f>
        <v>2202.6592412500004</v>
      </c>
      <c r="D25" s="116">
        <f t="shared" si="3"/>
        <v>2193.7570950976078</v>
      </c>
      <c r="E25" s="116">
        <f t="shared" si="4"/>
        <v>2191.6179457351705</v>
      </c>
      <c r="F25"/>
      <c r="G25"/>
      <c r="H25"/>
      <c r="I25"/>
      <c r="J25"/>
      <c r="K25"/>
      <c r="L25"/>
      <c r="M25" s="2"/>
      <c r="N25" s="12">
        <f t="shared" si="2"/>
        <v>2014</v>
      </c>
      <c r="Q25"/>
    </row>
    <row r="26" spans="1:17" x14ac:dyDescent="0.2">
      <c r="A26" s="12" t="str">
        <f t="shared" si="1"/>
        <v>3/31/2014</v>
      </c>
      <c r="B26"/>
      <c r="C26" s="221">
        <f>'[4]Boeckh (R)'!D70</f>
        <v>2219.6668832812502</v>
      </c>
      <c r="D26" s="116">
        <f t="shared" si="3"/>
        <v>2205.1895538643294</v>
      </c>
      <c r="E26" s="116">
        <f t="shared" si="4"/>
        <v>2202.6277192476018</v>
      </c>
      <c r="F26"/>
      <c r="G26"/>
      <c r="H26"/>
      <c r="I26"/>
      <c r="J26"/>
      <c r="K26"/>
      <c r="L26"/>
      <c r="M26" s="2"/>
      <c r="N26" s="12">
        <f t="shared" si="2"/>
        <v>2014.25</v>
      </c>
    </row>
    <row r="27" spans="1:17" x14ac:dyDescent="0.2">
      <c r="A27" s="12" t="str">
        <f t="shared" si="1"/>
        <v>6/30/2014</v>
      </c>
      <c r="B27"/>
      <c r="C27" s="221">
        <f>'[4]Boeckh (R)'!D71</f>
        <v>2239.006476171875</v>
      </c>
      <c r="D27" s="116">
        <f t="shared" si="3"/>
        <v>2216.6220126310509</v>
      </c>
      <c r="E27" s="116">
        <f t="shared" si="4"/>
        <v>2213.6928012653457</v>
      </c>
      <c r="F27"/>
      <c r="G27"/>
      <c r="H27"/>
      <c r="I27"/>
      <c r="J27"/>
      <c r="K27"/>
      <c r="L27"/>
      <c r="M27" s="2"/>
      <c r="N27" s="12">
        <f t="shared" si="2"/>
        <v>2014.5</v>
      </c>
    </row>
    <row r="28" spans="1:17" x14ac:dyDescent="0.2">
      <c r="A28" s="12" t="str">
        <f t="shared" si="1"/>
        <v>9/30/2014</v>
      </c>
      <c r="B28"/>
      <c r="C28" s="221">
        <f>'[4]Boeckh (R)'!D72</f>
        <v>2257.4206734374998</v>
      </c>
      <c r="D28" s="116">
        <f t="shared" si="3"/>
        <v>2228.0544713977724</v>
      </c>
      <c r="E28" s="116">
        <f t="shared" si="4"/>
        <v>2224.8134696352563</v>
      </c>
      <c r="F28"/>
      <c r="G28"/>
      <c r="H28"/>
      <c r="I28"/>
      <c r="J28"/>
      <c r="K28"/>
      <c r="L28"/>
      <c r="M28" s="2"/>
      <c r="N28" s="12">
        <f t="shared" si="2"/>
        <v>2014.75</v>
      </c>
    </row>
    <row r="29" spans="1:17" x14ac:dyDescent="0.2">
      <c r="A29" s="12" t="str">
        <f t="shared" si="1"/>
        <v>12/31/2014</v>
      </c>
      <c r="B29"/>
      <c r="C29" s="221">
        <f>'[4]Boeckh (R)'!D73</f>
        <v>2275.5617031249999</v>
      </c>
      <c r="D29" s="116">
        <f t="shared" si="3"/>
        <v>2239.486930164494</v>
      </c>
      <c r="E29" s="116">
        <f t="shared" si="4"/>
        <v>2235.9900035999271</v>
      </c>
      <c r="F29"/>
      <c r="G29"/>
      <c r="H29"/>
      <c r="I29"/>
      <c r="J29"/>
      <c r="K29"/>
      <c r="L29"/>
      <c r="M29" s="2"/>
      <c r="N29" s="12">
        <f t="shared" si="2"/>
        <v>2015</v>
      </c>
    </row>
    <row r="30" spans="1:17" x14ac:dyDescent="0.2">
      <c r="A30" s="12" t="str">
        <f t="shared" si="1"/>
        <v>3/31/2015</v>
      </c>
      <c r="B30"/>
      <c r="C30" s="221">
        <f>'[4]Boeckh (R)'!D74</f>
        <v>2293.586478515625</v>
      </c>
      <c r="D30" s="116">
        <f t="shared" si="3"/>
        <v>2250.9193889312155</v>
      </c>
      <c r="E30" s="116">
        <f t="shared" si="4"/>
        <v>2247.2226838047964</v>
      </c>
      <c r="F30"/>
      <c r="G30"/>
      <c r="H30"/>
      <c r="I30"/>
      <c r="J30"/>
      <c r="K30"/>
      <c r="L30"/>
      <c r="M30" s="2"/>
      <c r="N30" s="12">
        <f t="shared" si="2"/>
        <v>2015.25</v>
      </c>
      <c r="O30" s="112"/>
      <c r="P30" s="84"/>
    </row>
    <row r="31" spans="1:17" x14ac:dyDescent="0.2">
      <c r="A31" s="12" t="str">
        <f t="shared" si="1"/>
        <v>6/30/2015</v>
      </c>
      <c r="B31" s="111"/>
      <c r="C31" s="221">
        <f>'[4]Boeckh (R)'!D75</f>
        <v>2307.5486684374996</v>
      </c>
      <c r="D31" s="116">
        <f t="shared" si="3"/>
        <v>2262.351847697937</v>
      </c>
      <c r="E31" s="116">
        <f t="shared" si="4"/>
        <v>2258.5117923051325</v>
      </c>
      <c r="F31" s="29"/>
      <c r="G31" s="103"/>
      <c r="H31" s="29"/>
      <c r="I31" s="103"/>
      <c r="J31" s="29"/>
      <c r="K31" s="103"/>
      <c r="L31" s="103"/>
      <c r="M31" s="2"/>
      <c r="N31" s="12">
        <f t="shared" si="2"/>
        <v>2015.5</v>
      </c>
    </row>
    <row r="32" spans="1:17" x14ac:dyDescent="0.2">
      <c r="A32" s="12" t="str">
        <f t="shared" si="1"/>
        <v>9/30/2015</v>
      </c>
      <c r="B32" s="111"/>
      <c r="C32" s="221">
        <f>'[4]Boeckh (R)'!D76</f>
        <v>2316.0157391406246</v>
      </c>
      <c r="D32" s="116">
        <f t="shared" si="3"/>
        <v>2273.7843064646586</v>
      </c>
      <c r="E32" s="116">
        <f t="shared" si="4"/>
        <v>2269.8576125731329</v>
      </c>
      <c r="F32" s="29"/>
      <c r="G32" s="103"/>
      <c r="H32" s="29"/>
      <c r="I32" s="103"/>
      <c r="J32" s="29"/>
      <c r="K32" s="103"/>
      <c r="L32" s="103"/>
      <c r="M32" s="2"/>
      <c r="N32" s="12">
        <f t="shared" si="2"/>
        <v>2015.75</v>
      </c>
    </row>
    <row r="33" spans="1:14" x14ac:dyDescent="0.2">
      <c r="A33" s="12" t="str">
        <f t="shared" si="1"/>
        <v>12/31/2015</v>
      </c>
      <c r="B33" s="51"/>
      <c r="C33" s="221">
        <f>'[4]Boeckh (R)'!D77</f>
        <v>2319.8966374218749</v>
      </c>
      <c r="D33" s="116">
        <f t="shared" si="3"/>
        <v>2285.2167652313801</v>
      </c>
      <c r="E33" s="116">
        <f t="shared" si="4"/>
        <v>2281.2604295050387</v>
      </c>
      <c r="F33" s="29"/>
      <c r="G33" s="103"/>
      <c r="H33" s="29"/>
      <c r="I33" s="103"/>
      <c r="J33" s="29"/>
      <c r="K33" s="103"/>
      <c r="L33" s="103"/>
      <c r="M33" s="2"/>
      <c r="N33" s="12">
        <f t="shared" si="2"/>
        <v>2016</v>
      </c>
    </row>
    <row r="34" spans="1:14" x14ac:dyDescent="0.2">
      <c r="A34" s="12" t="str">
        <f t="shared" si="1"/>
        <v>3/31/2016</v>
      </c>
      <c r="B34" s="51"/>
      <c r="C34" s="221">
        <f>'[4]Boeckh (R)'!D78</f>
        <v>2316.4368912499999</v>
      </c>
      <c r="D34" s="116">
        <f t="shared" si="3"/>
        <v>2296.6492239981017</v>
      </c>
      <c r="E34" s="116">
        <f t="shared" si="4"/>
        <v>2292.720529428293</v>
      </c>
      <c r="F34" s="116">
        <f>TREND($C$34:$C$53,$N$34:$N$53,$N34,TRUE)</f>
        <v>2274.6841706049163</v>
      </c>
      <c r="G34" s="116">
        <f t="shared" ref="G34:G52" si="5">GROWTH($C$34:$C$53,$N$34:$N$53,$N34,TRUE)</f>
        <v>2276.5785146873673</v>
      </c>
      <c r="H34" s="29"/>
      <c r="I34" s="103"/>
      <c r="J34" s="29"/>
      <c r="K34" s="103"/>
      <c r="L34" s="103"/>
      <c r="M34" s="2"/>
      <c r="N34" s="12">
        <f t="shared" si="2"/>
        <v>2016.25</v>
      </c>
    </row>
    <row r="35" spans="1:14" x14ac:dyDescent="0.2">
      <c r="A35" s="12" t="str">
        <f t="shared" si="1"/>
        <v>6/30/2016</v>
      </c>
      <c r="B35" s="111"/>
      <c r="C35" s="221">
        <f>'[4]Boeckh (R)'!D79</f>
        <v>2308.4052721093749</v>
      </c>
      <c r="D35" s="116">
        <f t="shared" si="3"/>
        <v>2308.0816827648232</v>
      </c>
      <c r="E35" s="116">
        <f t="shared" si="4"/>
        <v>2304.2382001087276</v>
      </c>
      <c r="F35" s="116">
        <f t="shared" ref="F35:F52" si="6">TREND($C$34:$C$53,$N$34:$N$53,$N35,TRUE)</f>
        <v>2287.5467751933902</v>
      </c>
      <c r="G35" s="116">
        <f t="shared" si="5"/>
        <v>2288.8278016215131</v>
      </c>
      <c r="H35" s="36"/>
      <c r="I35" s="103"/>
      <c r="J35" s="36"/>
      <c r="K35" s="103"/>
      <c r="L35" s="103"/>
      <c r="M35" s="2"/>
      <c r="N35" s="12">
        <f t="shared" si="2"/>
        <v>2016.5</v>
      </c>
    </row>
    <row r="36" spans="1:14" x14ac:dyDescent="0.2">
      <c r="A36" s="12" t="str">
        <f t="shared" si="1"/>
        <v>9/30/2016</v>
      </c>
      <c r="B36" s="22"/>
      <c r="C36" s="221">
        <f>'[4]Boeckh (R)'!D80</f>
        <v>2301.2550189843751</v>
      </c>
      <c r="D36" s="116">
        <f t="shared" si="3"/>
        <v>2319.5141415315447</v>
      </c>
      <c r="E36" s="116">
        <f t="shared" si="4"/>
        <v>2315.8137307578045</v>
      </c>
      <c r="F36" s="116">
        <f t="shared" si="6"/>
        <v>2300.4093797818496</v>
      </c>
      <c r="G36" s="116">
        <f t="shared" si="5"/>
        <v>2301.1429966846622</v>
      </c>
      <c r="H36"/>
      <c r="I36"/>
      <c r="J36"/>
      <c r="K36"/>
      <c r="L36"/>
      <c r="M36" s="2"/>
      <c r="N36" s="12">
        <f t="shared" si="2"/>
        <v>2016.75</v>
      </c>
    </row>
    <row r="37" spans="1:14" x14ac:dyDescent="0.2">
      <c r="A37" s="12" t="str">
        <f t="shared" si="1"/>
        <v>12/31/2016</v>
      </c>
      <c r="B37" s="22"/>
      <c r="C37" s="221">
        <f>'[4]Boeckh (R)'!D81</f>
        <v>2296.5396237499999</v>
      </c>
      <c r="D37" s="116">
        <f t="shared" si="3"/>
        <v>2330.9466002982663</v>
      </c>
      <c r="E37" s="116">
        <f t="shared" si="4"/>
        <v>2327.4474120398172</v>
      </c>
      <c r="F37" s="116">
        <f t="shared" si="6"/>
        <v>2313.2719843703089</v>
      </c>
      <c r="G37" s="116">
        <f t="shared" si="5"/>
        <v>2313.5244544999937</v>
      </c>
      <c r="H37"/>
      <c r="J37"/>
      <c r="M37" s="2"/>
      <c r="N37" s="12">
        <f t="shared" si="2"/>
        <v>2017</v>
      </c>
    </row>
    <row r="38" spans="1:14" x14ac:dyDescent="0.2">
      <c r="A38" s="12" t="str">
        <f t="shared" si="1"/>
        <v>3/31/2017</v>
      </c>
      <c r="B38" s="22"/>
      <c r="C38" s="221">
        <f>'[4]Boeckh (R)'!D82</f>
        <v>2299.4008416406245</v>
      </c>
      <c r="D38" s="116">
        <f t="shared" si="3"/>
        <v>2342.3790590649878</v>
      </c>
      <c r="E38" s="116">
        <f t="shared" si="4"/>
        <v>2339.1395360792822</v>
      </c>
      <c r="F38" s="116">
        <f t="shared" si="6"/>
        <v>2326.1345889587683</v>
      </c>
      <c r="G38" s="116">
        <f t="shared" si="5"/>
        <v>2325.9725315988253</v>
      </c>
      <c r="H38" s="116">
        <f t="shared" ref="H38:H53" si="7">TREND($C$38:$C$53,$N$38:$N$53,$N38,TRUE)</f>
        <v>2310.7515356221411</v>
      </c>
      <c r="I38" s="116">
        <f t="shared" ref="I38:I53" si="8">GROWTH($C$38:$C$53,$N$38:$N$53,$N38,TRUE)</f>
        <v>2311.6796899965689</v>
      </c>
      <c r="J38" s="103"/>
      <c r="K38" s="103"/>
      <c r="L38" s="103"/>
      <c r="M38" s="2"/>
      <c r="N38" s="12">
        <f t="shared" si="2"/>
        <v>2017.25</v>
      </c>
    </row>
    <row r="39" spans="1:14" x14ac:dyDescent="0.2">
      <c r="A39" s="12" t="str">
        <f t="shared" si="1"/>
        <v>6/30/2017</v>
      </c>
      <c r="B39" s="22"/>
      <c r="C39" s="221">
        <f>'[4]Boeckh (R)'!D83</f>
        <v>2309.76593328125</v>
      </c>
      <c r="D39" s="116">
        <f t="shared" si="3"/>
        <v>2353.8115178317094</v>
      </c>
      <c r="E39" s="116">
        <f t="shared" si="4"/>
        <v>2350.8903964682117</v>
      </c>
      <c r="F39" s="116">
        <f t="shared" si="6"/>
        <v>2338.9971935472422</v>
      </c>
      <c r="G39" s="116">
        <f t="shared" si="5"/>
        <v>2338.4875864307674</v>
      </c>
      <c r="H39" s="116">
        <f t="shared" si="7"/>
        <v>2325.2758431876282</v>
      </c>
      <c r="I39" s="116">
        <f t="shared" si="8"/>
        <v>2325.6690844622217</v>
      </c>
      <c r="J39" s="103"/>
      <c r="K39" s="103"/>
      <c r="L39" s="103"/>
      <c r="M39" s="2"/>
      <c r="N39" s="12">
        <f t="shared" si="2"/>
        <v>2017.5</v>
      </c>
    </row>
    <row r="40" spans="1:14" x14ac:dyDescent="0.2">
      <c r="A40" s="12" t="str">
        <f t="shared" si="1"/>
        <v>9/30/2017</v>
      </c>
      <c r="B40" s="22"/>
      <c r="C40" s="221">
        <f>'[4]Boeckh (R)'!D84</f>
        <v>2326.2998086718749</v>
      </c>
      <c r="D40" s="116">
        <f t="shared" si="3"/>
        <v>2365.2439765984309</v>
      </c>
      <c r="E40" s="116">
        <f t="shared" si="4"/>
        <v>2362.7002882735019</v>
      </c>
      <c r="F40" s="116">
        <f t="shared" si="6"/>
        <v>2351.8597981357016</v>
      </c>
      <c r="G40" s="116">
        <f t="shared" si="5"/>
        <v>2351.0699793740928</v>
      </c>
      <c r="H40" s="116">
        <f t="shared" si="7"/>
        <v>2339.8001507531153</v>
      </c>
      <c r="I40" s="116">
        <f t="shared" si="8"/>
        <v>2339.7431373510817</v>
      </c>
      <c r="J40" s="103"/>
      <c r="K40" s="103"/>
      <c r="L40" s="103"/>
      <c r="M40" s="2"/>
      <c r="N40" s="12">
        <f t="shared" si="2"/>
        <v>2017.75</v>
      </c>
    </row>
    <row r="41" spans="1:14" x14ac:dyDescent="0.2">
      <c r="A41" s="12" t="str">
        <f t="shared" si="1"/>
        <v>12/31/2017</v>
      </c>
      <c r="B41" s="22"/>
      <c r="C41" s="221">
        <f>'[4]Boeckh (R)'!D85</f>
        <v>2343.8064457812497</v>
      </c>
      <c r="D41" s="116">
        <f t="shared" si="3"/>
        <v>2376.6764353651524</v>
      </c>
      <c r="E41" s="116">
        <f>GROWTH($C$14:$C$53,$N$14:$N$53,$N41,TRUE)</f>
        <v>2374.569508044342</v>
      </c>
      <c r="F41" s="116">
        <f t="shared" si="6"/>
        <v>2364.7224027241609</v>
      </c>
      <c r="G41" s="116">
        <f t="shared" si="5"/>
        <v>2363.720072746165</v>
      </c>
      <c r="H41" s="116">
        <f t="shared" si="7"/>
        <v>2354.3244583186024</v>
      </c>
      <c r="I41" s="116">
        <f t="shared" si="8"/>
        <v>2353.9023609832961</v>
      </c>
      <c r="J41" s="50"/>
      <c r="K41" s="58"/>
      <c r="L41" s="58"/>
      <c r="M41" s="2"/>
      <c r="N41" s="12">
        <f t="shared" si="2"/>
        <v>2018</v>
      </c>
    </row>
    <row r="42" spans="1:14" x14ac:dyDescent="0.2">
      <c r="A42" s="12" t="str">
        <f t="shared" si="1"/>
        <v>3/31/2018</v>
      </c>
      <c r="C42" s="221">
        <f>'[4]Boeckh (R)'!D86</f>
        <v>2363.7419721874999</v>
      </c>
      <c r="D42" s="116">
        <f t="shared" si="3"/>
        <v>2388.108894131874</v>
      </c>
      <c r="E42" s="116">
        <f t="shared" si="4"/>
        <v>2386.4983538196598</v>
      </c>
      <c r="F42" s="116">
        <f>TREND($C$34:$C$53,$N$34:$N$53,$N42,TRUE)</f>
        <v>2377.5850073126203</v>
      </c>
      <c r="G42" s="116">
        <f t="shared" si="5"/>
        <v>2376.4382308137529</v>
      </c>
      <c r="H42" s="116">
        <f t="shared" si="7"/>
        <v>2368.8487658840895</v>
      </c>
      <c r="I42" s="116">
        <f t="shared" si="8"/>
        <v>2368.1472707793741</v>
      </c>
      <c r="J42" s="116">
        <f t="shared" ref="J42:J52" si="9">TREND($C$42:$C$53,$N$42:$N$53,$N42,TRUE)</f>
        <v>2388.8304280979501</v>
      </c>
      <c r="K42" s="116">
        <f>GROWTH($C$42:$C$53,$N$42:$N$53,$N42,TRUE)</f>
        <v>2389.0309191683714</v>
      </c>
      <c r="L42" s="116"/>
      <c r="M42" s="2"/>
      <c r="N42" s="12">
        <f t="shared" si="2"/>
        <v>2018.25</v>
      </c>
    </row>
    <row r="43" spans="1:14" x14ac:dyDescent="0.2">
      <c r="A43" s="12" t="str">
        <f t="shared" si="1"/>
        <v>6/30/2018</v>
      </c>
      <c r="B43" s="111"/>
      <c r="C43" s="221">
        <f>'[4]Boeckh (R)'!D87</f>
        <v>2386.9934075000001</v>
      </c>
      <c r="D43" s="116">
        <f t="shared" si="3"/>
        <v>2399.5413528985955</v>
      </c>
      <c r="E43" s="116">
        <f t="shared" si="4"/>
        <v>2398.4871251356067</v>
      </c>
      <c r="F43" s="116">
        <f t="shared" si="6"/>
        <v>2390.4476119010942</v>
      </c>
      <c r="G43" s="116">
        <f t="shared" si="5"/>
        <v>2389.2248198036559</v>
      </c>
      <c r="H43" s="116">
        <f t="shared" si="7"/>
        <v>2383.3730734495766</v>
      </c>
      <c r="I43" s="116">
        <f t="shared" si="8"/>
        <v>2382.4783852789533</v>
      </c>
      <c r="J43" s="116">
        <f t="shared" si="9"/>
        <v>2400.4925994806981</v>
      </c>
      <c r="K43" s="116">
        <f t="shared" ref="K43:K52" si="10">GROWTH($C$42:$C$53,$N$42:$N$53,$N43,TRUE)</f>
        <v>2400.4637074959551</v>
      </c>
      <c r="L43" s="116"/>
      <c r="M43" s="2"/>
      <c r="N43" s="12">
        <f t="shared" si="2"/>
        <v>2018.5</v>
      </c>
    </row>
    <row r="44" spans="1:14" x14ac:dyDescent="0.2">
      <c r="A44" s="12" t="str">
        <f t="shared" si="1"/>
        <v>9/30/2018</v>
      </c>
      <c r="C44" s="221">
        <f>'[4]Boeckh (R)'!D88</f>
        <v>2413.5249035156248</v>
      </c>
      <c r="D44" s="116">
        <f t="shared" si="3"/>
        <v>2410.973811665317</v>
      </c>
      <c r="E44" s="116">
        <f t="shared" si="4"/>
        <v>2410.5361230330964</v>
      </c>
      <c r="F44" s="116">
        <f t="shared" si="6"/>
        <v>2403.3102164895536</v>
      </c>
      <c r="G44" s="116">
        <f t="shared" si="5"/>
        <v>2402.0802079131131</v>
      </c>
      <c r="H44" s="116">
        <f t="shared" si="7"/>
        <v>2397.8973810150637</v>
      </c>
      <c r="I44" s="116">
        <f t="shared" si="8"/>
        <v>2396.8962261596716</v>
      </c>
      <c r="J44" s="116">
        <f t="shared" si="9"/>
        <v>2412.1547708634607</v>
      </c>
      <c r="K44" s="116">
        <f t="shared" si="10"/>
        <v>2411.9512078190401</v>
      </c>
      <c r="L44" s="116"/>
      <c r="M44" s="2"/>
      <c r="N44" s="12">
        <f t="shared" si="2"/>
        <v>2018.75</v>
      </c>
    </row>
    <row r="45" spans="1:14" x14ac:dyDescent="0.2">
      <c r="A45" s="12" t="str">
        <f t="shared" si="1"/>
        <v>12/31/2018</v>
      </c>
      <c r="C45" s="221">
        <f>'[4]Boeckh (R)'!D89</f>
        <v>2441.1228667187502</v>
      </c>
      <c r="D45" s="116">
        <f t="shared" si="3"/>
        <v>2422.4062704320386</v>
      </c>
      <c r="E45" s="116">
        <f t="shared" si="4"/>
        <v>2422.6456500652935</v>
      </c>
      <c r="F45" s="116">
        <f t="shared" si="6"/>
        <v>2416.1728210780129</v>
      </c>
      <c r="G45" s="116">
        <f t="shared" si="5"/>
        <v>2415.0047653205438</v>
      </c>
      <c r="H45" s="116">
        <f t="shared" si="7"/>
        <v>2412.4216885805508</v>
      </c>
      <c r="I45" s="116">
        <f t="shared" si="8"/>
        <v>2411.4013182561607</v>
      </c>
      <c r="J45" s="116">
        <f t="shared" si="9"/>
        <v>2423.8169422462233</v>
      </c>
      <c r="K45" s="116">
        <f t="shared" si="10"/>
        <v>2423.4936819637664</v>
      </c>
      <c r="L45" s="116"/>
      <c r="M45" s="2"/>
      <c r="N45" s="12">
        <f t="shared" si="2"/>
        <v>2019</v>
      </c>
    </row>
    <row r="46" spans="1:14" x14ac:dyDescent="0.2">
      <c r="A46" s="12" t="str">
        <f t="shared" si="1"/>
        <v>3/31/2019</v>
      </c>
      <c r="C46" s="221">
        <f>'[4]Boeckh (R)'!D90</f>
        <v>2459.1268375</v>
      </c>
      <c r="D46" s="116">
        <f t="shared" si="3"/>
        <v>2433.8387291987601</v>
      </c>
      <c r="E46" s="116">
        <f t="shared" si="4"/>
        <v>2434.816010305316</v>
      </c>
      <c r="F46" s="116">
        <f t="shared" si="6"/>
        <v>2429.0354256664868</v>
      </c>
      <c r="G46" s="116">
        <f t="shared" si="5"/>
        <v>2427.9988641960676</v>
      </c>
      <c r="H46" s="116">
        <f t="shared" si="7"/>
        <v>2426.9459961460379</v>
      </c>
      <c r="I46" s="116">
        <f t="shared" si="8"/>
        <v>2425.994189579164</v>
      </c>
      <c r="J46" s="116">
        <f t="shared" si="9"/>
        <v>2435.4791136289859</v>
      </c>
      <c r="K46" s="116">
        <f>GROWTH($C$42:$C$53,$N$42:$N$53,$N46,TRUE)</f>
        <v>2435.0913930091856</v>
      </c>
      <c r="L46" s="116"/>
      <c r="M46" s="2"/>
      <c r="N46" s="12">
        <f t="shared" si="2"/>
        <v>2019.25</v>
      </c>
    </row>
    <row r="47" spans="1:14" x14ac:dyDescent="0.2">
      <c r="A47" s="12" t="str">
        <f t="shared" si="1"/>
        <v>6/30/2019</v>
      </c>
      <c r="C47" s="221">
        <f>'[4]Boeckh (R)'!D91</f>
        <v>2468.9556631249998</v>
      </c>
      <c r="D47" s="116">
        <f t="shared" si="3"/>
        <v>2445.2711879654817</v>
      </c>
      <c r="E47" s="116">
        <f t="shared" si="4"/>
        <v>2447.0475093538016</v>
      </c>
      <c r="F47" s="116">
        <f t="shared" si="6"/>
        <v>2441.8980302549462</v>
      </c>
      <c r="G47" s="116">
        <f t="shared" si="5"/>
        <v>2441.0628787123615</v>
      </c>
      <c r="H47" s="116">
        <f t="shared" si="7"/>
        <v>2441.470303711525</v>
      </c>
      <c r="I47" s="116">
        <f t="shared" si="8"/>
        <v>2440.675371334693</v>
      </c>
      <c r="J47" s="116">
        <f>TREND($C$42:$C$53,$N$42:$N$53,$N47,TRUE)</f>
        <v>2447.141285011734</v>
      </c>
      <c r="K47" s="116">
        <f>GROWTH($C$42:$C$53,$N$42:$N$53,$N47,TRUE)</f>
        <v>2446.7446052933888</v>
      </c>
      <c r="L47" s="116"/>
      <c r="M47" s="2"/>
      <c r="N47" s="12">
        <f t="shared" si="2"/>
        <v>2019.5</v>
      </c>
    </row>
    <row r="48" spans="1:14" x14ac:dyDescent="0.2">
      <c r="A48" s="12" t="str">
        <f t="shared" si="1"/>
        <v>9/30/2019</v>
      </c>
      <c r="B48" s="111"/>
      <c r="C48" s="221">
        <f>'[4]Boeckh (R)'!D92</f>
        <v>2469.0078392968749</v>
      </c>
      <c r="D48" s="116">
        <f t="shared" si="3"/>
        <v>2456.7036467322032</v>
      </c>
      <c r="E48" s="116">
        <f t="shared" si="4"/>
        <v>2459.3404543465963</v>
      </c>
      <c r="F48" s="116">
        <f t="shared" si="6"/>
        <v>2454.7606348434056</v>
      </c>
      <c r="G48" s="116">
        <f t="shared" si="5"/>
        <v>2454.1971850552932</v>
      </c>
      <c r="H48" s="116">
        <f t="shared" si="7"/>
        <v>2455.9946112770122</v>
      </c>
      <c r="I48" s="116">
        <f t="shared" si="8"/>
        <v>2455.4453979434643</v>
      </c>
      <c r="J48" s="116">
        <f t="shared" si="9"/>
        <v>2458.8034563944966</v>
      </c>
      <c r="K48" s="116">
        <f t="shared" si="10"/>
        <v>2458.4535844193983</v>
      </c>
      <c r="L48" s="116"/>
      <c r="M48" s="2"/>
      <c r="N48" s="12">
        <f t="shared" si="2"/>
        <v>2019.75</v>
      </c>
    </row>
    <row r="49" spans="1:15" x14ac:dyDescent="0.2">
      <c r="A49" s="12" t="str">
        <f t="shared" si="1"/>
        <v>12/31/2019</v>
      </c>
      <c r="C49" s="221">
        <f>'[4]Boeckh (R)'!D93</f>
        <v>2466.8168924218749</v>
      </c>
      <c r="D49" s="116">
        <f t="shared" si="3"/>
        <v>2468.1361054989247</v>
      </c>
      <c r="E49" s="116">
        <f t="shared" si="4"/>
        <v>2471.6951539624702</v>
      </c>
      <c r="F49" s="116">
        <f t="shared" si="6"/>
        <v>2467.6232394318649</v>
      </c>
      <c r="G49" s="116">
        <f t="shared" si="5"/>
        <v>2467.4021614348949</v>
      </c>
      <c r="H49" s="116">
        <f t="shared" si="7"/>
        <v>2470.5189188424993</v>
      </c>
      <c r="I49" s="116">
        <f t="shared" si="8"/>
        <v>2470.3048070602845</v>
      </c>
      <c r="J49" s="116">
        <f t="shared" si="9"/>
        <v>2470.4656277772592</v>
      </c>
      <c r="K49" s="116">
        <f t="shared" si="10"/>
        <v>2470.2185972613584</v>
      </c>
      <c r="L49" s="116"/>
      <c r="M49" s="2"/>
      <c r="N49" s="12">
        <f t="shared" si="2"/>
        <v>2020</v>
      </c>
    </row>
    <row r="50" spans="1:15" x14ac:dyDescent="0.2">
      <c r="A50" s="12" t="str">
        <f t="shared" si="1"/>
        <v>3/31/2020</v>
      </c>
      <c r="C50" s="221">
        <f>'[4]Boeckh (R)'!D94</f>
        <v>2471.8468038281248</v>
      </c>
      <c r="D50" s="116">
        <f>TREND($C$14:$C$53,$N$14:$N$53,$N50,TRUE)</f>
        <v>2479.5685642656463</v>
      </c>
      <c r="E50" s="116">
        <f t="shared" si="4"/>
        <v>2484.111918430865</v>
      </c>
      <c r="F50" s="116">
        <f t="shared" si="6"/>
        <v>2480.4858440203388</v>
      </c>
      <c r="G50" s="116">
        <f t="shared" si="5"/>
        <v>2480.6781880961316</v>
      </c>
      <c r="H50" s="116">
        <f t="shared" si="7"/>
        <v>2485.0432264079864</v>
      </c>
      <c r="I50" s="116">
        <f t="shared" si="8"/>
        <v>2485.254139593641</v>
      </c>
      <c r="J50" s="116">
        <f t="shared" si="9"/>
        <v>2482.1277991600073</v>
      </c>
      <c r="K50" s="116">
        <f t="shared" si="10"/>
        <v>2482.039911970478</v>
      </c>
      <c r="L50" s="116"/>
      <c r="M50" s="2"/>
      <c r="N50" s="12">
        <f t="shared" si="2"/>
        <v>2020.25</v>
      </c>
    </row>
    <row r="51" spans="1:15" x14ac:dyDescent="0.2">
      <c r="A51" s="12" t="str">
        <f t="shared" si="1"/>
        <v>6/30/2020</v>
      </c>
      <c r="C51" s="221">
        <f>'[4]Boeckh (R)'!D95</f>
        <v>2478.7320603906251</v>
      </c>
      <c r="D51" s="116">
        <f t="shared" si="3"/>
        <v>2491.0010230323678</v>
      </c>
      <c r="E51" s="116">
        <f t="shared" si="4"/>
        <v>2496.5910595396863</v>
      </c>
      <c r="F51" s="116">
        <f t="shared" si="6"/>
        <v>2493.3484486087982</v>
      </c>
      <c r="G51" s="116">
        <f t="shared" si="5"/>
        <v>2494.0256473299014</v>
      </c>
      <c r="H51" s="116">
        <f t="shared" si="7"/>
        <v>2499.5675339734735</v>
      </c>
      <c r="I51" s="116">
        <f t="shared" si="8"/>
        <v>2500.2939397253904</v>
      </c>
      <c r="J51" s="116">
        <f t="shared" si="9"/>
        <v>2493.7899705427699</v>
      </c>
      <c r="K51" s="116">
        <f t="shared" si="10"/>
        <v>2493.9177979812835</v>
      </c>
      <c r="L51" s="116"/>
      <c r="M51" s="2"/>
      <c r="N51" s="12">
        <f t="shared" si="2"/>
        <v>2020.5</v>
      </c>
    </row>
    <row r="52" spans="1:15" x14ac:dyDescent="0.2">
      <c r="A52" s="12" t="str">
        <f>TEXT(DATE(YEAR(A53+1),MONTH(A53+1)-3,1)-1,"m/d/yyyy")</f>
        <v>9/30/2020</v>
      </c>
      <c r="C52" s="221">
        <f>'[4]Boeckh (R)'!D96</f>
        <v>2493.74998453125</v>
      </c>
      <c r="D52" s="116">
        <f t="shared" si="3"/>
        <v>2502.4334817990893</v>
      </c>
      <c r="E52" s="116">
        <f t="shared" si="4"/>
        <v>2509.1328906431509</v>
      </c>
      <c r="F52" s="116">
        <f t="shared" si="6"/>
        <v>2506.2110531972576</v>
      </c>
      <c r="G52" s="116">
        <f t="shared" si="5"/>
        <v>2507.4449234840995</v>
      </c>
      <c r="H52" s="116">
        <f t="shared" si="7"/>
        <v>2514.0918415389606</v>
      </c>
      <c r="I52" s="116">
        <f t="shared" si="8"/>
        <v>2515.4247549305674</v>
      </c>
      <c r="J52" s="116">
        <f t="shared" si="9"/>
        <v>2505.4521419255325</v>
      </c>
      <c r="K52" s="116">
        <f t="shared" si="10"/>
        <v>2505.8525260176189</v>
      </c>
      <c r="L52" s="116"/>
      <c r="M52" s="2"/>
      <c r="N52" s="12">
        <f t="shared" si="2"/>
        <v>2020.75</v>
      </c>
    </row>
    <row r="53" spans="1:15" x14ac:dyDescent="0.2">
      <c r="A53" s="12" t="str">
        <f>TEXT(N9,"m/d/yyyy")</f>
        <v>12/31/2020</v>
      </c>
      <c r="C53" s="221">
        <f>'[4]Boeckh (R)'!D97</f>
        <v>2522.0492174218748</v>
      </c>
      <c r="D53" s="116">
        <f t="shared" si="3"/>
        <v>2513.8659405658109</v>
      </c>
      <c r="E53" s="116">
        <f t="shared" si="4"/>
        <v>2521.7377266695808</v>
      </c>
      <c r="F53" s="116">
        <f>TREND($C$34:$C$53,$N$34:$N$53,$N53,TRUE)</f>
        <v>2519.0736577857169</v>
      </c>
      <c r="G53" s="116">
        <f>GROWTH($C$34:$C$53,$N$34:$N$53,$N53,TRUE)</f>
        <v>2520.9364029745589</v>
      </c>
      <c r="H53" s="116">
        <f t="shared" si="7"/>
        <v>2528.6161491044477</v>
      </c>
      <c r="I53" s="116">
        <f t="shared" si="8"/>
        <v>2530.6471359973166</v>
      </c>
      <c r="J53" s="116">
        <f>TREND($C$42:$C$53,$N$42:$N$53,$N53,TRUE)</f>
        <v>2517.1143133082805</v>
      </c>
      <c r="K53" s="116">
        <f>GROWTH($C$42:$C$53,$N$42:$N$53,$N53,TRUE)</f>
        <v>2517.8443680989562</v>
      </c>
      <c r="L53" s="165"/>
      <c r="M53" s="2"/>
      <c r="N53" s="12">
        <f t="shared" si="2"/>
        <v>2021</v>
      </c>
    </row>
    <row r="54" spans="1:15" x14ac:dyDescent="0.2">
      <c r="A54" s="117"/>
      <c r="B54" s="9"/>
      <c r="C54" s="189"/>
      <c r="D54" s="118"/>
      <c r="E54" s="118"/>
      <c r="F54" s="118"/>
      <c r="G54" s="118"/>
      <c r="H54" s="118"/>
      <c r="I54" s="118"/>
      <c r="J54" s="118"/>
      <c r="K54" s="118"/>
      <c r="L54"/>
      <c r="M54" s="2"/>
    </row>
    <row r="55" spans="1:15" x14ac:dyDescent="0.2">
      <c r="A55" s="50"/>
      <c r="B55" s="105"/>
      <c r="C55" s="50"/>
      <c r="D55" s="50"/>
      <c r="E55" s="50"/>
      <c r="F55" s="50"/>
      <c r="G55" s="99"/>
      <c r="H55" s="50"/>
      <c r="I55" s="99"/>
      <c r="J55" s="50"/>
      <c r="K55" s="50"/>
      <c r="L55" s="50"/>
      <c r="M55" s="2"/>
    </row>
    <row r="56" spans="1:15" x14ac:dyDescent="0.2">
      <c r="A56" s="12" t="s">
        <v>260</v>
      </c>
      <c r="C56"/>
      <c r="D56" s="20">
        <f>(D53-D49)/D53</f>
        <v>1.8191039676759162E-2</v>
      </c>
      <c r="E56" s="20">
        <f>LOGEST($C$14:$C$53,$N$14:$N$53,TRUE,TRUE)-1</f>
        <v>2.0246255945793434E-2</v>
      </c>
      <c r="F56" s="20">
        <f>(F53-F49)/F53</f>
        <v>2.0424340588388063E-2</v>
      </c>
      <c r="G56" s="20">
        <f>LOGEST($C$34:$C$53,$N$34:$N$53,TRUE,TRUE)-1</f>
        <v>2.1696601541653759E-2</v>
      </c>
      <c r="H56" s="20">
        <f>(H53-H49)/H53</f>
        <v>2.2975899399568633E-2</v>
      </c>
      <c r="I56" s="20">
        <f>LOGEST($C$38:$C$53,$N$38:$N$53,TRUE,TRUE)-1</f>
        <v>2.4427078295995441E-2</v>
      </c>
      <c r="J56" s="20">
        <f>(J53-J49)/J53</f>
        <v>1.8532605088447601E-2</v>
      </c>
      <c r="K56" s="20">
        <f>LOGEST($C$42:$C$53,$N$42:$N$53,TRUE,TRUE)-1</f>
        <v>1.9279982302132126E-2</v>
      </c>
      <c r="L56" s="20"/>
      <c r="M56" s="2"/>
    </row>
    <row r="57" spans="1:15" x14ac:dyDescent="0.2">
      <c r="A57" s="119" t="s">
        <v>261</v>
      </c>
      <c r="B57" s="111"/>
      <c r="C57" s="101"/>
      <c r="D57" s="102">
        <f>INDEX(LINEST($C$14:$C$53,$N$14:$N$53,TRUE,TRUE),3,1)</f>
        <v>0.96823980233726659</v>
      </c>
      <c r="E57" s="102">
        <f>INDEX(LOGEST($C$14:$C$53,$N$14:$N$53,TRUE,TRUE),3,1)</f>
        <v>0.96591988235416104</v>
      </c>
      <c r="F57" s="102">
        <f>INDEX(LINEST($C$34:$C$53,$N$34:$N$53,TRUE,TRUE),3,1)</f>
        <v>0.92951419665253487</v>
      </c>
      <c r="G57" s="102">
        <f>INDEX(LOGEST($C$34:$C$53,$N$34:$N$53,TRUE,TRUE),3,1)</f>
        <v>0.92857929317091403</v>
      </c>
      <c r="H57" s="102">
        <f>INDEX(LINEST($C$38:$C$53,$N$38:$N$53,TRUE,TRUE),3,1)</f>
        <v>0.93716843852382736</v>
      </c>
      <c r="I57" s="102">
        <f>INDEX(LOGEST($C$38:$C$53,$N$38:$N$53,TRUE,TRUE),3,1)</f>
        <v>0.93419172665815309</v>
      </c>
      <c r="J57" s="102">
        <f>INDEX(LINEST($C$42:$C$53,$N$42:$N$53,TRUE,TRUE),3,1)</f>
        <v>0.87575349147877635</v>
      </c>
      <c r="K57" s="102">
        <f>INDEX(LOGEST($C$42:$C$53,$N$42:$N$53,TRUE,TRUE),3,1)</f>
        <v>0.87239734970153104</v>
      </c>
      <c r="L57" s="102"/>
      <c r="M57" s="2"/>
      <c r="O57" s="250"/>
    </row>
    <row r="58" spans="1:15" ht="10.5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5" ht="10.5" thickTop="1" x14ac:dyDescent="0.2">
      <c r="A59"/>
      <c r="B59"/>
      <c r="C59"/>
      <c r="D59"/>
      <c r="E59"/>
      <c r="F59"/>
      <c r="G59" s="50"/>
      <c r="H59"/>
      <c r="I59" s="50"/>
      <c r="J59"/>
      <c r="K59" s="50"/>
      <c r="L59" s="50"/>
      <c r="M59" s="2"/>
    </row>
    <row r="60" spans="1:15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5" x14ac:dyDescent="0.2">
      <c r="A61"/>
      <c r="B61" s="22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/>
      <c r="D61"/>
      <c r="E61"/>
      <c r="F61"/>
      <c r="H61"/>
      <c r="J61"/>
      <c r="K61"/>
      <c r="L61"/>
      <c r="M61" s="2"/>
    </row>
    <row r="62" spans="1:15" ht="10.5" thickBot="1" x14ac:dyDescent="0.25">
      <c r="A62" s="99"/>
      <c r="B62" s="22" t="str">
        <f>D12&amp;" - "&amp;K12&amp;" = "&amp;C12&amp;" fitted to linear and exponential distributions"</f>
        <v>(3) - (10) = (2) fitted to linear and exponential distributions</v>
      </c>
      <c r="C62" s="99"/>
      <c r="D62" s="99"/>
      <c r="E62" s="99"/>
      <c r="F62" s="99"/>
      <c r="G62" s="99"/>
      <c r="H62" s="99"/>
      <c r="I62" s="99"/>
      <c r="J62" s="99"/>
      <c r="K62"/>
      <c r="L62"/>
      <c r="M62" s="2"/>
    </row>
    <row r="63" spans="1:15" ht="10.5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rgb="FF92D050"/>
  </sheetPr>
  <dimension ref="A1:N69"/>
  <sheetViews>
    <sheetView showGridLines="0" topLeftCell="A46" workbookViewId="0">
      <selection activeCell="K31" sqref="K31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44140625" style="12" customWidth="1"/>
    <col min="12" max="12" width="3.44140625" style="12" customWidth="1"/>
    <col min="13" max="16384" width="11.33203125" style="12"/>
  </cols>
  <sheetData>
    <row r="1" spans="1:14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</row>
    <row r="2" spans="1:14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58</v>
      </c>
      <c r="M2" s="2"/>
    </row>
    <row r="3" spans="1:14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07" t="s">
        <v>236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07" t="s">
        <v>262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0.5" thickTop="1" x14ac:dyDescent="0.2">
      <c r="A8"/>
      <c r="B8"/>
      <c r="C8"/>
      <c r="D8"/>
      <c r="E8"/>
      <c r="F8"/>
      <c r="G8" s="50"/>
      <c r="H8"/>
      <c r="I8" s="50"/>
      <c r="J8" s="50"/>
      <c r="K8" s="50"/>
      <c r="L8" s="50"/>
      <c r="M8" s="2"/>
      <c r="N8" t="s">
        <v>238</v>
      </c>
    </row>
    <row r="9" spans="1:14" x14ac:dyDescent="0.2">
      <c r="A9"/>
      <c r="B9"/>
      <c r="C9" s="22" t="s">
        <v>252</v>
      </c>
      <c r="D9" s="10" t="s">
        <v>253</v>
      </c>
      <c r="E9"/>
      <c r="F9"/>
      <c r="G9"/>
      <c r="H9"/>
      <c r="I9"/>
      <c r="J9"/>
      <c r="K9"/>
      <c r="L9"/>
      <c r="M9" s="2"/>
      <c r="N9" s="84">
        <f>'3.3b'!$N$9</f>
        <v>44196</v>
      </c>
    </row>
    <row r="10" spans="1:14" x14ac:dyDescent="0.2">
      <c r="A10" t="s">
        <v>239</v>
      </c>
      <c r="B10"/>
      <c r="C10" t="s">
        <v>241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</row>
    <row r="11" spans="1:14" x14ac:dyDescent="0.2">
      <c r="A11" s="9" t="s">
        <v>34</v>
      </c>
      <c r="B11" s="9"/>
      <c r="C11" s="9" t="s">
        <v>235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2" si="1">TEXT(DATE(YEAR(A15+1),MONTH(A15+1)-3,1)-1,"m/d/yyyy")</f>
        <v>3/31/2011</v>
      </c>
      <c r="B14" s="25"/>
      <c r="C14" s="221">
        <f>'[4]Boeckh (R)'!E58</f>
        <v>2073.4202189404759</v>
      </c>
      <c r="D14" s="116">
        <f>TREND($C$14:$C$53,$N$14:$N$53,$N14,TRUE)</f>
        <v>2066.043583734252</v>
      </c>
      <c r="E14" s="116">
        <f>GROWTH($C$14:$C$53,$N$14:$N$53,$N14,TRUE)</f>
        <v>2073.0416929226767</v>
      </c>
      <c r="F14" s="116"/>
      <c r="G14" s="116"/>
      <c r="H14" s="36"/>
      <c r="I14"/>
      <c r="J14" s="36"/>
      <c r="K14"/>
      <c r="L14"/>
      <c r="M14" s="2"/>
      <c r="N14" s="12">
        <f t="shared" ref="N14:N53" si="2">YEAR(A14)+MONTH(A14)/12</f>
        <v>2011.25</v>
      </c>
    </row>
    <row r="15" spans="1:14" x14ac:dyDescent="0.2">
      <c r="A15" s="12" t="str">
        <f t="shared" si="1"/>
        <v>6/30/2011</v>
      </c>
      <c r="B15" s="25"/>
      <c r="C15" s="221">
        <f>'[4]Boeckh (R)'!E59</f>
        <v>2074.4718858303572</v>
      </c>
      <c r="D15" s="116">
        <f>TREND($C$14:$C$53,$N$14:$N$53,$N15,TRUE)</f>
        <v>2078.3017459396506</v>
      </c>
      <c r="E15" s="116">
        <f>GROWTH($C$14:$C$53,$N$14:$N$53,$N15,TRUE)</f>
        <v>2084.1410532396139</v>
      </c>
      <c r="F15" s="116"/>
      <c r="G15" s="116"/>
      <c r="H15" s="36"/>
      <c r="I15"/>
      <c r="J15" s="36"/>
      <c r="K15"/>
      <c r="L15"/>
      <c r="M15" s="2"/>
      <c r="N15" s="12">
        <f t="shared" si="2"/>
        <v>2011.5</v>
      </c>
    </row>
    <row r="16" spans="1:14" x14ac:dyDescent="0.2">
      <c r="A16" s="12" t="str">
        <f t="shared" si="1"/>
        <v>9/30/2011</v>
      </c>
      <c r="B16" s="25"/>
      <c r="C16" s="221">
        <f>'[4]Boeckh (R)'!E60</f>
        <v>2078.0934502470236</v>
      </c>
      <c r="D16" s="116">
        <f>TREND($C$14:$C$53,$N$14:$N$53,$N16,TRUE)</f>
        <v>2090.5599081450491</v>
      </c>
      <c r="E16" s="116">
        <f>GROWTH($C$14:$C$53,$N$14:$N$53,$N16,TRUE)</f>
        <v>2095.2998411116587</v>
      </c>
      <c r="F16" s="116"/>
      <c r="G16" s="116"/>
      <c r="H16" s="36"/>
      <c r="I16"/>
      <c r="J16" s="36"/>
      <c r="K16"/>
      <c r="L16"/>
      <c r="M16" s="2"/>
      <c r="N16" s="12">
        <f t="shared" si="2"/>
        <v>2011.75</v>
      </c>
    </row>
    <row r="17" spans="1:14" x14ac:dyDescent="0.2">
      <c r="A17" s="12" t="str">
        <f t="shared" si="1"/>
        <v>12/31/2011</v>
      </c>
      <c r="B17" s="25"/>
      <c r="C17" s="221">
        <f>'[4]Boeckh (R)'!E61</f>
        <v>2083.4605320476189</v>
      </c>
      <c r="D17" s="116">
        <f>TREND($C$14:$C$53,$N$14:$N$53,$N17,TRUE)</f>
        <v>2102.8180703504477</v>
      </c>
      <c r="E17" s="116">
        <f>GROWTH($C$14:$C$53,$N$14:$N$53,$N17,TRUE)</f>
        <v>2106.5183747223996</v>
      </c>
      <c r="F17" s="116"/>
      <c r="G17" s="116"/>
      <c r="H17" s="36"/>
      <c r="I17"/>
      <c r="J17" s="36"/>
      <c r="K17"/>
      <c r="L17"/>
      <c r="M17" s="2"/>
      <c r="N17" s="12">
        <f t="shared" si="2"/>
        <v>2012</v>
      </c>
    </row>
    <row r="18" spans="1:14" x14ac:dyDescent="0.2">
      <c r="A18" s="12" t="str">
        <f t="shared" si="1"/>
        <v>3/31/2012</v>
      </c>
      <c r="B18" s="25"/>
      <c r="C18" s="221">
        <f>'[4]Boeckh (R)'!E62</f>
        <v>2089.9624981398811</v>
      </c>
      <c r="D18" s="116">
        <f>TREND($C$14:$C$53,$N$14:$N$53,$N18,TRUE)</f>
        <v>2115.0762325558462</v>
      </c>
      <c r="E18" s="116">
        <f t="shared" ref="E18:E53" si="3">GROWTH($C$14:$C$53,$N$14:$N$53,$N18,TRUE)</f>
        <v>2117.7969739590412</v>
      </c>
      <c r="F18" s="116"/>
      <c r="G18" s="116"/>
      <c r="H18" s="36"/>
      <c r="I18"/>
      <c r="J18" s="36"/>
      <c r="K18"/>
      <c r="L18"/>
      <c r="M18" s="2"/>
      <c r="N18" s="12">
        <f t="shared" si="2"/>
        <v>2012.25</v>
      </c>
    </row>
    <row r="19" spans="1:14" x14ac:dyDescent="0.2">
      <c r="A19" s="12" t="str">
        <f t="shared" si="1"/>
        <v>6/30/2012</v>
      </c>
      <c r="B19" s="25"/>
      <c r="C19" s="221">
        <f>'[4]Boeckh (R)'!E63</f>
        <v>2099.3336831249999</v>
      </c>
      <c r="D19" s="116">
        <f t="shared" ref="D19:D53" si="4">TREND($C$14:$C$53,$N$14:$N$53,$N19,TRUE)</f>
        <v>2127.3343947612448</v>
      </c>
      <c r="E19" s="116">
        <f t="shared" si="3"/>
        <v>2129.1359604214654</v>
      </c>
      <c r="F19" s="116"/>
      <c r="G19" s="116"/>
      <c r="H19" s="36"/>
      <c r="I19"/>
      <c r="J19" s="36"/>
      <c r="K19"/>
      <c r="L19"/>
      <c r="M19" s="2"/>
      <c r="N19" s="12">
        <f t="shared" si="2"/>
        <v>2012.5</v>
      </c>
    </row>
    <row r="20" spans="1:14" x14ac:dyDescent="0.2">
      <c r="A20" s="12" t="str">
        <f t="shared" si="1"/>
        <v>9/30/2012</v>
      </c>
      <c r="B20" s="25"/>
      <c r="C20" s="221">
        <f>'[4]Boeckh (R)'!E64</f>
        <v>2118.8191253125001</v>
      </c>
      <c r="D20" s="116">
        <f t="shared" si="4"/>
        <v>2139.5925569666433</v>
      </c>
      <c r="E20" s="116">
        <f t="shared" si="3"/>
        <v>2140.5356574314901</v>
      </c>
      <c r="F20" s="116"/>
      <c r="G20" s="116"/>
      <c r="H20" s="36"/>
      <c r="I20"/>
      <c r="J20" s="36"/>
      <c r="K20"/>
      <c r="L20"/>
      <c r="M20" s="2"/>
      <c r="N20" s="12">
        <f t="shared" si="2"/>
        <v>2012.75</v>
      </c>
    </row>
    <row r="21" spans="1:14" x14ac:dyDescent="0.2">
      <c r="A21" s="12" t="str">
        <f t="shared" si="1"/>
        <v>12/31/2012</v>
      </c>
      <c r="B21" s="25"/>
      <c r="C21" s="221">
        <f>'[4]Boeckh (R)'!E65</f>
        <v>2139.8777234375002</v>
      </c>
      <c r="D21" s="116">
        <f t="shared" si="4"/>
        <v>2151.8507191720419</v>
      </c>
      <c r="E21" s="116">
        <f t="shared" si="3"/>
        <v>2151.9963900420285</v>
      </c>
      <c r="F21" s="116"/>
      <c r="G21" s="116"/>
      <c r="H21" s="36"/>
      <c r="I21"/>
      <c r="J21" s="36"/>
      <c r="K21"/>
      <c r="L21"/>
      <c r="M21" s="2"/>
      <c r="N21" s="12">
        <f t="shared" si="2"/>
        <v>2013</v>
      </c>
    </row>
    <row r="22" spans="1:14" x14ac:dyDescent="0.2">
      <c r="A22" s="12" t="str">
        <f t="shared" si="1"/>
        <v>3/31/2013</v>
      </c>
      <c r="B22" s="25"/>
      <c r="C22" s="221">
        <f>'[4]Boeckh (R)'!E66</f>
        <v>2157.7392184374999</v>
      </c>
      <c r="D22" s="116">
        <f t="shared" si="4"/>
        <v>2164.1088813774404</v>
      </c>
      <c r="E22" s="116">
        <f t="shared" si="3"/>
        <v>2163.5184850463897</v>
      </c>
      <c r="F22" s="116"/>
      <c r="G22" s="116"/>
      <c r="H22" s="36"/>
      <c r="I22"/>
      <c r="J22" s="36"/>
      <c r="K22"/>
      <c r="L22"/>
      <c r="M22" s="2"/>
      <c r="N22" s="12">
        <f t="shared" si="2"/>
        <v>2013.25</v>
      </c>
    </row>
    <row r="23" spans="1:14" x14ac:dyDescent="0.2">
      <c r="A23" s="12" t="str">
        <f t="shared" si="1"/>
        <v>6/30/2013</v>
      </c>
      <c r="B23" s="51"/>
      <c r="C23" s="221">
        <f>'[4]Boeckh (R)'!E67</f>
        <v>2175.6324212500003</v>
      </c>
      <c r="D23" s="116">
        <f t="shared" si="4"/>
        <v>2176.3670435828244</v>
      </c>
      <c r="E23" s="116">
        <f t="shared" si="3"/>
        <v>2175.1022709875347</v>
      </c>
      <c r="F23" s="116"/>
      <c r="G23" s="116"/>
      <c r="H23" s="36"/>
      <c r="I23"/>
      <c r="J23" s="36"/>
      <c r="K23"/>
      <c r="L23"/>
      <c r="M23" s="2"/>
      <c r="N23" s="12">
        <f t="shared" si="2"/>
        <v>2013.5</v>
      </c>
    </row>
    <row r="24" spans="1:14" x14ac:dyDescent="0.2">
      <c r="A24" s="12" t="str">
        <f t="shared" si="1"/>
        <v>9/30/2013</v>
      </c>
      <c r="B24"/>
      <c r="C24" s="221">
        <f>'[4]Boeckh (R)'!E68</f>
        <v>2189.6208656250001</v>
      </c>
      <c r="D24" s="116">
        <f t="shared" si="4"/>
        <v>2188.625205788223</v>
      </c>
      <c r="E24" s="116">
        <f t="shared" si="3"/>
        <v>2186.7480781675349</v>
      </c>
      <c r="F24" s="116"/>
      <c r="G24" s="116"/>
      <c r="H24"/>
      <c r="I24"/>
      <c r="J24"/>
      <c r="K24"/>
      <c r="L24"/>
      <c r="M24" s="2"/>
      <c r="N24" s="12">
        <f t="shared" si="2"/>
        <v>2013.75</v>
      </c>
    </row>
    <row r="25" spans="1:14" x14ac:dyDescent="0.2">
      <c r="A25" s="12" t="str">
        <f t="shared" si="1"/>
        <v>12/31/2013</v>
      </c>
      <c r="B25"/>
      <c r="C25" s="221">
        <f>'[4]Boeckh (R)'!E69</f>
        <v>2203.3705943750001</v>
      </c>
      <c r="D25" s="116">
        <f t="shared" si="4"/>
        <v>2200.8833679936215</v>
      </c>
      <c r="E25" s="116">
        <f t="shared" si="3"/>
        <v>2198.4562386569332</v>
      </c>
      <c r="F25" s="116"/>
      <c r="G25" s="116"/>
      <c r="H25"/>
      <c r="I25"/>
      <c r="J25"/>
      <c r="K25"/>
      <c r="L25"/>
      <c r="M25" s="2"/>
      <c r="N25" s="12">
        <f t="shared" si="2"/>
        <v>2014</v>
      </c>
    </row>
    <row r="26" spans="1:14" x14ac:dyDescent="0.2">
      <c r="A26" s="12" t="str">
        <f t="shared" si="1"/>
        <v>3/31/2014</v>
      </c>
      <c r="B26"/>
      <c r="C26" s="221">
        <f>'[4]Boeckh (R)'!E70</f>
        <v>2227.7073512500001</v>
      </c>
      <c r="D26" s="116">
        <f t="shared" si="4"/>
        <v>2213.1415301990201</v>
      </c>
      <c r="E26" s="116">
        <f t="shared" si="3"/>
        <v>2210.2270863042386</v>
      </c>
      <c r="F26" s="116"/>
      <c r="G26" s="116"/>
      <c r="H26"/>
      <c r="I26"/>
      <c r="J26"/>
      <c r="K26"/>
      <c r="L26"/>
      <c r="M26" s="2"/>
      <c r="N26" s="12">
        <f t="shared" si="2"/>
        <v>2014.25</v>
      </c>
    </row>
    <row r="27" spans="1:14" x14ac:dyDescent="0.2">
      <c r="A27" s="12" t="str">
        <f t="shared" si="1"/>
        <v>6/30/2014</v>
      </c>
      <c r="B27"/>
      <c r="C27" s="221">
        <f>'[4]Boeckh (R)'!E71</f>
        <v>2252.6328937500002</v>
      </c>
      <c r="D27" s="116">
        <f t="shared" si="4"/>
        <v>2225.3996924044186</v>
      </c>
      <c r="E27" s="116">
        <f t="shared" si="3"/>
        <v>2222.0609567453871</v>
      </c>
      <c r="F27" s="116"/>
      <c r="G27" s="116"/>
      <c r="H27"/>
      <c r="I27"/>
      <c r="J27"/>
      <c r="K27"/>
      <c r="L27"/>
      <c r="M27" s="2"/>
      <c r="N27" s="12">
        <f t="shared" si="2"/>
        <v>2014.5</v>
      </c>
    </row>
    <row r="28" spans="1:14" x14ac:dyDescent="0.2">
      <c r="A28" s="12" t="str">
        <f t="shared" si="1"/>
        <v>9/30/2014</v>
      </c>
      <c r="B28"/>
      <c r="C28" s="221">
        <f>'[4]Boeckh (R)'!E72</f>
        <v>2274.9976849999998</v>
      </c>
      <c r="D28" s="116">
        <f t="shared" si="4"/>
        <v>2237.6578546098172</v>
      </c>
      <c r="E28" s="116">
        <f t="shared" si="3"/>
        <v>2233.9581874134028</v>
      </c>
      <c r="F28" s="116"/>
      <c r="G28" s="116"/>
      <c r="H28"/>
      <c r="I28"/>
      <c r="J28"/>
      <c r="K28"/>
      <c r="L28"/>
      <c r="M28" s="2"/>
      <c r="N28" s="12">
        <f t="shared" si="2"/>
        <v>2014.75</v>
      </c>
    </row>
    <row r="29" spans="1:14" x14ac:dyDescent="0.2">
      <c r="A29" s="12" t="str">
        <f t="shared" si="1"/>
        <v>12/31/2014</v>
      </c>
      <c r="B29"/>
      <c r="C29" s="221">
        <f>'[4]Boeckh (R)'!E73</f>
        <v>2296.7677665625006</v>
      </c>
      <c r="D29" s="116">
        <f>TREND($C$14:$C$53,$N$14:$N$53,$N29,TRUE)</f>
        <v>2249.9160168152157</v>
      </c>
      <c r="E29" s="116">
        <f t="shared" si="3"/>
        <v>2245.9191175479614</v>
      </c>
      <c r="F29" s="116"/>
      <c r="G29" s="116"/>
      <c r="H29"/>
      <c r="I29"/>
      <c r="J29"/>
      <c r="K29"/>
      <c r="L29"/>
      <c r="M29" s="2"/>
      <c r="N29" s="12">
        <f t="shared" si="2"/>
        <v>2015</v>
      </c>
    </row>
    <row r="30" spans="1:14" x14ac:dyDescent="0.2">
      <c r="A30" s="12" t="str">
        <f t="shared" si="1"/>
        <v>3/31/2015</v>
      </c>
      <c r="B30"/>
      <c r="C30" s="221">
        <f>'[4]Boeckh (R)'!E74</f>
        <v>2310.575920625</v>
      </c>
      <c r="D30" s="116">
        <f t="shared" si="4"/>
        <v>2262.1741790206142</v>
      </c>
      <c r="E30" s="116">
        <f t="shared" si="3"/>
        <v>2257.9440882050721</v>
      </c>
      <c r="F30" s="116"/>
      <c r="G30" s="116"/>
      <c r="H30"/>
      <c r="I30"/>
      <c r="J30"/>
      <c r="K30"/>
      <c r="L30"/>
      <c r="M30" s="2"/>
      <c r="N30" s="12">
        <f t="shared" si="2"/>
        <v>2015.25</v>
      </c>
    </row>
    <row r="31" spans="1:14" x14ac:dyDescent="0.2">
      <c r="A31" s="12" t="str">
        <f t="shared" si="1"/>
        <v>6/30/2015</v>
      </c>
      <c r="B31" s="111"/>
      <c r="C31" s="221">
        <f>'[4]Boeckh (R)'!E75</f>
        <v>2322.5219765625002</v>
      </c>
      <c r="D31" s="116">
        <f t="shared" si="4"/>
        <v>2274.4323412260128</v>
      </c>
      <c r="E31" s="116">
        <f t="shared" si="3"/>
        <v>2270.0334422668261</v>
      </c>
      <c r="F31" s="116"/>
      <c r="G31" s="116"/>
      <c r="H31" s="29"/>
      <c r="I31" s="103"/>
      <c r="J31" s="29"/>
      <c r="K31" s="103"/>
      <c r="L31" s="103"/>
      <c r="M31" s="2"/>
      <c r="N31" s="12">
        <f t="shared" si="2"/>
        <v>2015.5</v>
      </c>
    </row>
    <row r="32" spans="1:14" x14ac:dyDescent="0.2">
      <c r="A32" s="12" t="str">
        <f t="shared" si="1"/>
        <v>9/30/2015</v>
      </c>
      <c r="B32" s="111"/>
      <c r="C32" s="221">
        <f>'[4]Boeckh (R)'!E76</f>
        <v>2330.3812862499999</v>
      </c>
      <c r="D32" s="116">
        <f t="shared" si="4"/>
        <v>2286.6905034314113</v>
      </c>
      <c r="E32" s="116">
        <f t="shared" si="3"/>
        <v>2282.1875244511043</v>
      </c>
      <c r="F32" s="116"/>
      <c r="G32" s="116"/>
      <c r="H32" s="29"/>
      <c r="I32" s="103"/>
      <c r="J32" s="29"/>
      <c r="K32" s="103"/>
      <c r="L32" s="103"/>
      <c r="M32" s="2"/>
      <c r="N32" s="12">
        <f t="shared" si="2"/>
        <v>2015.75</v>
      </c>
    </row>
    <row r="33" spans="1:14" x14ac:dyDescent="0.2">
      <c r="A33" s="12" t="str">
        <f t="shared" si="1"/>
        <v>12/31/2015</v>
      </c>
      <c r="B33" s="51"/>
      <c r="C33" s="221">
        <f>'[4]Boeckh (R)'!E77</f>
        <v>2333.2555071874999</v>
      </c>
      <c r="D33" s="116">
        <f t="shared" si="4"/>
        <v>2298.9486656368099</v>
      </c>
      <c r="E33" s="116">
        <f t="shared" si="3"/>
        <v>2294.4066813215049</v>
      </c>
      <c r="F33" s="116"/>
      <c r="G33" s="116"/>
      <c r="H33" s="29"/>
      <c r="I33" s="103"/>
      <c r="J33" s="29"/>
      <c r="K33" s="103"/>
      <c r="L33" s="103"/>
      <c r="M33" s="2"/>
      <c r="N33" s="12">
        <f t="shared" si="2"/>
        <v>2016</v>
      </c>
    </row>
    <row r="34" spans="1:14" x14ac:dyDescent="0.2">
      <c r="A34" s="12" t="str">
        <f t="shared" si="1"/>
        <v>3/31/2016</v>
      </c>
      <c r="B34" s="51"/>
      <c r="C34" s="221">
        <f>'[4]Boeckh (R)'!E78</f>
        <v>2328.6463168749997</v>
      </c>
      <c r="D34" s="116">
        <f t="shared" si="4"/>
        <v>2311.2068278422084</v>
      </c>
      <c r="E34" s="116">
        <f t="shared" si="3"/>
        <v>2306.6912612971601</v>
      </c>
      <c r="F34" s="116">
        <f>TREND($C$34:$C$53,$N$34:$N$53,$N34,TRUE)</f>
        <v>2285.475530522308</v>
      </c>
      <c r="G34" s="116">
        <f t="shared" ref="G34:G53" si="5">GROWTH($C$34:$C$53,$N$34:$N$53,$N34,TRUE)</f>
        <v>2287.5676939935724</v>
      </c>
      <c r="H34" s="29"/>
      <c r="I34" s="103"/>
      <c r="J34" s="29"/>
      <c r="K34" s="103"/>
      <c r="L34" s="103"/>
      <c r="M34" s="2"/>
      <c r="N34" s="12">
        <f t="shared" si="2"/>
        <v>2016.25</v>
      </c>
    </row>
    <row r="35" spans="1:14" x14ac:dyDescent="0.2">
      <c r="A35" s="12" t="str">
        <f t="shared" si="1"/>
        <v>6/30/2016</v>
      </c>
      <c r="B35" s="111"/>
      <c r="C35" s="221">
        <f>'[4]Boeckh (R)'!E79</f>
        <v>2320.7975212499996</v>
      </c>
      <c r="D35" s="116">
        <f t="shared" si="4"/>
        <v>2323.464990047607</v>
      </c>
      <c r="E35" s="116">
        <f t="shared" si="3"/>
        <v>2319.0416146627044</v>
      </c>
      <c r="F35" s="116">
        <f t="shared" ref="F35:F53" si="6">TREND($C$34:$C$53,$N$34:$N$53,$N35,TRUE)</f>
        <v>2299.4805655495729</v>
      </c>
      <c r="G35" s="116">
        <f t="shared" si="5"/>
        <v>2300.8635647962328</v>
      </c>
      <c r="H35" s="36"/>
      <c r="I35" s="103"/>
      <c r="J35" s="36"/>
      <c r="K35" s="103"/>
      <c r="L35" s="103"/>
      <c r="M35" s="2"/>
      <c r="N35" s="12">
        <f t="shared" si="2"/>
        <v>2016.5</v>
      </c>
    </row>
    <row r="36" spans="1:14" x14ac:dyDescent="0.2">
      <c r="A36" s="12" t="str">
        <f t="shared" si="1"/>
        <v>9/30/2016</v>
      </c>
      <c r="B36" s="22"/>
      <c r="C36" s="221">
        <f>'[4]Boeckh (R)'!E80</f>
        <v>2313.59063625</v>
      </c>
      <c r="D36" s="116">
        <f t="shared" si="4"/>
        <v>2335.7231522530055</v>
      </c>
      <c r="E36" s="116">
        <f t="shared" si="3"/>
        <v>2331.4580935781983</v>
      </c>
      <c r="F36" s="116">
        <f t="shared" si="6"/>
        <v>2313.4856005768233</v>
      </c>
      <c r="G36" s="116">
        <f t="shared" si="5"/>
        <v>2314.2367142651501</v>
      </c>
      <c r="H36"/>
      <c r="I36"/>
      <c r="J36"/>
      <c r="K36"/>
      <c r="L36"/>
      <c r="M36" s="2"/>
      <c r="N36" s="12">
        <f t="shared" si="2"/>
        <v>2016.75</v>
      </c>
    </row>
    <row r="37" spans="1:14" x14ac:dyDescent="0.2">
      <c r="A37" s="12" t="str">
        <f t="shared" si="1"/>
        <v>12/31/2016</v>
      </c>
      <c r="B37" s="22"/>
      <c r="C37" s="221">
        <f>'[4]Boeckh (R)'!E81</f>
        <v>2308.1697937499998</v>
      </c>
      <c r="D37" s="116">
        <f t="shared" si="4"/>
        <v>2347.9813144584041</v>
      </c>
      <c r="E37" s="116">
        <f t="shared" si="3"/>
        <v>2343.9410520892648</v>
      </c>
      <c r="F37" s="116">
        <f t="shared" si="6"/>
        <v>2327.4906356040883</v>
      </c>
      <c r="G37" s="116">
        <f t="shared" si="5"/>
        <v>2327.6875915617802</v>
      </c>
      <c r="H37"/>
      <c r="J37"/>
      <c r="M37" s="2"/>
      <c r="N37" s="12">
        <f t="shared" si="2"/>
        <v>2017</v>
      </c>
    </row>
    <row r="38" spans="1:14" x14ac:dyDescent="0.2">
      <c r="A38" s="12" t="str">
        <f t="shared" si="1"/>
        <v>3/31/2017</v>
      </c>
      <c r="B38" s="22"/>
      <c r="C38" s="221">
        <f>'[4]Boeckh (R)'!E82</f>
        <v>2311.2435409374998</v>
      </c>
      <c r="D38" s="116">
        <f t="shared" si="4"/>
        <v>2360.2394766638026</v>
      </c>
      <c r="E38" s="116">
        <f t="shared" si="3"/>
        <v>2356.4908461371215</v>
      </c>
      <c r="F38" s="116">
        <f t="shared" si="6"/>
        <v>2341.4956706313387</v>
      </c>
      <c r="G38" s="116">
        <f t="shared" si="5"/>
        <v>2341.2166484581612</v>
      </c>
      <c r="H38" s="116">
        <f>TREND($C$38:$C$53,$N$38:$N$53,$N38,TRUE)</f>
        <v>2326.3780254986195</v>
      </c>
      <c r="I38" s="116">
        <f t="shared" ref="I38:I53" si="7">GROWTH($C$38:$C$53,$N$38:$N$53,$N38,TRUE)</f>
        <v>2327.2500067898377</v>
      </c>
      <c r="J38" s="103"/>
      <c r="K38" s="103"/>
      <c r="L38" s="103"/>
      <c r="M38" s="2"/>
      <c r="N38" s="12">
        <f t="shared" si="2"/>
        <v>2017.25</v>
      </c>
    </row>
    <row r="39" spans="1:14" x14ac:dyDescent="0.2">
      <c r="A39" s="12" t="str">
        <f t="shared" si="1"/>
        <v>6/30/2017</v>
      </c>
      <c r="B39" s="22"/>
      <c r="C39" s="221">
        <f>'[4]Boeckh (R)'!E83</f>
        <v>2323.7941315624998</v>
      </c>
      <c r="D39" s="116">
        <f t="shared" si="4"/>
        <v>2372.4976388692012</v>
      </c>
      <c r="E39" s="116">
        <f t="shared" si="3"/>
        <v>2369.1078335687471</v>
      </c>
      <c r="F39" s="116">
        <f t="shared" si="6"/>
        <v>2355.5007056585891</v>
      </c>
      <c r="G39" s="116">
        <f t="shared" si="5"/>
        <v>2354.8243393521325</v>
      </c>
      <c r="H39" s="116">
        <f t="shared" ref="H39:H53" si="8">TREND($C$38:$C$53,$N$38:$N$53,$N39,TRUE)</f>
        <v>2342.0214804112911</v>
      </c>
      <c r="I39" s="116">
        <f t="shared" si="7"/>
        <v>2342.2987122180962</v>
      </c>
      <c r="J39" s="103"/>
      <c r="K39" s="103"/>
      <c r="L39" s="103"/>
      <c r="M39" s="2"/>
      <c r="N39" s="12">
        <f t="shared" si="2"/>
        <v>2017.5</v>
      </c>
    </row>
    <row r="40" spans="1:14" x14ac:dyDescent="0.2">
      <c r="A40" s="12" t="str">
        <f t="shared" si="1"/>
        <v>9/30/2017</v>
      </c>
      <c r="B40" s="22"/>
      <c r="C40" s="221">
        <f>'[4]Boeckh (R)'!E84</f>
        <v>2340.8039171874998</v>
      </c>
      <c r="D40" s="116">
        <f>TREND($C$14:$C$53,$N$14:$N$53,$N40,TRUE)</f>
        <v>2384.7558010745997</v>
      </c>
      <c r="E40" s="116">
        <f t="shared" si="3"/>
        <v>2381.7923741470995</v>
      </c>
      <c r="F40" s="116">
        <f t="shared" si="6"/>
        <v>2369.5057406858541</v>
      </c>
      <c r="G40" s="116">
        <f t="shared" si="5"/>
        <v>2368.51112128265</v>
      </c>
      <c r="H40" s="116">
        <f t="shared" si="8"/>
        <v>2357.6649353239773</v>
      </c>
      <c r="I40" s="116">
        <f t="shared" si="7"/>
        <v>2357.4447271465997</v>
      </c>
      <c r="J40" s="103"/>
      <c r="K40" s="103"/>
      <c r="L40" s="103"/>
      <c r="M40" s="2"/>
      <c r="N40" s="12">
        <f t="shared" si="2"/>
        <v>2017.75</v>
      </c>
    </row>
    <row r="41" spans="1:14" x14ac:dyDescent="0.2">
      <c r="A41" s="12" t="str">
        <f t="shared" si="1"/>
        <v>12/31/2017</v>
      </c>
      <c r="B41" s="22"/>
      <c r="C41" s="221">
        <f>'[4]Boeckh (R)'!E85</f>
        <v>2360.0865974999997</v>
      </c>
      <c r="D41" s="116">
        <f t="shared" si="4"/>
        <v>2397.0139632799983</v>
      </c>
      <c r="E41" s="116">
        <f t="shared" si="3"/>
        <v>2394.5448295613082</v>
      </c>
      <c r="F41" s="116">
        <f t="shared" si="6"/>
        <v>2383.5107757131045</v>
      </c>
      <c r="G41" s="116">
        <f t="shared" si="5"/>
        <v>2382.2774539450343</v>
      </c>
      <c r="H41" s="116">
        <f t="shared" si="8"/>
        <v>2373.3083902366634</v>
      </c>
      <c r="I41" s="116">
        <f t="shared" si="7"/>
        <v>2372.6886808081008</v>
      </c>
      <c r="J41" s="50"/>
      <c r="K41" s="58"/>
      <c r="L41" s="58"/>
      <c r="M41" s="2"/>
      <c r="N41" s="12">
        <f t="shared" si="2"/>
        <v>2018</v>
      </c>
    </row>
    <row r="42" spans="1:14" x14ac:dyDescent="0.2">
      <c r="A42" s="12" t="str">
        <f t="shared" si="1"/>
        <v>3/31/2018</v>
      </c>
      <c r="C42" s="221">
        <f>'[4]Boeckh (R)'!E86</f>
        <v>2380.3326815624996</v>
      </c>
      <c r="D42" s="116">
        <f t="shared" si="4"/>
        <v>2409.2721254853968</v>
      </c>
      <c r="E42" s="116">
        <f t="shared" si="3"/>
        <v>2407.3655634370898</v>
      </c>
      <c r="F42" s="116">
        <f t="shared" si="6"/>
        <v>2397.5158107403549</v>
      </c>
      <c r="G42" s="116">
        <f t="shared" si="5"/>
        <v>2396.1237997064613</v>
      </c>
      <c r="H42" s="116">
        <f t="shared" si="8"/>
        <v>2388.9518451493495</v>
      </c>
      <c r="I42" s="116">
        <f t="shared" si="7"/>
        <v>2388.0312065042276</v>
      </c>
      <c r="J42" s="116">
        <f>TREND($C$42:$C$53,$N$42:$N$53,$N42,TRUE)</f>
        <v>2413.8969510456809</v>
      </c>
      <c r="K42" s="116">
        <f t="shared" ref="K42:K53" si="9">GROWTH($C$42:$C$53,$N$42:$N$53,$N42,TRUE)</f>
        <v>2413.8645421116876</v>
      </c>
      <c r="L42" s="116"/>
      <c r="M42" s="2"/>
      <c r="N42" s="12">
        <f t="shared" si="2"/>
        <v>2018.25</v>
      </c>
    </row>
    <row r="43" spans="1:14" x14ac:dyDescent="0.2">
      <c r="A43" s="12" t="str">
        <f t="shared" si="1"/>
        <v>6/30/2018</v>
      </c>
      <c r="B43" s="111"/>
      <c r="C43" s="221">
        <f>'[4]Boeckh (R)'!E87</f>
        <v>2404.1550571875</v>
      </c>
      <c r="D43" s="116">
        <f>TREND($C$14:$C$53,$N$14:$N$53,$N43,TRUE)</f>
        <v>2421.5302876907954</v>
      </c>
      <c r="E43" s="116">
        <f t="shared" si="3"/>
        <v>2420.2549413470456</v>
      </c>
      <c r="F43" s="116">
        <f t="shared" si="6"/>
        <v>2411.5208457676199</v>
      </c>
      <c r="G43" s="116">
        <f t="shared" si="5"/>
        <v>2410.0506236215429</v>
      </c>
      <c r="H43" s="116">
        <f t="shared" si="8"/>
        <v>2404.5953000620357</v>
      </c>
      <c r="I43" s="116">
        <f t="shared" si="7"/>
        <v>2403.4729416316804</v>
      </c>
      <c r="J43" s="116">
        <f t="shared" ref="J43:J52" si="10">TREND($C$42:$C$53,$N$42:$N$53,$N43,TRUE)</f>
        <v>2425.9662146481714</v>
      </c>
      <c r="K43" s="116">
        <f t="shared" si="9"/>
        <v>2425.7261973397149</v>
      </c>
      <c r="L43" s="116"/>
      <c r="M43" s="2"/>
      <c r="N43" s="12">
        <f t="shared" si="2"/>
        <v>2018.5</v>
      </c>
    </row>
    <row r="44" spans="1:14" x14ac:dyDescent="0.2">
      <c r="A44" s="12" t="str">
        <f t="shared" si="1"/>
        <v>9/30/2018</v>
      </c>
      <c r="C44" s="221">
        <f>'[4]Boeckh (R)'!E88</f>
        <v>2433.3168421874998</v>
      </c>
      <c r="D44" s="116">
        <f t="shared" si="4"/>
        <v>2433.7884498961939</v>
      </c>
      <c r="E44" s="116">
        <f t="shared" si="3"/>
        <v>2433.2133308211241</v>
      </c>
      <c r="F44" s="116">
        <f t="shared" si="6"/>
        <v>2425.5258807948703</v>
      </c>
      <c r="G44" s="116">
        <f t="shared" si="5"/>
        <v>2424.0583934478436</v>
      </c>
      <c r="H44" s="116">
        <f t="shared" si="8"/>
        <v>2420.2387549747218</v>
      </c>
      <c r="I44" s="116">
        <f t="shared" si="7"/>
        <v>2419.014527708759</v>
      </c>
      <c r="J44" s="116">
        <f t="shared" si="10"/>
        <v>2438.035478250662</v>
      </c>
      <c r="K44" s="116">
        <f t="shared" si="9"/>
        <v>2437.646140372337</v>
      </c>
      <c r="L44" s="116"/>
      <c r="M44" s="2"/>
      <c r="N44" s="12">
        <f t="shared" si="2"/>
        <v>2018.75</v>
      </c>
    </row>
    <row r="45" spans="1:14" x14ac:dyDescent="0.2">
      <c r="A45" s="12" t="str">
        <f t="shared" si="1"/>
        <v>12/31/2018</v>
      </c>
      <c r="C45" s="221">
        <f>'[4]Boeckh (R)'!E89</f>
        <v>2467.6029853125001</v>
      </c>
      <c r="D45" s="116">
        <f t="shared" si="4"/>
        <v>2446.0466121015925</v>
      </c>
      <c r="E45" s="116">
        <f t="shared" si="3"/>
        <v>2446.2411013570286</v>
      </c>
      <c r="F45" s="116">
        <f t="shared" si="6"/>
        <v>2439.5309158221207</v>
      </c>
      <c r="G45" s="116">
        <f t="shared" si="5"/>
        <v>2438.1475796616432</v>
      </c>
      <c r="H45" s="116">
        <f t="shared" si="8"/>
        <v>2435.8822098873934</v>
      </c>
      <c r="I45" s="116">
        <f t="shared" si="7"/>
        <v>2434.6566104020667</v>
      </c>
      <c r="J45" s="116">
        <f t="shared" si="10"/>
        <v>2450.1047418531525</v>
      </c>
      <c r="K45" s="116">
        <f t="shared" si="9"/>
        <v>2449.6246576340113</v>
      </c>
      <c r="L45" s="116"/>
      <c r="M45" s="2"/>
      <c r="N45" s="12">
        <f t="shared" si="2"/>
        <v>2019</v>
      </c>
    </row>
    <row r="46" spans="1:14" x14ac:dyDescent="0.2">
      <c r="A46" s="12" t="str">
        <f t="shared" si="1"/>
        <v>3/31/2019</v>
      </c>
      <c r="C46" s="221">
        <f>'[4]Boeckh (R)'!E90</f>
        <v>2494.1881793749999</v>
      </c>
      <c r="D46" s="116">
        <f t="shared" si="4"/>
        <v>2458.304774306991</v>
      </c>
      <c r="E46" s="116">
        <f t="shared" si="3"/>
        <v>2459.3386244308567</v>
      </c>
      <c r="F46" s="116">
        <f t="shared" si="6"/>
        <v>2453.5359508493857</v>
      </c>
      <c r="G46" s="116">
        <f t="shared" si="5"/>
        <v>2452.3186554737899</v>
      </c>
      <c r="H46" s="116">
        <f t="shared" si="8"/>
        <v>2451.5256648000795</v>
      </c>
      <c r="I46" s="116">
        <f t="shared" si="7"/>
        <v>2450.3998395532153</v>
      </c>
      <c r="J46" s="116">
        <f t="shared" si="10"/>
        <v>2462.1740054556431</v>
      </c>
      <c r="K46" s="116">
        <f t="shared" si="9"/>
        <v>2461.6620369566767</v>
      </c>
      <c r="L46" s="116"/>
      <c r="M46" s="2"/>
      <c r="N46" s="12">
        <f t="shared" si="2"/>
        <v>2019.25</v>
      </c>
    </row>
    <row r="47" spans="1:14" x14ac:dyDescent="0.2">
      <c r="A47" s="12" t="str">
        <f t="shared" si="1"/>
        <v>6/30/2019</v>
      </c>
      <c r="C47" s="221">
        <f>'[4]Boeckh (R)'!E91</f>
        <v>2508.1578743749997</v>
      </c>
      <c r="D47" s="116">
        <f t="shared" si="4"/>
        <v>2470.5629365123896</v>
      </c>
      <c r="E47" s="116">
        <f t="shared" si="3"/>
        <v>2472.5062735076272</v>
      </c>
      <c r="F47" s="116">
        <f t="shared" si="6"/>
        <v>2467.5409858766361</v>
      </c>
      <c r="G47" s="116">
        <f t="shared" si="5"/>
        <v>2466.5720968454907</v>
      </c>
      <c r="H47" s="116">
        <f t="shared" si="8"/>
        <v>2467.1691197127657</v>
      </c>
      <c r="I47" s="116">
        <f t="shared" si="7"/>
        <v>2466.2448692059575</v>
      </c>
      <c r="J47" s="116">
        <f t="shared" si="10"/>
        <v>2474.2432690581336</v>
      </c>
      <c r="K47" s="116">
        <f t="shared" si="9"/>
        <v>2473.7585675866681</v>
      </c>
      <c r="L47" s="116"/>
      <c r="M47" s="2"/>
      <c r="N47" s="12">
        <f t="shared" si="2"/>
        <v>2019.5</v>
      </c>
    </row>
    <row r="48" spans="1:14" x14ac:dyDescent="0.2">
      <c r="A48" s="12" t="str">
        <f t="shared" si="1"/>
        <v>9/30/2019</v>
      </c>
      <c r="B48" s="111"/>
      <c r="C48" s="221">
        <f>'[4]Boeckh (R)'!E92</f>
        <v>2510.4392250000001</v>
      </c>
      <c r="D48" s="116">
        <f t="shared" si="4"/>
        <v>2482.8210987177881</v>
      </c>
      <c r="E48" s="116">
        <f t="shared" si="3"/>
        <v>2485.7444240519412</v>
      </c>
      <c r="F48" s="116">
        <f t="shared" si="6"/>
        <v>2481.5460209038865</v>
      </c>
      <c r="G48" s="116">
        <f t="shared" si="5"/>
        <v>2480.9083825043481</v>
      </c>
      <c r="H48" s="116">
        <f t="shared" si="8"/>
        <v>2482.8125746254518</v>
      </c>
      <c r="I48" s="116">
        <f t="shared" si="7"/>
        <v>2482.192357633241</v>
      </c>
      <c r="J48" s="116">
        <f t="shared" si="10"/>
        <v>2486.3125326606387</v>
      </c>
      <c r="K48" s="116">
        <f t="shared" si="9"/>
        <v>2485.9145401916685</v>
      </c>
      <c r="L48" s="116"/>
      <c r="M48" s="2"/>
      <c r="N48" s="12">
        <f t="shared" si="2"/>
        <v>2019.75</v>
      </c>
    </row>
    <row r="49" spans="1:14" x14ac:dyDescent="0.2">
      <c r="A49" s="12" t="str">
        <f t="shared" si="1"/>
        <v>12/31/2019</v>
      </c>
      <c r="C49" s="221">
        <f>'[4]Boeckh (R)'!E93</f>
        <v>2504.0701937499998</v>
      </c>
      <c r="D49" s="116">
        <f t="shared" si="4"/>
        <v>2495.0792609231867</v>
      </c>
      <c r="E49" s="116">
        <f t="shared" si="3"/>
        <v>2499.0534535387092</v>
      </c>
      <c r="F49" s="116">
        <f t="shared" si="6"/>
        <v>2495.5510559311515</v>
      </c>
      <c r="G49" s="116">
        <f t="shared" si="5"/>
        <v>2495.3279939604927</v>
      </c>
      <c r="H49" s="116">
        <f t="shared" si="8"/>
        <v>2498.456029538138</v>
      </c>
      <c r="I49" s="116">
        <f t="shared" si="7"/>
        <v>2498.2429673646052</v>
      </c>
      <c r="J49" s="116">
        <f t="shared" si="10"/>
        <v>2498.3817962631292</v>
      </c>
      <c r="K49" s="116">
        <f t="shared" si="9"/>
        <v>2498.1302468676936</v>
      </c>
      <c r="L49" s="116"/>
      <c r="M49" s="2"/>
      <c r="N49" s="12">
        <f t="shared" si="2"/>
        <v>2020</v>
      </c>
    </row>
    <row r="50" spans="1:14" x14ac:dyDescent="0.2">
      <c r="A50" s="12" t="str">
        <f t="shared" si="1"/>
        <v>3/31/2020</v>
      </c>
      <c r="C50" s="221">
        <f>'[4]Boeckh (R)'!E94</f>
        <v>2502.4740178124998</v>
      </c>
      <c r="D50" s="116">
        <f t="shared" si="4"/>
        <v>2507.3374231285852</v>
      </c>
      <c r="E50" s="116">
        <f t="shared" si="3"/>
        <v>2512.4337414638435</v>
      </c>
      <c r="F50" s="116">
        <f t="shared" si="6"/>
        <v>2509.5560909584019</v>
      </c>
      <c r="G50" s="116">
        <f t="shared" si="5"/>
        <v>2509.8314155226499</v>
      </c>
      <c r="H50" s="116">
        <f t="shared" si="8"/>
        <v>2514.0994844508241</v>
      </c>
      <c r="I50" s="116">
        <f t="shared" si="7"/>
        <v>2514.3973652137597</v>
      </c>
      <c r="J50" s="116">
        <f t="shared" si="10"/>
        <v>2510.4510598656198</v>
      </c>
      <c r="K50" s="116">
        <f t="shared" si="9"/>
        <v>2510.4059811461093</v>
      </c>
      <c r="L50" s="116"/>
      <c r="M50" s="2"/>
      <c r="N50" s="12">
        <f t="shared" si="2"/>
        <v>2020.25</v>
      </c>
    </row>
    <row r="51" spans="1:14" x14ac:dyDescent="0.2">
      <c r="A51" s="12" t="str">
        <f t="shared" si="1"/>
        <v>6/30/2020</v>
      </c>
      <c r="C51" s="221">
        <f>'[4]Boeckh (R)'!E95</f>
        <v>2502.9244703124996</v>
      </c>
      <c r="D51" s="116">
        <f t="shared" si="4"/>
        <v>2519.5955853339838</v>
      </c>
      <c r="E51" s="116">
        <f t="shared" si="3"/>
        <v>2525.8856693551843</v>
      </c>
      <c r="F51" s="116">
        <f t="shared" si="6"/>
        <v>2523.5611259856669</v>
      </c>
      <c r="G51" s="116">
        <f t="shared" si="5"/>
        <v>2524.4191343144598</v>
      </c>
      <c r="H51" s="116">
        <f t="shared" si="8"/>
        <v>2529.7429393635102</v>
      </c>
      <c r="I51" s="116">
        <f t="shared" si="7"/>
        <v>2530.6562223061637</v>
      </c>
      <c r="J51" s="116">
        <f t="shared" si="10"/>
        <v>2522.5203234681103</v>
      </c>
      <c r="K51" s="116">
        <f t="shared" si="9"/>
        <v>2522.7420380006847</v>
      </c>
      <c r="L51" s="116"/>
      <c r="M51" s="2"/>
      <c r="N51" s="12">
        <f t="shared" si="2"/>
        <v>2020.5</v>
      </c>
    </row>
    <row r="52" spans="1:14" x14ac:dyDescent="0.2">
      <c r="A52" s="12" t="str">
        <f t="shared" si="1"/>
        <v>9/30/2020</v>
      </c>
      <c r="C52" s="221">
        <f>'[4]Boeckh (R)'!E96</f>
        <v>2516.5388343749996</v>
      </c>
      <c r="D52" s="116">
        <f t="shared" si="4"/>
        <v>2531.8537475393823</v>
      </c>
      <c r="E52" s="116">
        <f t="shared" si="3"/>
        <v>2539.4096207833081</v>
      </c>
      <c r="F52" s="116">
        <f t="shared" si="6"/>
        <v>2537.5661610129173</v>
      </c>
      <c r="G52" s="116">
        <f t="shared" si="5"/>
        <v>2539.0916402908897</v>
      </c>
      <c r="H52" s="116">
        <f t="shared" si="8"/>
        <v>2545.3863942761818</v>
      </c>
      <c r="I52" s="116">
        <f t="shared" si="7"/>
        <v>2547.0202141070486</v>
      </c>
      <c r="J52" s="116">
        <f t="shared" si="10"/>
        <v>2534.5895870706008</v>
      </c>
      <c r="K52" s="116">
        <f t="shared" si="9"/>
        <v>2535.1387138546816</v>
      </c>
      <c r="L52" s="116"/>
      <c r="M52" s="2"/>
      <c r="N52" s="12">
        <f t="shared" si="2"/>
        <v>2020.75</v>
      </c>
    </row>
    <row r="53" spans="1:14" x14ac:dyDescent="0.2">
      <c r="A53" s="12" t="str">
        <f>TEXT(N9,"m/d/yyyy")</f>
        <v>12/31/2020</v>
      </c>
      <c r="C53" s="221">
        <f>'[4]Boeckh (R)'!E97</f>
        <v>2539.1344490624997</v>
      </c>
      <c r="D53" s="116">
        <f t="shared" si="4"/>
        <v>2544.1119097447809</v>
      </c>
      <c r="E53" s="116">
        <f t="shared" si="3"/>
        <v>2553.0059813725015</v>
      </c>
      <c r="F53" s="116">
        <f t="shared" si="6"/>
        <v>2551.5711960401677</v>
      </c>
      <c r="G53" s="116">
        <f t="shared" si="5"/>
        <v>2553.849426254586</v>
      </c>
      <c r="H53" s="116">
        <f t="shared" si="8"/>
        <v>2561.029849188868</v>
      </c>
      <c r="I53" s="116">
        <f t="shared" si="7"/>
        <v>2563.4900204493547</v>
      </c>
      <c r="J53" s="116">
        <f>TREND($C$42:$C$53,$N$42:$N$53,$N53,TRUE)</f>
        <v>2546.6588506730914</v>
      </c>
      <c r="K53" s="116">
        <f t="shared" si="9"/>
        <v>2547.5963065879769</v>
      </c>
      <c r="L53" s="165"/>
      <c r="M53" s="2"/>
      <c r="N53" s="12">
        <f t="shared" si="2"/>
        <v>2021</v>
      </c>
    </row>
    <row r="54" spans="1:14" x14ac:dyDescent="0.2">
      <c r="A54" s="117"/>
      <c r="B54" s="9"/>
      <c r="C54" s="189"/>
      <c r="D54" s="118"/>
      <c r="E54" s="118"/>
      <c r="F54" s="118"/>
      <c r="G54" s="118"/>
      <c r="H54" s="118"/>
      <c r="I54" s="118"/>
      <c r="J54" s="118"/>
      <c r="K54" s="118"/>
      <c r="M54" s="2"/>
    </row>
    <row r="55" spans="1:14" x14ac:dyDescent="0.2">
      <c r="A55" s="50"/>
      <c r="B55" s="105"/>
      <c r="C55" s="50"/>
      <c r="D55" s="50"/>
      <c r="E55" s="50"/>
      <c r="F55" s="50"/>
      <c r="G55" s="50"/>
      <c r="H55" s="50"/>
      <c r="I55" s="99"/>
      <c r="J55" s="50"/>
      <c r="K55" s="50"/>
      <c r="L55" s="50"/>
      <c r="M55" s="2"/>
    </row>
    <row r="56" spans="1:14" x14ac:dyDescent="0.2">
      <c r="A56" s="12" t="s">
        <v>260</v>
      </c>
      <c r="C56"/>
      <c r="D56" s="20">
        <f>(D53-D49)/D53</f>
        <v>1.9272992132847264E-2</v>
      </c>
      <c r="E56" s="20">
        <f>LOGEST($C$14:$C$53,$N$14:$N$53,TRUE,TRUE)-1</f>
        <v>2.1589185200257655E-2</v>
      </c>
      <c r="F56" s="20">
        <f>(F53-F49)/F53</f>
        <v>2.1955154610600301E-2</v>
      </c>
      <c r="G56" s="20">
        <f>LOGEST($C$34:$C$53,$N$34:$N$53,TRUE,TRUE)-1</f>
        <v>2.3452400820945352E-2</v>
      </c>
      <c r="H56" s="20">
        <f>(H53-H49)/H53</f>
        <v>2.4433069247728E-2</v>
      </c>
      <c r="I56" s="20">
        <f>LOGEST($C$38:$C$53,$N$38:$N$53,TRUE,TRUE)-1</f>
        <v>2.6117176726636382E-2</v>
      </c>
      <c r="J56" s="20">
        <f>(J53-J49)/J53</f>
        <v>1.8957016719064017E-2</v>
      </c>
      <c r="K56" s="20">
        <f>LOGEST($C$42:$C$53,$N$42:$N$53,TRUE,TRUE)-1</f>
        <v>1.9801233255274608E-2</v>
      </c>
      <c r="L56" s="20"/>
      <c r="M56" s="2"/>
    </row>
    <row r="57" spans="1:14" x14ac:dyDescent="0.2">
      <c r="A57" s="119" t="s">
        <v>261</v>
      </c>
      <c r="B57" s="111"/>
      <c r="C57" s="101"/>
      <c r="D57" s="102">
        <f>INDEX(LINEST($C$14:$C$53,$N$14:$N$53,TRUE,TRUE),3,1)</f>
        <v>0.96263711688339637</v>
      </c>
      <c r="E57" s="102">
        <f>INDEX(LOGEST($C$14:$C$53,$N$14:$N$53,TRUE,TRUE),3,1)</f>
        <v>0.96082143982508628</v>
      </c>
      <c r="F57" s="102">
        <f>INDEX(LINEST($C$34:$C$53,$N$34:$N$53,TRUE,TRUE),3,1)</f>
        <v>0.9127688075607312</v>
      </c>
      <c r="G57" s="102">
        <f>INDEX(LOGEST($C$34:$C$53,$N$34:$N$53,TRUE,TRUE),3,1)</f>
        <v>0.91212579890048162</v>
      </c>
      <c r="H57" s="102">
        <f>INDEX(LINEST($C$38:$C$53,$N$38:$N$53,TRUE,TRUE),3,1)</f>
        <v>0.90501088315553868</v>
      </c>
      <c r="I57" s="102">
        <f>INDEX(LOGEST($C$38:$C$53,$N$38:$N$53,TRUE,TRUE),3,1)</f>
        <v>0.90248228427264598</v>
      </c>
      <c r="J57" s="102">
        <f>INDEX(LINEST($C$42:$C$53,$N$42:$N$53,TRUE,TRUE),3,1)</f>
        <v>0.78960512791750181</v>
      </c>
      <c r="K57" s="102">
        <f>INDEX(LOGEST($C$42:$C$53,$N$42:$N$53,TRUE,TRUE),3,1)</f>
        <v>0.78616022957413156</v>
      </c>
      <c r="L57" s="102"/>
      <c r="M57" s="2"/>
    </row>
    <row r="58" spans="1:14" ht="10.5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4" ht="10.5" thickTop="1" x14ac:dyDescent="0.2">
      <c r="A59"/>
      <c r="B59"/>
      <c r="C59"/>
      <c r="D59"/>
      <c r="E59"/>
      <c r="F59"/>
      <c r="G59" s="50"/>
      <c r="H59"/>
      <c r="I59" s="50"/>
      <c r="M59" s="2"/>
    </row>
    <row r="60" spans="1:14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4" x14ac:dyDescent="0.2">
      <c r="A61"/>
      <c r="B61" s="22" t="str">
        <f>C12&amp;" = Average Index for Corpus Christi and Houston"</f>
        <v>(2) = Average Index for Corpus Christi and Houston</v>
      </c>
      <c r="C61"/>
      <c r="D61"/>
      <c r="E61"/>
      <c r="F61"/>
      <c r="H61"/>
      <c r="J61"/>
      <c r="K61"/>
      <c r="L61"/>
      <c r="M61" s="2"/>
    </row>
    <row r="62" spans="1:14" x14ac:dyDescent="0.2">
      <c r="A62" s="99"/>
      <c r="B62" s="22" t="str">
        <f>D12&amp;" - "&amp;K12&amp;" = "&amp;C12&amp;" fitted to linear and exponential distributions"</f>
        <v>(3) - (10) = (2) fitted to linear and exponential distributions</v>
      </c>
      <c r="C62" s="99"/>
      <c r="D62" s="99"/>
      <c r="E62" s="99"/>
      <c r="F62" s="99"/>
      <c r="G62" s="99"/>
      <c r="H62" s="99"/>
      <c r="I62" s="50"/>
      <c r="M62" s="2"/>
    </row>
    <row r="63" spans="1:14" x14ac:dyDescent="0.2">
      <c r="A63" s="99"/>
      <c r="B63" s="22"/>
      <c r="C63" s="99"/>
      <c r="D63" s="99"/>
      <c r="E63" s="99"/>
      <c r="F63" s="99"/>
      <c r="G63" s="99"/>
      <c r="H63" s="99"/>
      <c r="I63" s="50"/>
      <c r="M63" s="2"/>
    </row>
    <row r="64" spans="1:14" x14ac:dyDescent="0.2">
      <c r="A64" s="99"/>
      <c r="B64" s="22"/>
      <c r="C64" s="99"/>
      <c r="D64" s="99"/>
      <c r="E64" s="99"/>
      <c r="F64" s="99"/>
      <c r="G64" s="99"/>
      <c r="H64" s="99"/>
      <c r="I64" s="50"/>
      <c r="M64" s="2"/>
    </row>
    <row r="65" spans="1:13" x14ac:dyDescent="0.2">
      <c r="A65" s="99"/>
      <c r="B65" s="22"/>
      <c r="C65" s="99"/>
      <c r="D65" s="99"/>
      <c r="E65" s="99"/>
      <c r="F65" s="99"/>
      <c r="G65" s="99"/>
      <c r="H65" s="99"/>
      <c r="I65" s="50"/>
      <c r="M65" s="2"/>
    </row>
    <row r="66" spans="1:13" x14ac:dyDescent="0.2">
      <c r="A66" s="99"/>
      <c r="B66" s="22"/>
      <c r="C66" s="99"/>
      <c r="D66" s="99"/>
      <c r="E66" s="99"/>
      <c r="F66" s="99"/>
      <c r="G66" s="99"/>
      <c r="H66" s="99"/>
      <c r="I66" s="50"/>
      <c r="M66" s="2"/>
    </row>
    <row r="67" spans="1:13" x14ac:dyDescent="0.2">
      <c r="A67" s="99"/>
      <c r="B67" s="22"/>
      <c r="C67" s="99"/>
      <c r="D67" s="99"/>
      <c r="E67" s="99"/>
      <c r="F67" s="99"/>
      <c r="G67" s="99"/>
      <c r="H67" s="99"/>
      <c r="I67" s="50"/>
      <c r="M67" s="2"/>
    </row>
    <row r="68" spans="1:13" ht="10.5" thickBot="1" x14ac:dyDescent="0.25">
      <c r="A68"/>
      <c r="D68"/>
      <c r="E68"/>
      <c r="F68"/>
      <c r="H68"/>
      <c r="J68"/>
      <c r="K68"/>
      <c r="L68"/>
      <c r="M68" s="2"/>
    </row>
    <row r="69" spans="1:13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rgb="FF92D050"/>
  </sheetPr>
  <dimension ref="A1:N70"/>
  <sheetViews>
    <sheetView showGridLines="0" topLeftCell="D46" workbookViewId="0">
      <selection activeCell="M21" sqref="M21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44140625" style="12" customWidth="1"/>
    <col min="12" max="12" width="3.44140625" style="12" customWidth="1"/>
    <col min="13" max="16384" width="11.33203125" style="12"/>
  </cols>
  <sheetData>
    <row r="1" spans="1:14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</row>
    <row r="2" spans="1:14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59</v>
      </c>
      <c r="M2" s="2"/>
    </row>
    <row r="3" spans="1:14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07" t="s">
        <v>236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07" t="s">
        <v>263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0.5" thickTop="1" x14ac:dyDescent="0.2">
      <c r="A8"/>
      <c r="B8"/>
      <c r="C8"/>
      <c r="D8"/>
      <c r="E8"/>
      <c r="F8"/>
      <c r="G8"/>
      <c r="H8"/>
      <c r="I8" s="50"/>
      <c r="J8"/>
      <c r="K8" s="50"/>
      <c r="L8" s="50"/>
      <c r="M8" s="2"/>
      <c r="N8" t="s">
        <v>238</v>
      </c>
    </row>
    <row r="9" spans="1:14" x14ac:dyDescent="0.2">
      <c r="A9"/>
      <c r="B9"/>
      <c r="C9" s="22"/>
      <c r="D9" s="10" t="s">
        <v>253</v>
      </c>
      <c r="E9"/>
      <c r="F9" s="10"/>
      <c r="G9"/>
      <c r="H9"/>
      <c r="I9"/>
      <c r="J9"/>
      <c r="K9"/>
      <c r="L9"/>
      <c r="M9" s="2"/>
      <c r="N9" s="89">
        <v>44196</v>
      </c>
    </row>
    <row r="10" spans="1:14" x14ac:dyDescent="0.2">
      <c r="A10" t="s">
        <v>239</v>
      </c>
      <c r="B10"/>
      <c r="C10" t="s">
        <v>242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</row>
    <row r="11" spans="1:14" x14ac:dyDescent="0.2">
      <c r="A11" s="9" t="s">
        <v>34</v>
      </c>
      <c r="B11" s="9"/>
      <c r="C11" s="9" t="s">
        <v>245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3" si="1">TEXT(DATE(YEAR(A15+1),MONTH(A15+1)-3,1)-1,"m/d/yyyy")</f>
        <v>9/30/2010</v>
      </c>
      <c r="B14" s="25"/>
      <c r="C14" s="188">
        <f>[4]CPI!H96</f>
        <v>178.59</v>
      </c>
      <c r="D14" s="116">
        <f>TREND($C$14:$C$55,$N$14:$N$55,$N14,TRUE)</f>
        <v>179.59404208194883</v>
      </c>
      <c r="E14" s="116">
        <f>GROWTH($C$14:$C$55,$N$14:$N$55,$N14,TRUE)</f>
        <v>179.73717377782691</v>
      </c>
      <c r="F14" s="116"/>
      <c r="G14" s="116"/>
      <c r="H14" s="36"/>
      <c r="I14"/>
      <c r="J14" s="36"/>
      <c r="K14"/>
      <c r="L14"/>
      <c r="M14" s="2"/>
      <c r="N14" s="12">
        <f t="shared" ref="N14:N55" si="2">YEAR(A14)+MONTH(A14)/12</f>
        <v>2010.75</v>
      </c>
    </row>
    <row r="15" spans="1:14" x14ac:dyDescent="0.2">
      <c r="A15" s="12" t="str">
        <f t="shared" si="1"/>
        <v>12/31/2010</v>
      </c>
      <c r="B15" s="99"/>
      <c r="C15" s="188">
        <f>[4]CPI!H97</f>
        <v>178.72</v>
      </c>
      <c r="D15" s="116">
        <f t="shared" ref="D15:D54" si="3">TREND($C$14:$C$55,$N$14:$N$55,$N15,TRUE)</f>
        <v>180.0987694136079</v>
      </c>
      <c r="E15" s="116">
        <f t="shared" ref="E15:E55" si="4">GROWTH($C$14:$C$55,$N$14:$N$55,$N15,TRUE)</f>
        <v>180.21714546929545</v>
      </c>
      <c r="F15" s="99"/>
      <c r="G15" s="99"/>
      <c r="H15" s="99"/>
      <c r="I15" s="99"/>
      <c r="J15" s="99"/>
      <c r="K15"/>
      <c r="L15"/>
      <c r="M15" s="2"/>
      <c r="N15" s="12">
        <f t="shared" si="2"/>
        <v>2011</v>
      </c>
    </row>
    <row r="16" spans="1:14" x14ac:dyDescent="0.2">
      <c r="A16" s="12" t="str">
        <f t="shared" si="1"/>
        <v>3/31/2011</v>
      </c>
      <c r="B16" s="25"/>
      <c r="C16" s="188">
        <f>[4]CPI!H98</f>
        <v>178.97</v>
      </c>
      <c r="D16" s="116">
        <f t="shared" si="3"/>
        <v>180.60349674526651</v>
      </c>
      <c r="E16" s="116">
        <f t="shared" si="4"/>
        <v>180.69839888128831</v>
      </c>
      <c r="F16" s="116"/>
      <c r="G16" s="116"/>
      <c r="H16" s="36"/>
      <c r="I16"/>
      <c r="J16" s="36"/>
      <c r="K16"/>
      <c r="L16"/>
      <c r="M16" s="2"/>
      <c r="N16" s="12">
        <f t="shared" si="2"/>
        <v>2011.25</v>
      </c>
    </row>
    <row r="17" spans="1:14" x14ac:dyDescent="0.2">
      <c r="A17" s="12" t="str">
        <f t="shared" si="1"/>
        <v>6/30/2011</v>
      </c>
      <c r="B17" s="25"/>
      <c r="C17" s="188">
        <f>[4]CPI!H99</f>
        <v>179.61</v>
      </c>
      <c r="D17" s="116">
        <f t="shared" si="3"/>
        <v>181.10822407692513</v>
      </c>
      <c r="E17" s="116">
        <f t="shared" si="4"/>
        <v>181.18093743652298</v>
      </c>
      <c r="F17" s="116"/>
      <c r="G17" s="116"/>
      <c r="H17" s="36"/>
      <c r="I17"/>
      <c r="J17" s="36"/>
      <c r="K17"/>
      <c r="L17"/>
      <c r="M17" s="2"/>
      <c r="N17" s="12">
        <f t="shared" si="2"/>
        <v>2011.5</v>
      </c>
    </row>
    <row r="18" spans="1:14" x14ac:dyDescent="0.2">
      <c r="A18" s="12" t="str">
        <f t="shared" si="1"/>
        <v>9/30/2011</v>
      </c>
      <c r="B18" s="25"/>
      <c r="C18" s="188">
        <f>[4]CPI!H100</f>
        <v>180.52</v>
      </c>
      <c r="D18" s="116">
        <f t="shared" si="3"/>
        <v>181.61295140858374</v>
      </c>
      <c r="E18" s="116">
        <f t="shared" si="4"/>
        <v>181.664764566857</v>
      </c>
      <c r="F18" s="116"/>
      <c r="G18" s="116"/>
      <c r="H18" s="36"/>
      <c r="I18"/>
      <c r="J18" s="36"/>
      <c r="K18"/>
      <c r="L18"/>
      <c r="M18" s="2"/>
      <c r="N18" s="12">
        <f t="shared" si="2"/>
        <v>2011.75</v>
      </c>
    </row>
    <row r="19" spans="1:14" x14ac:dyDescent="0.2">
      <c r="A19" s="12" t="str">
        <f t="shared" si="1"/>
        <v>12/31/2011</v>
      </c>
      <c r="B19" s="25"/>
      <c r="C19" s="188">
        <f>[4]CPI!H101</f>
        <v>181.55</v>
      </c>
      <c r="D19" s="116">
        <f t="shared" si="3"/>
        <v>182.11767874024235</v>
      </c>
      <c r="E19" s="116">
        <f t="shared" si="4"/>
        <v>182.14988371331233</v>
      </c>
      <c r="F19" s="116"/>
      <c r="G19" s="116"/>
      <c r="H19" s="36"/>
      <c r="I19"/>
      <c r="J19" s="36"/>
      <c r="K19"/>
      <c r="L19"/>
      <c r="M19" s="2"/>
      <c r="N19" s="12">
        <f t="shared" si="2"/>
        <v>2012</v>
      </c>
    </row>
    <row r="20" spans="1:14" x14ac:dyDescent="0.2">
      <c r="A20" s="12" t="str">
        <f t="shared" si="1"/>
        <v>3/31/2012</v>
      </c>
      <c r="B20" s="25"/>
      <c r="C20" s="188">
        <f>[4]CPI!H102</f>
        <v>182.78</v>
      </c>
      <c r="D20" s="116">
        <f>TREND($C$14:$C$55,$N$14:$N$55,$N20,TRUE)</f>
        <v>182.62240607190097</v>
      </c>
      <c r="E20" s="116">
        <f t="shared" si="4"/>
        <v>182.63629832609993</v>
      </c>
      <c r="F20" s="116"/>
      <c r="G20" s="116"/>
      <c r="H20" s="36"/>
      <c r="I20"/>
      <c r="J20" s="36"/>
      <c r="K20"/>
      <c r="L20"/>
      <c r="M20" s="2"/>
      <c r="N20" s="12">
        <f t="shared" si="2"/>
        <v>2012.25</v>
      </c>
    </row>
    <row r="21" spans="1:14" x14ac:dyDescent="0.2">
      <c r="A21" s="12" t="str">
        <f t="shared" si="1"/>
        <v>6/30/2012</v>
      </c>
      <c r="B21" s="25"/>
      <c r="C21" s="188">
        <f>[4]CPI!H103</f>
        <v>183.87</v>
      </c>
      <c r="D21" s="116">
        <f t="shared" si="3"/>
        <v>183.12713340356004</v>
      </c>
      <c r="E21" s="116">
        <f t="shared" si="4"/>
        <v>183.1240118646449</v>
      </c>
      <c r="F21" s="116"/>
      <c r="G21" s="116"/>
      <c r="H21" s="36"/>
      <c r="I21"/>
      <c r="J21" s="36"/>
      <c r="K21"/>
      <c r="L21"/>
      <c r="M21" s="2"/>
      <c r="N21" s="12">
        <f t="shared" si="2"/>
        <v>2012.5</v>
      </c>
    </row>
    <row r="22" spans="1:14" x14ac:dyDescent="0.2">
      <c r="A22" s="12" t="str">
        <f t="shared" si="1"/>
        <v>9/30/2012</v>
      </c>
      <c r="B22" s="25"/>
      <c r="C22" s="188">
        <f>[4]CPI!H104</f>
        <v>184.57</v>
      </c>
      <c r="D22" s="116">
        <f t="shared" si="3"/>
        <v>183.63186073521865</v>
      </c>
      <c r="E22" s="116">
        <f t="shared" si="4"/>
        <v>183.61302779760837</v>
      </c>
      <c r="F22" s="116"/>
      <c r="G22" s="116"/>
      <c r="H22" s="36"/>
      <c r="I22"/>
      <c r="J22" s="36"/>
      <c r="K22"/>
      <c r="L22"/>
      <c r="M22" s="2"/>
      <c r="N22" s="12">
        <f t="shared" si="2"/>
        <v>2012.75</v>
      </c>
    </row>
    <row r="23" spans="1:14" x14ac:dyDescent="0.2">
      <c r="A23" s="12" t="str">
        <f t="shared" si="1"/>
        <v>12/31/2012</v>
      </c>
      <c r="B23" s="51"/>
      <c r="C23" s="188">
        <f>[4]CPI!H105</f>
        <v>185.03</v>
      </c>
      <c r="D23" s="116">
        <f t="shared" si="3"/>
        <v>184.13658806687727</v>
      </c>
      <c r="E23" s="116">
        <f t="shared" si="4"/>
        <v>184.10334960291627</v>
      </c>
      <c r="F23" s="116"/>
      <c r="G23" s="116"/>
      <c r="H23" s="36"/>
      <c r="I23"/>
      <c r="J23" s="36"/>
      <c r="K23"/>
      <c r="L23"/>
      <c r="M23" s="2"/>
      <c r="N23" s="12">
        <f t="shared" si="2"/>
        <v>2013</v>
      </c>
    </row>
    <row r="24" spans="1:14" x14ac:dyDescent="0.2">
      <c r="A24" s="12" t="str">
        <f t="shared" si="1"/>
        <v>3/31/2013</v>
      </c>
      <c r="B24"/>
      <c r="C24" s="188">
        <f>[4]CPI!H106</f>
        <v>185.38</v>
      </c>
      <c r="D24" s="116">
        <f t="shared" si="3"/>
        <v>184.64131539853588</v>
      </c>
      <c r="E24" s="116">
        <f t="shared" si="4"/>
        <v>184.59498076778129</v>
      </c>
      <c r="F24" s="116"/>
      <c r="G24" s="116"/>
      <c r="H24"/>
      <c r="I24"/>
      <c r="J24"/>
      <c r="K24"/>
      <c r="L24"/>
      <c r="M24" s="2"/>
      <c r="N24" s="12">
        <f t="shared" si="2"/>
        <v>2013.25</v>
      </c>
    </row>
    <row r="25" spans="1:14" x14ac:dyDescent="0.2">
      <c r="A25" s="12" t="str">
        <f t="shared" si="1"/>
        <v>6/30/2013</v>
      </c>
      <c r="B25"/>
      <c r="C25" s="188">
        <f>[4]CPI!H107</f>
        <v>185.51</v>
      </c>
      <c r="D25" s="116">
        <f t="shared" si="3"/>
        <v>185.14604273019449</v>
      </c>
      <c r="E25" s="116">
        <f t="shared" si="4"/>
        <v>185.08792478872846</v>
      </c>
      <c r="F25" s="116"/>
      <c r="G25" s="116"/>
      <c r="H25"/>
      <c r="I25"/>
      <c r="J25"/>
      <c r="K25"/>
      <c r="L25"/>
      <c r="M25" s="2"/>
      <c r="N25" s="12">
        <f t="shared" si="2"/>
        <v>2013.5</v>
      </c>
    </row>
    <row r="26" spans="1:14" x14ac:dyDescent="0.2">
      <c r="A26" s="12" t="str">
        <f t="shared" si="1"/>
        <v>9/30/2013</v>
      </c>
      <c r="B26"/>
      <c r="C26" s="188">
        <f>[4]CPI!H108</f>
        <v>185.82</v>
      </c>
      <c r="D26" s="116">
        <f t="shared" si="3"/>
        <v>185.65077006185356</v>
      </c>
      <c r="E26" s="116">
        <f t="shared" si="4"/>
        <v>185.5821851716199</v>
      </c>
      <c r="F26" s="116"/>
      <c r="G26" s="116"/>
      <c r="H26"/>
      <c r="I26"/>
      <c r="J26"/>
      <c r="K26"/>
      <c r="L26"/>
      <c r="M26" s="2"/>
      <c r="N26" s="12">
        <f t="shared" si="2"/>
        <v>2013.75</v>
      </c>
    </row>
    <row r="27" spans="1:14" x14ac:dyDescent="0.2">
      <c r="A27" s="12" t="str">
        <f t="shared" si="1"/>
        <v>12/31/2013</v>
      </c>
      <c r="B27"/>
      <c r="C27" s="188">
        <f>[4]CPI!H109</f>
        <v>186.03</v>
      </c>
      <c r="D27" s="116">
        <f t="shared" si="3"/>
        <v>186.15549739351218</v>
      </c>
      <c r="E27" s="116">
        <f t="shared" si="4"/>
        <v>186.07776543168052</v>
      </c>
      <c r="F27" s="116"/>
      <c r="G27" s="116"/>
      <c r="H27"/>
      <c r="I27"/>
      <c r="J27"/>
      <c r="K27"/>
      <c r="L27"/>
      <c r="M27" s="2"/>
      <c r="N27" s="12">
        <f t="shared" si="2"/>
        <v>2014</v>
      </c>
    </row>
    <row r="28" spans="1:14" x14ac:dyDescent="0.2">
      <c r="A28" s="12" t="str">
        <f t="shared" si="1"/>
        <v>3/31/2014</v>
      </c>
      <c r="B28"/>
      <c r="C28" s="188">
        <f>[4]CPI!H110</f>
        <v>186.43</v>
      </c>
      <c r="D28" s="116">
        <f t="shared" si="3"/>
        <v>186.66022472517079</v>
      </c>
      <c r="E28" s="116">
        <f t="shared" si="4"/>
        <v>186.57466909352027</v>
      </c>
      <c r="F28" s="116"/>
      <c r="G28" s="116"/>
      <c r="H28"/>
      <c r="I28"/>
      <c r="J28"/>
      <c r="K28"/>
      <c r="L28"/>
      <c r="M28" s="2"/>
      <c r="N28" s="12">
        <f t="shared" si="2"/>
        <v>2014.25</v>
      </c>
    </row>
    <row r="29" spans="1:14" x14ac:dyDescent="0.2">
      <c r="A29" s="12" t="str">
        <f t="shared" si="1"/>
        <v>6/30/2014</v>
      </c>
      <c r="B29"/>
      <c r="C29" s="188">
        <f>[4]CPI!H111</f>
        <v>186.87</v>
      </c>
      <c r="D29" s="116">
        <f t="shared" si="3"/>
        <v>187.16495205682941</v>
      </c>
      <c r="E29" s="116">
        <f>GROWTH($C$14:$C$55,$N$14:$N$55,$N29,TRUE)</f>
        <v>187.07289969116337</v>
      </c>
      <c r="F29" s="116"/>
      <c r="G29" s="116"/>
      <c r="H29"/>
      <c r="I29"/>
      <c r="J29"/>
      <c r="K29"/>
      <c r="L29"/>
      <c r="M29" s="2"/>
      <c r="N29" s="12">
        <f t="shared" si="2"/>
        <v>2014.5</v>
      </c>
    </row>
    <row r="30" spans="1:14" x14ac:dyDescent="0.2">
      <c r="A30" s="12" t="str">
        <f t="shared" si="1"/>
        <v>9/30/2014</v>
      </c>
      <c r="B30"/>
      <c r="C30" s="188">
        <f>[4]CPI!H112</f>
        <v>187.59</v>
      </c>
      <c r="D30" s="116">
        <f t="shared" si="3"/>
        <v>187.66967938848802</v>
      </c>
      <c r="E30" s="116">
        <f t="shared" si="4"/>
        <v>187.57246076807053</v>
      </c>
      <c r="F30" s="116"/>
      <c r="G30" s="116"/>
      <c r="H30"/>
      <c r="I30"/>
      <c r="J30"/>
      <c r="K30"/>
      <c r="L30"/>
      <c r="M30" s="2"/>
      <c r="N30" s="12">
        <f t="shared" si="2"/>
        <v>2014.75</v>
      </c>
    </row>
    <row r="31" spans="1:14" x14ac:dyDescent="0.2">
      <c r="A31" s="12" t="str">
        <f t="shared" si="1"/>
        <v>12/31/2014</v>
      </c>
      <c r="B31" s="111"/>
      <c r="C31" s="188">
        <f>[4]CPI!H113</f>
        <v>188.62</v>
      </c>
      <c r="D31" s="116">
        <f t="shared" si="3"/>
        <v>188.17440672014709</v>
      </c>
      <c r="E31" s="116">
        <f t="shared" si="4"/>
        <v>188.07335587716497</v>
      </c>
      <c r="F31" s="116"/>
      <c r="G31" s="116"/>
      <c r="H31" s="29"/>
      <c r="I31" s="103"/>
      <c r="J31" s="29"/>
      <c r="K31" s="103"/>
      <c r="L31" s="103"/>
      <c r="M31" s="2"/>
      <c r="N31" s="12">
        <f t="shared" si="2"/>
        <v>2015</v>
      </c>
    </row>
    <row r="32" spans="1:14" x14ac:dyDescent="0.2">
      <c r="A32" s="12" t="str">
        <f t="shared" si="1"/>
        <v>3/31/2015</v>
      </c>
      <c r="B32" s="111"/>
      <c r="C32" s="188">
        <f>[4]CPI!H114</f>
        <v>189.46</v>
      </c>
      <c r="D32" s="116">
        <f t="shared" si="3"/>
        <v>188.6791340518057</v>
      </c>
      <c r="E32" s="116">
        <f t="shared" si="4"/>
        <v>188.57558858085773</v>
      </c>
      <c r="F32" s="116"/>
      <c r="G32" s="116"/>
      <c r="H32" s="29"/>
      <c r="I32" s="103"/>
      <c r="J32" s="29"/>
      <c r="K32" s="103"/>
      <c r="L32" s="103"/>
      <c r="M32" s="2"/>
      <c r="N32" s="12">
        <f t="shared" si="2"/>
        <v>2015.25</v>
      </c>
    </row>
    <row r="33" spans="1:14" x14ac:dyDescent="0.2">
      <c r="A33" s="12" t="str">
        <f t="shared" si="1"/>
        <v>6/30/2015</v>
      </c>
      <c r="B33" s="51"/>
      <c r="C33" s="188">
        <f>[4]CPI!H115</f>
        <v>189.59</v>
      </c>
      <c r="D33" s="116">
        <f t="shared" si="3"/>
        <v>189.18386138346432</v>
      </c>
      <c r="E33" s="116">
        <f t="shared" si="4"/>
        <v>189.07916245107288</v>
      </c>
      <c r="F33" s="116"/>
      <c r="G33" s="116"/>
      <c r="H33" s="29"/>
      <c r="I33" s="103"/>
      <c r="J33" s="29"/>
      <c r="K33" s="103"/>
      <c r="L33" s="103"/>
      <c r="M33" s="2"/>
      <c r="N33" s="12">
        <f t="shared" si="2"/>
        <v>2015.5</v>
      </c>
    </row>
    <row r="34" spans="1:14" x14ac:dyDescent="0.2">
      <c r="A34" s="12" t="str">
        <f t="shared" si="1"/>
        <v>9/30/2015</v>
      </c>
      <c r="B34" s="51"/>
      <c r="C34" s="188">
        <f>[4]CPI!H116</f>
        <v>190.03</v>
      </c>
      <c r="D34" s="116">
        <f t="shared" si="3"/>
        <v>189.68858871512293</v>
      </c>
      <c r="E34" s="116">
        <f t="shared" si="4"/>
        <v>189.58408106927371</v>
      </c>
      <c r="F34" s="116"/>
      <c r="G34" s="116"/>
      <c r="H34" s="29"/>
      <c r="I34" s="103"/>
      <c r="J34" s="29"/>
      <c r="K34" s="103"/>
      <c r="L34" s="103"/>
      <c r="M34" s="2"/>
      <c r="N34" s="12">
        <f t="shared" si="2"/>
        <v>2015.75</v>
      </c>
    </row>
    <row r="35" spans="1:14" x14ac:dyDescent="0.2">
      <c r="A35" s="12" t="str">
        <f t="shared" si="1"/>
        <v>12/31/2015</v>
      </c>
      <c r="B35" s="111"/>
      <c r="C35" s="188">
        <f>[4]CPI!H117</f>
        <v>190.5</v>
      </c>
      <c r="D35" s="116">
        <f t="shared" si="3"/>
        <v>190.19331604678155</v>
      </c>
      <c r="E35" s="116">
        <f>GROWTH($C$14:$C$55,$N$14:$N$55,$N35,TRUE)</f>
        <v>190.09034802648543</v>
      </c>
      <c r="F35" s="116"/>
      <c r="G35" s="116"/>
      <c r="H35" s="36"/>
      <c r="I35" s="103"/>
      <c r="J35" s="36"/>
      <c r="K35" s="103"/>
      <c r="L35" s="103"/>
      <c r="M35" s="2"/>
      <c r="N35" s="12">
        <f t="shared" si="2"/>
        <v>2016</v>
      </c>
    </row>
    <row r="36" spans="1:14" x14ac:dyDescent="0.2">
      <c r="A36" s="12" t="str">
        <f t="shared" si="1"/>
        <v>3/31/2016</v>
      </c>
      <c r="B36" s="22"/>
      <c r="C36" s="188">
        <f>[4]CPI!H118</f>
        <v>190.95</v>
      </c>
      <c r="D36" s="116">
        <f t="shared" si="3"/>
        <v>190.69804337844016</v>
      </c>
      <c r="E36" s="116">
        <f t="shared" si="4"/>
        <v>190.59796692332478</v>
      </c>
      <c r="F36" s="116">
        <f>TREND($C$36:$C$55,$N$36:$N$55,$N36,TRUE)</f>
        <v>192.2345714285716</v>
      </c>
      <c r="G36" s="116">
        <f>GROWTH($C$36:$C$55,$N$36:$N$55,$N36,TRUE)</f>
        <v>192.24496612068876</v>
      </c>
      <c r="H36"/>
      <c r="I36"/>
      <c r="J36"/>
      <c r="K36"/>
      <c r="L36"/>
      <c r="M36" s="2"/>
      <c r="N36" s="12">
        <f t="shared" si="2"/>
        <v>2016.25</v>
      </c>
    </row>
    <row r="37" spans="1:14" x14ac:dyDescent="0.2">
      <c r="A37" s="12" t="str">
        <f t="shared" si="1"/>
        <v>6/30/2016</v>
      </c>
      <c r="B37" s="22"/>
      <c r="C37" s="188">
        <f>[4]CPI!H119</f>
        <v>192.03</v>
      </c>
      <c r="D37" s="116">
        <f t="shared" si="3"/>
        <v>191.20277071009923</v>
      </c>
      <c r="E37" s="116">
        <f t="shared" si="4"/>
        <v>191.10694137002289</v>
      </c>
      <c r="F37" s="116">
        <f t="shared" ref="F37:F54" si="5">TREND($C$36:$C$55,$N$36:$N$55,$N37,TRUE)</f>
        <v>192.58609022556402</v>
      </c>
      <c r="G37" s="116">
        <f t="shared" ref="G37:G54" si="6">GROWTH($C$36:$C$55,$N$36:$N$55,$N37,TRUE)</f>
        <v>192.59098810877276</v>
      </c>
      <c r="H37"/>
      <c r="J37"/>
      <c r="M37" s="2"/>
      <c r="N37" s="12">
        <f t="shared" si="2"/>
        <v>2016.5</v>
      </c>
    </row>
    <row r="38" spans="1:14" x14ac:dyDescent="0.2">
      <c r="A38" s="12" t="str">
        <f t="shared" si="1"/>
        <v>9/30/2016</v>
      </c>
      <c r="B38" s="22"/>
      <c r="C38" s="188">
        <f>[4]CPI!H120</f>
        <v>192.82</v>
      </c>
      <c r="D38" s="116">
        <f t="shared" si="3"/>
        <v>191.70749804175784</v>
      </c>
      <c r="E38" s="116">
        <f t="shared" si="4"/>
        <v>191.61727498645183</v>
      </c>
      <c r="F38" s="116">
        <f t="shared" si="5"/>
        <v>192.93760902255644</v>
      </c>
      <c r="G38" s="116">
        <f t="shared" si="6"/>
        <v>192.9376329023255</v>
      </c>
      <c r="H38" s="116"/>
      <c r="I38" s="116"/>
      <c r="J38" s="103"/>
      <c r="K38" s="103"/>
      <c r="L38" s="103"/>
      <c r="M38" s="2"/>
      <c r="N38" s="12">
        <f t="shared" si="2"/>
        <v>2016.75</v>
      </c>
    </row>
    <row r="39" spans="1:14" x14ac:dyDescent="0.2">
      <c r="A39" s="12" t="str">
        <f t="shared" si="1"/>
        <v>12/31/2016</v>
      </c>
      <c r="B39" s="22"/>
      <c r="C39" s="188">
        <f>[4]CPI!H121</f>
        <v>193.56</v>
      </c>
      <c r="D39" s="116">
        <f t="shared" si="3"/>
        <v>192.21222537341646</v>
      </c>
      <c r="E39" s="116">
        <f t="shared" si="4"/>
        <v>192.12897140215006</v>
      </c>
      <c r="F39" s="116">
        <f t="shared" si="5"/>
        <v>193.28912781954887</v>
      </c>
      <c r="G39" s="116">
        <f t="shared" si="6"/>
        <v>193.2849016223351</v>
      </c>
      <c r="H39" s="116"/>
      <c r="I39" s="116"/>
      <c r="J39" s="103"/>
      <c r="K39" s="103"/>
      <c r="L39" s="103"/>
      <c r="M39" s="2"/>
      <c r="N39" s="12">
        <f t="shared" si="2"/>
        <v>2017</v>
      </c>
    </row>
    <row r="40" spans="1:14" x14ac:dyDescent="0.2">
      <c r="A40" s="12" t="str">
        <f t="shared" si="1"/>
        <v>3/31/2017</v>
      </c>
      <c r="B40" s="22"/>
      <c r="C40" s="188">
        <f>[4]CPI!H122</f>
        <v>193.86</v>
      </c>
      <c r="D40" s="116">
        <f t="shared" si="3"/>
        <v>192.71695270507507</v>
      </c>
      <c r="E40" s="116">
        <f t="shared" si="4"/>
        <v>192.64203425634918</v>
      </c>
      <c r="F40" s="116">
        <f t="shared" si="5"/>
        <v>193.64064661654129</v>
      </c>
      <c r="G40" s="116">
        <f t="shared" si="6"/>
        <v>193.63279539180834</v>
      </c>
      <c r="H40" s="116">
        <f>TREND($C$40:$C$55,$N$40:$N$55,$N40,TRUE)</f>
        <v>194.17463235294144</v>
      </c>
      <c r="I40" s="116">
        <f>GROWTH($C$40:$C$55,$N$40:$N$55,$N40,TRUE)</f>
        <v>194.17675670409614</v>
      </c>
      <c r="J40" s="103"/>
      <c r="K40" s="103"/>
      <c r="L40" s="103"/>
      <c r="M40" s="2"/>
      <c r="N40" s="12">
        <f t="shared" si="2"/>
        <v>2017.25</v>
      </c>
    </row>
    <row r="41" spans="1:14" x14ac:dyDescent="0.2">
      <c r="A41" s="12" t="str">
        <f t="shared" si="1"/>
        <v>6/30/2017</v>
      </c>
      <c r="B41" s="22"/>
      <c r="C41" s="188">
        <f>[4]CPI!H123</f>
        <v>194.07</v>
      </c>
      <c r="D41" s="116">
        <f t="shared" si="3"/>
        <v>193.22168003673369</v>
      </c>
      <c r="E41" s="116">
        <f t="shared" si="4"/>
        <v>193.15646719799685</v>
      </c>
      <c r="F41" s="116">
        <f t="shared" si="5"/>
        <v>193.99216541353371</v>
      </c>
      <c r="G41" s="116">
        <f t="shared" si="6"/>
        <v>193.98131533577231</v>
      </c>
      <c r="H41" s="116">
        <f t="shared" ref="H41:H54" si="7">TREND($C$40:$C$55,$N$40:$N$55,$N41,TRUE)</f>
        <v>194.46901470588273</v>
      </c>
      <c r="I41" s="116">
        <f t="shared" ref="I41:I54" si="8">GROWTH($C$40:$C$55,$N$40:$N$55,$N41,TRUE)</f>
        <v>194.46787203597566</v>
      </c>
      <c r="J41" s="50"/>
      <c r="K41" s="58"/>
      <c r="L41" s="58"/>
      <c r="M41" s="2"/>
      <c r="N41" s="12">
        <f t="shared" si="2"/>
        <v>2017.5</v>
      </c>
    </row>
    <row r="42" spans="1:14" x14ac:dyDescent="0.2">
      <c r="A42" s="12" t="str">
        <f t="shared" si="1"/>
        <v>9/30/2017</v>
      </c>
      <c r="C42" s="188">
        <f>[4]CPI!H124</f>
        <v>194.2</v>
      </c>
      <c r="D42" s="116">
        <f t="shared" si="3"/>
        <v>193.72640736839276</v>
      </c>
      <c r="E42" s="116">
        <f t="shared" si="4"/>
        <v>193.67227388578704</v>
      </c>
      <c r="F42" s="116">
        <f t="shared" si="5"/>
        <v>194.34368421052613</v>
      </c>
      <c r="G42" s="116">
        <f t="shared" si="6"/>
        <v>194.33046258127899</v>
      </c>
      <c r="H42" s="116">
        <f t="shared" si="7"/>
        <v>194.76339705882401</v>
      </c>
      <c r="I42" s="116">
        <f t="shared" si="8"/>
        <v>194.75942381626373</v>
      </c>
      <c r="J42" s="116"/>
      <c r="K42" s="116"/>
      <c r="L42" s="116"/>
      <c r="M42" s="2"/>
      <c r="N42" s="12">
        <f t="shared" si="2"/>
        <v>2017.75</v>
      </c>
    </row>
    <row r="43" spans="1:14" x14ac:dyDescent="0.2">
      <c r="A43" s="12" t="str">
        <f t="shared" si="1"/>
        <v>12/31/2017</v>
      </c>
      <c r="B43" s="111"/>
      <c r="C43" s="188">
        <f>[4]CPI!H125</f>
        <v>194.18</v>
      </c>
      <c r="D43" s="116">
        <f t="shared" si="3"/>
        <v>194.23113470005137</v>
      </c>
      <c r="E43" s="116">
        <f t="shared" si="4"/>
        <v>194.18945798818331</v>
      </c>
      <c r="F43" s="116">
        <f t="shared" si="5"/>
        <v>194.69520300751856</v>
      </c>
      <c r="G43" s="116">
        <f t="shared" si="6"/>
        <v>194.68023825741008</v>
      </c>
      <c r="H43" s="116">
        <f t="shared" si="7"/>
        <v>195.05777941176484</v>
      </c>
      <c r="I43" s="116">
        <f t="shared" si="8"/>
        <v>195.05141269929635</v>
      </c>
      <c r="J43" s="116"/>
      <c r="K43" s="116"/>
      <c r="L43" s="116"/>
      <c r="M43" s="2"/>
      <c r="N43" s="12">
        <f t="shared" si="2"/>
        <v>2018</v>
      </c>
    </row>
    <row r="44" spans="1:14" x14ac:dyDescent="0.2">
      <c r="A44" s="12" t="str">
        <f t="shared" si="1"/>
        <v>3/31/2018</v>
      </c>
      <c r="C44" s="188">
        <f>[4]CPI!H126</f>
        <v>194.71</v>
      </c>
      <c r="D44" s="116">
        <f t="shared" si="3"/>
        <v>194.73586203170998</v>
      </c>
      <c r="E44" s="116">
        <f t="shared" si="4"/>
        <v>194.70802318344542</v>
      </c>
      <c r="F44" s="116">
        <f>TREND($C$36:$C$55,$N$36:$N$55,$N44,TRUE)</f>
        <v>195.04672180451144</v>
      </c>
      <c r="G44" s="116">
        <f t="shared" si="6"/>
        <v>195.03064349527801</v>
      </c>
      <c r="H44" s="116">
        <f t="shared" si="7"/>
        <v>195.35216176470612</v>
      </c>
      <c r="I44" s="116">
        <f t="shared" si="8"/>
        <v>195.34383934039045</v>
      </c>
      <c r="J44" s="116">
        <f>TREND($C$44:$C$55,$N$44:$N$55,$N44,TRUE)</f>
        <v>196.15910256410257</v>
      </c>
      <c r="K44" s="116">
        <f>GROWTH($C$44:$C$55,$N$44:$N$55,$N44,TRUE)</f>
        <v>196.15322310858215</v>
      </c>
      <c r="L44" s="116"/>
      <c r="M44" s="2"/>
      <c r="N44" s="12">
        <f t="shared" si="2"/>
        <v>2018.25</v>
      </c>
    </row>
    <row r="45" spans="1:14" x14ac:dyDescent="0.2">
      <c r="A45" s="12" t="str">
        <f t="shared" si="1"/>
        <v>6/30/2018</v>
      </c>
      <c r="C45" s="188">
        <f>[4]CPI!H127</f>
        <v>195.24</v>
      </c>
      <c r="D45" s="116">
        <f>TREND($C$14:$C$55,$N$14:$N$55,$N45,TRUE)</f>
        <v>195.2405893633686</v>
      </c>
      <c r="E45" s="116">
        <f t="shared" si="4"/>
        <v>195.22797315965553</v>
      </c>
      <c r="F45" s="116">
        <f t="shared" si="5"/>
        <v>195.39824060150386</v>
      </c>
      <c r="G45" s="116">
        <f t="shared" si="6"/>
        <v>195.38167942803253</v>
      </c>
      <c r="H45" s="116">
        <f t="shared" si="7"/>
        <v>195.64654411764741</v>
      </c>
      <c r="I45" s="116">
        <f t="shared" si="8"/>
        <v>195.63670439584527</v>
      </c>
      <c r="J45" s="116">
        <f t="shared" ref="J45:J54" si="9">TREND($C$44:$C$55,$N$44:$N$55,$N45,TRUE)</f>
        <v>196.33941724941724</v>
      </c>
      <c r="K45" s="116">
        <f t="shared" ref="K45:K54" si="10">GROWTH($C$44:$C$55,$N$44:$N$55,$N45,TRUE)</f>
        <v>196.33249373162926</v>
      </c>
      <c r="L45" s="116"/>
      <c r="M45" s="2"/>
      <c r="N45" s="12">
        <f t="shared" si="2"/>
        <v>2018.5</v>
      </c>
    </row>
    <row r="46" spans="1:14" x14ac:dyDescent="0.2">
      <c r="A46" s="12" t="str">
        <f t="shared" si="1"/>
        <v>9/30/2018</v>
      </c>
      <c r="C46" s="188">
        <f>[4]CPI!H128</f>
        <v>195.63</v>
      </c>
      <c r="D46" s="116">
        <f t="shared" si="3"/>
        <v>195.74531669502721</v>
      </c>
      <c r="E46" s="116">
        <f>GROWTH($C$14:$C$55,$N$14:$N$55,$N46,TRUE)</f>
        <v>195.74931161474467</v>
      </c>
      <c r="F46" s="116">
        <f t="shared" si="5"/>
        <v>195.74975939849628</v>
      </c>
      <c r="G46" s="116">
        <f t="shared" si="6"/>
        <v>195.73334719086196</v>
      </c>
      <c r="H46" s="116">
        <f t="shared" si="7"/>
        <v>195.94092647058869</v>
      </c>
      <c r="I46" s="116">
        <f t="shared" si="8"/>
        <v>195.93000852294423</v>
      </c>
      <c r="J46" s="116">
        <f t="shared" si="9"/>
        <v>196.51973193473191</v>
      </c>
      <c r="K46" s="116">
        <f t="shared" si="10"/>
        <v>196.51192819575826</v>
      </c>
      <c r="L46" s="116"/>
      <c r="M46" s="2"/>
      <c r="N46" s="12">
        <f t="shared" si="2"/>
        <v>2018.75</v>
      </c>
    </row>
    <row r="47" spans="1:14" x14ac:dyDescent="0.2">
      <c r="A47" s="12" t="str">
        <f t="shared" si="1"/>
        <v>12/31/2018</v>
      </c>
      <c r="C47" s="188">
        <f>[4]CPI!H129</f>
        <v>196.26</v>
      </c>
      <c r="D47" s="116">
        <f t="shared" si="3"/>
        <v>196.25004402668583</v>
      </c>
      <c r="E47" s="116">
        <f t="shared" si="4"/>
        <v>196.2720422565194</v>
      </c>
      <c r="F47" s="116">
        <f t="shared" si="5"/>
        <v>196.1012781954887</v>
      </c>
      <c r="G47" s="116">
        <f t="shared" si="6"/>
        <v>196.08564792099773</v>
      </c>
      <c r="H47" s="116">
        <f t="shared" si="7"/>
        <v>196.23530882352952</v>
      </c>
      <c r="I47" s="116">
        <f t="shared" si="8"/>
        <v>196.22375237995607</v>
      </c>
      <c r="J47" s="116">
        <f t="shared" si="9"/>
        <v>196.70004662004658</v>
      </c>
      <c r="K47" s="116">
        <f t="shared" si="10"/>
        <v>196.69152665070851</v>
      </c>
      <c r="L47" s="116"/>
      <c r="M47" s="2"/>
      <c r="N47" s="12">
        <f t="shared" si="2"/>
        <v>2019</v>
      </c>
    </row>
    <row r="48" spans="1:14" x14ac:dyDescent="0.2">
      <c r="A48" s="12" t="str">
        <f t="shared" si="1"/>
        <v>3/31/2019</v>
      </c>
      <c r="B48" s="111"/>
      <c r="C48" s="188">
        <f>[4]CPI!H130</f>
        <v>197.08</v>
      </c>
      <c r="D48" s="116">
        <f t="shared" si="3"/>
        <v>196.7547713583449</v>
      </c>
      <c r="E48" s="116">
        <f t="shared" si="4"/>
        <v>196.79616880268568</v>
      </c>
      <c r="F48" s="116">
        <f t="shared" si="5"/>
        <v>196.45279699248113</v>
      </c>
      <c r="G48" s="116">
        <f t="shared" si="6"/>
        <v>196.43858275771939</v>
      </c>
      <c r="H48" s="116">
        <f t="shared" si="7"/>
        <v>196.52969117647081</v>
      </c>
      <c r="I48" s="116">
        <f t="shared" si="8"/>
        <v>196.51793662613636</v>
      </c>
      <c r="J48" s="116">
        <f>TREND($C$44:$C$55,$N$44:$N$55,$N48,TRUE)</f>
        <v>196.88036130536125</v>
      </c>
      <c r="K48" s="116">
        <f t="shared" si="10"/>
        <v>196.8712892463567</v>
      </c>
      <c r="L48" s="116"/>
      <c r="M48" s="2"/>
      <c r="N48" s="12">
        <f t="shared" si="2"/>
        <v>2019.25</v>
      </c>
    </row>
    <row r="49" spans="1:14" x14ac:dyDescent="0.2">
      <c r="A49" s="12" t="str">
        <f t="shared" si="1"/>
        <v>6/30/2019</v>
      </c>
      <c r="C49" s="188">
        <f>[4]CPI!H131</f>
        <v>198.4</v>
      </c>
      <c r="D49" s="116">
        <f t="shared" si="3"/>
        <v>197.25949869000351</v>
      </c>
      <c r="E49" s="116">
        <f t="shared" si="4"/>
        <v>197.32169498087916</v>
      </c>
      <c r="F49" s="116">
        <f t="shared" si="5"/>
        <v>196.80431578947355</v>
      </c>
      <c r="G49" s="116">
        <f t="shared" si="6"/>
        <v>196.79215284235553</v>
      </c>
      <c r="H49" s="116">
        <f t="shared" si="7"/>
        <v>196.82407352941209</v>
      </c>
      <c r="I49" s="116">
        <f t="shared" si="8"/>
        <v>196.81256192172913</v>
      </c>
      <c r="J49" s="116">
        <f t="shared" si="9"/>
        <v>197.06067599067615</v>
      </c>
      <c r="K49" s="116">
        <f t="shared" si="10"/>
        <v>197.05121613271589</v>
      </c>
      <c r="L49" s="116"/>
      <c r="M49" s="2"/>
      <c r="N49" s="12">
        <f t="shared" si="2"/>
        <v>2019.5</v>
      </c>
    </row>
    <row r="50" spans="1:14" x14ac:dyDescent="0.2">
      <c r="A50" s="12" t="str">
        <f t="shared" si="1"/>
        <v>9/30/2019</v>
      </c>
      <c r="C50" s="188">
        <f>[4]CPI!H132</f>
        <v>199.83</v>
      </c>
      <c r="D50" s="116">
        <f t="shared" si="3"/>
        <v>197.76422602166213</v>
      </c>
      <c r="E50" s="116">
        <f t="shared" si="4"/>
        <v>197.84862452868927</v>
      </c>
      <c r="F50" s="116">
        <f t="shared" si="5"/>
        <v>197.15583458646597</v>
      </c>
      <c r="G50" s="116">
        <f t="shared" si="6"/>
        <v>197.14635931829048</v>
      </c>
      <c r="H50" s="116">
        <f t="shared" si="7"/>
        <v>197.11845588235337</v>
      </c>
      <c r="I50" s="116">
        <f t="shared" si="8"/>
        <v>197.10762892796819</v>
      </c>
      <c r="J50" s="116">
        <f t="shared" si="9"/>
        <v>197.24099067599082</v>
      </c>
      <c r="K50" s="116">
        <f t="shared" si="10"/>
        <v>197.23130745993691</v>
      </c>
      <c r="L50" s="116"/>
      <c r="M50" s="2"/>
      <c r="N50" s="12">
        <f t="shared" si="2"/>
        <v>2019.75</v>
      </c>
    </row>
    <row r="51" spans="1:14" x14ac:dyDescent="0.2">
      <c r="A51" s="12" t="str">
        <f t="shared" si="1"/>
        <v>12/31/2019</v>
      </c>
      <c r="C51" s="188">
        <f>[4]CPI!H133</f>
        <v>200.34</v>
      </c>
      <c r="D51" s="116">
        <f t="shared" si="3"/>
        <v>198.26895335332074</v>
      </c>
      <c r="E51" s="116">
        <f t="shared" si="4"/>
        <v>198.37696119368624</v>
      </c>
      <c r="F51" s="116">
        <f t="shared" si="5"/>
        <v>197.50735338345885</v>
      </c>
      <c r="G51" s="116">
        <f t="shared" si="6"/>
        <v>197.50120333096552</v>
      </c>
      <c r="H51" s="116">
        <f t="shared" si="7"/>
        <v>197.4128382352942</v>
      </c>
      <c r="I51" s="116">
        <f t="shared" si="8"/>
        <v>197.40313830707882</v>
      </c>
      <c r="J51" s="116">
        <f t="shared" si="9"/>
        <v>197.42130536130549</v>
      </c>
      <c r="K51" s="116">
        <f t="shared" si="10"/>
        <v>197.41156337830725</v>
      </c>
      <c r="L51" s="116"/>
      <c r="M51" s="2"/>
      <c r="N51" s="12">
        <f t="shared" si="2"/>
        <v>2020</v>
      </c>
    </row>
    <row r="52" spans="1:14" x14ac:dyDescent="0.2">
      <c r="A52" s="12" t="str">
        <f t="shared" si="1"/>
        <v>3/31/2020</v>
      </c>
      <c r="C52" s="188">
        <f>[4]CPI!H134</f>
        <v>199.75</v>
      </c>
      <c r="D52" s="116">
        <f t="shared" si="3"/>
        <v>198.77368068497935</v>
      </c>
      <c r="E52" s="116">
        <f t="shared" si="4"/>
        <v>198.90670873344797</v>
      </c>
      <c r="F52" s="116">
        <f t="shared" si="5"/>
        <v>197.85887218045127</v>
      </c>
      <c r="G52" s="116">
        <f t="shared" si="6"/>
        <v>197.85668602788354</v>
      </c>
      <c r="H52" s="116">
        <f t="shared" si="7"/>
        <v>197.70722058823549</v>
      </c>
      <c r="I52" s="116">
        <f t="shared" si="8"/>
        <v>197.69909072227901</v>
      </c>
      <c r="J52" s="116">
        <f t="shared" si="9"/>
        <v>197.60162004662016</v>
      </c>
      <c r="K52" s="116">
        <f>GROWTH($C$44:$C$55,$N$44:$N$55,$N52,TRUE)</f>
        <v>197.59198403825181</v>
      </c>
      <c r="L52" s="116"/>
      <c r="M52" s="2"/>
      <c r="N52" s="12">
        <f t="shared" si="2"/>
        <v>2020.25</v>
      </c>
    </row>
    <row r="53" spans="1:14" x14ac:dyDescent="0.2">
      <c r="A53" s="12" t="str">
        <f t="shared" si="1"/>
        <v>6/30/2020</v>
      </c>
      <c r="C53" s="188">
        <f>[4]CPI!H135</f>
        <v>197.76</v>
      </c>
      <c r="D53" s="116">
        <f t="shared" si="3"/>
        <v>199.27840801663842</v>
      </c>
      <c r="E53" s="116">
        <f t="shared" si="4"/>
        <v>199.43787091558647</v>
      </c>
      <c r="F53" s="116">
        <f t="shared" si="5"/>
        <v>198.21039097744369</v>
      </c>
      <c r="G53" s="116">
        <f t="shared" si="6"/>
        <v>198.21280855861394</v>
      </c>
      <c r="H53" s="116">
        <f t="shared" si="7"/>
        <v>198.00160294117677</v>
      </c>
      <c r="I53" s="116">
        <f t="shared" si="8"/>
        <v>197.99548683778107</v>
      </c>
      <c r="J53" s="116">
        <f t="shared" si="9"/>
        <v>197.78193473193483</v>
      </c>
      <c r="K53" s="116">
        <f t="shared" si="10"/>
        <v>197.77256959033343</v>
      </c>
      <c r="L53" s="165"/>
      <c r="M53" s="2"/>
      <c r="N53" s="12">
        <f t="shared" si="2"/>
        <v>2020.5</v>
      </c>
    </row>
    <row r="54" spans="1:14" x14ac:dyDescent="0.2">
      <c r="A54" s="12" t="str">
        <f>TEXT(DATE(YEAR(A55+1),MONTH(A55+1)-3,1)-1,"m/d/yyyy")</f>
        <v>9/30/2020</v>
      </c>
      <c r="C54" s="188">
        <f>[4]CPI!H136</f>
        <v>195.97</v>
      </c>
      <c r="D54" s="116">
        <f t="shared" si="3"/>
        <v>199.78313534829704</v>
      </c>
      <c r="E54" s="116">
        <f t="shared" si="4"/>
        <v>199.97045151777562</v>
      </c>
      <c r="F54" s="116">
        <f t="shared" si="5"/>
        <v>198.56190977443612</v>
      </c>
      <c r="G54" s="116">
        <f t="shared" si="6"/>
        <v>198.56957207479417</v>
      </c>
      <c r="H54" s="116">
        <f t="shared" si="7"/>
        <v>198.29598529411805</v>
      </c>
      <c r="I54" s="116">
        <f t="shared" si="8"/>
        <v>198.29232731879321</v>
      </c>
      <c r="J54" s="116">
        <f t="shared" si="9"/>
        <v>197.9622494172495</v>
      </c>
      <c r="K54" s="116">
        <f t="shared" si="10"/>
        <v>197.9533201852521</v>
      </c>
      <c r="L54"/>
      <c r="M54" s="2"/>
      <c r="N54" s="12">
        <f t="shared" si="2"/>
        <v>2020.75</v>
      </c>
    </row>
    <row r="55" spans="1:14" x14ac:dyDescent="0.2">
      <c r="A55" s="12" t="str">
        <f>TEXT($N$9,"m/d/yyyy")</f>
        <v>12/31/2020</v>
      </c>
      <c r="C55" s="188">
        <f>[4]CPI!H137</f>
        <v>194.84</v>
      </c>
      <c r="D55" s="116">
        <f>TREND($C$14:$C$55,$N$14:$N$55,$N55,TRUE)</f>
        <v>200.28786267995565</v>
      </c>
      <c r="E55" s="116">
        <f t="shared" si="4"/>
        <v>200.50445432777508</v>
      </c>
      <c r="F55" s="116">
        <f>TREND($C$36:$C$55,$N$36:$N$55,$N55,TRUE)</f>
        <v>198.91342857142854</v>
      </c>
      <c r="G55" s="116">
        <f>GROWTH($C$36:$C$55,$N$36:$N$55,$N55,TRUE)</f>
        <v>198.92697773013447</v>
      </c>
      <c r="H55" s="116">
        <f>TREND($C$40:$C$55,$N$40:$N$55,$N55,TRUE)</f>
        <v>198.59036764705934</v>
      </c>
      <c r="I55" s="116">
        <f>GROWTH($C$40:$C$55,$N$40:$N$55,$N55,TRUE)</f>
        <v>198.58961283152084</v>
      </c>
      <c r="J55" s="116">
        <f>TREND($C$44:$C$55,$N$44:$N$55,$N55,TRUE)</f>
        <v>198.14256410256417</v>
      </c>
      <c r="K55" s="116">
        <f>GROWTH($C$44:$C$55,$N$44:$N$55,$N55,TRUE)</f>
        <v>198.13423597384548</v>
      </c>
      <c r="L55"/>
      <c r="M55" s="2"/>
      <c r="N55" s="12">
        <f t="shared" si="2"/>
        <v>2021</v>
      </c>
    </row>
    <row r="56" spans="1:14" x14ac:dyDescent="0.2">
      <c r="A56" s="167"/>
      <c r="B56" s="9"/>
      <c r="C56" s="189"/>
      <c r="D56" s="118"/>
      <c r="E56" s="118"/>
      <c r="F56" s="118"/>
      <c r="G56" s="118"/>
      <c r="H56" s="118"/>
      <c r="I56" s="118"/>
      <c r="J56" s="118"/>
      <c r="K56" s="118"/>
      <c r="L56"/>
      <c r="M56" s="2"/>
    </row>
    <row r="57" spans="1:14" x14ac:dyDescent="0.2">
      <c r="A57" s="50"/>
      <c r="B57" s="105"/>
      <c r="C57" s="50"/>
      <c r="D57" s="50"/>
      <c r="E57" s="50"/>
      <c r="F57" s="50"/>
      <c r="G57" s="50"/>
      <c r="H57" s="50"/>
      <c r="I57" s="99"/>
      <c r="J57" s="50"/>
      <c r="K57" s="50"/>
      <c r="L57" s="50"/>
      <c r="M57" s="2"/>
    </row>
    <row r="58" spans="1:14" x14ac:dyDescent="0.2">
      <c r="A58" s="12" t="s">
        <v>260</v>
      </c>
      <c r="C58"/>
      <c r="D58" s="20">
        <f>(D55-D51)/D55</f>
        <v>1.0080038298980559E-2</v>
      </c>
      <c r="E58" s="20">
        <f>LOGEST($C$14:$C$55,$N$14:$N$55,TRUE,TRUE)-1</f>
        <v>1.0724497044852788E-2</v>
      </c>
      <c r="F58" s="20">
        <f>(F55-F51)/F55</f>
        <v>7.0687796096419817E-3</v>
      </c>
      <c r="G58" s="20">
        <f>LOGEST($C$36:$C$55,$N$36:$N$55,TRUE,TRUE)-1</f>
        <v>7.2190668974299044E-3</v>
      </c>
      <c r="H58" s="20">
        <f>(H55-H51)/H55</f>
        <v>5.9294387019710624E-3</v>
      </c>
      <c r="I58" s="20">
        <f>LOGEST($C$40:$C$55,$N$40:$N$55,TRUE,TRUE)-1</f>
        <v>6.0104136875285263E-3</v>
      </c>
      <c r="J58" s="20">
        <f>(J55-J51)/J55</f>
        <v>3.640099968047936E-3</v>
      </c>
      <c r="K58" s="20">
        <f>LOGEST($C$44:$C$55,$N$44:$N$55,TRUE,TRUE)-1</f>
        <v>3.6607409574758165E-3</v>
      </c>
      <c r="L58" s="20"/>
      <c r="M58" s="2"/>
    </row>
    <row r="59" spans="1:14" x14ac:dyDescent="0.2">
      <c r="A59" s="119" t="s">
        <v>261</v>
      </c>
      <c r="B59" s="111"/>
      <c r="C59" s="101"/>
      <c r="D59" s="102">
        <f>INDEX(LINEST($C$14:$C$55,$N$14:$N$55,TRUE,TRUE),3,1)</f>
        <v>0.95321245245549369</v>
      </c>
      <c r="E59" s="102">
        <f>INDEX(LOGEST($C$14:$C$55,$N$14:$N$55,TRUE,TRUE),3,1)</f>
        <v>0.95203473548605222</v>
      </c>
      <c r="F59" s="102">
        <f>INDEX(LINEST($C$36:$C$55,$N$36:$N$55,TRUE,TRUE),3,1)</f>
        <v>0.63237440699743719</v>
      </c>
      <c r="G59" s="102">
        <f>INDEX(LOGEST($C$36:$C$55,$N$36:$N$55,TRUE,TRUE),3,1)</f>
        <v>0.63551116586699541</v>
      </c>
      <c r="H59" s="102">
        <f>INDEX(LINEST($C$40:$C$55,$N$40:$N$55,TRUE,TRUE),3,1)</f>
        <v>0.39871244004890838</v>
      </c>
      <c r="I59" s="102">
        <f>INDEX(LOGEST($C$40:$C$55,$N$40:$N$55,TRUE,TRUE),3,1)</f>
        <v>0.40070362792207087</v>
      </c>
      <c r="J59" s="102">
        <f>INDEX(LINEST($C$44:$C$55,$N$44:$N$55,TRUE,TRUE),3,1)</f>
        <v>0.10220583575443853</v>
      </c>
      <c r="K59" s="102">
        <f>INDEX(LOGEST($C$44:$C$55,$N$44:$N$55,TRUE,TRUE),3,1)</f>
        <v>0.10231128468316679</v>
      </c>
      <c r="L59" s="102"/>
      <c r="M59" s="2"/>
    </row>
    <row r="60" spans="1:14" ht="10.5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50"/>
      <c r="M60" s="2"/>
    </row>
    <row r="61" spans="1:14" ht="10.5" thickTop="1" x14ac:dyDescent="0.2">
      <c r="A61"/>
      <c r="B61"/>
      <c r="C61"/>
      <c r="D61"/>
      <c r="E61"/>
      <c r="F61"/>
      <c r="G61"/>
      <c r="H61"/>
      <c r="I61" s="50"/>
      <c r="J61"/>
      <c r="K61" s="50"/>
      <c r="L61" s="50"/>
      <c r="M61" s="2"/>
    </row>
    <row r="62" spans="1:14" x14ac:dyDescent="0.2">
      <c r="A62" t="s">
        <v>17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22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22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B65" s="22"/>
      <c r="D65"/>
      <c r="E65"/>
      <c r="F65"/>
      <c r="H65"/>
      <c r="J65"/>
      <c r="K65"/>
      <c r="L65"/>
      <c r="M65" s="2"/>
    </row>
    <row r="66" spans="1:13" x14ac:dyDescent="0.2">
      <c r="A66"/>
      <c r="B66" s="22"/>
      <c r="D66"/>
      <c r="E66"/>
      <c r="F66"/>
      <c r="H66"/>
      <c r="J66"/>
      <c r="K66"/>
      <c r="L66"/>
      <c r="M66" s="2"/>
    </row>
    <row r="67" spans="1:13" x14ac:dyDescent="0.2">
      <c r="A67"/>
      <c r="B67" s="22"/>
      <c r="D67"/>
      <c r="E67"/>
      <c r="F67"/>
      <c r="H67"/>
      <c r="J67"/>
      <c r="K67"/>
      <c r="L67"/>
      <c r="M67" s="2"/>
    </row>
    <row r="68" spans="1:13" x14ac:dyDescent="0.2">
      <c r="A68"/>
      <c r="B68" s="22"/>
      <c r="D68"/>
      <c r="E68"/>
      <c r="F68"/>
      <c r="H68"/>
      <c r="J68"/>
      <c r="K68"/>
      <c r="L68"/>
      <c r="M68" s="2"/>
    </row>
    <row r="69" spans="1:13" ht="10.5" thickBot="1" x14ac:dyDescent="0.25">
      <c r="A69" s="119"/>
      <c r="B69" s="111"/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2"/>
    </row>
    <row r="70" spans="1:13" ht="10.5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rgb="FF92D050"/>
  </sheetPr>
  <dimension ref="A1:M73"/>
  <sheetViews>
    <sheetView showGridLines="0" topLeftCell="A49" workbookViewId="0">
      <selection activeCell="H62" sqref="H62"/>
    </sheetView>
  </sheetViews>
  <sheetFormatPr defaultColWidth="11.33203125" defaultRowHeight="10" x14ac:dyDescent="0.2"/>
  <cols>
    <col min="1" max="1" width="5.10937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75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21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76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F7" s="6"/>
      <c r="K7" s="2"/>
    </row>
    <row r="8" spans="1:12" ht="10.5" thickTop="1" x14ac:dyDescent="0.2">
      <c r="K8" s="2"/>
    </row>
    <row r="9" spans="1:12" x14ac:dyDescent="0.2">
      <c r="C9" s="22" t="s">
        <v>40</v>
      </c>
      <c r="D9" t="s">
        <v>40</v>
      </c>
      <c r="E9" t="s">
        <v>35</v>
      </c>
      <c r="K9" s="2"/>
      <c r="L9" s="27"/>
    </row>
    <row r="10" spans="1:12" x14ac:dyDescent="0.2">
      <c r="A10" t="s">
        <v>53</v>
      </c>
      <c r="C10" t="s">
        <v>35</v>
      </c>
      <c r="D10" t="s">
        <v>35</v>
      </c>
      <c r="E10" t="s">
        <v>77</v>
      </c>
      <c r="F10" t="s">
        <v>6</v>
      </c>
      <c r="K10" s="2"/>
    </row>
    <row r="11" spans="1:12" x14ac:dyDescent="0.2">
      <c r="A11" s="9" t="s">
        <v>54</v>
      </c>
      <c r="B11" s="9"/>
      <c r="C11" s="9" t="s">
        <v>41</v>
      </c>
      <c r="D11" s="9" t="s">
        <v>36</v>
      </c>
      <c r="E11" s="9" t="s">
        <v>78</v>
      </c>
      <c r="F11" s="9" t="s">
        <v>79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2" x14ac:dyDescent="0.2">
      <c r="A13" s="232"/>
      <c r="C13" s="31"/>
      <c r="D13" s="123"/>
      <c r="K13" s="2"/>
    </row>
    <row r="14" spans="1:12" x14ac:dyDescent="0.2">
      <c r="A14" s="274">
        <v>1980</v>
      </c>
      <c r="B14" s="57"/>
      <c r="C14" s="31">
        <f>'4.2'!E14</f>
        <v>12911</v>
      </c>
      <c r="D14" s="123">
        <f>'4.4'!G13</f>
        <v>1318</v>
      </c>
      <c r="E14" s="39">
        <f>ROUND(D14/C14,3)</f>
        <v>0.10199999999999999</v>
      </c>
      <c r="F14" s="38" t="s">
        <v>80</v>
      </c>
      <c r="K14" s="2"/>
    </row>
    <row r="15" spans="1:12" x14ac:dyDescent="0.2">
      <c r="A15" s="59" t="str">
        <f t="shared" ref="A15:A52" si="0">TEXT(A14+1,"#")</f>
        <v>1981</v>
      </c>
      <c r="B15" s="57"/>
      <c r="C15" s="31">
        <f>'4.2'!E15</f>
        <v>2512</v>
      </c>
      <c r="D15" s="123">
        <f>'4.4'!G14</f>
        <v>543</v>
      </c>
      <c r="E15" s="39">
        <f t="shared" ref="E15:E43" si="1">ROUND(D15/C15,3)</f>
        <v>0.216</v>
      </c>
      <c r="F15" s="38"/>
      <c r="K15" s="2"/>
    </row>
    <row r="16" spans="1:12" x14ac:dyDescent="0.2">
      <c r="A16" s="59" t="str">
        <f t="shared" si="0"/>
        <v>1982</v>
      </c>
      <c r="B16" s="57"/>
      <c r="C16" s="31">
        <f>'4.2'!E16</f>
        <v>796</v>
      </c>
      <c r="D16" s="123">
        <f>'4.4'!G15</f>
        <v>565</v>
      </c>
      <c r="E16" s="39">
        <f t="shared" si="1"/>
        <v>0.71</v>
      </c>
      <c r="F16" s="38"/>
      <c r="K16" s="2"/>
    </row>
    <row r="17" spans="1:11" x14ac:dyDescent="0.2">
      <c r="A17" s="59" t="str">
        <f t="shared" si="0"/>
        <v>1983</v>
      </c>
      <c r="B17" s="57"/>
      <c r="C17" s="31">
        <f>'4.2'!E17</f>
        <v>148999</v>
      </c>
      <c r="D17" s="123">
        <f>'4.4'!G16</f>
        <v>9127</v>
      </c>
      <c r="E17" s="39">
        <f t="shared" si="1"/>
        <v>6.0999999999999999E-2</v>
      </c>
      <c r="F17" s="38" t="s">
        <v>80</v>
      </c>
      <c r="K17" s="2"/>
    </row>
    <row r="18" spans="1:11" x14ac:dyDescent="0.2">
      <c r="A18" s="59" t="str">
        <f t="shared" si="0"/>
        <v>1984</v>
      </c>
      <c r="B18" s="57"/>
      <c r="C18" s="31">
        <f>'4.2'!E18</f>
        <v>999</v>
      </c>
      <c r="D18" s="123">
        <f>'4.4'!G17</f>
        <v>324</v>
      </c>
      <c r="E18" s="39">
        <f t="shared" si="1"/>
        <v>0.32400000000000001</v>
      </c>
      <c r="F18" s="38"/>
      <c r="K18" s="2"/>
    </row>
    <row r="19" spans="1:11" x14ac:dyDescent="0.2">
      <c r="A19" s="59" t="str">
        <f t="shared" si="0"/>
        <v>1985</v>
      </c>
      <c r="B19" s="57"/>
      <c r="C19" s="31">
        <f>'4.2'!E19</f>
        <v>512</v>
      </c>
      <c r="D19" s="123">
        <f>'4.4'!G18</f>
        <v>297</v>
      </c>
      <c r="E19" s="39">
        <f t="shared" si="1"/>
        <v>0.57999999999999996</v>
      </c>
      <c r="F19" s="38"/>
      <c r="K19" s="2"/>
    </row>
    <row r="20" spans="1:11" x14ac:dyDescent="0.2">
      <c r="A20" s="59" t="str">
        <f t="shared" si="0"/>
        <v>1986</v>
      </c>
      <c r="B20" s="57"/>
      <c r="C20" s="31">
        <f>'4.2'!E20</f>
        <v>881</v>
      </c>
      <c r="D20" s="123">
        <f>'4.4'!G19</f>
        <v>505</v>
      </c>
      <c r="E20" s="39">
        <f t="shared" si="1"/>
        <v>0.57299999999999995</v>
      </c>
      <c r="F20" s="38" t="s">
        <v>80</v>
      </c>
      <c r="K20" s="2"/>
    </row>
    <row r="21" spans="1:11" x14ac:dyDescent="0.2">
      <c r="A21" s="59" t="str">
        <f t="shared" si="0"/>
        <v>1987</v>
      </c>
      <c r="B21" s="57"/>
      <c r="C21" s="31">
        <f>'4.2'!E21</f>
        <v>1897</v>
      </c>
      <c r="D21" s="123">
        <f>'4.4'!G20</f>
        <v>1056</v>
      </c>
      <c r="E21" s="39">
        <f t="shared" si="1"/>
        <v>0.55700000000000005</v>
      </c>
      <c r="F21" s="38"/>
      <c r="K21" s="2"/>
    </row>
    <row r="22" spans="1:11" x14ac:dyDescent="0.2">
      <c r="A22" s="59" t="str">
        <f t="shared" si="0"/>
        <v>1988</v>
      </c>
      <c r="B22" s="59"/>
      <c r="C22" s="31">
        <f>'4.2'!E22</f>
        <v>1160</v>
      </c>
      <c r="D22" s="123">
        <f>'4.4'!G21</f>
        <v>357</v>
      </c>
      <c r="E22" s="39">
        <f t="shared" si="1"/>
        <v>0.308</v>
      </c>
      <c r="F22" s="27"/>
      <c r="K22" s="2"/>
    </row>
    <row r="23" spans="1:11" x14ac:dyDescent="0.2">
      <c r="A23" s="59" t="str">
        <f t="shared" si="0"/>
        <v>1989</v>
      </c>
      <c r="B23" s="59"/>
      <c r="C23" s="31">
        <f>'4.2'!E23</f>
        <v>12296</v>
      </c>
      <c r="D23" s="123">
        <f>'4.4'!G22</f>
        <v>3528</v>
      </c>
      <c r="E23" s="39">
        <f t="shared" si="1"/>
        <v>0.28699999999999998</v>
      </c>
      <c r="F23" s="27" t="s">
        <v>80</v>
      </c>
      <c r="K23" s="2"/>
    </row>
    <row r="24" spans="1:11" x14ac:dyDescent="0.2">
      <c r="A24" s="59" t="str">
        <f t="shared" si="0"/>
        <v>1990</v>
      </c>
      <c r="B24" s="59"/>
      <c r="C24" s="31">
        <f>'4.2'!E24</f>
        <v>335</v>
      </c>
      <c r="D24" s="123">
        <f>'4.4'!G23</f>
        <v>225</v>
      </c>
      <c r="E24" s="39">
        <f t="shared" si="1"/>
        <v>0.67200000000000004</v>
      </c>
      <c r="F24" s="27"/>
      <c r="K24" s="2"/>
    </row>
    <row r="25" spans="1:11" x14ac:dyDescent="0.2">
      <c r="A25" s="59" t="str">
        <f t="shared" si="0"/>
        <v>1991</v>
      </c>
      <c r="B25" s="59"/>
      <c r="C25" s="31">
        <f>'4.2'!E25</f>
        <v>1217</v>
      </c>
      <c r="D25" s="123">
        <f>'4.4'!G24</f>
        <v>729</v>
      </c>
      <c r="E25" s="39">
        <f t="shared" si="1"/>
        <v>0.59899999999999998</v>
      </c>
      <c r="F25" s="27"/>
      <c r="K25" s="2"/>
    </row>
    <row r="26" spans="1:11" x14ac:dyDescent="0.2">
      <c r="A26" s="59" t="str">
        <f t="shared" si="0"/>
        <v>1992</v>
      </c>
      <c r="B26" s="59"/>
      <c r="C26" s="31">
        <f>'4.2'!E26</f>
        <v>489</v>
      </c>
      <c r="D26" s="123">
        <f>'4.4'!G25</f>
        <v>554</v>
      </c>
      <c r="E26" s="39">
        <f t="shared" si="1"/>
        <v>1.133</v>
      </c>
      <c r="F26" s="27"/>
      <c r="K26" s="2"/>
    </row>
    <row r="27" spans="1:11" x14ac:dyDescent="0.2">
      <c r="A27" s="59" t="str">
        <f t="shared" si="0"/>
        <v>1993</v>
      </c>
      <c r="B27" s="59"/>
      <c r="C27" s="31">
        <f>'4.2'!E27</f>
        <v>3375</v>
      </c>
      <c r="D27" s="123">
        <f>'4.4'!G26</f>
        <v>1375</v>
      </c>
      <c r="E27" s="39">
        <f t="shared" si="1"/>
        <v>0.40699999999999997</v>
      </c>
      <c r="F27" s="27"/>
      <c r="K27" s="2"/>
    </row>
    <row r="28" spans="1:11" x14ac:dyDescent="0.2">
      <c r="A28" s="59" t="str">
        <f t="shared" si="0"/>
        <v>1994</v>
      </c>
      <c r="B28" s="59"/>
      <c r="C28" s="31">
        <f>'4.2'!E28</f>
        <v>679</v>
      </c>
      <c r="D28" s="123">
        <f>'4.4'!G27</f>
        <v>507</v>
      </c>
      <c r="E28" s="39">
        <f t="shared" si="1"/>
        <v>0.747</v>
      </c>
      <c r="F28" s="27"/>
      <c r="K28" s="2"/>
    </row>
    <row r="29" spans="1:11" x14ac:dyDescent="0.2">
      <c r="A29" s="59" t="str">
        <f t="shared" si="0"/>
        <v>1995</v>
      </c>
      <c r="B29" s="59"/>
      <c r="C29" s="31">
        <f>'4.2'!E29</f>
        <v>2977</v>
      </c>
      <c r="D29" s="123">
        <f>'4.4'!G28</f>
        <v>903</v>
      </c>
      <c r="E29" s="39">
        <f t="shared" si="1"/>
        <v>0.30299999999999999</v>
      </c>
      <c r="F29" s="27"/>
      <c r="K29" s="2"/>
    </row>
    <row r="30" spans="1:11" x14ac:dyDescent="0.2">
      <c r="A30" s="59" t="str">
        <f t="shared" si="0"/>
        <v>1996</v>
      </c>
      <c r="B30" s="59"/>
      <c r="C30" s="31">
        <f>'4.2'!E30</f>
        <v>1166</v>
      </c>
      <c r="D30" s="123">
        <f>'4.4'!G29</f>
        <v>582</v>
      </c>
      <c r="E30" s="39">
        <f t="shared" si="1"/>
        <v>0.499</v>
      </c>
      <c r="F30" s="27"/>
      <c r="K30" s="2"/>
    </row>
    <row r="31" spans="1:11" x14ac:dyDescent="0.2">
      <c r="A31" s="59" t="str">
        <f t="shared" si="0"/>
        <v>1997</v>
      </c>
      <c r="B31" s="22"/>
      <c r="C31" s="31">
        <f>'4.2'!E31</f>
        <v>2964</v>
      </c>
      <c r="D31" s="123">
        <f>'4.4'!G30</f>
        <v>1343</v>
      </c>
      <c r="E31" s="39">
        <f t="shared" si="1"/>
        <v>0.45300000000000001</v>
      </c>
      <c r="F31" s="27"/>
      <c r="K31" s="2"/>
    </row>
    <row r="32" spans="1:11" x14ac:dyDescent="0.2">
      <c r="A32" s="59" t="str">
        <f t="shared" si="0"/>
        <v>1998</v>
      </c>
      <c r="B32" s="22"/>
      <c r="C32" s="31">
        <f>'4.2'!E32</f>
        <v>22401</v>
      </c>
      <c r="D32" s="123">
        <f>'4.4'!G31</f>
        <v>4732</v>
      </c>
      <c r="E32" s="39">
        <f t="shared" si="1"/>
        <v>0.21099999999999999</v>
      </c>
      <c r="F32" s="27"/>
      <c r="K32" s="2"/>
    </row>
    <row r="33" spans="1:12" x14ac:dyDescent="0.2">
      <c r="A33" s="59" t="str">
        <f t="shared" si="0"/>
        <v>1999</v>
      </c>
      <c r="B33" s="22"/>
      <c r="C33" s="31">
        <f>'4.2'!E33</f>
        <v>8773</v>
      </c>
      <c r="D33" s="123">
        <f>'4.4'!G32</f>
        <v>2388</v>
      </c>
      <c r="E33" s="39">
        <f t="shared" si="1"/>
        <v>0.27200000000000002</v>
      </c>
      <c r="F33" s="27" t="s">
        <v>80</v>
      </c>
      <c r="K33" s="2"/>
    </row>
    <row r="34" spans="1:12" x14ac:dyDescent="0.2">
      <c r="A34" s="59" t="str">
        <f t="shared" si="0"/>
        <v>2000</v>
      </c>
      <c r="B34" s="59"/>
      <c r="C34" s="31">
        <f>'4.2'!E34</f>
        <v>6227</v>
      </c>
      <c r="D34" s="123">
        <f>'4.4'!G33</f>
        <v>1885</v>
      </c>
      <c r="E34" s="39">
        <f t="shared" si="1"/>
        <v>0.30299999999999999</v>
      </c>
      <c r="F34" s="27"/>
      <c r="K34" s="2"/>
    </row>
    <row r="35" spans="1:12" x14ac:dyDescent="0.2">
      <c r="A35" s="59" t="str">
        <f t="shared" si="0"/>
        <v>2001</v>
      </c>
      <c r="B35" s="59"/>
      <c r="C35" s="31">
        <f>'4.2'!E35</f>
        <v>24605</v>
      </c>
      <c r="D35" s="123">
        <f>'4.4'!G34</f>
        <v>1880</v>
      </c>
      <c r="E35" s="39">
        <f t="shared" si="1"/>
        <v>7.5999999999999998E-2</v>
      </c>
      <c r="F35" s="27"/>
      <c r="K35" s="2"/>
    </row>
    <row r="36" spans="1:12" x14ac:dyDescent="0.2">
      <c r="A36" s="59" t="str">
        <f t="shared" si="0"/>
        <v>2002</v>
      </c>
      <c r="B36" s="59"/>
      <c r="C36" s="31">
        <f>'4.2'!E36</f>
        <v>5167</v>
      </c>
      <c r="D36" s="123">
        <f>'4.4'!G35</f>
        <v>5226</v>
      </c>
      <c r="E36" s="39">
        <f t="shared" si="1"/>
        <v>1.0109999999999999</v>
      </c>
      <c r="F36" s="27"/>
      <c r="K36" s="2"/>
    </row>
    <row r="37" spans="1:12" x14ac:dyDescent="0.2">
      <c r="A37" s="59" t="str">
        <f t="shared" si="0"/>
        <v>2003</v>
      </c>
      <c r="B37" s="59"/>
      <c r="C37" s="31">
        <f>'4.2'!E37</f>
        <v>155001</v>
      </c>
      <c r="D37" s="123">
        <f>'4.4'!G36</f>
        <v>5122</v>
      </c>
      <c r="E37" s="39">
        <f t="shared" si="1"/>
        <v>3.3000000000000002E-2</v>
      </c>
      <c r="F37" s="27" t="s">
        <v>80</v>
      </c>
      <c r="K37" s="2"/>
    </row>
    <row r="38" spans="1:12" x14ac:dyDescent="0.2">
      <c r="A38" s="59" t="str">
        <f t="shared" si="0"/>
        <v>2004</v>
      </c>
      <c r="B38" s="59"/>
      <c r="C38" s="31">
        <f>'4.2'!E38</f>
        <v>5167</v>
      </c>
      <c r="D38" s="123">
        <f>'4.4'!G37</f>
        <v>1471</v>
      </c>
      <c r="E38" s="39">
        <f t="shared" si="1"/>
        <v>0.28499999999999998</v>
      </c>
      <c r="F38" s="27"/>
      <c r="K38" s="2"/>
      <c r="L38" s="84"/>
    </row>
    <row r="39" spans="1:12" x14ac:dyDescent="0.2">
      <c r="A39" s="59" t="str">
        <f t="shared" si="0"/>
        <v>2005</v>
      </c>
      <c r="B39" s="59"/>
      <c r="C39" s="31">
        <f>'4.2'!E39</f>
        <v>154981</v>
      </c>
      <c r="D39" s="123">
        <f>'4.4'!G38</f>
        <v>20235</v>
      </c>
      <c r="E39" s="39">
        <f t="shared" si="1"/>
        <v>0.13100000000000001</v>
      </c>
      <c r="F39" s="27" t="s">
        <v>80</v>
      </c>
      <c r="K39" s="2"/>
    </row>
    <row r="40" spans="1:12" x14ac:dyDescent="0.2">
      <c r="A40" s="59" t="str">
        <f t="shared" si="0"/>
        <v>2006</v>
      </c>
      <c r="B40" s="59"/>
      <c r="C40" s="31">
        <f>'4.2'!E40</f>
        <v>4276</v>
      </c>
      <c r="D40" s="123">
        <f>'4.4'!G39</f>
        <v>1110</v>
      </c>
      <c r="E40" s="39">
        <f t="shared" si="1"/>
        <v>0.26</v>
      </c>
      <c r="F40" s="27"/>
      <c r="K40" s="2"/>
    </row>
    <row r="41" spans="1:12" x14ac:dyDescent="0.2">
      <c r="A41" s="59" t="str">
        <f t="shared" si="0"/>
        <v>2007</v>
      </c>
      <c r="B41" s="59"/>
      <c r="C41" s="31">
        <f>'4.2'!E41</f>
        <v>15745</v>
      </c>
      <c r="D41" s="123">
        <f>'4.4'!G40</f>
        <v>4941</v>
      </c>
      <c r="E41" s="39">
        <f t="shared" si="1"/>
        <v>0.314</v>
      </c>
      <c r="F41" s="27" t="s">
        <v>80</v>
      </c>
      <c r="K41" s="2"/>
    </row>
    <row r="42" spans="1:12" x14ac:dyDescent="0.2">
      <c r="A42" s="59" t="str">
        <f t="shared" si="0"/>
        <v>2008</v>
      </c>
      <c r="B42" s="22"/>
      <c r="C42" s="31">
        <f>'4.2'!E42</f>
        <v>2583017</v>
      </c>
      <c r="D42" s="123">
        <f>'4.4'!G41</f>
        <v>346615</v>
      </c>
      <c r="E42" s="39">
        <f>ROUND(D42/C42,3)</f>
        <v>0.13400000000000001</v>
      </c>
      <c r="F42" s="38" t="s">
        <v>80</v>
      </c>
      <c r="K42" s="2"/>
    </row>
    <row r="43" spans="1:12" x14ac:dyDescent="0.2">
      <c r="A43" s="59" t="str">
        <f t="shared" si="0"/>
        <v>2009</v>
      </c>
      <c r="B43" s="22"/>
      <c r="C43" s="31">
        <f>'4.2'!E43</f>
        <v>10407</v>
      </c>
      <c r="D43" s="123">
        <f>'4.4'!G42</f>
        <v>2219</v>
      </c>
      <c r="E43" s="39">
        <f t="shared" si="1"/>
        <v>0.21299999999999999</v>
      </c>
      <c r="F43" s="27"/>
      <c r="K43" s="2"/>
    </row>
    <row r="44" spans="1:12" x14ac:dyDescent="0.2">
      <c r="A44" s="59" t="str">
        <f t="shared" si="0"/>
        <v>2010</v>
      </c>
      <c r="B44" s="22"/>
      <c r="C44" s="31">
        <f>'4.2'!E44</f>
        <v>18005</v>
      </c>
      <c r="D44" s="123">
        <f>'4.4'!G43</f>
        <v>4274</v>
      </c>
      <c r="E44" s="39">
        <f t="shared" ref="E44:E49" si="2">ROUND(D44/C44,3)</f>
        <v>0.23699999999999999</v>
      </c>
      <c r="F44" s="38"/>
      <c r="K44" s="2"/>
    </row>
    <row r="45" spans="1:12" x14ac:dyDescent="0.2">
      <c r="A45" s="59" t="str">
        <f t="shared" si="0"/>
        <v>2011</v>
      </c>
      <c r="B45" s="22"/>
      <c r="C45" s="31">
        <f>'4.2'!E45</f>
        <v>96073</v>
      </c>
      <c r="D45" s="123">
        <f>'4.4'!G44</f>
        <v>15108</v>
      </c>
      <c r="E45" s="39">
        <f t="shared" si="2"/>
        <v>0.157</v>
      </c>
      <c r="F45" s="38"/>
      <c r="K45" s="2"/>
    </row>
    <row r="46" spans="1:12" x14ac:dyDescent="0.2">
      <c r="A46" s="45" t="str">
        <f t="shared" si="0"/>
        <v>2012</v>
      </c>
      <c r="B46" s="105"/>
      <c r="C46" s="31">
        <f>'4.2'!E46</f>
        <v>67488</v>
      </c>
      <c r="D46" s="123">
        <f>'4.4'!G45</f>
        <v>15831</v>
      </c>
      <c r="E46" s="161">
        <f t="shared" si="2"/>
        <v>0.23499999999999999</v>
      </c>
      <c r="F46" s="47"/>
      <c r="G46" s="50"/>
      <c r="K46" s="2"/>
    </row>
    <row r="47" spans="1:12" x14ac:dyDescent="0.2">
      <c r="A47" s="45" t="str">
        <f t="shared" si="0"/>
        <v>2013</v>
      </c>
      <c r="B47" s="105"/>
      <c r="C47" s="31">
        <f>'4.2'!E47</f>
        <v>70813</v>
      </c>
      <c r="D47" s="123">
        <f>'4.4'!G46</f>
        <v>13824</v>
      </c>
      <c r="E47" s="161">
        <f t="shared" si="2"/>
        <v>0.19500000000000001</v>
      </c>
      <c r="F47" s="47"/>
      <c r="G47" s="50"/>
      <c r="K47" s="2"/>
    </row>
    <row r="48" spans="1:12" x14ac:dyDescent="0.2">
      <c r="A48" s="45" t="str">
        <f t="shared" si="0"/>
        <v>2014</v>
      </c>
      <c r="B48" s="105"/>
      <c r="C48" s="31">
        <f>'4.2'!E48</f>
        <v>7007</v>
      </c>
      <c r="D48" s="123">
        <f>'4.4'!G47</f>
        <v>6822</v>
      </c>
      <c r="E48" s="161">
        <f t="shared" si="2"/>
        <v>0.97399999999999998</v>
      </c>
      <c r="F48" s="47"/>
      <c r="G48" s="50"/>
      <c r="K48" s="2"/>
    </row>
    <row r="49" spans="1:13" x14ac:dyDescent="0.2">
      <c r="A49" s="45" t="str">
        <f t="shared" si="0"/>
        <v>2015</v>
      </c>
      <c r="B49" s="105"/>
      <c r="C49" s="31">
        <f>'4.2'!E49</f>
        <v>138456</v>
      </c>
      <c r="D49" s="123">
        <f>'4.4'!G48</f>
        <v>39911</v>
      </c>
      <c r="E49" s="161">
        <f t="shared" si="2"/>
        <v>0.28799999999999998</v>
      </c>
      <c r="F49" s="47"/>
      <c r="G49" s="50"/>
      <c r="K49" s="2"/>
      <c r="L49" s="52"/>
      <c r="M49" s="84"/>
    </row>
    <row r="50" spans="1:13" x14ac:dyDescent="0.2">
      <c r="A50" s="45" t="str">
        <f t="shared" si="0"/>
        <v>2016</v>
      </c>
      <c r="B50" s="105"/>
      <c r="C50" s="31">
        <f>'4.2'!E50</f>
        <v>28372</v>
      </c>
      <c r="D50" s="123">
        <f>'4.4'!G49</f>
        <v>15404</v>
      </c>
      <c r="E50" s="161">
        <f>ROUND(D50/C50,3)</f>
        <v>0.54300000000000004</v>
      </c>
      <c r="F50" s="47"/>
      <c r="G50" s="50"/>
      <c r="K50" s="2"/>
      <c r="L50" s="52"/>
      <c r="M50" s="84"/>
    </row>
    <row r="51" spans="1:13" x14ac:dyDescent="0.2">
      <c r="A51" s="45" t="str">
        <f t="shared" si="0"/>
        <v>2017</v>
      </c>
      <c r="B51" s="105"/>
      <c r="C51" s="123">
        <f>'4.2'!E51</f>
        <v>1431366.7899205706</v>
      </c>
      <c r="D51" s="123">
        <f>'4.4'!G50</f>
        <v>286243</v>
      </c>
      <c r="E51" s="161">
        <f>ROUND(D51/C51,3)</f>
        <v>0.2</v>
      </c>
      <c r="F51" s="47" t="s">
        <v>80</v>
      </c>
      <c r="K51" s="2"/>
    </row>
    <row r="52" spans="1:13" x14ac:dyDescent="0.2">
      <c r="A52" s="45" t="str">
        <f t="shared" si="0"/>
        <v>2018</v>
      </c>
      <c r="B52" s="105"/>
      <c r="C52" s="123">
        <f>'4.2'!E52</f>
        <v>11949</v>
      </c>
      <c r="D52" s="123">
        <f>'4.4'!G51</f>
        <v>6729</v>
      </c>
      <c r="E52" s="161">
        <f>ROUND(D52/C52,3)</f>
        <v>0.56299999999999994</v>
      </c>
      <c r="F52" s="47"/>
      <c r="K52" s="2"/>
    </row>
    <row r="53" spans="1:13" x14ac:dyDescent="0.2">
      <c r="A53" s="158">
        <v>2019</v>
      </c>
      <c r="B53" s="105"/>
      <c r="C53" s="123">
        <f>'4.2'!E53</f>
        <v>17428</v>
      </c>
      <c r="D53" s="123">
        <f>'4.4'!G52</f>
        <v>9193</v>
      </c>
      <c r="E53" s="161">
        <f>ROUND(D53/C53,3)</f>
        <v>0.52700000000000002</v>
      </c>
      <c r="F53" s="47"/>
      <c r="K53" s="2"/>
    </row>
    <row r="54" spans="1:13" x14ac:dyDescent="0.2">
      <c r="A54" s="158">
        <v>2020</v>
      </c>
      <c r="B54" s="105"/>
      <c r="C54" s="123">
        <f>'4.2'!E54</f>
        <v>85005</v>
      </c>
      <c r="D54" s="123">
        <f>'4.4'!G53</f>
        <v>31704</v>
      </c>
      <c r="E54" s="161">
        <f>ROUND(D54/C54,3)</f>
        <v>0.373</v>
      </c>
      <c r="F54" s="47" t="s">
        <v>80</v>
      </c>
      <c r="K54" s="2"/>
    </row>
    <row r="55" spans="1:13" x14ac:dyDescent="0.2">
      <c r="A55" s="327"/>
      <c r="B55" s="327"/>
      <c r="C55" s="327"/>
      <c r="D55" s="327"/>
      <c r="E55" s="327"/>
      <c r="F55" s="327"/>
      <c r="K55" s="2"/>
    </row>
    <row r="56" spans="1:13" x14ac:dyDescent="0.2">
      <c r="A56" t="s">
        <v>82</v>
      </c>
      <c r="C56" s="19">
        <f>SUM(C14:C54)</f>
        <v>5163894.7899205703</v>
      </c>
      <c r="D56" s="19">
        <f>SUM(D14:D54)</f>
        <v>866705</v>
      </c>
      <c r="E56" s="39">
        <f>ROUND(D56/C56,3)</f>
        <v>0.16800000000000001</v>
      </c>
      <c r="F56" s="19"/>
      <c r="K56" s="2"/>
    </row>
    <row r="57" spans="1:13" x14ac:dyDescent="0.2">
      <c r="K57" s="2"/>
    </row>
    <row r="58" spans="1:13" x14ac:dyDescent="0.2">
      <c r="A58" t="s">
        <v>81</v>
      </c>
      <c r="C58" s="19">
        <f>SUMIF($F$14:$F$54,"H",C$14:C$54)</f>
        <v>4608975.7899205703</v>
      </c>
      <c r="D58" s="19">
        <f>SUMIF($F$14:$F$54,"H",D$14:D$54)</f>
        <v>711726</v>
      </c>
      <c r="E58" s="39">
        <f>ROUND(D58/C58,3)</f>
        <v>0.154</v>
      </c>
      <c r="K58" s="2"/>
    </row>
    <row r="59" spans="1:13" x14ac:dyDescent="0.2">
      <c r="K59" s="2"/>
    </row>
    <row r="60" spans="1:13" x14ac:dyDescent="0.2">
      <c r="A60" t="s">
        <v>83</v>
      </c>
      <c r="K60" s="2"/>
    </row>
    <row r="61" spans="1:13" x14ac:dyDescent="0.2">
      <c r="B61" t="s">
        <v>9</v>
      </c>
      <c r="C61" s="19">
        <f>C56-C58</f>
        <v>554919</v>
      </c>
      <c r="D61" s="19">
        <f>D56-D58</f>
        <v>154979</v>
      </c>
      <c r="E61" s="39">
        <f>ROUND(D61/C61,3)</f>
        <v>0.27900000000000003</v>
      </c>
      <c r="K61" s="2"/>
    </row>
    <row r="62" spans="1:13" x14ac:dyDescent="0.2">
      <c r="B62" t="s">
        <v>84</v>
      </c>
      <c r="C62" s="19">
        <f>SUMIF($F$43:$F$54,"&lt;&gt;H",C$43:C$54)</f>
        <v>465998</v>
      </c>
      <c r="D62" s="19">
        <f>SUMIF($F$41:$F$54,"&lt;&gt;H",D$41:D$54)</f>
        <v>129315</v>
      </c>
      <c r="E62" s="39">
        <f>ROUND(D62/C62,3)</f>
        <v>0.27800000000000002</v>
      </c>
      <c r="K62" s="2"/>
    </row>
    <row r="63" spans="1:13" ht="10.5" thickBot="1" x14ac:dyDescent="0.25">
      <c r="A63" s="6"/>
      <c r="B63" s="339"/>
      <c r="C63" s="6"/>
      <c r="D63" s="6"/>
      <c r="E63" s="6"/>
      <c r="F63" s="6"/>
      <c r="K63" s="2"/>
    </row>
    <row r="64" spans="1:13" ht="10.5" thickTop="1" x14ac:dyDescent="0.2">
      <c r="K64" s="2"/>
    </row>
    <row r="65" spans="1:11" x14ac:dyDescent="0.2">
      <c r="A65" t="s">
        <v>17</v>
      </c>
      <c r="K65" s="2"/>
    </row>
    <row r="66" spans="1:11" x14ac:dyDescent="0.2">
      <c r="B66" s="22" t="str">
        <f>C12&amp;" "&amp;'4.2'!$K$1&amp;", "&amp;'4.2'!$K$2</f>
        <v>(2) Exhibit 4, Sheet 2</v>
      </c>
      <c r="D66" s="22"/>
      <c r="K66" s="2"/>
    </row>
    <row r="67" spans="1:11" x14ac:dyDescent="0.2">
      <c r="B67" s="22" t="str">
        <f>D12&amp;" "&amp;'4.4'!$J$1&amp;", "&amp;'4.4'!$J$2</f>
        <v>(3) Exhibit 4, Sheet 4</v>
      </c>
      <c r="K67" s="2"/>
    </row>
    <row r="68" spans="1:11" x14ac:dyDescent="0.2">
      <c r="B68" s="22" t="str">
        <f>E12&amp;" = "&amp;D12&amp;" / "&amp;C12</f>
        <v>(4) = (3) / (2)</v>
      </c>
      <c r="K68" s="2"/>
    </row>
    <row r="69" spans="1:11" x14ac:dyDescent="0.2">
      <c r="B69" s="22" t="str">
        <f>F12&amp;" ""H"" indicates hurricane year"</f>
        <v>(5) "H" indicates hurricane year</v>
      </c>
      <c r="K69" s="2"/>
    </row>
    <row r="70" spans="1:11" x14ac:dyDescent="0.2">
      <c r="K70" s="2"/>
    </row>
    <row r="71" spans="1:11" ht="10.5" thickBot="1" x14ac:dyDescent="0.25">
      <c r="K71" s="2"/>
    </row>
    <row r="72" spans="1:11" ht="10.5" hidden="1" thickBot="1" x14ac:dyDescent="0.25"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rgb="FF92D050"/>
  </sheetPr>
  <dimension ref="A1:M73"/>
  <sheetViews>
    <sheetView showGridLines="0" workbookViewId="0">
      <selection activeCell="H60" sqref="H60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3" ht="10.5" x14ac:dyDescent="0.25">
      <c r="A1" s="8" t="str">
        <f>'1'!$A$1</f>
        <v>Texas Windstorm Insurance Association</v>
      </c>
      <c r="B1" s="12"/>
      <c r="K1" s="7" t="s">
        <v>75</v>
      </c>
      <c r="L1" s="1"/>
    </row>
    <row r="2" spans="1:13" ht="10.5" x14ac:dyDescent="0.25">
      <c r="A2" s="8" t="str">
        <f>'1'!$A$2</f>
        <v>Residential Property - Wind &amp; Hail</v>
      </c>
      <c r="B2" s="12"/>
      <c r="K2" s="7" t="s">
        <v>85</v>
      </c>
      <c r="L2" s="2"/>
    </row>
    <row r="3" spans="1:13" ht="10.5" x14ac:dyDescent="0.25">
      <c r="A3" s="8" t="str">
        <f>'1'!$A$3</f>
        <v>Rate Level Review</v>
      </c>
      <c r="B3" s="12"/>
      <c r="L3" s="2"/>
    </row>
    <row r="4" spans="1:13" x14ac:dyDescent="0.2">
      <c r="A4" t="s">
        <v>86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0.5" thickBot="1" x14ac:dyDescent="0.25">
      <c r="A7" s="6"/>
      <c r="B7" s="6"/>
      <c r="C7" s="6"/>
      <c r="D7" s="6"/>
      <c r="E7" s="6"/>
      <c r="F7" s="45"/>
      <c r="L7" s="2"/>
    </row>
    <row r="8" spans="1:13" ht="10.5" thickTop="1" x14ac:dyDescent="0.2">
      <c r="F8" s="45"/>
      <c r="L8" s="2"/>
    </row>
    <row r="9" spans="1:13" x14ac:dyDescent="0.2">
      <c r="C9" s="22" t="s">
        <v>87</v>
      </c>
      <c r="E9" t="s">
        <v>13</v>
      </c>
      <c r="F9" s="45"/>
      <c r="L9" s="2"/>
      <c r="M9" s="27"/>
    </row>
    <row r="10" spans="1:13" x14ac:dyDescent="0.2">
      <c r="A10" t="s">
        <v>53</v>
      </c>
      <c r="C10" t="s">
        <v>41</v>
      </c>
      <c r="D10" t="s">
        <v>56</v>
      </c>
      <c r="E10" t="s">
        <v>35</v>
      </c>
      <c r="F10" s="45"/>
      <c r="L10" s="2"/>
      <c r="M10" t="s">
        <v>219</v>
      </c>
    </row>
    <row r="11" spans="1:13" x14ac:dyDescent="0.2">
      <c r="A11" s="9" t="s">
        <v>54</v>
      </c>
      <c r="B11" s="9"/>
      <c r="C11" s="9" t="str">
        <f>"at "&amp;TEXT($M$11,"m/d/yy")</f>
        <v>at 12/31/20</v>
      </c>
      <c r="D11" s="9" t="s">
        <v>37</v>
      </c>
      <c r="E11" s="9" t="s">
        <v>41</v>
      </c>
      <c r="F11" s="45"/>
      <c r="L11" s="2"/>
      <c r="M11" s="52">
        <f>'2.1'!$L$9</f>
        <v>44196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L12" s="2"/>
    </row>
    <row r="13" spans="1:13" x14ac:dyDescent="0.2">
      <c r="A13" s="13"/>
      <c r="B13" s="13"/>
      <c r="C13" s="11"/>
      <c r="D13" s="11"/>
      <c r="E13" s="11"/>
      <c r="F13" s="46"/>
      <c r="L13" s="2"/>
    </row>
    <row r="14" spans="1:13" x14ac:dyDescent="0.2">
      <c r="A14" s="274">
        <v>1980</v>
      </c>
      <c r="E14" s="80">
        <f>'[5]4.2'!E14</f>
        <v>12911</v>
      </c>
      <c r="F14" s="45"/>
      <c r="L14" s="2"/>
    </row>
    <row r="15" spans="1:13" x14ac:dyDescent="0.2">
      <c r="A15" s="59" t="str">
        <f t="shared" ref="A15:A52" si="0">TEXT(A14+1,"#")</f>
        <v>1981</v>
      </c>
      <c r="B15" s="25"/>
      <c r="C15" s="31"/>
      <c r="D15" s="31"/>
      <c r="E15" s="80">
        <f>'[5]4.2'!E15</f>
        <v>2512</v>
      </c>
      <c r="F15" s="47"/>
      <c r="L15" s="2"/>
    </row>
    <row r="16" spans="1:13" x14ac:dyDescent="0.2">
      <c r="A16" s="59" t="str">
        <f t="shared" si="0"/>
        <v>1982</v>
      </c>
      <c r="B16" s="25"/>
      <c r="C16" s="31"/>
      <c r="D16" s="31"/>
      <c r="E16" s="80">
        <f>'[5]4.2'!E16</f>
        <v>796</v>
      </c>
      <c r="F16" s="47"/>
      <c r="L16" s="2"/>
    </row>
    <row r="17" spans="1:12" x14ac:dyDescent="0.2">
      <c r="A17" s="59" t="str">
        <f t="shared" si="0"/>
        <v>1983</v>
      </c>
      <c r="B17" s="25"/>
      <c r="C17" s="31"/>
      <c r="D17" s="31"/>
      <c r="E17" s="80">
        <f>'[5]4.2'!E17</f>
        <v>148999</v>
      </c>
      <c r="F17" s="47"/>
      <c r="L17" s="2"/>
    </row>
    <row r="18" spans="1:12" x14ac:dyDescent="0.2">
      <c r="A18" s="59" t="str">
        <f t="shared" si="0"/>
        <v>1984</v>
      </c>
      <c r="B18" s="25"/>
      <c r="C18" s="31"/>
      <c r="D18" s="31"/>
      <c r="E18" s="80">
        <f>'[5]4.2'!E18</f>
        <v>999</v>
      </c>
      <c r="F18" s="47"/>
      <c r="L18" s="2"/>
    </row>
    <row r="19" spans="1:12" x14ac:dyDescent="0.2">
      <c r="A19" s="59" t="str">
        <f t="shared" si="0"/>
        <v>1985</v>
      </c>
      <c r="B19" s="25"/>
      <c r="C19" s="31"/>
      <c r="D19" s="31"/>
      <c r="E19" s="80">
        <f>'[5]4.2'!E19</f>
        <v>512</v>
      </c>
      <c r="F19" s="47"/>
      <c r="L19" s="2"/>
    </row>
    <row r="20" spans="1:12" x14ac:dyDescent="0.2">
      <c r="A20" s="59" t="str">
        <f t="shared" si="0"/>
        <v>1986</v>
      </c>
      <c r="B20" s="25"/>
      <c r="C20" s="31"/>
      <c r="D20" s="31"/>
      <c r="E20" s="80">
        <f>'[5]4.2'!E20</f>
        <v>881</v>
      </c>
      <c r="F20" s="47"/>
      <c r="L20" s="2"/>
    </row>
    <row r="21" spans="1:12" x14ac:dyDescent="0.2">
      <c r="A21" s="59" t="str">
        <f t="shared" si="0"/>
        <v>1987</v>
      </c>
      <c r="B21" s="25"/>
      <c r="C21" s="31"/>
      <c r="D21" s="31"/>
      <c r="E21" s="80">
        <f>'[5]4.2'!E21</f>
        <v>1897</v>
      </c>
      <c r="F21" s="47"/>
      <c r="L21" s="2"/>
    </row>
    <row r="22" spans="1:12" x14ac:dyDescent="0.2">
      <c r="A22" s="59" t="str">
        <f t="shared" si="0"/>
        <v>1988</v>
      </c>
      <c r="B22" s="25"/>
      <c r="C22" s="31"/>
      <c r="D22" s="31"/>
      <c r="E22" s="80">
        <f>'[5]4.2'!E22</f>
        <v>1160</v>
      </c>
      <c r="F22" s="47"/>
      <c r="L22" s="2"/>
    </row>
    <row r="23" spans="1:12" x14ac:dyDescent="0.2">
      <c r="A23" s="59" t="str">
        <f t="shared" si="0"/>
        <v>1989</v>
      </c>
      <c r="C23" s="31"/>
      <c r="D23" s="31"/>
      <c r="E23" s="80">
        <f>'[5]4.2'!E23</f>
        <v>12296</v>
      </c>
      <c r="F23" s="48"/>
      <c r="L23" s="2"/>
    </row>
    <row r="24" spans="1:12" x14ac:dyDescent="0.2">
      <c r="A24" s="59" t="str">
        <f t="shared" si="0"/>
        <v>1990</v>
      </c>
      <c r="C24" s="31"/>
      <c r="D24" s="31"/>
      <c r="E24" s="80">
        <f>'[5]4.2'!E24</f>
        <v>335</v>
      </c>
      <c r="F24" s="48"/>
      <c r="L24" s="2"/>
    </row>
    <row r="25" spans="1:12" x14ac:dyDescent="0.2">
      <c r="A25" s="59" t="str">
        <f t="shared" si="0"/>
        <v>1991</v>
      </c>
      <c r="C25" s="31"/>
      <c r="D25" s="31"/>
      <c r="E25" s="80">
        <f>'[5]4.2'!E25</f>
        <v>1217</v>
      </c>
      <c r="F25" s="48"/>
      <c r="L25" s="2"/>
    </row>
    <row r="26" spans="1:12" x14ac:dyDescent="0.2">
      <c r="A26" s="59" t="str">
        <f t="shared" si="0"/>
        <v>1992</v>
      </c>
      <c r="C26" s="31"/>
      <c r="D26" s="31"/>
      <c r="E26" s="80">
        <f>'[5]4.2'!E26</f>
        <v>489</v>
      </c>
      <c r="F26" s="48"/>
      <c r="L26" s="2"/>
    </row>
    <row r="27" spans="1:12" x14ac:dyDescent="0.2">
      <c r="A27" s="59" t="str">
        <f t="shared" si="0"/>
        <v>1993</v>
      </c>
      <c r="C27" s="31"/>
      <c r="D27" s="31"/>
      <c r="E27" s="80">
        <f>'[5]4.2'!E27</f>
        <v>3375</v>
      </c>
      <c r="F27" s="48"/>
      <c r="L27" s="2"/>
    </row>
    <row r="28" spans="1:12" x14ac:dyDescent="0.2">
      <c r="A28" s="59" t="str">
        <f t="shared" si="0"/>
        <v>1994</v>
      </c>
      <c r="C28" s="31"/>
      <c r="D28" s="31"/>
      <c r="E28" s="80">
        <f>'[5]4.2'!E28</f>
        <v>679</v>
      </c>
      <c r="F28" s="48"/>
      <c r="L28" s="2"/>
    </row>
    <row r="29" spans="1:12" x14ac:dyDescent="0.2">
      <c r="A29" s="59" t="str">
        <f t="shared" si="0"/>
        <v>1995</v>
      </c>
      <c r="C29" s="31"/>
      <c r="D29" s="31"/>
      <c r="E29" s="80">
        <f>'[5]4.2'!E29</f>
        <v>2977</v>
      </c>
      <c r="F29" s="48"/>
      <c r="L29" s="2"/>
    </row>
    <row r="30" spans="1:12" x14ac:dyDescent="0.2">
      <c r="A30" s="59" t="str">
        <f t="shared" si="0"/>
        <v>1996</v>
      </c>
      <c r="C30" s="31"/>
      <c r="D30" s="31"/>
      <c r="E30" s="80">
        <f>'[5]4.2'!E30</f>
        <v>1166</v>
      </c>
      <c r="F30" s="48"/>
      <c r="L30" s="2"/>
    </row>
    <row r="31" spans="1:12" x14ac:dyDescent="0.2">
      <c r="A31" s="59" t="str">
        <f t="shared" si="0"/>
        <v>1997</v>
      </c>
      <c r="C31" s="31"/>
      <c r="D31" s="31"/>
      <c r="E31" s="80">
        <f>'[5]4.2'!E31</f>
        <v>2964</v>
      </c>
      <c r="F31" s="48"/>
      <c r="L31" s="2"/>
    </row>
    <row r="32" spans="1:12" x14ac:dyDescent="0.2">
      <c r="A32" s="59" t="str">
        <f t="shared" si="0"/>
        <v>1998</v>
      </c>
      <c r="B32" s="22"/>
      <c r="C32" s="31"/>
      <c r="D32" s="31"/>
      <c r="E32" s="80">
        <f>'[5]4.2'!E32</f>
        <v>22401</v>
      </c>
      <c r="F32" s="48"/>
      <c r="L32" s="2"/>
    </row>
    <row r="33" spans="1:12" x14ac:dyDescent="0.2">
      <c r="A33" s="59" t="str">
        <f t="shared" si="0"/>
        <v>1999</v>
      </c>
      <c r="C33" s="19"/>
      <c r="E33" s="80">
        <f>'[5]4.2'!E33</f>
        <v>8773</v>
      </c>
      <c r="F33" s="48"/>
      <c r="L33" s="2"/>
    </row>
    <row r="34" spans="1:12" x14ac:dyDescent="0.2">
      <c r="A34" s="59" t="str">
        <f t="shared" si="0"/>
        <v>2000</v>
      </c>
      <c r="B34" s="22"/>
      <c r="C34" s="31"/>
      <c r="D34" s="31"/>
      <c r="E34" s="80">
        <f>'[5]4.2'!E34</f>
        <v>6227</v>
      </c>
      <c r="F34" s="48"/>
      <c r="L34" s="2"/>
    </row>
    <row r="35" spans="1:12" x14ac:dyDescent="0.2">
      <c r="A35" s="59" t="str">
        <f t="shared" si="0"/>
        <v>2001</v>
      </c>
      <c r="B35" s="22"/>
      <c r="C35" s="31"/>
      <c r="D35" s="39"/>
      <c r="E35" s="80">
        <f>'[5]4.2'!E35</f>
        <v>24605</v>
      </c>
      <c r="F35" s="48"/>
      <c r="L35" s="2"/>
    </row>
    <row r="36" spans="1:12" x14ac:dyDescent="0.2">
      <c r="A36" s="59" t="str">
        <f t="shared" si="0"/>
        <v>2002</v>
      </c>
      <c r="C36" s="31"/>
      <c r="D36" s="39"/>
      <c r="E36" s="80">
        <f>'[5]4.2'!E36</f>
        <v>5167</v>
      </c>
      <c r="F36" s="48"/>
      <c r="L36" s="2"/>
    </row>
    <row r="37" spans="1:12" x14ac:dyDescent="0.2">
      <c r="A37" s="59" t="str">
        <f t="shared" si="0"/>
        <v>2003</v>
      </c>
      <c r="C37" s="80"/>
      <c r="D37" s="122"/>
      <c r="E37" s="80">
        <f>'[5]4.2'!E37</f>
        <v>155001</v>
      </c>
      <c r="F37" s="48"/>
      <c r="L37" s="2"/>
    </row>
    <row r="38" spans="1:12" x14ac:dyDescent="0.2">
      <c r="A38" s="59" t="str">
        <f t="shared" si="0"/>
        <v>2004</v>
      </c>
      <c r="C38" s="80"/>
      <c r="D38" s="122"/>
      <c r="E38" s="80">
        <f>'[5]4.2'!E38</f>
        <v>5167</v>
      </c>
      <c r="F38" s="48"/>
      <c r="L38" s="2"/>
    </row>
    <row r="39" spans="1:12" x14ac:dyDescent="0.2">
      <c r="A39" s="59" t="str">
        <f t="shared" si="0"/>
        <v>2005</v>
      </c>
      <c r="C39" s="80"/>
      <c r="D39" s="122"/>
      <c r="E39" s="80">
        <f>'[5]4.2'!E39</f>
        <v>154981</v>
      </c>
      <c r="F39" s="47"/>
      <c r="L39" s="2"/>
    </row>
    <row r="40" spans="1:12" x14ac:dyDescent="0.2">
      <c r="A40" s="59" t="str">
        <f t="shared" si="0"/>
        <v>2006</v>
      </c>
      <c r="C40" s="80"/>
      <c r="D40" s="122"/>
      <c r="E40" s="80">
        <f>'[5]4.2'!E40</f>
        <v>4276</v>
      </c>
      <c r="F40" s="45"/>
      <c r="L40" s="2"/>
    </row>
    <row r="41" spans="1:12" x14ac:dyDescent="0.2">
      <c r="A41" s="59" t="str">
        <f t="shared" si="0"/>
        <v>2007</v>
      </c>
      <c r="C41" s="80"/>
      <c r="D41" s="122"/>
      <c r="E41" s="80">
        <f>'[5]4.2'!E41</f>
        <v>15745</v>
      </c>
      <c r="F41" s="45"/>
      <c r="L41" s="2"/>
    </row>
    <row r="42" spans="1:12" x14ac:dyDescent="0.2">
      <c r="A42" s="59" t="str">
        <f t="shared" si="0"/>
        <v>2008</v>
      </c>
      <c r="B42" s="51"/>
      <c r="C42" s="80"/>
      <c r="D42" s="122"/>
      <c r="E42" s="80">
        <f>'[5]4.2'!E42</f>
        <v>2583017</v>
      </c>
      <c r="F42" s="45"/>
      <c r="H42" s="80"/>
      <c r="L42" s="2"/>
    </row>
    <row r="43" spans="1:12" x14ac:dyDescent="0.2">
      <c r="A43" s="59" t="str">
        <f t="shared" si="0"/>
        <v>2009</v>
      </c>
      <c r="C43" s="80"/>
      <c r="D43" s="122"/>
      <c r="E43" s="80">
        <f>'[5]4.2'!E43</f>
        <v>10407</v>
      </c>
      <c r="F43" s="49"/>
      <c r="H43" s="80"/>
      <c r="L43" s="2"/>
    </row>
    <row r="44" spans="1:12" x14ac:dyDescent="0.2">
      <c r="A44" s="59" t="str">
        <f t="shared" si="0"/>
        <v>2010</v>
      </c>
      <c r="C44" s="80"/>
      <c r="D44" s="122"/>
      <c r="E44" s="80">
        <f>'[5]4.2'!E44</f>
        <v>18005</v>
      </c>
      <c r="F44" s="45"/>
      <c r="H44" s="80"/>
      <c r="L44" s="2"/>
    </row>
    <row r="45" spans="1:12" x14ac:dyDescent="0.2">
      <c r="A45" s="59" t="str">
        <f t="shared" si="0"/>
        <v>2011</v>
      </c>
      <c r="B45" s="51"/>
      <c r="C45" s="80"/>
      <c r="D45" s="122"/>
      <c r="E45" s="80">
        <f>'[5]4.2'!E45</f>
        <v>96073</v>
      </c>
      <c r="F45" s="45"/>
      <c r="H45" s="80"/>
      <c r="L45" s="2"/>
    </row>
    <row r="46" spans="1:12" x14ac:dyDescent="0.2">
      <c r="A46" s="59" t="str">
        <f t="shared" si="0"/>
        <v>2012</v>
      </c>
      <c r="C46" s="80">
        <f>'[5]4.2'!C46</f>
        <v>67488</v>
      </c>
      <c r="D46" s="122">
        <f>'[5]4.2'!D46</f>
        <v>1</v>
      </c>
      <c r="E46" s="80">
        <f>'[5]4.2'!E46</f>
        <v>67488</v>
      </c>
      <c r="F46" s="45"/>
      <c r="H46" s="19"/>
      <c r="L46" s="2"/>
    </row>
    <row r="47" spans="1:12" x14ac:dyDescent="0.2">
      <c r="A47" s="59" t="str">
        <f t="shared" si="0"/>
        <v>2013</v>
      </c>
      <c r="C47" s="80">
        <f>'[5]4.2'!C47</f>
        <v>70813</v>
      </c>
      <c r="D47" s="122">
        <f>'[5]4.2'!D47</f>
        <v>1</v>
      </c>
      <c r="E47" s="80">
        <f>'[5]4.2'!E47</f>
        <v>70813</v>
      </c>
      <c r="H47" s="19"/>
      <c r="L47" s="2"/>
    </row>
    <row r="48" spans="1:12" x14ac:dyDescent="0.2">
      <c r="A48" s="59" t="str">
        <f t="shared" si="0"/>
        <v>2014</v>
      </c>
      <c r="C48" s="80">
        <f>'[5]4.2'!C48</f>
        <v>7007</v>
      </c>
      <c r="D48" s="122">
        <f>'[5]4.2'!D48</f>
        <v>1</v>
      </c>
      <c r="E48" s="80">
        <f>'[5]4.2'!E48</f>
        <v>7007</v>
      </c>
      <c r="H48" s="19"/>
      <c r="L48" s="2"/>
    </row>
    <row r="49" spans="1:12" x14ac:dyDescent="0.2">
      <c r="A49" s="59" t="str">
        <f t="shared" si="0"/>
        <v>2015</v>
      </c>
      <c r="C49" s="80">
        <f>'[5]4.2'!C49</f>
        <v>138733</v>
      </c>
      <c r="D49" s="122">
        <f>'[5]4.2'!D49</f>
        <v>0.998</v>
      </c>
      <c r="E49" s="80">
        <f>'[5]4.2'!E49</f>
        <v>138456</v>
      </c>
      <c r="H49" s="19"/>
      <c r="L49" s="2"/>
    </row>
    <row r="50" spans="1:12" x14ac:dyDescent="0.2">
      <c r="A50" s="45" t="str">
        <f t="shared" si="0"/>
        <v>2016</v>
      </c>
      <c r="B50" s="50"/>
      <c r="C50" s="80">
        <f>'[5]4.2'!C50</f>
        <v>28457</v>
      </c>
      <c r="D50" s="122">
        <f>'[5]4.2'!D50</f>
        <v>0.997</v>
      </c>
      <c r="E50" s="80">
        <f>'[5]4.2'!E50</f>
        <v>28372</v>
      </c>
      <c r="F50" s="45"/>
      <c r="H50" s="19"/>
      <c r="L50" s="2"/>
    </row>
    <row r="51" spans="1:12" x14ac:dyDescent="0.2">
      <c r="A51" s="45" t="str">
        <f t="shared" si="0"/>
        <v>2017</v>
      </c>
      <c r="B51" s="50"/>
      <c r="C51" s="80">
        <f>'[5]4.2'!C51</f>
        <v>1447150</v>
      </c>
      <c r="D51" s="122">
        <f>'[5]4.2'!D51</f>
        <v>0.98909359079609616</v>
      </c>
      <c r="E51" s="80">
        <f>'[5]4.2'!E51</f>
        <v>1431366.7899205706</v>
      </c>
      <c r="F51" s="45"/>
      <c r="H51" s="19"/>
      <c r="L51" s="2"/>
    </row>
    <row r="52" spans="1:12" x14ac:dyDescent="0.2">
      <c r="A52" s="45" t="str">
        <f t="shared" si="0"/>
        <v>2018</v>
      </c>
      <c r="B52" s="50"/>
      <c r="C52" s="80">
        <f>'[5]4.2'!C52</f>
        <v>12193</v>
      </c>
      <c r="D52" s="122">
        <f>'[5]4.2'!D52</f>
        <v>0.98</v>
      </c>
      <c r="E52" s="80">
        <f>'[5]4.2'!E52</f>
        <v>11949</v>
      </c>
      <c r="F52" s="45"/>
      <c r="H52" s="19"/>
      <c r="L52" s="2"/>
    </row>
    <row r="53" spans="1:12" x14ac:dyDescent="0.2">
      <c r="A53" s="158">
        <v>2019</v>
      </c>
      <c r="B53" s="50"/>
      <c r="C53" s="80">
        <f>'[5]4.2'!C53</f>
        <v>17949</v>
      </c>
      <c r="D53" s="122">
        <f>'[5]4.2'!D53</f>
        <v>0.97099999999999997</v>
      </c>
      <c r="E53" s="80">
        <f>'[5]4.2'!E53</f>
        <v>17428</v>
      </c>
      <c r="F53" s="45"/>
      <c r="H53" s="19"/>
      <c r="L53" s="2"/>
    </row>
    <row r="54" spans="1:12" ht="10.5" thickBot="1" x14ac:dyDescent="0.25">
      <c r="A54" s="306">
        <v>2020</v>
      </c>
      <c r="B54" s="6"/>
      <c r="C54" s="219">
        <f>'[5]4.2'!C54</f>
        <v>87095</v>
      </c>
      <c r="D54" s="220">
        <f>'[5]4.2'!D54</f>
        <v>0.97599999999999998</v>
      </c>
      <c r="E54" s="219">
        <f>'[5]4.2'!E54</f>
        <v>85005</v>
      </c>
      <c r="F54" s="45"/>
      <c r="L54" s="2"/>
    </row>
    <row r="55" spans="1:12" ht="10.5" thickTop="1" x14ac:dyDescent="0.2">
      <c r="C55" s="19"/>
      <c r="D55" s="19"/>
      <c r="E55" s="39"/>
      <c r="F55" s="45"/>
      <c r="L55" s="2"/>
    </row>
    <row r="56" spans="1:12" x14ac:dyDescent="0.2">
      <c r="A56" t="s">
        <v>17</v>
      </c>
      <c r="L56" s="2"/>
    </row>
    <row r="57" spans="1:12" x14ac:dyDescent="0.2">
      <c r="B57" s="22" t="str">
        <f>C12&amp;" "&amp;'4.3AS loss Dev'!$K$1&amp;", "&amp;'4.3AS loss Dev'!$K$2</f>
        <v>(2) Exhibit 4, Sheet 3</v>
      </c>
      <c r="D57" s="22"/>
      <c r="L57" s="2"/>
    </row>
    <row r="58" spans="1:12" x14ac:dyDescent="0.2">
      <c r="B58" s="22" t="str">
        <f>D12&amp;" "&amp;'4.3AS loss Dev'!$K$1&amp;", "&amp;'4.3AS loss Dev'!$K$2</f>
        <v>(3) Exhibit 4, Sheet 3</v>
      </c>
      <c r="L58" s="2"/>
    </row>
    <row r="59" spans="1:12" x14ac:dyDescent="0.2">
      <c r="B59" s="22" t="str">
        <f>E12&amp;" "&amp;A46&amp;" - "&amp;YEAR(M11)&amp;": "&amp;C12&amp;" * "&amp;D12&amp;"; "&amp;A14&amp;" - "&amp;A45&amp;": from prior TWIA annual statements"</f>
        <v>(4) 2012 - 2020: (2) * (3); 1980 - 2011: from prior TWIA annual statements</v>
      </c>
      <c r="C59" s="22"/>
      <c r="L59" s="2"/>
    </row>
    <row r="60" spans="1:12" x14ac:dyDescent="0.2">
      <c r="B60" s="22"/>
      <c r="L60" s="2"/>
    </row>
    <row r="61" spans="1:12" x14ac:dyDescent="0.2">
      <c r="C61" s="19"/>
      <c r="D61" s="19"/>
      <c r="E61" s="39"/>
      <c r="F61" s="45"/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x14ac:dyDescent="0.2">
      <c r="L70" s="2"/>
    </row>
    <row r="71" spans="1:12" ht="10.5" thickBot="1" x14ac:dyDescent="0.25">
      <c r="L71" s="2"/>
    </row>
    <row r="72" spans="1:12" ht="10.5" hidden="1" thickBot="1" x14ac:dyDescent="0.25">
      <c r="L72" s="2"/>
    </row>
    <row r="73" spans="1:12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>
    <tabColor rgb="FF92D050"/>
  </sheetPr>
  <dimension ref="A1:M69"/>
  <sheetViews>
    <sheetView showGridLines="0" topLeftCell="A40" workbookViewId="0">
      <selection activeCell="C48" sqref="C48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10" width="12.6640625" customWidth="1"/>
    <col min="11" max="11" width="4.6640625" customWidth="1"/>
  </cols>
  <sheetData>
    <row r="1" spans="1:13" ht="10.5" x14ac:dyDescent="0.25">
      <c r="A1" s="8" t="str">
        <f>'1'!$A$1</f>
        <v>Texas Windstorm Insurance Association</v>
      </c>
      <c r="B1" s="12"/>
      <c r="J1" s="50"/>
      <c r="K1" s="7" t="s">
        <v>75</v>
      </c>
      <c r="L1" s="1"/>
    </row>
    <row r="2" spans="1:13" ht="10.5" x14ac:dyDescent="0.25">
      <c r="A2" s="8" t="str">
        <f>'1'!$A$2</f>
        <v>Residential Property - Wind &amp; Hail</v>
      </c>
      <c r="B2" s="12"/>
      <c r="J2" s="50"/>
      <c r="K2" s="7" t="s">
        <v>88</v>
      </c>
      <c r="L2" s="2"/>
    </row>
    <row r="3" spans="1:13" ht="10.5" x14ac:dyDescent="0.25">
      <c r="A3" s="8" t="str">
        <f>'1'!$A$3</f>
        <v>Rate Level Review</v>
      </c>
      <c r="B3" s="12"/>
      <c r="J3" s="50"/>
      <c r="L3" s="2"/>
    </row>
    <row r="4" spans="1:13" x14ac:dyDescent="0.2">
      <c r="A4" t="s">
        <v>89</v>
      </c>
      <c r="B4" s="12"/>
      <c r="J4" s="50"/>
      <c r="L4" s="2"/>
    </row>
    <row r="5" spans="1:13" x14ac:dyDescent="0.2">
      <c r="A5" t="s">
        <v>90</v>
      </c>
      <c r="B5" s="12"/>
      <c r="J5" s="50"/>
      <c r="L5" s="2"/>
    </row>
    <row r="6" spans="1:13" x14ac:dyDescent="0.2">
      <c r="J6" s="50"/>
      <c r="L6" s="2"/>
    </row>
    <row r="7" spans="1:13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0.5" thickTop="1" x14ac:dyDescent="0.2">
      <c r="J8" s="50"/>
      <c r="L8" s="2"/>
    </row>
    <row r="9" spans="1:13" x14ac:dyDescent="0.2">
      <c r="C9" s="24" t="s">
        <v>68</v>
      </c>
      <c r="J9" s="50"/>
      <c r="L9" s="2"/>
      <c r="M9" s="27"/>
    </row>
    <row r="10" spans="1:13" x14ac:dyDescent="0.2">
      <c r="A10" t="s">
        <v>53</v>
      </c>
      <c r="J10" s="50"/>
      <c r="L10" s="2"/>
      <c r="M10" t="s">
        <v>69</v>
      </c>
    </row>
    <row r="11" spans="1:13" x14ac:dyDescent="0.2">
      <c r="A11" s="9" t="s">
        <v>54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0">
        <f>'[6]4.3'!M11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5"/>
      <c r="L12" s="2"/>
    </row>
    <row r="13" spans="1:13" x14ac:dyDescent="0.2">
      <c r="J13" s="50"/>
      <c r="L13" s="2"/>
    </row>
    <row r="14" spans="1:13" x14ac:dyDescent="0.2">
      <c r="A14" t="str">
        <f t="shared" ref="A14:A22" si="2">TEXT(A15-1,"#")</f>
        <v>2011</v>
      </c>
      <c r="B14" s="25"/>
      <c r="C14" s="80">
        <f>'[5]4.3'!C14</f>
        <v>94870</v>
      </c>
      <c r="D14" s="80">
        <f>'[5]4.3'!D14</f>
        <v>96967</v>
      </c>
      <c r="E14" s="80">
        <f>'[5]4.3'!E14</f>
        <v>97503</v>
      </c>
      <c r="F14" s="80">
        <f>'[5]4.3'!F14</f>
        <v>96828</v>
      </c>
      <c r="G14" s="80">
        <f>'[5]4.3'!G14</f>
        <v>96263</v>
      </c>
      <c r="H14" s="80">
        <f>'[5]4.3'!H14</f>
        <v>95964</v>
      </c>
      <c r="I14" s="80">
        <f>'[5]4.3'!I14</f>
        <v>96073</v>
      </c>
      <c r="J14" s="101"/>
      <c r="L14" s="2"/>
    </row>
    <row r="15" spans="1:13" x14ac:dyDescent="0.2">
      <c r="A15" t="str">
        <f t="shared" si="2"/>
        <v>2012</v>
      </c>
      <c r="B15" s="25"/>
      <c r="C15" s="80">
        <f>'[5]4.3'!C15</f>
        <v>62722</v>
      </c>
      <c r="D15" s="80">
        <f>'[5]4.3'!D15</f>
        <v>69764</v>
      </c>
      <c r="E15" s="80">
        <f>'[5]4.3'!E15</f>
        <v>67287</v>
      </c>
      <c r="F15" s="80">
        <f>'[5]4.3'!F15</f>
        <v>66724</v>
      </c>
      <c r="G15" s="80">
        <f>'[5]4.3'!G15</f>
        <v>66328</v>
      </c>
      <c r="H15" s="80">
        <f>'[5]4.3'!H15</f>
        <v>67658</v>
      </c>
      <c r="I15" s="80">
        <f>'[5]4.3'!I15</f>
        <v>67488</v>
      </c>
      <c r="J15" s="101"/>
      <c r="L15" s="2"/>
    </row>
    <row r="16" spans="1:13" x14ac:dyDescent="0.2">
      <c r="A16" t="str">
        <f t="shared" si="2"/>
        <v>2013</v>
      </c>
      <c r="B16" s="25"/>
      <c r="C16" s="80">
        <f>'[5]4.3'!C16</f>
        <v>77204</v>
      </c>
      <c r="D16" s="80">
        <f>'[5]4.3'!D16</f>
        <v>75204</v>
      </c>
      <c r="E16" s="80">
        <f>'[5]4.3'!E16</f>
        <v>72860</v>
      </c>
      <c r="F16" s="80">
        <f>'[5]4.3'!F16</f>
        <v>71823</v>
      </c>
      <c r="G16" s="80">
        <f>'[5]4.3'!G16</f>
        <v>71286</v>
      </c>
      <c r="H16" s="80">
        <f>'[5]4.3'!H16</f>
        <v>71068</v>
      </c>
      <c r="I16" s="80">
        <f>'[5]4.3'!I16</f>
        <v>70813</v>
      </c>
      <c r="J16" s="101"/>
      <c r="L16" s="2"/>
    </row>
    <row r="17" spans="1:13" x14ac:dyDescent="0.2">
      <c r="A17" t="str">
        <f t="shared" si="2"/>
        <v>2014</v>
      </c>
      <c r="B17" s="25"/>
      <c r="C17" s="80">
        <f>'[5]4.3'!C17</f>
        <v>6739</v>
      </c>
      <c r="D17" s="80">
        <f>'[5]4.3'!D17</f>
        <v>7854</v>
      </c>
      <c r="E17" s="80">
        <f>'[5]4.3'!E17</f>
        <v>7298</v>
      </c>
      <c r="F17" s="80">
        <f>'[5]4.3'!F17</f>
        <v>7261</v>
      </c>
      <c r="G17" s="80">
        <f>'[5]4.3'!G17</f>
        <v>7068</v>
      </c>
      <c r="H17" s="80">
        <f>'[5]4.3'!H17</f>
        <v>7012</v>
      </c>
      <c r="I17" s="80">
        <f>'[5]4.3'!I17</f>
        <v>7007</v>
      </c>
      <c r="J17" s="101"/>
      <c r="L17" s="2"/>
    </row>
    <row r="18" spans="1:13" x14ac:dyDescent="0.2">
      <c r="A18" t="str">
        <f t="shared" si="2"/>
        <v>2015</v>
      </c>
      <c r="B18" s="25"/>
      <c r="C18" s="80">
        <f>'[5]4.3'!C18</f>
        <v>147927</v>
      </c>
      <c r="D18" s="80">
        <f>'[5]4.3'!D18</f>
        <v>139955</v>
      </c>
      <c r="E18" s="80">
        <f>'[5]4.3'!E18</f>
        <v>140459</v>
      </c>
      <c r="F18" s="80">
        <f>'[5]4.3'!F18</f>
        <v>139777</v>
      </c>
      <c r="G18" s="80">
        <f>'[5]4.3'!G18</f>
        <v>138801</v>
      </c>
      <c r="H18" s="80">
        <f>'[5]4.3'!H18</f>
        <v>138733</v>
      </c>
      <c r="I18" s="80"/>
      <c r="J18" s="101"/>
      <c r="L18" s="2"/>
    </row>
    <row r="19" spans="1:13" x14ac:dyDescent="0.2">
      <c r="A19" t="str">
        <f t="shared" si="2"/>
        <v>2016</v>
      </c>
      <c r="B19" s="25"/>
      <c r="C19" s="80">
        <f>'[5]4.3'!C19</f>
        <v>31292</v>
      </c>
      <c r="D19" s="80">
        <f>'[5]4.3'!D19</f>
        <v>29612</v>
      </c>
      <c r="E19" s="80">
        <f>'[5]4.3'!E19</f>
        <v>28908</v>
      </c>
      <c r="F19" s="80">
        <f>'[5]4.3'!F19</f>
        <v>28523</v>
      </c>
      <c r="G19" s="80">
        <f>'[5]4.3'!G19</f>
        <v>28457</v>
      </c>
      <c r="H19" s="80"/>
      <c r="I19" s="80"/>
      <c r="J19" s="101"/>
      <c r="L19" s="2"/>
    </row>
    <row r="20" spans="1:13" x14ac:dyDescent="0.2">
      <c r="A20" t="str">
        <f t="shared" si="2"/>
        <v>2017</v>
      </c>
      <c r="B20" s="25"/>
      <c r="C20" s="80">
        <f>'[5]4.3'!C20</f>
        <v>1278467</v>
      </c>
      <c r="D20" s="80">
        <f>'[5]4.3'!D20</f>
        <v>1373877</v>
      </c>
      <c r="E20" s="80">
        <f>'[5]4.3'!E20</f>
        <v>1445588</v>
      </c>
      <c r="F20" s="80">
        <f>'[5]4.3'!F20</f>
        <v>1447150</v>
      </c>
      <c r="G20" s="80"/>
      <c r="H20" s="80"/>
      <c r="I20" s="80"/>
      <c r="J20" s="101"/>
      <c r="L20" s="2"/>
    </row>
    <row r="21" spans="1:13" x14ac:dyDescent="0.2">
      <c r="A21" t="str">
        <f t="shared" si="2"/>
        <v>2018</v>
      </c>
      <c r="B21" s="25"/>
      <c r="C21" s="80">
        <f>'[5]4.3'!C21</f>
        <v>13197</v>
      </c>
      <c r="D21" s="80">
        <f>'[5]4.3'!D21</f>
        <v>12326</v>
      </c>
      <c r="E21" s="80">
        <f>'[5]4.3'!E21</f>
        <v>12193</v>
      </c>
      <c r="F21" s="80"/>
      <c r="G21" s="80"/>
      <c r="H21" s="80"/>
      <c r="I21" s="80"/>
      <c r="J21" s="101"/>
      <c r="L21" s="2"/>
    </row>
    <row r="22" spans="1:13" x14ac:dyDescent="0.2">
      <c r="A22" t="str">
        <f t="shared" si="2"/>
        <v>2019</v>
      </c>
      <c r="B22" s="25"/>
      <c r="C22" s="80">
        <f>'[5]4.3'!C22</f>
        <v>18155</v>
      </c>
      <c r="D22" s="80">
        <f>'[5]4.3'!D22</f>
        <v>17949</v>
      </c>
      <c r="E22" s="80"/>
      <c r="F22" s="80"/>
      <c r="G22" s="80"/>
      <c r="H22" s="80"/>
      <c r="I22" s="80"/>
      <c r="J22" s="101"/>
      <c r="L22" s="2"/>
      <c r="M22" t="s">
        <v>219</v>
      </c>
    </row>
    <row r="23" spans="1:13" x14ac:dyDescent="0.2">
      <c r="A23" t="str">
        <f>TEXT(YEAR($M$23),"#")</f>
        <v>2020</v>
      </c>
      <c r="B23" s="25"/>
      <c r="C23" s="80">
        <f>'[5]4.3'!C23</f>
        <v>87095</v>
      </c>
      <c r="D23" s="80"/>
      <c r="E23" s="80"/>
      <c r="F23" s="80"/>
      <c r="G23" s="80"/>
      <c r="H23" s="80"/>
      <c r="I23" s="80"/>
      <c r="J23" s="101"/>
      <c r="L23" s="2"/>
      <c r="M23" s="83">
        <f>'[5]4.3'!$M$23</f>
        <v>44196</v>
      </c>
    </row>
    <row r="24" spans="1:13" x14ac:dyDescent="0.2">
      <c r="A24" s="9"/>
      <c r="B24" s="26"/>
      <c r="C24" s="81"/>
      <c r="D24" s="81"/>
      <c r="E24" s="81"/>
      <c r="F24" s="81"/>
      <c r="G24" s="81"/>
      <c r="H24" s="81"/>
      <c r="I24" s="81"/>
      <c r="J24" s="101"/>
      <c r="L24" s="2"/>
    </row>
    <row r="25" spans="1:13" x14ac:dyDescent="0.2">
      <c r="J25" s="50"/>
      <c r="L25" s="2"/>
    </row>
    <row r="26" spans="1:13" x14ac:dyDescent="0.2">
      <c r="C26" s="24" t="s">
        <v>70</v>
      </c>
      <c r="J26" s="50"/>
      <c r="L26" s="2"/>
    </row>
    <row r="27" spans="1:13" x14ac:dyDescent="0.2">
      <c r="A27" t="s">
        <v>53</v>
      </c>
      <c r="J27" s="50"/>
      <c r="L27" s="2"/>
    </row>
    <row r="28" spans="1:13" x14ac:dyDescent="0.2">
      <c r="A28" s="9" t="s">
        <v>54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J28" s="50"/>
      <c r="L28" s="2"/>
    </row>
    <row r="29" spans="1:13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5"/>
      <c r="L29" s="2"/>
    </row>
    <row r="30" spans="1:13" x14ac:dyDescent="0.2">
      <c r="J30" s="50"/>
      <c r="L30" s="2"/>
    </row>
    <row r="31" spans="1:13" x14ac:dyDescent="0.2">
      <c r="A31" t="str">
        <f t="shared" ref="A31:A39" si="5">A14</f>
        <v>2011</v>
      </c>
      <c r="B31" s="25"/>
      <c r="C31" s="39">
        <f t="shared" ref="C31:H39" si="6">IF(ISNUMBER(D14),D14/C14,"")</f>
        <v>1.022103931696005</v>
      </c>
      <c r="D31" s="39">
        <f t="shared" si="6"/>
        <v>1.0055276537378697</v>
      </c>
      <c r="E31" s="39">
        <f t="shared" si="6"/>
        <v>0.99307713608812032</v>
      </c>
      <c r="F31" s="39">
        <f t="shared" si="6"/>
        <v>0.99416491097616388</v>
      </c>
      <c r="G31" s="39">
        <f t="shared" si="6"/>
        <v>0.99689392601518756</v>
      </c>
      <c r="H31" s="39">
        <f t="shared" si="6"/>
        <v>1.0011358426076444</v>
      </c>
      <c r="I31" s="39" t="str">
        <f>IF(ISNUMBER(#REF!),#REF!/I14,"")</f>
        <v/>
      </c>
      <c r="J31" s="161"/>
      <c r="L31" s="2"/>
    </row>
    <row r="32" spans="1:13" x14ac:dyDescent="0.2">
      <c r="A32" t="str">
        <f t="shared" si="5"/>
        <v>2012</v>
      </c>
      <c r="B32" s="25"/>
      <c r="C32" s="39">
        <f t="shared" si="6"/>
        <v>1.1122732055738018</v>
      </c>
      <c r="D32" s="39">
        <f t="shared" si="6"/>
        <v>0.96449458173269886</v>
      </c>
      <c r="E32" s="39">
        <f t="shared" si="6"/>
        <v>0.9916328562723854</v>
      </c>
      <c r="F32" s="39">
        <f t="shared" si="6"/>
        <v>0.99406510401055093</v>
      </c>
      <c r="G32" s="39">
        <f t="shared" si="6"/>
        <v>1.0200518634664093</v>
      </c>
      <c r="H32" s="39">
        <f t="shared" si="6"/>
        <v>0.99748736291347662</v>
      </c>
      <c r="I32" s="39" t="str">
        <f>IF(ISNUMBER(#REF!),#REF!/I15,"")</f>
        <v/>
      </c>
      <c r="J32" s="161"/>
      <c r="L32" s="2"/>
    </row>
    <row r="33" spans="1:12" x14ac:dyDescent="0.2">
      <c r="A33" t="str">
        <f t="shared" si="5"/>
        <v>2013</v>
      </c>
      <c r="B33" s="25"/>
      <c r="C33" s="39">
        <f t="shared" si="6"/>
        <v>0.97409460649707269</v>
      </c>
      <c r="D33" s="39">
        <f t="shared" si="6"/>
        <v>0.96883144513589703</v>
      </c>
      <c r="E33" s="39">
        <f t="shared" si="6"/>
        <v>0.98576722481471313</v>
      </c>
      <c r="F33" s="39">
        <f t="shared" si="6"/>
        <v>0.99252328641243059</v>
      </c>
      <c r="G33" s="39">
        <f t="shared" si="6"/>
        <v>0.99694189602446481</v>
      </c>
      <c r="H33" s="39">
        <f t="shared" si="6"/>
        <v>0.996411887206619</v>
      </c>
      <c r="I33" s="39" t="str">
        <f>IF(ISNUMBER(#REF!),#REF!/I16,"")</f>
        <v/>
      </c>
      <c r="J33" s="161"/>
      <c r="L33" s="2"/>
    </row>
    <row r="34" spans="1:12" x14ac:dyDescent="0.2">
      <c r="A34" t="str">
        <f t="shared" si="5"/>
        <v>2014</v>
      </c>
      <c r="B34" s="25"/>
      <c r="C34" s="39">
        <f t="shared" si="6"/>
        <v>1.1654548152544888</v>
      </c>
      <c r="D34" s="39">
        <f t="shared" si="6"/>
        <v>0.92920804685510572</v>
      </c>
      <c r="E34" s="39">
        <f t="shared" si="6"/>
        <v>0.99493011784050422</v>
      </c>
      <c r="F34" s="39">
        <f t="shared" si="6"/>
        <v>0.97341963916815866</v>
      </c>
      <c r="G34" s="39">
        <f t="shared" si="6"/>
        <v>0.99207696661007361</v>
      </c>
      <c r="H34" s="39">
        <f t="shared" si="6"/>
        <v>0.99928693667997714</v>
      </c>
      <c r="I34" s="39" t="str">
        <f>IF(ISNUMBER(#REF!),#REF!/I17,"")</f>
        <v/>
      </c>
      <c r="J34" s="161"/>
      <c r="L34" s="2"/>
    </row>
    <row r="35" spans="1:12" x14ac:dyDescent="0.2">
      <c r="A35" t="str">
        <f t="shared" si="5"/>
        <v>2015</v>
      </c>
      <c r="B35" s="25"/>
      <c r="C35" s="39">
        <f t="shared" si="6"/>
        <v>0.94610855354330181</v>
      </c>
      <c r="D35" s="39">
        <f t="shared" si="6"/>
        <v>1.0036011575149155</v>
      </c>
      <c r="E35" s="39">
        <f t="shared" si="6"/>
        <v>0.99514449056308252</v>
      </c>
      <c r="F35" s="39">
        <f t="shared" si="6"/>
        <v>0.99301744922269042</v>
      </c>
      <c r="G35" s="39">
        <f t="shared" si="6"/>
        <v>0.99951008998494251</v>
      </c>
      <c r="H35" s="39" t="str">
        <f t="shared" si="6"/>
        <v/>
      </c>
      <c r="I35" s="39" t="str">
        <f>IF(ISNUMBER(#REF!),#REF!/I18,"")</f>
        <v/>
      </c>
      <c r="J35" s="161"/>
      <c r="L35" s="2"/>
    </row>
    <row r="36" spans="1:12" x14ac:dyDescent="0.2">
      <c r="A36" t="str">
        <f t="shared" si="5"/>
        <v>2016</v>
      </c>
      <c r="B36" s="25"/>
      <c r="C36" s="39">
        <f t="shared" si="6"/>
        <v>0.9463121564617154</v>
      </c>
      <c r="D36" s="39">
        <f t="shared" si="6"/>
        <v>0.97622585438335807</v>
      </c>
      <c r="E36" s="39">
        <f t="shared" si="6"/>
        <v>0.98668188736681883</v>
      </c>
      <c r="F36" s="39">
        <f t="shared" si="6"/>
        <v>0.997686077902044</v>
      </c>
      <c r="G36" s="39" t="str">
        <f t="shared" si="6"/>
        <v/>
      </c>
      <c r="H36" s="39" t="str">
        <f t="shared" si="6"/>
        <v/>
      </c>
      <c r="I36" s="39" t="str">
        <f>IF(ISNUMBER(#REF!),#REF!/I19,"")</f>
        <v/>
      </c>
      <c r="J36" s="161"/>
      <c r="L36" s="2"/>
    </row>
    <row r="37" spans="1:12" x14ac:dyDescent="0.2">
      <c r="A37" t="str">
        <f t="shared" si="5"/>
        <v>2017</v>
      </c>
      <c r="B37" s="25"/>
      <c r="C37" s="39">
        <f t="shared" si="6"/>
        <v>1.0746284417196532</v>
      </c>
      <c r="D37" s="39">
        <f t="shared" si="6"/>
        <v>1.0521960845112044</v>
      </c>
      <c r="E37" s="39">
        <f t="shared" si="6"/>
        <v>1.0010805291687535</v>
      </c>
      <c r="F37" s="39" t="str">
        <f t="shared" si="6"/>
        <v/>
      </c>
      <c r="G37" s="39" t="str">
        <f t="shared" si="6"/>
        <v/>
      </c>
      <c r="H37" s="39" t="str">
        <f t="shared" si="6"/>
        <v/>
      </c>
      <c r="I37" s="39" t="str">
        <f>IF(ISNUMBER(#REF!),#REF!/I20,"")</f>
        <v/>
      </c>
      <c r="J37" s="161"/>
      <c r="L37" s="2"/>
    </row>
    <row r="38" spans="1:12" x14ac:dyDescent="0.2">
      <c r="A38" t="str">
        <f t="shared" si="5"/>
        <v>2018</v>
      </c>
      <c r="B38" s="25"/>
      <c r="C38" s="39">
        <f t="shared" si="6"/>
        <v>0.93400015154959459</v>
      </c>
      <c r="D38" s="39">
        <f t="shared" si="6"/>
        <v>0.98920980042187245</v>
      </c>
      <c r="E38" s="39" t="str">
        <f t="shared" si="6"/>
        <v/>
      </c>
      <c r="F38" s="39" t="str">
        <f t="shared" si="6"/>
        <v/>
      </c>
      <c r="G38" s="39" t="str">
        <f t="shared" si="6"/>
        <v/>
      </c>
      <c r="H38" s="39" t="str">
        <f t="shared" si="6"/>
        <v/>
      </c>
      <c r="I38" s="39" t="str">
        <f>IF(ISNUMBER(#REF!),#REF!/I21,"")</f>
        <v/>
      </c>
      <c r="J38" s="161"/>
      <c r="L38" s="2"/>
    </row>
    <row r="39" spans="1:12" x14ac:dyDescent="0.2">
      <c r="A39" t="str">
        <f t="shared" si="5"/>
        <v>2019</v>
      </c>
      <c r="B39" s="25"/>
      <c r="C39" s="39">
        <f>IF(ISNUMBER(D22),D22/C22,"")</f>
        <v>0.98865326356375649</v>
      </c>
      <c r="D39" s="39" t="str">
        <f t="shared" si="6"/>
        <v/>
      </c>
      <c r="E39" s="39" t="str">
        <f t="shared" si="6"/>
        <v/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IF(ISNUMBER(#REF!),#REF!/I22,"")</f>
        <v/>
      </c>
      <c r="J39" s="161"/>
      <c r="L39" s="2"/>
    </row>
    <row r="40" spans="1:12" x14ac:dyDescent="0.2">
      <c r="A40" s="9"/>
      <c r="B40" s="26"/>
      <c r="C40" s="40"/>
      <c r="D40" s="40"/>
      <c r="E40" s="40"/>
      <c r="F40" s="40"/>
      <c r="G40" s="40"/>
      <c r="H40" s="40"/>
      <c r="I40" s="40"/>
      <c r="J40" s="50"/>
      <c r="L40" s="2"/>
    </row>
    <row r="41" spans="1:12" x14ac:dyDescent="0.2">
      <c r="C41" s="19"/>
      <c r="J41" s="50"/>
      <c r="L41" s="2"/>
    </row>
    <row r="42" spans="1:12" x14ac:dyDescent="0.2">
      <c r="A42" t="s">
        <v>71</v>
      </c>
      <c r="B42" s="25"/>
      <c r="C42" s="41">
        <f t="shared" ref="C42:H42" si="7">AVERAGE(C31:C39)</f>
        <v>1.0181810139843768</v>
      </c>
      <c r="D42" s="41">
        <f t="shared" si="7"/>
        <v>0.98616182803661523</v>
      </c>
      <c r="E42" s="41">
        <f t="shared" si="7"/>
        <v>0.99261632030205404</v>
      </c>
      <c r="F42" s="41">
        <f t="shared" si="7"/>
        <v>0.99081274461533964</v>
      </c>
      <c r="G42" s="41">
        <f t="shared" si="7"/>
        <v>1.0010949484202154</v>
      </c>
      <c r="H42" s="41">
        <f t="shared" si="7"/>
        <v>0.99858050735192927</v>
      </c>
      <c r="I42" s="41"/>
      <c r="J42" s="162"/>
      <c r="L42" s="2"/>
    </row>
    <row r="43" spans="1:12" x14ac:dyDescent="0.2">
      <c r="A43" t="s">
        <v>97</v>
      </c>
      <c r="B43" s="22"/>
      <c r="C43" s="43">
        <f t="shared" ref="C43:H43" si="8">(SUM(C31:C39)-MAX(C31:C39)-MIN(C31:C39))/(COUNT(C31:C39)-2)</f>
        <v>1.0091677370079011</v>
      </c>
      <c r="D43" s="43">
        <f t="shared" si="8"/>
        <v>0.9846484154877686</v>
      </c>
      <c r="E43" s="43">
        <f t="shared" si="8"/>
        <v>0.99229329762618224</v>
      </c>
      <c r="F43" s="43">
        <f t="shared" si="8"/>
        <v>0.99344268765545884</v>
      </c>
      <c r="G43" s="43">
        <f t="shared" si="8"/>
        <v>0.99778197067486474</v>
      </c>
      <c r="H43" s="43">
        <f t="shared" si="8"/>
        <v>0.99838714979672694</v>
      </c>
      <c r="I43" s="41"/>
      <c r="J43" s="162"/>
      <c r="L43" s="2"/>
    </row>
    <row r="44" spans="1:12" x14ac:dyDescent="0.2">
      <c r="A44" t="s">
        <v>98</v>
      </c>
      <c r="C44" s="41">
        <f>AVERAGE(C37:C39)</f>
        <v>0.99909395227766806</v>
      </c>
      <c r="D44" s="41">
        <f>AVERAGE(D36:D38)</f>
        <v>1.0058772464388117</v>
      </c>
      <c r="E44" s="41">
        <f>AVERAGE(E35:E37)</f>
        <v>0.99430230236621819</v>
      </c>
      <c r="F44" s="41">
        <f>AVERAGE(F34:F36)</f>
        <v>0.98804105543096432</v>
      </c>
      <c r="G44" s="41">
        <f>AVERAGE(G33:G35)</f>
        <v>0.99617631753982694</v>
      </c>
      <c r="H44" s="41">
        <f>AVERAGE(H32:H34)</f>
        <v>0.99772872893335762</v>
      </c>
      <c r="J44" s="50"/>
      <c r="L44" s="2"/>
    </row>
    <row r="45" spans="1:12" x14ac:dyDescent="0.2">
      <c r="A45" t="s">
        <v>72</v>
      </c>
      <c r="B45" s="25"/>
      <c r="C45" s="41">
        <f>AVERAGE(C35:C39)</f>
        <v>0.97794051336760435</v>
      </c>
      <c r="D45" s="41">
        <f>AVERAGE(D34:D38)</f>
        <v>0.99008818873729132</v>
      </c>
      <c r="E45" s="41">
        <f>AVERAGE(E33:E37)</f>
        <v>0.99272084995077436</v>
      </c>
      <c r="F45" s="41">
        <f>AVERAGE(F32:F36)</f>
        <v>0.99014231134317487</v>
      </c>
      <c r="G45" s="41">
        <f>AVERAGE(G31:G35)</f>
        <v>1.0010949484202154</v>
      </c>
      <c r="H45" s="41">
        <f>AVERAGE(H31:H34)</f>
        <v>0.99858050735192927</v>
      </c>
      <c r="J45" s="50"/>
      <c r="L45" s="2"/>
    </row>
    <row r="46" spans="1:12" x14ac:dyDescent="0.2">
      <c r="A46" s="59" t="s">
        <v>265</v>
      </c>
      <c r="B46" s="59"/>
      <c r="C46" s="218">
        <f>'[5]4.3'!C46</f>
        <v>1.0229999999999999</v>
      </c>
      <c r="D46" s="218">
        <f>'[5]4.3'!D46</f>
        <v>0.99</v>
      </c>
      <c r="E46" s="218">
        <f>'[5]4.3'!E46</f>
        <v>0.99299999999999999</v>
      </c>
      <c r="F46" s="218">
        <f>'[5]4.3'!F46</f>
        <v>0.99</v>
      </c>
      <c r="G46" s="218">
        <f>'[5]4.3'!G46</f>
        <v>1</v>
      </c>
      <c r="H46" s="218">
        <f>'[5]4.3'!H46</f>
        <v>0.997</v>
      </c>
      <c r="I46" s="218">
        <f>'[5]4.3'!I46</f>
        <v>1</v>
      </c>
      <c r="J46" s="163"/>
      <c r="L46" s="2"/>
    </row>
    <row r="47" spans="1:12" x14ac:dyDescent="0.2">
      <c r="A47" t="s">
        <v>73</v>
      </c>
      <c r="C47" s="218">
        <f>'[5]4.3'!C47</f>
        <v>1.0049999999999999</v>
      </c>
      <c r="D47" s="218">
        <f>'[5]4.3'!D47</f>
        <v>0.99099999999999999</v>
      </c>
      <c r="E47" s="218">
        <f>'[5]4.3'!E47</f>
        <v>0.99299999999999999</v>
      </c>
      <c r="F47" s="218">
        <f>'[5]4.3'!F47</f>
        <v>0.99</v>
      </c>
      <c r="G47" s="218">
        <f>'[5]4.3'!G47</f>
        <v>0.999</v>
      </c>
      <c r="H47" s="218">
        <f>'[5]4.3'!H47</f>
        <v>0.998</v>
      </c>
      <c r="I47" s="218">
        <f>'[5]4.3'!I47</f>
        <v>1</v>
      </c>
      <c r="J47" s="164"/>
      <c r="L47" s="2"/>
    </row>
    <row r="48" spans="1:12" x14ac:dyDescent="0.2">
      <c r="A48" t="s">
        <v>74</v>
      </c>
      <c r="C48" s="43">
        <f t="shared" ref="C48:H48" si="9">ROUND(C47*D48,3)</f>
        <v>0.97599999999999998</v>
      </c>
      <c r="D48" s="43">
        <f t="shared" si="9"/>
        <v>0.97099999999999997</v>
      </c>
      <c r="E48" s="43">
        <f t="shared" si="9"/>
        <v>0.98</v>
      </c>
      <c r="F48" s="43">
        <f t="shared" si="9"/>
        <v>0.98699999999999999</v>
      </c>
      <c r="G48" s="43">
        <f t="shared" si="9"/>
        <v>0.997</v>
      </c>
      <c r="H48" s="43">
        <f t="shared" si="9"/>
        <v>0.998</v>
      </c>
      <c r="I48" s="43">
        <f>I47</f>
        <v>1</v>
      </c>
      <c r="J48" s="103"/>
      <c r="L48" s="2"/>
    </row>
    <row r="49" spans="1:12" ht="10.5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50"/>
      <c r="L49" s="2"/>
    </row>
    <row r="50" spans="1:12" ht="10.5" thickTop="1" x14ac:dyDescent="0.2">
      <c r="J50" s="50"/>
      <c r="L50" s="2"/>
    </row>
    <row r="51" spans="1:12" x14ac:dyDescent="0.2">
      <c r="J51" s="50"/>
      <c r="L51" s="2"/>
    </row>
    <row r="52" spans="1:12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92D050"/>
  </sheetPr>
  <dimension ref="A1:K71"/>
  <sheetViews>
    <sheetView showGridLines="0" topLeftCell="A49" workbookViewId="0">
      <selection activeCell="D63" sqref="D6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09375" customWidth="1"/>
    <col min="13" max="13" width="12.109375" bestFit="1" customWidth="1"/>
  </cols>
  <sheetData>
    <row r="1" spans="1:11" ht="10.5" x14ac:dyDescent="0.25">
      <c r="A1" s="8" t="str">
        <f>'1'!$A$1</f>
        <v>Texas Windstorm Insurance Association</v>
      </c>
      <c r="B1" s="12"/>
      <c r="J1" s="7" t="s">
        <v>75</v>
      </c>
      <c r="K1" s="1"/>
    </row>
    <row r="2" spans="1:11" ht="10.5" x14ac:dyDescent="0.25">
      <c r="A2" s="8" t="str">
        <f>'1'!$A$2</f>
        <v>Residential Property - Wind &amp; Hail</v>
      </c>
      <c r="B2" s="12"/>
      <c r="J2" s="7" t="s">
        <v>91</v>
      </c>
      <c r="K2" s="2"/>
    </row>
    <row r="3" spans="1:11" ht="10.5" x14ac:dyDescent="0.25">
      <c r="A3" s="8" t="str">
        <f>'1'!$A$3</f>
        <v>Rate Level Review</v>
      </c>
      <c r="B3" s="12"/>
      <c r="K3" s="2"/>
    </row>
    <row r="4" spans="1:11" x14ac:dyDescent="0.2">
      <c r="A4" t="s">
        <v>220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0.5" thickBot="1" x14ac:dyDescent="0.25">
      <c r="A7" s="6"/>
      <c r="B7" s="6"/>
      <c r="C7" s="6"/>
      <c r="D7" s="6"/>
      <c r="E7" s="6"/>
      <c r="F7" s="6"/>
      <c r="G7" s="6"/>
      <c r="K7" s="2"/>
    </row>
    <row r="8" spans="1:11" ht="10.5" thickTop="1" x14ac:dyDescent="0.2">
      <c r="K8" s="2"/>
    </row>
    <row r="9" spans="1:11" x14ac:dyDescent="0.2">
      <c r="C9" s="22" t="s">
        <v>87</v>
      </c>
      <c r="E9" t="s">
        <v>13</v>
      </c>
      <c r="K9" s="2"/>
    </row>
    <row r="10" spans="1:11" x14ac:dyDescent="0.2">
      <c r="A10" t="s">
        <v>53</v>
      </c>
      <c r="C10" t="s">
        <v>92</v>
      </c>
      <c r="D10" t="s">
        <v>56</v>
      </c>
      <c r="E10" t="s">
        <v>35</v>
      </c>
      <c r="F10" t="s">
        <v>87</v>
      </c>
      <c r="G10" t="s">
        <v>87</v>
      </c>
      <c r="K10" s="2"/>
    </row>
    <row r="11" spans="1:11" x14ac:dyDescent="0.2">
      <c r="A11" s="9" t="s">
        <v>54</v>
      </c>
      <c r="B11" s="9"/>
      <c r="C11" s="9" t="str">
        <f>"at "&amp;TEXT('4.2'!$M$11,"m/d/yy")</f>
        <v>at 12/31/20</v>
      </c>
      <c r="D11" s="9" t="s">
        <v>37</v>
      </c>
      <c r="E11" s="9" t="s">
        <v>92</v>
      </c>
      <c r="F11" s="9" t="s">
        <v>93</v>
      </c>
      <c r="G11" s="9" t="s">
        <v>36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1" x14ac:dyDescent="0.2">
      <c r="A13" s="230">
        <v>1980</v>
      </c>
      <c r="E13" s="80"/>
      <c r="F13" s="80"/>
      <c r="G13" s="80">
        <f>'[5]4.4'!G13</f>
        <v>1318</v>
      </c>
      <c r="K13" s="2"/>
    </row>
    <row r="14" spans="1:11" x14ac:dyDescent="0.2">
      <c r="A14" t="str">
        <f>TEXT(A13+1,"#")</f>
        <v>1981</v>
      </c>
      <c r="B14" s="25"/>
      <c r="C14" s="31"/>
      <c r="D14" s="31"/>
      <c r="E14" s="80"/>
      <c r="F14" s="80"/>
      <c r="G14" s="80">
        <f>'[5]4.4'!G14</f>
        <v>543</v>
      </c>
      <c r="K14" s="2"/>
    </row>
    <row r="15" spans="1:11" x14ac:dyDescent="0.2">
      <c r="A15" t="str">
        <f>TEXT(A14+1,"#")</f>
        <v>1982</v>
      </c>
      <c r="B15" s="25"/>
      <c r="C15" s="31"/>
      <c r="D15" s="31"/>
      <c r="E15" s="80"/>
      <c r="F15" s="80"/>
      <c r="G15" s="80">
        <f>'[5]4.4'!G15</f>
        <v>565</v>
      </c>
      <c r="K15" s="2"/>
    </row>
    <row r="16" spans="1:11" x14ac:dyDescent="0.2">
      <c r="A16" t="str">
        <f t="shared" ref="A16:A53" si="0">TEXT(A15+1,"#")</f>
        <v>1983</v>
      </c>
      <c r="B16" s="25"/>
      <c r="C16" s="31"/>
      <c r="D16" s="31"/>
      <c r="E16" s="80"/>
      <c r="F16" s="80"/>
      <c r="G16" s="80">
        <f>'[5]4.4'!G16</f>
        <v>9127</v>
      </c>
      <c r="K16" s="2"/>
    </row>
    <row r="17" spans="1:11" x14ac:dyDescent="0.2">
      <c r="A17" t="str">
        <f t="shared" si="0"/>
        <v>1984</v>
      </c>
      <c r="B17" s="25"/>
      <c r="C17" s="31"/>
      <c r="D17" s="31"/>
      <c r="E17" s="80"/>
      <c r="F17" s="80"/>
      <c r="G17" s="80">
        <f>'[5]4.4'!G17</f>
        <v>324</v>
      </c>
      <c r="K17" s="2"/>
    </row>
    <row r="18" spans="1:11" x14ac:dyDescent="0.2">
      <c r="A18" t="str">
        <f t="shared" si="0"/>
        <v>1985</v>
      </c>
      <c r="B18" s="25"/>
      <c r="C18" s="31"/>
      <c r="D18" s="31"/>
      <c r="E18" s="80"/>
      <c r="F18" s="80"/>
      <c r="G18" s="80">
        <f>'[5]4.4'!G18</f>
        <v>297</v>
      </c>
      <c r="K18" s="2"/>
    </row>
    <row r="19" spans="1:11" x14ac:dyDescent="0.2">
      <c r="A19" t="str">
        <f t="shared" si="0"/>
        <v>1986</v>
      </c>
      <c r="B19" s="25"/>
      <c r="C19" s="31"/>
      <c r="D19" s="31"/>
      <c r="E19" s="80">
        <f>'[5]4.4'!E19</f>
        <v>270</v>
      </c>
      <c r="F19" s="80">
        <f>'[5]4.4'!F19</f>
        <v>235</v>
      </c>
      <c r="G19" s="80">
        <f>'[5]4.4'!G19</f>
        <v>505</v>
      </c>
      <c r="K19" s="2"/>
    </row>
    <row r="20" spans="1:11" x14ac:dyDescent="0.2">
      <c r="A20" t="str">
        <f t="shared" si="0"/>
        <v>1987</v>
      </c>
      <c r="B20" s="25"/>
      <c r="C20" s="31"/>
      <c r="D20" s="31"/>
      <c r="E20" s="80">
        <f>'[5]4.4'!E20</f>
        <v>652</v>
      </c>
      <c r="F20" s="80">
        <f>'[5]4.4'!F20</f>
        <v>404</v>
      </c>
      <c r="G20" s="80">
        <f>'[5]4.4'!G20</f>
        <v>1056</v>
      </c>
      <c r="K20" s="2"/>
    </row>
    <row r="21" spans="1:11" x14ac:dyDescent="0.2">
      <c r="A21" t="str">
        <f t="shared" si="0"/>
        <v>1988</v>
      </c>
      <c r="B21" s="25"/>
      <c r="C21" s="31"/>
      <c r="D21" s="31"/>
      <c r="E21" s="80">
        <f>'[5]4.4'!E21</f>
        <v>235</v>
      </c>
      <c r="F21" s="80">
        <f>'[5]4.4'!F21</f>
        <v>122</v>
      </c>
      <c r="G21" s="80">
        <f>'[5]4.4'!G21</f>
        <v>357</v>
      </c>
      <c r="K21" s="2"/>
    </row>
    <row r="22" spans="1:11" x14ac:dyDescent="0.2">
      <c r="A22" t="str">
        <f t="shared" si="0"/>
        <v>1989</v>
      </c>
      <c r="B22" s="25"/>
      <c r="C22" s="31"/>
      <c r="D22" s="31"/>
      <c r="E22" s="80">
        <f>'[5]4.4'!E22</f>
        <v>2727</v>
      </c>
      <c r="F22" s="80">
        <f>'[5]4.4'!F22</f>
        <v>801</v>
      </c>
      <c r="G22" s="80">
        <f>'[5]4.4'!G22</f>
        <v>3528</v>
      </c>
      <c r="K22" s="2"/>
    </row>
    <row r="23" spans="1:11" x14ac:dyDescent="0.2">
      <c r="A23" t="str">
        <f t="shared" si="0"/>
        <v>1990</v>
      </c>
      <c r="C23" s="31"/>
      <c r="D23" s="31"/>
      <c r="E23" s="80">
        <f>'[5]4.4'!E23</f>
        <v>119</v>
      </c>
      <c r="F23" s="80">
        <f>'[5]4.4'!F23</f>
        <v>106</v>
      </c>
      <c r="G23" s="80">
        <f>'[5]4.4'!G23</f>
        <v>225</v>
      </c>
      <c r="K23" s="2"/>
    </row>
    <row r="24" spans="1:11" x14ac:dyDescent="0.2">
      <c r="A24" t="str">
        <f t="shared" si="0"/>
        <v>1991</v>
      </c>
      <c r="C24" s="31"/>
      <c r="D24" s="31"/>
      <c r="E24" s="80">
        <f>'[5]4.4'!E24</f>
        <v>403</v>
      </c>
      <c r="F24" s="80">
        <f>'[5]4.4'!F24</f>
        <v>326</v>
      </c>
      <c r="G24" s="80">
        <f>'[5]4.4'!G24</f>
        <v>729</v>
      </c>
      <c r="K24" s="2"/>
    </row>
    <row r="25" spans="1:11" x14ac:dyDescent="0.2">
      <c r="A25" t="str">
        <f t="shared" si="0"/>
        <v>1992</v>
      </c>
      <c r="C25" s="31"/>
      <c r="D25" s="31"/>
      <c r="E25" s="80">
        <f>'[5]4.4'!E25</f>
        <v>270</v>
      </c>
      <c r="F25" s="80">
        <f>'[5]4.4'!F25</f>
        <v>284</v>
      </c>
      <c r="G25" s="80">
        <f>'[5]4.4'!G25</f>
        <v>554</v>
      </c>
      <c r="K25" s="2"/>
    </row>
    <row r="26" spans="1:11" x14ac:dyDescent="0.2">
      <c r="A26" t="str">
        <f t="shared" si="0"/>
        <v>1993</v>
      </c>
      <c r="C26" s="31"/>
      <c r="D26" s="31"/>
      <c r="E26" s="80">
        <f>'[5]4.4'!E26</f>
        <v>806</v>
      </c>
      <c r="F26" s="80">
        <f>'[5]4.4'!F26</f>
        <v>569</v>
      </c>
      <c r="G26" s="80">
        <f>'[5]4.4'!G26</f>
        <v>1375</v>
      </c>
      <c r="K26" s="2"/>
    </row>
    <row r="27" spans="1:11" x14ac:dyDescent="0.2">
      <c r="A27" t="str">
        <f t="shared" si="0"/>
        <v>1994</v>
      </c>
      <c r="C27" s="31"/>
      <c r="D27" s="31"/>
      <c r="E27" s="80">
        <f>'[5]4.4'!E27</f>
        <v>192</v>
      </c>
      <c r="F27" s="80">
        <f>'[5]4.4'!F27</f>
        <v>315</v>
      </c>
      <c r="G27" s="80">
        <f>'[5]4.4'!G27</f>
        <v>507</v>
      </c>
      <c r="K27" s="2"/>
    </row>
    <row r="28" spans="1:11" x14ac:dyDescent="0.2">
      <c r="A28" t="str">
        <f t="shared" si="0"/>
        <v>1995</v>
      </c>
      <c r="C28" s="31"/>
      <c r="D28" s="31"/>
      <c r="E28" s="80">
        <f>'[5]4.4'!E28</f>
        <v>698</v>
      </c>
      <c r="F28" s="80">
        <f>'[5]4.4'!F28</f>
        <v>205</v>
      </c>
      <c r="G28" s="80">
        <f>'[5]4.4'!G28</f>
        <v>903</v>
      </c>
      <c r="K28" s="2"/>
    </row>
    <row r="29" spans="1:11" x14ac:dyDescent="0.2">
      <c r="A29" t="str">
        <f t="shared" si="0"/>
        <v>1996</v>
      </c>
      <c r="C29" s="31"/>
      <c r="D29" s="31"/>
      <c r="E29" s="80">
        <f>'[5]4.4'!E29</f>
        <v>355</v>
      </c>
      <c r="F29" s="80">
        <f>'[5]4.4'!F29</f>
        <v>227</v>
      </c>
      <c r="G29" s="80">
        <f>'[5]4.4'!G29</f>
        <v>582</v>
      </c>
      <c r="K29" s="2"/>
    </row>
    <row r="30" spans="1:11" x14ac:dyDescent="0.2">
      <c r="A30" t="str">
        <f t="shared" si="0"/>
        <v>1997</v>
      </c>
      <c r="C30" s="31"/>
      <c r="D30" s="31"/>
      <c r="E30" s="80">
        <f>'[5]4.4'!E30</f>
        <v>892</v>
      </c>
      <c r="F30" s="80">
        <f>'[5]4.4'!F30</f>
        <v>451</v>
      </c>
      <c r="G30" s="80">
        <f>'[5]4.4'!G30</f>
        <v>1343</v>
      </c>
      <c r="K30" s="2"/>
    </row>
    <row r="31" spans="1:11" x14ac:dyDescent="0.2">
      <c r="A31" t="str">
        <f t="shared" si="0"/>
        <v>1998</v>
      </c>
      <c r="C31" s="31"/>
      <c r="D31" s="31"/>
      <c r="E31" s="80">
        <f>'[5]4.4'!E31</f>
        <v>3920</v>
      </c>
      <c r="F31" s="80">
        <f>'[5]4.4'!F31</f>
        <v>812</v>
      </c>
      <c r="G31" s="80">
        <f>'[5]4.4'!G31</f>
        <v>4732</v>
      </c>
      <c r="K31" s="2"/>
    </row>
    <row r="32" spans="1:11" x14ac:dyDescent="0.2">
      <c r="A32" t="str">
        <f t="shared" si="0"/>
        <v>1999</v>
      </c>
      <c r="B32" s="22"/>
      <c r="C32" s="31"/>
      <c r="D32" s="31"/>
      <c r="E32" s="80">
        <f>'[5]4.4'!E32</f>
        <v>1757</v>
      </c>
      <c r="F32" s="80">
        <f>'[5]4.4'!F32</f>
        <v>631</v>
      </c>
      <c r="G32" s="80">
        <f>'[5]4.4'!G32</f>
        <v>2388</v>
      </c>
      <c r="K32" s="2"/>
    </row>
    <row r="33" spans="1:11" x14ac:dyDescent="0.2">
      <c r="A33" t="str">
        <f t="shared" si="0"/>
        <v>2000</v>
      </c>
      <c r="B33" s="22"/>
      <c r="C33" s="31"/>
      <c r="D33" s="31"/>
      <c r="E33" s="80">
        <f>'[5]4.4'!E33</f>
        <v>1209</v>
      </c>
      <c r="F33" s="80">
        <f>'[5]4.4'!F33</f>
        <v>676</v>
      </c>
      <c r="G33" s="80">
        <f>'[5]4.4'!G33</f>
        <v>1885</v>
      </c>
      <c r="K33" s="2"/>
    </row>
    <row r="34" spans="1:11" x14ac:dyDescent="0.2">
      <c r="A34" t="str">
        <f t="shared" si="0"/>
        <v>2001</v>
      </c>
      <c r="E34" s="80">
        <f>'[5]4.4'!E34</f>
        <v>1207</v>
      </c>
      <c r="F34" s="80">
        <f>'[5]4.4'!F34</f>
        <v>673</v>
      </c>
      <c r="G34" s="80">
        <f>'[5]4.4'!G34</f>
        <v>1880</v>
      </c>
      <c r="K34" s="2"/>
    </row>
    <row r="35" spans="1:11" x14ac:dyDescent="0.2">
      <c r="A35" t="str">
        <f t="shared" si="0"/>
        <v>2002</v>
      </c>
      <c r="B35" s="22"/>
      <c r="C35" s="31"/>
      <c r="D35" s="39"/>
      <c r="E35" s="80">
        <f>'[5]4.4'!E35</f>
        <v>3643</v>
      </c>
      <c r="F35" s="80">
        <f>'[5]4.4'!F35</f>
        <v>1583</v>
      </c>
      <c r="G35" s="80">
        <f>'[5]4.4'!G35</f>
        <v>5226</v>
      </c>
      <c r="K35" s="2"/>
    </row>
    <row r="36" spans="1:11" x14ac:dyDescent="0.2">
      <c r="A36" t="str">
        <f t="shared" si="0"/>
        <v>2003</v>
      </c>
      <c r="C36" s="31"/>
      <c r="D36" s="39"/>
      <c r="E36" s="80">
        <f>'[5]4.4'!E36</f>
        <v>3239</v>
      </c>
      <c r="F36" s="80">
        <f>'[5]4.4'!F36</f>
        <v>1883</v>
      </c>
      <c r="G36" s="80">
        <f>'[5]4.4'!G36</f>
        <v>5122</v>
      </c>
      <c r="K36" s="2"/>
    </row>
    <row r="37" spans="1:11" x14ac:dyDescent="0.2">
      <c r="A37" t="str">
        <f t="shared" si="0"/>
        <v>2004</v>
      </c>
      <c r="C37" s="80"/>
      <c r="D37" s="122"/>
      <c r="E37" s="80">
        <f>'[5]4.4'!E37</f>
        <v>844</v>
      </c>
      <c r="F37" s="80">
        <f>'[5]4.4'!F37</f>
        <v>627</v>
      </c>
      <c r="G37" s="80">
        <f>'[5]4.4'!G37</f>
        <v>1471</v>
      </c>
      <c r="K37" s="2"/>
    </row>
    <row r="38" spans="1:11" x14ac:dyDescent="0.2">
      <c r="A38" t="str">
        <f t="shared" si="0"/>
        <v>2005</v>
      </c>
      <c r="C38" s="80"/>
      <c r="D38" s="122"/>
      <c r="E38" s="80">
        <f>'[5]4.4'!E38</f>
        <v>15229</v>
      </c>
      <c r="F38" s="80">
        <f>'[5]4.4'!F38</f>
        <v>5006</v>
      </c>
      <c r="G38" s="80">
        <f>'[5]4.4'!G38</f>
        <v>20235</v>
      </c>
      <c r="K38" s="2"/>
    </row>
    <row r="39" spans="1:11" x14ac:dyDescent="0.2">
      <c r="A39" t="str">
        <f t="shared" si="0"/>
        <v>2006</v>
      </c>
      <c r="C39" s="80"/>
      <c r="D39" s="122"/>
      <c r="E39" s="80">
        <f>'[5]4.4'!E39</f>
        <v>860</v>
      </c>
      <c r="F39" s="80">
        <f>'[5]4.4'!F39</f>
        <v>250</v>
      </c>
      <c r="G39" s="80">
        <f>'[5]4.4'!G39</f>
        <v>1110</v>
      </c>
      <c r="K39" s="2"/>
    </row>
    <row r="40" spans="1:11" x14ac:dyDescent="0.2">
      <c r="A40" t="str">
        <f t="shared" si="0"/>
        <v>2007</v>
      </c>
      <c r="C40" s="90"/>
      <c r="D40" s="238"/>
      <c r="E40" s="80">
        <f>'[5]4.4'!E40</f>
        <v>2489</v>
      </c>
      <c r="F40" s="80">
        <f>'[5]4.4'!F40</f>
        <v>2452</v>
      </c>
      <c r="G40" s="80">
        <f>'[5]4.4'!G40</f>
        <v>4941</v>
      </c>
      <c r="K40" s="2"/>
    </row>
    <row r="41" spans="1:11" x14ac:dyDescent="0.2">
      <c r="A41" t="str">
        <f t="shared" si="0"/>
        <v>2008</v>
      </c>
      <c r="C41" s="80">
        <f>'[5]4.4'!C41</f>
        <v>99668</v>
      </c>
      <c r="D41" s="122">
        <f>'[5]4.4'!D41</f>
        <v>1</v>
      </c>
      <c r="E41" s="80">
        <f>'[5]4.4'!E41</f>
        <v>99668</v>
      </c>
      <c r="F41" s="80">
        <f>'[5]4.4'!F41</f>
        <v>246947</v>
      </c>
      <c r="G41" s="80">
        <f>'[5]4.4'!G41</f>
        <v>346615</v>
      </c>
      <c r="K41" s="2"/>
    </row>
    <row r="42" spans="1:11" x14ac:dyDescent="0.2">
      <c r="A42" t="str">
        <f t="shared" si="0"/>
        <v>2009</v>
      </c>
      <c r="B42" s="51"/>
      <c r="C42" s="80">
        <f>'[5]4.4'!C42</f>
        <v>223</v>
      </c>
      <c r="D42" s="122">
        <f>'[5]4.4'!D42</f>
        <v>1</v>
      </c>
      <c r="E42" s="80">
        <f>'[5]4.4'!E42</f>
        <v>223</v>
      </c>
      <c r="F42" s="80">
        <f>'[5]4.4'!F42</f>
        <v>1996</v>
      </c>
      <c r="G42" s="80">
        <f>'[5]4.4'!G42</f>
        <v>2219</v>
      </c>
      <c r="K42" s="2"/>
    </row>
    <row r="43" spans="1:11" x14ac:dyDescent="0.2">
      <c r="A43" t="str">
        <f t="shared" si="0"/>
        <v>2010</v>
      </c>
      <c r="C43" s="80">
        <f>'[5]4.4'!C43</f>
        <v>323</v>
      </c>
      <c r="D43" s="122">
        <f>'[5]4.4'!D43</f>
        <v>1</v>
      </c>
      <c r="E43" s="80">
        <f>'[5]4.4'!E43</f>
        <v>323</v>
      </c>
      <c r="F43" s="80">
        <f>'[5]4.4'!F43</f>
        <v>3951</v>
      </c>
      <c r="G43" s="80">
        <f>'[5]4.4'!G43</f>
        <v>4274</v>
      </c>
      <c r="K43" s="2"/>
    </row>
    <row r="44" spans="1:11" x14ac:dyDescent="0.2">
      <c r="A44" t="str">
        <f t="shared" si="0"/>
        <v>2011</v>
      </c>
      <c r="C44" s="80">
        <f>'[5]4.4'!C44</f>
        <v>725</v>
      </c>
      <c r="D44" s="122">
        <f>'[5]4.4'!D44</f>
        <v>1</v>
      </c>
      <c r="E44" s="80">
        <f>'[5]4.4'!E44</f>
        <v>725</v>
      </c>
      <c r="F44" s="80">
        <f>'[5]4.4'!F44</f>
        <v>14383</v>
      </c>
      <c r="G44" s="80">
        <f>'[5]4.4'!G44</f>
        <v>15108</v>
      </c>
      <c r="K44" s="2"/>
    </row>
    <row r="45" spans="1:11" x14ac:dyDescent="0.2">
      <c r="A45" t="str">
        <f t="shared" si="0"/>
        <v>2012</v>
      </c>
      <c r="B45" s="51"/>
      <c r="C45" s="80">
        <f>'[5]4.4'!C45</f>
        <v>868</v>
      </c>
      <c r="D45" s="122">
        <f>'[5]4.4'!D45</f>
        <v>1</v>
      </c>
      <c r="E45" s="80">
        <f>'[5]4.4'!E45</f>
        <v>868</v>
      </c>
      <c r="F45" s="80">
        <f>'[5]4.4'!F45</f>
        <v>14963</v>
      </c>
      <c r="G45" s="80">
        <f>'[5]4.4'!G45</f>
        <v>15831</v>
      </c>
      <c r="K45" s="2"/>
    </row>
    <row r="46" spans="1:11" x14ac:dyDescent="0.2">
      <c r="A46" t="str">
        <f t="shared" si="0"/>
        <v>2013</v>
      </c>
      <c r="C46" s="80">
        <f>'[5]4.4'!C46</f>
        <v>901</v>
      </c>
      <c r="D46" s="122">
        <f>'[5]4.4'!D46</f>
        <v>1</v>
      </c>
      <c r="E46" s="80">
        <f>'[5]4.4'!E46</f>
        <v>901</v>
      </c>
      <c r="F46" s="80">
        <f>'[5]4.4'!F46</f>
        <v>12923</v>
      </c>
      <c r="G46" s="80">
        <f>'[5]4.4'!G46</f>
        <v>13824</v>
      </c>
      <c r="K46" s="2"/>
    </row>
    <row r="47" spans="1:11" x14ac:dyDescent="0.2">
      <c r="A47" t="str">
        <f t="shared" si="0"/>
        <v>2014</v>
      </c>
      <c r="B47" s="50"/>
      <c r="C47" s="80">
        <f>'[5]4.4'!C47</f>
        <v>1026</v>
      </c>
      <c r="D47" s="122">
        <f>'[5]4.4'!D47</f>
        <v>1</v>
      </c>
      <c r="E47" s="80">
        <f>'[5]4.4'!E47</f>
        <v>1026</v>
      </c>
      <c r="F47" s="80">
        <f>'[5]4.4'!F47</f>
        <v>5796</v>
      </c>
      <c r="G47" s="80">
        <f>'[5]4.4'!G47</f>
        <v>6822</v>
      </c>
      <c r="K47" s="2"/>
    </row>
    <row r="48" spans="1:11" x14ac:dyDescent="0.2">
      <c r="A48" t="str">
        <f t="shared" si="0"/>
        <v>2015</v>
      </c>
      <c r="B48" s="50"/>
      <c r="C48" s="80">
        <f>'[5]4.4'!C48</f>
        <v>2838</v>
      </c>
      <c r="D48" s="122">
        <f>'[5]4.4'!D48</f>
        <v>0.97699999999999998</v>
      </c>
      <c r="E48" s="80">
        <f>'[5]4.4'!E48</f>
        <v>2773</v>
      </c>
      <c r="F48" s="80">
        <f>'[5]4.4'!F48</f>
        <v>37138</v>
      </c>
      <c r="G48" s="80">
        <f>'[5]4.4'!G48</f>
        <v>39911</v>
      </c>
      <c r="K48" s="2"/>
    </row>
    <row r="49" spans="1:11" x14ac:dyDescent="0.2">
      <c r="A49" t="str">
        <f t="shared" si="0"/>
        <v>2016</v>
      </c>
      <c r="C49" s="80">
        <f>'[5]4.4'!C49</f>
        <v>542</v>
      </c>
      <c r="D49" s="122">
        <f>'[5]4.4'!D49</f>
        <v>0.96399999999999997</v>
      </c>
      <c r="E49" s="80">
        <f>'[5]4.4'!E49</f>
        <v>522</v>
      </c>
      <c r="F49" s="80">
        <f>'[5]4.4'!F49</f>
        <v>14882</v>
      </c>
      <c r="G49" s="80">
        <f>'[5]4.4'!G49</f>
        <v>15404</v>
      </c>
      <c r="K49" s="2"/>
    </row>
    <row r="50" spans="1:11" x14ac:dyDescent="0.2">
      <c r="A50" s="50" t="str">
        <f t="shared" si="0"/>
        <v>2017</v>
      </c>
      <c r="B50" s="50"/>
      <c r="C50" s="80">
        <f>'[5]4.4'!C50</f>
        <v>21700</v>
      </c>
      <c r="D50" s="122">
        <f>'[5]4.4'!D50</f>
        <v>0.96899999999999997</v>
      </c>
      <c r="E50" s="80">
        <f>'[5]4.4'!E50</f>
        <v>21027</v>
      </c>
      <c r="F50" s="80">
        <f>'[5]4.4'!F50</f>
        <v>265216</v>
      </c>
      <c r="G50" s="80">
        <f>'[5]4.4'!G50</f>
        <v>286243</v>
      </c>
      <c r="K50" s="2"/>
    </row>
    <row r="51" spans="1:11" x14ac:dyDescent="0.2">
      <c r="A51" s="50" t="str">
        <f t="shared" si="0"/>
        <v>2018</v>
      </c>
      <c r="B51" s="50"/>
      <c r="C51" s="80">
        <f>'[5]4.4'!C51</f>
        <v>352</v>
      </c>
      <c r="D51" s="122">
        <f>'[5]4.4'!D51</f>
        <v>1.0289999999999999</v>
      </c>
      <c r="E51" s="80">
        <f>'[5]4.4'!E51</f>
        <v>362</v>
      </c>
      <c r="F51" s="80">
        <f>'[5]4.4'!F51</f>
        <v>6367</v>
      </c>
      <c r="G51" s="80">
        <f>'[5]4.4'!G51</f>
        <v>6729</v>
      </c>
      <c r="K51" s="2"/>
    </row>
    <row r="52" spans="1:11" x14ac:dyDescent="0.2">
      <c r="A52" s="50" t="str">
        <f t="shared" si="0"/>
        <v>2019</v>
      </c>
      <c r="B52" s="50"/>
      <c r="C52" s="80">
        <f>'[5]4.4'!C52</f>
        <v>471</v>
      </c>
      <c r="D52" s="122">
        <f>'[5]4.4'!D52</f>
        <v>1.222</v>
      </c>
      <c r="E52" s="80">
        <f>'[5]4.4'!E52</f>
        <v>576</v>
      </c>
      <c r="F52" s="80">
        <f>'[5]4.4'!F52</f>
        <v>8617</v>
      </c>
      <c r="G52" s="80">
        <f>'[5]4.4'!G52</f>
        <v>9193</v>
      </c>
      <c r="K52" s="2"/>
    </row>
    <row r="53" spans="1:11" x14ac:dyDescent="0.2">
      <c r="A53" s="50" t="str">
        <f t="shared" si="0"/>
        <v>2020</v>
      </c>
      <c r="B53" s="50"/>
      <c r="C53" s="80">
        <f>'[5]4.4'!C53</f>
        <v>295</v>
      </c>
      <c r="D53" s="122">
        <f>'[5]4.4'!D53</f>
        <v>1.833</v>
      </c>
      <c r="E53" s="80">
        <f>'[5]4.4'!E53</f>
        <v>541</v>
      </c>
      <c r="F53" s="80">
        <f>'[5]4.4'!F53</f>
        <v>31163</v>
      </c>
      <c r="G53" s="80">
        <f>'[5]4.4'!G53</f>
        <v>31704</v>
      </c>
      <c r="K53" s="2"/>
    </row>
    <row r="54" spans="1:11" x14ac:dyDescent="0.2">
      <c r="A54" s="327"/>
      <c r="B54" s="327"/>
      <c r="C54" s="327"/>
      <c r="D54" s="327"/>
      <c r="E54" s="327"/>
      <c r="F54" s="327"/>
      <c r="G54" s="327"/>
      <c r="K54" s="2"/>
    </row>
    <row r="55" spans="1:11" x14ac:dyDescent="0.2">
      <c r="A55" t="s">
        <v>17</v>
      </c>
      <c r="D55" s="22"/>
      <c r="K55" s="2"/>
    </row>
    <row r="56" spans="1:11" x14ac:dyDescent="0.2">
      <c r="B56" s="22" t="str">
        <f>C12&amp;" "&amp;'4.5AS LAE Dev'!$K$1&amp;", "&amp;'4.5AS LAE Dev'!$K$2</f>
        <v>(2) Exhibit 4, Sheet 5</v>
      </c>
      <c r="K56" s="2"/>
    </row>
    <row r="57" spans="1:11" x14ac:dyDescent="0.2">
      <c r="B57" s="22" t="str">
        <f>D12&amp;" "&amp;'4.5AS LAE Dev'!$K$1&amp;", "&amp;'4.5AS LAE Dev'!$K$2</f>
        <v>(3) Exhibit 4, Sheet 5</v>
      </c>
      <c r="K57" s="2"/>
    </row>
    <row r="58" spans="1:11" x14ac:dyDescent="0.2">
      <c r="B58" s="22" t="str">
        <f>'[5]4.4'!B58</f>
        <v>(4) 2008 - 2020: (2) * (3); 1986 - 2007: from TWIA's annual statements</v>
      </c>
      <c r="K58" s="2"/>
    </row>
    <row r="59" spans="1:11" x14ac:dyDescent="0.2">
      <c r="B59" s="22" t="str">
        <f>F12&amp;" From TWIA's annual statements"</f>
        <v>(5) From TWIA's annual statements</v>
      </c>
      <c r="K59" s="2"/>
    </row>
    <row r="60" spans="1:11" x14ac:dyDescent="0.2">
      <c r="B60" s="22" t="str">
        <f>'[5]4.4'!B60</f>
        <v>(6) 1986 - 2020: (4) + (5); prior years from prior TWIA annual statements</v>
      </c>
      <c r="C60" s="19"/>
      <c r="F60" s="45"/>
      <c r="K60" s="2"/>
    </row>
    <row r="61" spans="1:11" x14ac:dyDescent="0.2">
      <c r="F61" s="45"/>
      <c r="K61" s="2"/>
    </row>
    <row r="62" spans="1:11" x14ac:dyDescent="0.2">
      <c r="C62" s="19"/>
      <c r="D62" s="19"/>
      <c r="E62" s="39"/>
      <c r="F62" s="45"/>
      <c r="K62" s="2"/>
    </row>
    <row r="63" spans="1:11" x14ac:dyDescent="0.2">
      <c r="C63" s="19"/>
      <c r="D63" s="19"/>
      <c r="E63" s="39"/>
      <c r="F63" s="45"/>
      <c r="K63" s="2"/>
    </row>
    <row r="64" spans="1:11" x14ac:dyDescent="0.2">
      <c r="C64" s="19"/>
      <c r="D64" s="19"/>
      <c r="E64" s="39"/>
      <c r="F64" s="45"/>
      <c r="K64" s="2"/>
    </row>
    <row r="65" spans="1:11" x14ac:dyDescent="0.2">
      <c r="C65" s="19"/>
      <c r="D65" s="19"/>
      <c r="E65" s="39"/>
      <c r="F65" s="45"/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0.5" thickBot="1" x14ac:dyDescent="0.25">
      <c r="K70" s="2"/>
    </row>
    <row r="71" spans="1:11" ht="10.5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>
    <tabColor rgb="FF92D050"/>
  </sheetPr>
  <dimension ref="A1:M71"/>
  <sheetViews>
    <sheetView showGridLines="0" topLeftCell="A43" workbookViewId="0">
      <selection activeCell="I50" sqref="I50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10" width="12.6640625" customWidth="1"/>
    <col min="11" max="11" width="4.6640625" customWidth="1"/>
  </cols>
  <sheetData>
    <row r="1" spans="1:13" ht="10.5" x14ac:dyDescent="0.25">
      <c r="A1" s="8" t="str">
        <f>'1'!$A$1</f>
        <v>Texas Windstorm Insurance Association</v>
      </c>
      <c r="B1" s="12"/>
      <c r="J1" s="50"/>
      <c r="K1" s="7" t="s">
        <v>75</v>
      </c>
      <c r="L1" s="1"/>
    </row>
    <row r="2" spans="1:13" ht="10.5" x14ac:dyDescent="0.25">
      <c r="A2" s="8" t="str">
        <f>'1'!$A$2</f>
        <v>Residential Property - Wind &amp; Hail</v>
      </c>
      <c r="B2" s="12"/>
      <c r="J2" s="50"/>
      <c r="K2" s="7" t="s">
        <v>94</v>
      </c>
      <c r="L2" s="2"/>
    </row>
    <row r="3" spans="1:13" ht="10.5" x14ac:dyDescent="0.25">
      <c r="A3" s="8" t="str">
        <f>'1'!$A$3</f>
        <v>Rate Level Review</v>
      </c>
      <c r="B3" s="12"/>
      <c r="J3" s="50"/>
      <c r="L3" s="2"/>
    </row>
    <row r="4" spans="1:13" x14ac:dyDescent="0.2">
      <c r="A4" t="s">
        <v>95</v>
      </c>
      <c r="B4" s="12"/>
      <c r="J4" s="50"/>
      <c r="L4" s="2"/>
    </row>
    <row r="5" spans="1:13" x14ac:dyDescent="0.2">
      <c r="A5" t="s">
        <v>96</v>
      </c>
      <c r="B5" s="12"/>
      <c r="J5" s="50"/>
      <c r="L5" s="2"/>
    </row>
    <row r="6" spans="1:13" x14ac:dyDescent="0.2">
      <c r="J6" s="50"/>
      <c r="L6" s="2"/>
    </row>
    <row r="7" spans="1:13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0.5" thickTop="1" x14ac:dyDescent="0.2">
      <c r="J8" s="50"/>
      <c r="L8" s="2"/>
    </row>
    <row r="9" spans="1:13" x14ac:dyDescent="0.2">
      <c r="C9" s="24" t="s">
        <v>68</v>
      </c>
      <c r="J9" s="50"/>
      <c r="L9" s="2"/>
      <c r="M9" s="27"/>
    </row>
    <row r="10" spans="1:13" x14ac:dyDescent="0.2">
      <c r="A10" t="s">
        <v>53</v>
      </c>
      <c r="J10" s="50"/>
      <c r="L10" s="2"/>
      <c r="M10" t="s">
        <v>69</v>
      </c>
    </row>
    <row r="11" spans="1:13" x14ac:dyDescent="0.2">
      <c r="A11" s="9" t="s">
        <v>54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0">
        <f>'[6]4.5'!L11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5"/>
      <c r="L12" s="2"/>
    </row>
    <row r="13" spans="1:13" x14ac:dyDescent="0.2">
      <c r="J13" s="50"/>
      <c r="L13" s="2"/>
    </row>
    <row r="14" spans="1:13" x14ac:dyDescent="0.2">
      <c r="A14" t="str">
        <f t="shared" ref="A14:A23" si="2">TEXT(A15-1,"#")</f>
        <v>2010</v>
      </c>
      <c r="B14" s="25"/>
      <c r="C14" s="80">
        <f>'[5]4.5'!C14</f>
        <v>391</v>
      </c>
      <c r="D14" s="80">
        <f>'[5]4.5'!D14</f>
        <v>312</v>
      </c>
      <c r="E14" s="80">
        <f>'[5]4.5'!E14</f>
        <v>322</v>
      </c>
      <c r="F14" s="80">
        <f>'[5]4.5'!F14</f>
        <v>316</v>
      </c>
      <c r="G14" s="80">
        <f>'[5]4.5'!G14</f>
        <v>335</v>
      </c>
      <c r="H14" s="80">
        <f>'[5]4.5'!H14</f>
        <v>324</v>
      </c>
      <c r="I14" s="80">
        <f>'[5]4.5'!I14</f>
        <v>323</v>
      </c>
      <c r="J14" s="101"/>
      <c r="L14" s="2"/>
    </row>
    <row r="15" spans="1:13" x14ac:dyDescent="0.2">
      <c r="A15" t="str">
        <f t="shared" si="2"/>
        <v>2011</v>
      </c>
      <c r="B15" s="25"/>
      <c r="C15" s="80">
        <f>'[5]4.5'!C15</f>
        <v>515</v>
      </c>
      <c r="D15" s="80">
        <f>'[5]4.5'!D15</f>
        <v>592</v>
      </c>
      <c r="E15" s="80">
        <f>'[5]4.5'!E15</f>
        <v>609</v>
      </c>
      <c r="F15" s="80">
        <f>'[5]4.5'!F15</f>
        <v>682</v>
      </c>
      <c r="G15" s="80">
        <f>'[5]4.5'!G15</f>
        <v>629</v>
      </c>
      <c r="H15" s="80">
        <f>'[5]4.5'!H15</f>
        <v>745</v>
      </c>
      <c r="I15" s="80">
        <f>'[5]4.5'!I15</f>
        <v>725</v>
      </c>
      <c r="J15" s="101"/>
      <c r="L15" s="2"/>
    </row>
    <row r="16" spans="1:13" x14ac:dyDescent="0.2">
      <c r="A16" t="str">
        <f t="shared" si="2"/>
        <v>2012</v>
      </c>
      <c r="B16" s="25"/>
      <c r="C16" s="80">
        <f>'[5]4.5'!C16</f>
        <v>516</v>
      </c>
      <c r="D16" s="80">
        <f>'[5]4.5'!D16</f>
        <v>679</v>
      </c>
      <c r="E16" s="80">
        <f>'[5]4.5'!E16</f>
        <v>719</v>
      </c>
      <c r="F16" s="80">
        <f>'[5]4.5'!F16</f>
        <v>632</v>
      </c>
      <c r="G16" s="80">
        <f>'[5]4.5'!G16</f>
        <v>917</v>
      </c>
      <c r="H16" s="80">
        <f>'[5]4.5'!H16</f>
        <v>880</v>
      </c>
      <c r="I16" s="80">
        <f>'[5]4.5'!I16</f>
        <v>868</v>
      </c>
      <c r="J16" s="101"/>
      <c r="L16" s="2"/>
    </row>
    <row r="17" spans="1:13" x14ac:dyDescent="0.2">
      <c r="A17" t="str">
        <f t="shared" si="2"/>
        <v>2013</v>
      </c>
      <c r="B17" s="25"/>
      <c r="C17" s="80">
        <f>'[5]4.5'!C17</f>
        <v>802</v>
      </c>
      <c r="D17" s="80">
        <f>'[5]4.5'!D17</f>
        <v>806</v>
      </c>
      <c r="E17" s="80">
        <f>'[5]4.5'!E17</f>
        <v>715</v>
      </c>
      <c r="F17" s="80">
        <f>'[5]4.5'!F17</f>
        <v>1089</v>
      </c>
      <c r="G17" s="80">
        <f>'[5]4.5'!G17</f>
        <v>991</v>
      </c>
      <c r="H17" s="80">
        <f>'[5]4.5'!H17</f>
        <v>971</v>
      </c>
      <c r="I17" s="80">
        <f>'[5]4.5'!I17</f>
        <v>901</v>
      </c>
      <c r="J17" s="101"/>
      <c r="L17" s="2"/>
    </row>
    <row r="18" spans="1:13" x14ac:dyDescent="0.2">
      <c r="A18" t="str">
        <f t="shared" si="2"/>
        <v>2014</v>
      </c>
      <c r="B18" s="25"/>
      <c r="C18" s="80">
        <f>'[5]4.5'!C18</f>
        <v>516</v>
      </c>
      <c r="D18" s="80">
        <f>'[5]4.5'!D18</f>
        <v>493</v>
      </c>
      <c r="E18" s="80">
        <f>'[5]4.5'!E18</f>
        <v>1085</v>
      </c>
      <c r="F18" s="80">
        <f>'[5]4.5'!F18</f>
        <v>1266</v>
      </c>
      <c r="G18" s="80">
        <f>'[5]4.5'!G18</f>
        <v>1077</v>
      </c>
      <c r="H18" s="80">
        <f>'[5]4.5'!H18</f>
        <v>1028</v>
      </c>
      <c r="I18" s="80">
        <f>'[5]4.5'!I18</f>
        <v>1026</v>
      </c>
      <c r="J18" s="101"/>
      <c r="L18" s="2"/>
    </row>
    <row r="19" spans="1:13" x14ac:dyDescent="0.2">
      <c r="A19" t="str">
        <f t="shared" si="2"/>
        <v>2015</v>
      </c>
      <c r="B19" s="25"/>
      <c r="C19" s="80">
        <f>'[5]4.5'!C19</f>
        <v>973</v>
      </c>
      <c r="D19" s="80">
        <f>'[5]4.5'!D19</f>
        <v>1818</v>
      </c>
      <c r="E19" s="80">
        <f>'[5]4.5'!E19</f>
        <v>2355</v>
      </c>
      <c r="F19" s="80">
        <f>'[5]4.5'!F19</f>
        <v>2749</v>
      </c>
      <c r="G19" s="80">
        <f>'[5]4.5'!G19</f>
        <v>2944</v>
      </c>
      <c r="H19" s="80">
        <f>'[5]4.5'!H19</f>
        <v>2838</v>
      </c>
      <c r="I19" s="80"/>
      <c r="J19" s="101"/>
      <c r="L19" s="2"/>
    </row>
    <row r="20" spans="1:13" x14ac:dyDescent="0.2">
      <c r="A20" t="str">
        <f t="shared" si="2"/>
        <v>2016</v>
      </c>
      <c r="B20" s="25"/>
      <c r="C20" s="80">
        <f>'[5]4.5'!C20</f>
        <v>412</v>
      </c>
      <c r="D20" s="80">
        <f>'[5]4.5'!D20</f>
        <v>678</v>
      </c>
      <c r="E20" s="80">
        <f>'[5]4.5'!E20</f>
        <v>746</v>
      </c>
      <c r="F20" s="80">
        <f>'[5]4.5'!F20</f>
        <v>571</v>
      </c>
      <c r="G20" s="80">
        <f>'[5]4.5'!G20</f>
        <v>542</v>
      </c>
      <c r="H20" s="80"/>
      <c r="I20" s="80"/>
      <c r="J20" s="101"/>
      <c r="L20" s="2"/>
    </row>
    <row r="21" spans="1:13" x14ac:dyDescent="0.2">
      <c r="A21" t="str">
        <f t="shared" si="2"/>
        <v>2017</v>
      </c>
      <c r="B21" s="25"/>
      <c r="C21" s="80">
        <f>'[5]4.5'!C21</f>
        <v>891</v>
      </c>
      <c r="D21" s="80">
        <f>'[5]4.5'!D21</f>
        <v>16490</v>
      </c>
      <c r="E21" s="80">
        <f>'[5]4.5'!E21</f>
        <v>21865</v>
      </c>
      <c r="F21" s="80">
        <f>'[5]4.5'!F21</f>
        <v>21700</v>
      </c>
      <c r="G21" s="80"/>
      <c r="H21" s="80"/>
      <c r="I21" s="80"/>
      <c r="J21" s="101"/>
      <c r="L21" s="2"/>
    </row>
    <row r="22" spans="1:13" x14ac:dyDescent="0.2">
      <c r="A22" t="str">
        <f t="shared" si="2"/>
        <v>2018</v>
      </c>
      <c r="B22" s="25"/>
      <c r="C22" s="80">
        <f>'[5]4.5'!C22</f>
        <v>301</v>
      </c>
      <c r="D22" s="80">
        <f>'[5]4.5'!D22</f>
        <v>361</v>
      </c>
      <c r="E22" s="80">
        <f>'[5]4.5'!E22</f>
        <v>352</v>
      </c>
      <c r="F22" s="80"/>
      <c r="G22" s="80"/>
      <c r="H22" s="80"/>
      <c r="I22" s="80"/>
      <c r="J22" s="101"/>
      <c r="L22" s="2"/>
      <c r="M22" t="s">
        <v>219</v>
      </c>
    </row>
    <row r="23" spans="1:13" x14ac:dyDescent="0.2">
      <c r="A23" s="50" t="str">
        <f t="shared" si="2"/>
        <v>2019</v>
      </c>
      <c r="B23" s="51"/>
      <c r="C23" s="80">
        <f>'[5]4.5'!C23</f>
        <v>48</v>
      </c>
      <c r="D23" s="80">
        <f>'[5]4.5'!D23</f>
        <v>471</v>
      </c>
      <c r="E23" s="80"/>
      <c r="F23" s="80"/>
      <c r="G23" s="80"/>
      <c r="H23" s="80"/>
      <c r="I23" s="80"/>
      <c r="J23" s="101"/>
      <c r="L23" s="2"/>
      <c r="M23" s="83">
        <f>'[5]4.5'!$L$23</f>
        <v>44196</v>
      </c>
    </row>
    <row r="24" spans="1:13" x14ac:dyDescent="0.2">
      <c r="A24" s="50" t="str">
        <f>TEXT(YEAR($M$23),"#")</f>
        <v>2020</v>
      </c>
      <c r="B24" s="51"/>
      <c r="C24" s="80">
        <f>'[5]4.5'!C24</f>
        <v>295</v>
      </c>
      <c r="D24" s="80"/>
      <c r="E24" s="80"/>
      <c r="F24" s="80"/>
      <c r="G24" s="80"/>
      <c r="H24" s="80"/>
      <c r="I24" s="80"/>
      <c r="J24" s="101"/>
      <c r="L24" s="2"/>
      <c r="M24" s="83"/>
    </row>
    <row r="25" spans="1:13" x14ac:dyDescent="0.2">
      <c r="A25" s="9"/>
      <c r="B25" s="9"/>
      <c r="C25" s="9"/>
      <c r="D25" s="9"/>
      <c r="E25" s="9"/>
      <c r="F25" s="9"/>
      <c r="G25" s="9"/>
      <c r="H25" s="9"/>
      <c r="I25" s="9"/>
      <c r="J25" s="50"/>
      <c r="L25" s="2"/>
    </row>
    <row r="26" spans="1:13" x14ac:dyDescent="0.2">
      <c r="J26" s="50"/>
      <c r="L26" s="2"/>
    </row>
    <row r="27" spans="1:13" x14ac:dyDescent="0.2">
      <c r="B27" s="22"/>
      <c r="C27" s="24" t="s">
        <v>70</v>
      </c>
      <c r="J27" s="50"/>
      <c r="L27" s="2"/>
    </row>
    <row r="28" spans="1:13" x14ac:dyDescent="0.2">
      <c r="A28" t="s">
        <v>53</v>
      </c>
      <c r="J28" s="50"/>
      <c r="L28" s="2"/>
    </row>
    <row r="29" spans="1:13" x14ac:dyDescent="0.2">
      <c r="A29" s="9" t="s">
        <v>54</v>
      </c>
      <c r="B29" s="9"/>
      <c r="C29" s="9" t="str">
        <f t="shared" ref="C29:H29" si="3">C11&amp;" - "&amp;D11</f>
        <v>12 - 24</v>
      </c>
      <c r="D29" s="9" t="str">
        <f t="shared" si="3"/>
        <v>24 - 36</v>
      </c>
      <c r="E29" s="9" t="str">
        <f t="shared" si="3"/>
        <v>36 - 48</v>
      </c>
      <c r="F29" s="9" t="str">
        <f t="shared" si="3"/>
        <v>48 - 60</v>
      </c>
      <c r="G29" s="9" t="str">
        <f t="shared" si="3"/>
        <v>60 - 72</v>
      </c>
      <c r="H29" s="9" t="str">
        <f t="shared" si="3"/>
        <v>72 - 84</v>
      </c>
      <c r="I29" s="9" t="str">
        <f>I11&amp;" - Ult"</f>
        <v>84 - Ult</v>
      </c>
      <c r="J29" s="50"/>
      <c r="L29" s="2"/>
    </row>
    <row r="30" spans="1:13" x14ac:dyDescent="0.2">
      <c r="A30" s="13" t="str">
        <f>TEXT(COLUMN(),"(#)")</f>
        <v>(1)</v>
      </c>
      <c r="B30" s="13"/>
      <c r="C30" s="11" t="str">
        <f t="shared" ref="C30:I30" si="4">TEXT(COLUMN()-1,"(#)")</f>
        <v>(2)</v>
      </c>
      <c r="D30" s="11" t="str">
        <f t="shared" si="4"/>
        <v>(3)</v>
      </c>
      <c r="E30" s="11" t="str">
        <f t="shared" si="4"/>
        <v>(4)</v>
      </c>
      <c r="F30" s="11" t="str">
        <f t="shared" si="4"/>
        <v>(5)</v>
      </c>
      <c r="G30" s="11" t="str">
        <f t="shared" si="4"/>
        <v>(6)</v>
      </c>
      <c r="H30" s="11" t="str">
        <f t="shared" si="4"/>
        <v>(7)</v>
      </c>
      <c r="I30" s="11" t="str">
        <f t="shared" si="4"/>
        <v>(8)</v>
      </c>
      <c r="J30" s="115"/>
      <c r="L30" s="2"/>
    </row>
    <row r="31" spans="1:13" x14ac:dyDescent="0.2">
      <c r="J31" s="50"/>
      <c r="L31" s="2"/>
    </row>
    <row r="32" spans="1:13" x14ac:dyDescent="0.2">
      <c r="A32" t="str">
        <f t="shared" ref="A32:A41" si="5">A14</f>
        <v>2010</v>
      </c>
      <c r="B32" s="25"/>
      <c r="C32" s="39">
        <f t="shared" ref="C32:H40" si="6">IF(ISNUMBER(D14),D14/C14,"")</f>
        <v>0.79795396419437337</v>
      </c>
      <c r="D32" s="39">
        <f t="shared" si="6"/>
        <v>1.0320512820512822</v>
      </c>
      <c r="E32" s="39">
        <f t="shared" si="6"/>
        <v>0.98136645962732916</v>
      </c>
      <c r="F32" s="39">
        <f t="shared" si="6"/>
        <v>1.0601265822784811</v>
      </c>
      <c r="G32" s="39">
        <f t="shared" si="6"/>
        <v>0.96716417910447761</v>
      </c>
      <c r="H32" s="39">
        <f t="shared" si="6"/>
        <v>0.99691358024691357</v>
      </c>
      <c r="I32" s="39" t="str">
        <f>IF(ISNUMBER(#REF!),#REF!/I14,"")</f>
        <v/>
      </c>
      <c r="J32" s="161"/>
      <c r="L32" s="2"/>
    </row>
    <row r="33" spans="1:12" x14ac:dyDescent="0.2">
      <c r="A33" t="str">
        <f t="shared" si="5"/>
        <v>2011</v>
      </c>
      <c r="B33" s="25"/>
      <c r="C33" s="39">
        <f t="shared" si="6"/>
        <v>1.149514563106796</v>
      </c>
      <c r="D33" s="39">
        <f t="shared" si="6"/>
        <v>1.0287162162162162</v>
      </c>
      <c r="E33" s="39">
        <f t="shared" si="6"/>
        <v>1.1198686371100164</v>
      </c>
      <c r="F33" s="39">
        <f t="shared" si="6"/>
        <v>0.92228739002932547</v>
      </c>
      <c r="G33" s="39">
        <f t="shared" si="6"/>
        <v>1.1844197138314785</v>
      </c>
      <c r="H33" s="39">
        <f t="shared" si="6"/>
        <v>0.97315436241610742</v>
      </c>
      <c r="I33" s="39" t="str">
        <f>IF(ISNUMBER(#REF!),#REF!/I15,"")</f>
        <v/>
      </c>
      <c r="J33" s="161"/>
      <c r="L33" s="2"/>
    </row>
    <row r="34" spans="1:12" x14ac:dyDescent="0.2">
      <c r="A34" t="str">
        <f t="shared" si="5"/>
        <v>2012</v>
      </c>
      <c r="B34" s="25"/>
      <c r="C34" s="39">
        <f t="shared" si="6"/>
        <v>1.3158914728682169</v>
      </c>
      <c r="D34" s="39">
        <f t="shared" si="6"/>
        <v>1.0589101620029455</v>
      </c>
      <c r="E34" s="39">
        <f t="shared" si="6"/>
        <v>0.87899860917941586</v>
      </c>
      <c r="F34" s="39">
        <f t="shared" si="6"/>
        <v>1.4509493670886076</v>
      </c>
      <c r="G34" s="39">
        <f t="shared" si="6"/>
        <v>0.95965103598691381</v>
      </c>
      <c r="H34" s="39">
        <f t="shared" si="6"/>
        <v>0.98636363636363633</v>
      </c>
      <c r="I34" s="39" t="str">
        <f>IF(ISNUMBER(#REF!),#REF!/I16,"")</f>
        <v/>
      </c>
      <c r="J34" s="161"/>
      <c r="L34" s="2"/>
    </row>
    <row r="35" spans="1:12" x14ac:dyDescent="0.2">
      <c r="A35" t="str">
        <f t="shared" si="5"/>
        <v>2013</v>
      </c>
      <c r="B35" s="25"/>
      <c r="C35" s="39">
        <f t="shared" si="6"/>
        <v>1.0049875311720697</v>
      </c>
      <c r="D35" s="39">
        <f t="shared" si="6"/>
        <v>0.88709677419354838</v>
      </c>
      <c r="E35" s="39">
        <f t="shared" si="6"/>
        <v>1.523076923076923</v>
      </c>
      <c r="F35" s="39">
        <f t="shared" si="6"/>
        <v>0.91000918273645548</v>
      </c>
      <c r="G35" s="39">
        <f t="shared" si="6"/>
        <v>0.97981836528758826</v>
      </c>
      <c r="H35" s="39">
        <f t="shared" si="6"/>
        <v>0.92790937178166844</v>
      </c>
      <c r="I35" s="39" t="str">
        <f>IF(ISNUMBER(#REF!),#REF!/I17,"")</f>
        <v/>
      </c>
      <c r="J35" s="161"/>
      <c r="L35" s="2"/>
    </row>
    <row r="36" spans="1:12" x14ac:dyDescent="0.2">
      <c r="A36" t="str">
        <f t="shared" si="5"/>
        <v>2014</v>
      </c>
      <c r="B36" s="25"/>
      <c r="C36" s="39">
        <f t="shared" si="6"/>
        <v>0.95542635658914732</v>
      </c>
      <c r="D36" s="39">
        <f t="shared" si="6"/>
        <v>2.2008113590263694</v>
      </c>
      <c r="E36" s="39">
        <f t="shared" si="6"/>
        <v>1.1668202764976958</v>
      </c>
      <c r="F36" s="39">
        <f t="shared" si="6"/>
        <v>0.85071090047393361</v>
      </c>
      <c r="G36" s="39">
        <f t="shared" si="6"/>
        <v>0.95450324976787371</v>
      </c>
      <c r="H36" s="39">
        <f t="shared" si="6"/>
        <v>0.99805447470817121</v>
      </c>
      <c r="I36" s="39" t="str">
        <f>IF(ISNUMBER(#REF!),#REF!/I18,"")</f>
        <v/>
      </c>
      <c r="J36" s="161"/>
      <c r="L36" s="2"/>
    </row>
    <row r="37" spans="1:12" x14ac:dyDescent="0.2">
      <c r="A37" t="str">
        <f t="shared" si="5"/>
        <v>2015</v>
      </c>
      <c r="B37" s="25"/>
      <c r="C37" s="39">
        <f t="shared" si="6"/>
        <v>1.868448098663926</v>
      </c>
      <c r="D37" s="39">
        <f t="shared" si="6"/>
        <v>1.2953795379537953</v>
      </c>
      <c r="E37" s="39">
        <f t="shared" si="6"/>
        <v>1.1673036093418259</v>
      </c>
      <c r="F37" s="39">
        <f t="shared" si="6"/>
        <v>1.0709348854128775</v>
      </c>
      <c r="G37" s="39">
        <f t="shared" si="6"/>
        <v>0.96399456521739135</v>
      </c>
      <c r="H37" s="39" t="str">
        <f t="shared" si="6"/>
        <v/>
      </c>
      <c r="I37" s="39" t="str">
        <f>IF(ISNUMBER(#REF!),#REF!/I19,"")</f>
        <v/>
      </c>
      <c r="J37" s="161"/>
      <c r="L37" s="2"/>
    </row>
    <row r="38" spans="1:12" x14ac:dyDescent="0.2">
      <c r="A38" t="str">
        <f t="shared" si="5"/>
        <v>2016</v>
      </c>
      <c r="B38" s="25"/>
      <c r="C38" s="39">
        <f t="shared" si="6"/>
        <v>1.645631067961165</v>
      </c>
      <c r="D38" s="39">
        <f t="shared" si="6"/>
        <v>1.1002949852507375</v>
      </c>
      <c r="E38" s="39">
        <f t="shared" si="6"/>
        <v>0.76541554959785518</v>
      </c>
      <c r="F38" s="39">
        <f t="shared" si="6"/>
        <v>0.94921190893169882</v>
      </c>
      <c r="G38" s="39" t="str">
        <f t="shared" si="6"/>
        <v/>
      </c>
      <c r="H38" s="39" t="str">
        <f t="shared" si="6"/>
        <v/>
      </c>
      <c r="I38" s="39" t="str">
        <f>IF(ISNUMBER(#REF!),#REF!/I20,"")</f>
        <v/>
      </c>
      <c r="J38" s="161"/>
      <c r="L38" s="2"/>
    </row>
    <row r="39" spans="1:12" x14ac:dyDescent="0.2">
      <c r="A39" t="str">
        <f t="shared" si="5"/>
        <v>2017</v>
      </c>
      <c r="B39" s="25"/>
      <c r="C39" s="39">
        <f t="shared" si="6"/>
        <v>18.50729517396184</v>
      </c>
      <c r="D39" s="39">
        <f t="shared" si="6"/>
        <v>1.3259551243177683</v>
      </c>
      <c r="E39" s="39">
        <f t="shared" si="6"/>
        <v>0.99245369311685339</v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IF(ISNUMBER(#REF!),#REF!/I21,"")</f>
        <v/>
      </c>
      <c r="J39" s="161"/>
      <c r="L39" s="2"/>
    </row>
    <row r="40" spans="1:12" x14ac:dyDescent="0.2">
      <c r="A40" s="50" t="str">
        <f t="shared" si="5"/>
        <v>2018</v>
      </c>
      <c r="B40" s="51"/>
      <c r="C40" s="161">
        <f t="shared" si="6"/>
        <v>1.1993355481727574</v>
      </c>
      <c r="D40" s="161">
        <f t="shared" si="6"/>
        <v>0.97506925207756234</v>
      </c>
      <c r="E40" s="161" t="str">
        <f t="shared" si="6"/>
        <v/>
      </c>
      <c r="F40" s="161" t="str">
        <f t="shared" si="6"/>
        <v/>
      </c>
      <c r="G40" s="161" t="str">
        <f t="shared" si="6"/>
        <v/>
      </c>
      <c r="H40" s="161" t="str">
        <f t="shared" si="6"/>
        <v/>
      </c>
      <c r="I40" s="161" t="str">
        <f>IF(ISNUMBER(#REF!),#REF!/I22,"")</f>
        <v/>
      </c>
      <c r="J40" s="161"/>
      <c r="L40" s="2"/>
    </row>
    <row r="41" spans="1:12" x14ac:dyDescent="0.2">
      <c r="A41" s="50" t="str">
        <f t="shared" si="5"/>
        <v>2019</v>
      </c>
      <c r="B41" s="51"/>
      <c r="C41" s="161">
        <f>IF(ISNUMBER(D23),D23/C23,"")</f>
        <v>9.8125</v>
      </c>
      <c r="D41" s="161"/>
      <c r="E41" s="161"/>
      <c r="F41" s="161"/>
      <c r="G41" s="161"/>
      <c r="H41" s="161"/>
      <c r="I41" s="161"/>
      <c r="J41" s="161"/>
      <c r="L41" s="2"/>
    </row>
    <row r="42" spans="1:12" x14ac:dyDescent="0.2">
      <c r="A42" s="9"/>
      <c r="B42" s="26"/>
      <c r="C42" s="40"/>
      <c r="D42" s="40"/>
      <c r="E42" s="40"/>
      <c r="F42" s="40"/>
      <c r="G42" s="40"/>
      <c r="H42" s="40"/>
      <c r="I42" s="40"/>
      <c r="J42" s="50"/>
      <c r="L42" s="2"/>
    </row>
    <row r="43" spans="1:12" x14ac:dyDescent="0.2">
      <c r="J43" s="162"/>
      <c r="L43" s="2"/>
    </row>
    <row r="44" spans="1:12" x14ac:dyDescent="0.2">
      <c r="A44" t="s">
        <v>71</v>
      </c>
      <c r="B44" s="25"/>
      <c r="C44" s="310">
        <f t="shared" ref="C44:H44" si="7">AVERAGE(C32:C41)</f>
        <v>3.825698377669029</v>
      </c>
      <c r="D44" s="310">
        <f t="shared" si="7"/>
        <v>1.2115871881211362</v>
      </c>
      <c r="E44" s="310">
        <f t="shared" si="7"/>
        <v>1.0744129696934892</v>
      </c>
      <c r="F44" s="310">
        <f t="shared" si="7"/>
        <v>1.03060431670734</v>
      </c>
      <c r="G44" s="310">
        <f t="shared" si="7"/>
        <v>1.0015918515326205</v>
      </c>
      <c r="H44" s="310">
        <f t="shared" si="7"/>
        <v>0.97647908510329928</v>
      </c>
      <c r="I44" s="310"/>
      <c r="J44" s="50"/>
      <c r="L44" s="2"/>
    </row>
    <row r="45" spans="1:12" x14ac:dyDescent="0.2">
      <c r="A45" t="s">
        <v>97</v>
      </c>
      <c r="B45" s="22"/>
      <c r="C45" s="310">
        <f t="shared" ref="C45:H45" si="8">(SUM(C32:C41)-MAX(C32:C41)-MIN(C32:C41))/(COUNT(C32:C41)-2)</f>
        <v>2.3689668298167597</v>
      </c>
      <c r="D45" s="310">
        <f t="shared" si="8"/>
        <v>1.1166252228386155</v>
      </c>
      <c r="E45" s="310">
        <f t="shared" si="8"/>
        <v>1.0511352141455226</v>
      </c>
      <c r="F45" s="310">
        <f t="shared" si="8"/>
        <v>0.98251398987776761</v>
      </c>
      <c r="G45" s="310">
        <f t="shared" si="8"/>
        <v>0.96765703639909284</v>
      </c>
      <c r="H45" s="310">
        <f t="shared" si="8"/>
        <v>0.9854771930088857</v>
      </c>
      <c r="I45" s="310"/>
      <c r="J45" s="50"/>
      <c r="L45" s="2"/>
    </row>
    <row r="46" spans="1:12" x14ac:dyDescent="0.2">
      <c r="A46" t="s">
        <v>98</v>
      </c>
      <c r="C46" s="310">
        <f>AVERAGE(C39:C41)</f>
        <v>9.8397102407115327</v>
      </c>
      <c r="D46" s="310">
        <f>AVERAGE(D38:D40)</f>
        <v>1.1337731205486894</v>
      </c>
      <c r="E46" s="310">
        <f>AVERAGE(E37:E39)</f>
        <v>0.97505761735217822</v>
      </c>
      <c r="F46" s="310">
        <f>AVERAGE(F36:F38)</f>
        <v>0.95695256493950331</v>
      </c>
      <c r="G46" s="310">
        <f>AVERAGE(G35:G37)</f>
        <v>0.96610539342428436</v>
      </c>
      <c r="H46" s="310">
        <f>AVERAGE(H34:H36)</f>
        <v>0.97077582761782522</v>
      </c>
      <c r="I46" s="310"/>
      <c r="J46" s="162"/>
      <c r="L46" s="2"/>
    </row>
    <row r="47" spans="1:12" x14ac:dyDescent="0.2">
      <c r="A47" t="s">
        <v>72</v>
      </c>
      <c r="B47" s="25"/>
      <c r="C47" s="310">
        <f>AVERAGE(C37:C41)</f>
        <v>6.606641977751937</v>
      </c>
      <c r="D47" s="310">
        <f>AVERAGE(D36:D40)</f>
        <v>1.3795020517252463</v>
      </c>
      <c r="E47" s="310">
        <f>AVERAGE(E35:E39)</f>
        <v>1.1230140103262305</v>
      </c>
      <c r="F47" s="310">
        <f>AVERAGE(F34:F38)</f>
        <v>1.0463632489287145</v>
      </c>
      <c r="G47" s="310">
        <f>AVERAGE(G33:G37)</f>
        <v>1.0084773860182492</v>
      </c>
      <c r="H47" s="310">
        <f>AVERAGE(H32:H36)</f>
        <v>0.97647908510329928</v>
      </c>
      <c r="I47" s="310"/>
      <c r="J47" s="163"/>
      <c r="L47" s="2"/>
    </row>
    <row r="48" spans="1:12" x14ac:dyDescent="0.2">
      <c r="A48" s="59" t="s">
        <v>265</v>
      </c>
      <c r="B48" s="59"/>
      <c r="C48" s="311">
        <v>1.2</v>
      </c>
      <c r="D48" s="311">
        <v>1.1000000000000001</v>
      </c>
      <c r="E48" s="311">
        <v>1.075</v>
      </c>
      <c r="F48" s="311">
        <v>1.0109999999999999</v>
      </c>
      <c r="G48" s="311">
        <v>0.98899999999999999</v>
      </c>
      <c r="H48" s="311">
        <v>0.96499999999999997</v>
      </c>
      <c r="I48" s="311">
        <v>1</v>
      </c>
      <c r="J48" s="164"/>
      <c r="L48" s="2"/>
    </row>
    <row r="49" spans="1:12" x14ac:dyDescent="0.2">
      <c r="A49" t="s">
        <v>73</v>
      </c>
      <c r="C49" s="312">
        <f>'[5]4.5'!C48</f>
        <v>1.5</v>
      </c>
      <c r="D49" s="312">
        <f>'[5]4.5'!D48</f>
        <v>1.1879999999999999</v>
      </c>
      <c r="E49" s="312">
        <f>'[5]4.5'!E48</f>
        <v>1.0620000000000001</v>
      </c>
      <c r="F49" s="312">
        <f>'[5]4.5'!F48</f>
        <v>1.0049999999999999</v>
      </c>
      <c r="G49" s="312">
        <f>'[5]4.5'!G48</f>
        <v>0.98699999999999999</v>
      </c>
      <c r="H49" s="312">
        <f>'[5]4.5'!H48</f>
        <v>0.97699999999999998</v>
      </c>
      <c r="I49" s="312">
        <f>'[5]4.5'!I48</f>
        <v>1</v>
      </c>
      <c r="J49" s="103"/>
      <c r="L49" s="2"/>
    </row>
    <row r="50" spans="1:12" x14ac:dyDescent="0.2">
      <c r="A50" t="s">
        <v>74</v>
      </c>
      <c r="C50" s="310">
        <f t="shared" ref="C50:H50" si="9">ROUND(C49*D50,3)</f>
        <v>1.833</v>
      </c>
      <c r="D50" s="310">
        <f t="shared" si="9"/>
        <v>1.222</v>
      </c>
      <c r="E50" s="310">
        <f t="shared" si="9"/>
        <v>1.0289999999999999</v>
      </c>
      <c r="F50" s="310">
        <f t="shared" si="9"/>
        <v>0.96899999999999997</v>
      </c>
      <c r="G50" s="310">
        <f t="shared" si="9"/>
        <v>0.96399999999999997</v>
      </c>
      <c r="H50" s="310">
        <f t="shared" si="9"/>
        <v>0.97699999999999998</v>
      </c>
      <c r="I50" s="310">
        <f>I49</f>
        <v>1</v>
      </c>
      <c r="J50" s="50"/>
      <c r="L50" s="2"/>
    </row>
    <row r="51" spans="1:12" ht="10.5" thickBot="1" x14ac:dyDescent="0.25">
      <c r="A51" s="6"/>
      <c r="B51" s="6"/>
      <c r="C51" s="6"/>
      <c r="D51" s="6"/>
      <c r="E51" s="6"/>
      <c r="F51" s="6"/>
      <c r="G51" s="6"/>
      <c r="H51" s="6"/>
      <c r="I51" s="6"/>
      <c r="J51" s="50"/>
      <c r="L51" s="2"/>
    </row>
    <row r="52" spans="1:12" ht="10.5" thickTop="1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J64" s="50"/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0.5" thickBot="1" x14ac:dyDescent="0.25">
      <c r="L70" s="2"/>
    </row>
    <row r="71" spans="1:12" ht="10.5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M71"/>
  <sheetViews>
    <sheetView showGridLines="0" workbookViewId="0">
      <selection activeCell="C18" sqref="C18"/>
    </sheetView>
  </sheetViews>
  <sheetFormatPr defaultColWidth="11.33203125" defaultRowHeight="10" x14ac:dyDescent="0.2"/>
  <cols>
    <col min="1" max="1" width="2.44140625" bestFit="1" customWidth="1"/>
    <col min="2" max="2" width="28.44140625" customWidth="1"/>
    <col min="3" max="3" width="9.6640625" customWidth="1"/>
    <col min="4" max="4" width="13.33203125" customWidth="1"/>
    <col min="5" max="6" width="9.6640625" customWidth="1"/>
    <col min="7" max="7" width="11.109375" customWidth="1"/>
    <col min="8" max="8" width="9.6640625" customWidth="1"/>
    <col min="9" max="10" width="11.33203125" customWidth="1"/>
    <col min="11" max="11" width="3.6640625" customWidth="1"/>
    <col min="13" max="13" width="2.33203125" customWidth="1"/>
  </cols>
  <sheetData>
    <row r="1" spans="1:12" ht="10.5" x14ac:dyDescent="0.25">
      <c r="A1" s="8" t="s">
        <v>0</v>
      </c>
      <c r="B1" s="96"/>
      <c r="K1" s="7" t="s">
        <v>5</v>
      </c>
      <c r="L1" s="1"/>
    </row>
    <row r="2" spans="1:12" ht="10.5" x14ac:dyDescent="0.25">
      <c r="A2" s="8" t="s">
        <v>1</v>
      </c>
      <c r="B2" s="96"/>
      <c r="H2" s="7"/>
      <c r="I2" s="7"/>
      <c r="J2" s="7"/>
      <c r="K2" s="129"/>
      <c r="L2" s="2"/>
    </row>
    <row r="3" spans="1:12" ht="10.5" x14ac:dyDescent="0.25">
      <c r="A3" s="8" t="s">
        <v>2</v>
      </c>
      <c r="B3" s="96"/>
      <c r="L3" s="2"/>
    </row>
    <row r="4" spans="1:12" x14ac:dyDescent="0.2">
      <c r="A4" t="s">
        <v>3</v>
      </c>
      <c r="B4" s="96"/>
      <c r="L4" s="2"/>
    </row>
    <row r="5" spans="1:12" x14ac:dyDescent="0.2">
      <c r="A5" t="s">
        <v>4</v>
      </c>
      <c r="B5" s="96"/>
      <c r="L5" s="2"/>
    </row>
    <row r="6" spans="1:12" x14ac:dyDescent="0.2">
      <c r="L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K7" s="50"/>
      <c r="L7" s="2"/>
    </row>
    <row r="8" spans="1:12" ht="10.5" thickTop="1" x14ac:dyDescent="0.2">
      <c r="L8" s="2"/>
    </row>
    <row r="9" spans="1:12" x14ac:dyDescent="0.2">
      <c r="C9" s="10" t="s">
        <v>7</v>
      </c>
      <c r="H9" t="s">
        <v>13</v>
      </c>
      <c r="I9" t="s">
        <v>302</v>
      </c>
      <c r="L9" s="2"/>
    </row>
    <row r="10" spans="1:12" x14ac:dyDescent="0.2">
      <c r="E10" t="s">
        <v>225</v>
      </c>
      <c r="G10" t="s">
        <v>10</v>
      </c>
      <c r="H10" t="s">
        <v>14</v>
      </c>
      <c r="I10" t="s">
        <v>14</v>
      </c>
      <c r="L10" s="2"/>
    </row>
    <row r="11" spans="1:12" x14ac:dyDescent="0.2">
      <c r="A11" s="9" t="s">
        <v>16</v>
      </c>
      <c r="B11" s="9"/>
      <c r="C11" s="9" t="s">
        <v>6</v>
      </c>
      <c r="D11" s="9" t="s">
        <v>8</v>
      </c>
      <c r="E11" s="9" t="s">
        <v>226</v>
      </c>
      <c r="F11" s="9" t="s">
        <v>9</v>
      </c>
      <c r="G11" s="9" t="s">
        <v>227</v>
      </c>
      <c r="H11" s="9" t="s">
        <v>15</v>
      </c>
      <c r="I11" s="9" t="s">
        <v>15</v>
      </c>
      <c r="J11" s="50"/>
      <c r="K11" s="50"/>
      <c r="L11" s="2"/>
    </row>
    <row r="12" spans="1:12" x14ac:dyDescent="0.2">
      <c r="A12" s="13" t="str">
        <f>TEXT(COLUMN(),"(#)")</f>
        <v>(1)</v>
      </c>
      <c r="B12" s="13"/>
      <c r="C12" s="11" t="str">
        <f t="shared" ref="C12:I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/>
      <c r="K12" s="11"/>
      <c r="L12" s="2"/>
    </row>
    <row r="13" spans="1:12" x14ac:dyDescent="0.2">
      <c r="L13" s="2"/>
    </row>
    <row r="14" spans="1:12" x14ac:dyDescent="0.2">
      <c r="L14" s="2"/>
    </row>
    <row r="15" spans="1:12" x14ac:dyDescent="0.2">
      <c r="B15" t="s">
        <v>301</v>
      </c>
      <c r="C15" s="20">
        <f ca="1">AVERAGE(AVERAGE(C21:C23),C19)</f>
        <v>0.46824999999999994</v>
      </c>
      <c r="D15" s="23">
        <f>D$19</f>
        <v>0.14899999999999999</v>
      </c>
      <c r="E15" s="23">
        <f>E$19</f>
        <v>0.45345396402989785</v>
      </c>
      <c r="F15" s="18">
        <f ca="1">C15+D15+E15</f>
        <v>1.0707039640298979</v>
      </c>
      <c r="G15" s="23">
        <f>G$19</f>
        <v>0.77099999999999991</v>
      </c>
      <c r="H15" s="23">
        <f ca="1">ROUND(F15/G15-1,2)</f>
        <v>0.39</v>
      </c>
      <c r="I15" s="190"/>
      <c r="L15" s="2"/>
    </row>
    <row r="16" spans="1:12" x14ac:dyDescent="0.2">
      <c r="A16" s="9"/>
      <c r="B16" s="183"/>
      <c r="C16" s="85"/>
      <c r="D16" s="85"/>
      <c r="E16" s="85"/>
      <c r="F16" s="184"/>
      <c r="G16" s="85"/>
      <c r="H16" s="185"/>
      <c r="I16" s="185"/>
      <c r="J16" s="16"/>
      <c r="K16" s="16"/>
      <c r="L16" s="2"/>
    </row>
    <row r="17" spans="1:13" x14ac:dyDescent="0.2">
      <c r="C17" s="12"/>
      <c r="D17" s="22"/>
      <c r="L17" s="2"/>
    </row>
    <row r="18" spans="1:13" x14ac:dyDescent="0.2">
      <c r="C18" s="18"/>
      <c r="D18" s="23"/>
      <c r="E18" s="14"/>
      <c r="F18" s="14"/>
      <c r="G18" s="14"/>
      <c r="H18" s="15"/>
      <c r="I18" s="15"/>
      <c r="J18" s="15"/>
      <c r="K18" s="15"/>
      <c r="L18" s="2"/>
    </row>
    <row r="19" spans="1:13" x14ac:dyDescent="0.2">
      <c r="B19" t="s">
        <v>277</v>
      </c>
      <c r="C19" s="23">
        <f ca="1">'5'!$E$14</f>
        <v>0.41499999999999998</v>
      </c>
      <c r="D19" s="23">
        <f>'2.1'!$E$19</f>
        <v>0.14899999999999999</v>
      </c>
      <c r="E19" s="23">
        <f>'11.1'!$G$42</f>
        <v>0.45345396402989785</v>
      </c>
      <c r="F19" s="18">
        <f ca="1">C19+D19+E19</f>
        <v>1.0174539640298979</v>
      </c>
      <c r="G19" s="23">
        <f>'11.1'!$G$48</f>
        <v>0.77099999999999991</v>
      </c>
      <c r="H19" s="16">
        <f ca="1">ROUND(F19/G19-1,2)</f>
        <v>0.32</v>
      </c>
      <c r="I19" s="16"/>
      <c r="J19" s="16"/>
      <c r="K19" s="16"/>
      <c r="L19" s="2"/>
    </row>
    <row r="20" spans="1:13" x14ac:dyDescent="0.2">
      <c r="C20" s="12"/>
      <c r="D20" s="22"/>
      <c r="L20" s="2"/>
    </row>
    <row r="21" spans="1:13" x14ac:dyDescent="0.2">
      <c r="B21" t="s">
        <v>359</v>
      </c>
      <c r="C21" s="23">
        <f>'5'!$E$17</f>
        <v>0.58299999999999996</v>
      </c>
      <c r="D21" s="23">
        <f>D$19</f>
        <v>0.14899999999999999</v>
      </c>
      <c r="E21" s="23">
        <f>E$19</f>
        <v>0.45345396402989785</v>
      </c>
      <c r="F21" s="18">
        <f>C21+D21+E21</f>
        <v>1.1854539640298978</v>
      </c>
      <c r="G21" s="23">
        <f>G$19</f>
        <v>0.77099999999999991</v>
      </c>
      <c r="H21" s="16">
        <f>ROUND(F21/G21-1,2)</f>
        <v>0.54</v>
      </c>
      <c r="I21" s="16"/>
      <c r="J21" s="16"/>
      <c r="K21" s="16"/>
      <c r="L21" s="2"/>
    </row>
    <row r="22" spans="1:13" x14ac:dyDescent="0.2">
      <c r="C22" s="23"/>
      <c r="D22" s="23"/>
      <c r="E22" s="23"/>
      <c r="F22" s="18"/>
      <c r="G22" s="23"/>
      <c r="H22" s="16"/>
      <c r="I22" s="16"/>
      <c r="J22" s="16"/>
      <c r="K22" s="16"/>
      <c r="L22" s="2"/>
    </row>
    <row r="23" spans="1:13" x14ac:dyDescent="0.2">
      <c r="B23" t="s">
        <v>358</v>
      </c>
      <c r="C23" s="20">
        <f>'5'!E18</f>
        <v>0.46</v>
      </c>
      <c r="D23" s="20">
        <f>D19</f>
        <v>0.14899999999999999</v>
      </c>
      <c r="E23" s="20">
        <f>E21</f>
        <v>0.45345396402989785</v>
      </c>
      <c r="F23" s="18">
        <f t="shared" ref="F23" si="1">C23+D23+E23</f>
        <v>1.0624539640298978</v>
      </c>
      <c r="G23" s="20">
        <f>G21</f>
        <v>0.77099999999999991</v>
      </c>
      <c r="H23" s="16">
        <f t="shared" ref="H23" si="2">ROUND(F23/G23-1,2)</f>
        <v>0.38</v>
      </c>
      <c r="L23" s="2"/>
    </row>
    <row r="24" spans="1:13" x14ac:dyDescent="0.2">
      <c r="C24" s="20"/>
      <c r="D24" s="20"/>
      <c r="E24" s="20"/>
      <c r="F24" s="18"/>
      <c r="G24" s="20"/>
      <c r="H24" s="16"/>
      <c r="L24" s="2"/>
    </row>
    <row r="25" spans="1:13" ht="10.5" thickBot="1" x14ac:dyDescent="0.25">
      <c r="A25" s="6"/>
      <c r="B25" s="6" t="s">
        <v>430</v>
      </c>
      <c r="C25" s="319">
        <f>AVERAGE(C21,C23)</f>
        <v>0.52149999999999996</v>
      </c>
      <c r="D25" s="319">
        <f>D23</f>
        <v>0.14899999999999999</v>
      </c>
      <c r="E25" s="319">
        <f>E23</f>
        <v>0.45345396402989785</v>
      </c>
      <c r="F25" s="319">
        <f>SUM(C25+D25+E25)</f>
        <v>1.1239539640298979</v>
      </c>
      <c r="G25" s="319">
        <f>G23</f>
        <v>0.77099999999999991</v>
      </c>
      <c r="H25" s="320">
        <f>F25/G25-1</f>
        <v>0.45778724258093129</v>
      </c>
      <c r="I25" s="6"/>
      <c r="J25" s="50"/>
      <c r="K25" s="50"/>
      <c r="L25" s="2"/>
    </row>
    <row r="26" spans="1:13" ht="10.5" thickTop="1" x14ac:dyDescent="0.2">
      <c r="C26" s="20"/>
      <c r="E26" s="20">
        <f>E25-'[2]1'!$E$25</f>
        <v>-2.3985496199588729E-2</v>
      </c>
      <c r="L26" s="2"/>
    </row>
    <row r="27" spans="1:13" x14ac:dyDescent="0.2">
      <c r="A27" t="s">
        <v>17</v>
      </c>
      <c r="L27" s="2"/>
      <c r="M27" s="23"/>
    </row>
    <row r="28" spans="1:13" x14ac:dyDescent="0.2">
      <c r="B28" s="22" t="str">
        <f>C12&amp;" "&amp;'5'!$H$1</f>
        <v>(2) Exhibit 5</v>
      </c>
      <c r="L28" s="2"/>
      <c r="M28" s="12"/>
    </row>
    <row r="29" spans="1:13" x14ac:dyDescent="0.2">
      <c r="B29" s="22" t="str">
        <f>D12&amp;" "&amp;'2.1'!$J$1&amp;", "&amp;'2.1'!$J$2</f>
        <v>(3) Exhibit 2, Sheet 1</v>
      </c>
      <c r="L29" s="2"/>
    </row>
    <row r="30" spans="1:13" x14ac:dyDescent="0.2">
      <c r="B30" s="22" t="str">
        <f>E12&amp;" "&amp;'[3]11.1'!$J$1 &amp; ", "&amp; '[3]11.1'!$J$2</f>
        <v>(4) Exhibit 11, Sheet 1</v>
      </c>
      <c r="L30" s="2"/>
      <c r="M30" s="12"/>
    </row>
    <row r="31" spans="1:13" x14ac:dyDescent="0.2">
      <c r="B31" s="97" t="str">
        <f>F12&amp;" = "&amp;C12&amp;" + "&amp;D12&amp;" + "&amp;E12</f>
        <v>(5) = (2) + (3) + (4)</v>
      </c>
      <c r="L31" s="2"/>
    </row>
    <row r="32" spans="1:13" x14ac:dyDescent="0.2">
      <c r="B32" s="22" t="str">
        <f>G12&amp;" "&amp;'[3]11.1'!$J$1 &amp; ", "&amp; '[3]11.1'!$J$2</f>
        <v>(6) Exhibit 11, Sheet 1</v>
      </c>
      <c r="L32" s="2"/>
    </row>
    <row r="33" spans="2:13" x14ac:dyDescent="0.2">
      <c r="B33" s="96" t="str">
        <f>H12&amp;" = "&amp;F12&amp;" / "&amp;G12&amp;" - 1"</f>
        <v>(7) = (5) / (6) - 1</v>
      </c>
      <c r="L33" s="2"/>
    </row>
    <row r="34" spans="2:13" x14ac:dyDescent="0.2">
      <c r="B34" s="22" t="str">
        <f>I12&amp;" Selected"</f>
        <v>(8) Selected</v>
      </c>
      <c r="L34" s="2"/>
    </row>
    <row r="35" spans="2:13" x14ac:dyDescent="0.2">
      <c r="L35" s="2"/>
    </row>
    <row r="36" spans="2:13" x14ac:dyDescent="0.2">
      <c r="L36" s="2"/>
    </row>
    <row r="37" spans="2:13" x14ac:dyDescent="0.2">
      <c r="B37" s="23"/>
      <c r="C37" s="23"/>
      <c r="D37" s="23"/>
      <c r="E37" s="18"/>
      <c r="F37" s="23"/>
      <c r="G37" s="16"/>
      <c r="H37" s="16"/>
      <c r="I37" s="16"/>
      <c r="K37" s="16"/>
      <c r="L37" s="2"/>
      <c r="M37" s="153"/>
    </row>
    <row r="38" spans="2:13" x14ac:dyDescent="0.2">
      <c r="B38" s="12"/>
      <c r="C38" s="12"/>
      <c r="L38" s="2"/>
      <c r="M38" s="17"/>
    </row>
    <row r="39" spans="2:13" x14ac:dyDescent="0.2">
      <c r="L39" s="2"/>
    </row>
    <row r="40" spans="2:13" x14ac:dyDescent="0.2">
      <c r="L40" s="2"/>
    </row>
    <row r="41" spans="2:13" x14ac:dyDescent="0.2">
      <c r="L41" s="2"/>
    </row>
    <row r="42" spans="2:13" x14ac:dyDescent="0.2">
      <c r="L42" s="2"/>
    </row>
    <row r="43" spans="2:13" x14ac:dyDescent="0.2">
      <c r="L43" s="2"/>
    </row>
    <row r="44" spans="2:13" x14ac:dyDescent="0.2">
      <c r="L44" s="2"/>
    </row>
    <row r="45" spans="2:13" x14ac:dyDescent="0.2">
      <c r="L45" s="2"/>
    </row>
    <row r="46" spans="2:13" x14ac:dyDescent="0.2">
      <c r="L46" s="2"/>
    </row>
    <row r="47" spans="2:13" x14ac:dyDescent="0.2">
      <c r="L47" s="2"/>
    </row>
    <row r="48" spans="2:13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0.5" thickBot="1" x14ac:dyDescent="0.25">
      <c r="L70" s="2"/>
    </row>
    <row r="71" spans="1:12" ht="10.5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>
    <tabColor rgb="FF92D050"/>
  </sheetPr>
  <dimension ref="A1:I43"/>
  <sheetViews>
    <sheetView showGridLines="0" topLeftCell="A7" workbookViewId="0">
      <selection activeCell="C20" sqref="C20"/>
    </sheetView>
  </sheetViews>
  <sheetFormatPr defaultColWidth="11.33203125" defaultRowHeight="10" x14ac:dyDescent="0.2"/>
  <cols>
    <col min="1" max="1" width="2.4414062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ht="10.5" x14ac:dyDescent="0.25">
      <c r="A1" s="8" t="str">
        <f>'1'!$A$1</f>
        <v>Texas Windstorm Insurance Association</v>
      </c>
      <c r="B1" s="12"/>
      <c r="H1" s="7" t="s">
        <v>100</v>
      </c>
      <c r="I1" s="1"/>
    </row>
    <row r="2" spans="1:9" ht="10.5" x14ac:dyDescent="0.25">
      <c r="A2" s="8" t="str">
        <f>'1'!$A$2</f>
        <v>Residential Property - Wind &amp; Hail</v>
      </c>
      <c r="B2" s="12"/>
      <c r="H2" s="7"/>
      <c r="I2" s="2"/>
    </row>
    <row r="3" spans="1:9" ht="10.5" x14ac:dyDescent="0.25">
      <c r="A3" s="8" t="str">
        <f>'1'!$A$3</f>
        <v>Rate Level Review</v>
      </c>
      <c r="B3" s="12"/>
      <c r="I3" s="2"/>
    </row>
    <row r="4" spans="1:9" x14ac:dyDescent="0.2">
      <c r="A4" t="s">
        <v>99</v>
      </c>
      <c r="B4" s="12"/>
      <c r="I4" s="2"/>
    </row>
    <row r="5" spans="1:9" x14ac:dyDescent="0.2">
      <c r="B5" s="12"/>
      <c r="I5" s="2"/>
    </row>
    <row r="6" spans="1:9" x14ac:dyDescent="0.2">
      <c r="I6" s="2"/>
    </row>
    <row r="7" spans="1:9" ht="10.5" thickBot="1" x14ac:dyDescent="0.25">
      <c r="A7" s="6"/>
      <c r="B7" s="6"/>
      <c r="C7" s="6"/>
      <c r="D7" s="6"/>
      <c r="E7" s="6"/>
      <c r="F7" s="45"/>
      <c r="G7" s="45"/>
      <c r="H7" s="45"/>
      <c r="I7" s="2"/>
    </row>
    <row r="8" spans="1:9" ht="10.5" thickTop="1" x14ac:dyDescent="0.2">
      <c r="F8" s="45"/>
      <c r="G8" s="45"/>
      <c r="H8" s="45"/>
      <c r="I8" s="2"/>
    </row>
    <row r="9" spans="1:9" x14ac:dyDescent="0.2">
      <c r="C9" s="12" t="s">
        <v>13</v>
      </c>
      <c r="E9" t="s">
        <v>13</v>
      </c>
      <c r="F9" s="45"/>
      <c r="G9" s="45"/>
      <c r="H9" s="45"/>
      <c r="I9" s="2"/>
    </row>
    <row r="10" spans="1:9" x14ac:dyDescent="0.2">
      <c r="C10" t="s">
        <v>41</v>
      </c>
      <c r="D10" t="s">
        <v>36</v>
      </c>
      <c r="E10" t="s">
        <v>11</v>
      </c>
      <c r="F10" s="45"/>
      <c r="G10" s="45"/>
      <c r="H10" s="45"/>
      <c r="I10" s="2"/>
    </row>
    <row r="11" spans="1:9" x14ac:dyDescent="0.2">
      <c r="A11" s="9" t="s">
        <v>101</v>
      </c>
      <c r="B11" s="9"/>
      <c r="C11" s="9" t="s">
        <v>12</v>
      </c>
      <c r="D11" s="9" t="s">
        <v>37</v>
      </c>
      <c r="E11" s="9" t="s">
        <v>12</v>
      </c>
      <c r="F11" s="45"/>
      <c r="G11" s="45"/>
      <c r="H11" s="45"/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G12" s="46"/>
      <c r="H12" s="46"/>
      <c r="I12" s="2"/>
    </row>
    <row r="13" spans="1:9" x14ac:dyDescent="0.2">
      <c r="F13" s="45"/>
      <c r="G13" s="45"/>
      <c r="H13" s="45"/>
      <c r="I13" s="2"/>
    </row>
    <row r="14" spans="1:9" x14ac:dyDescent="0.2">
      <c r="A14" s="59" t="s">
        <v>278</v>
      </c>
      <c r="C14" s="23">
        <f ca="1">'6.1'!$E$41</f>
        <v>0.36</v>
      </c>
      <c r="D14" s="55">
        <f>'4.1'!$E$58</f>
        <v>0.154</v>
      </c>
      <c r="E14" s="18">
        <f ca="1">ROUND(C14*(1+D14),3)</f>
        <v>0.41499999999999998</v>
      </c>
      <c r="F14" s="53"/>
      <c r="G14" s="53"/>
      <c r="H14" s="54"/>
      <c r="I14" s="2"/>
    </row>
    <row r="15" spans="1:9" x14ac:dyDescent="0.2">
      <c r="C15" s="23"/>
      <c r="D15" s="23"/>
      <c r="E15" s="23"/>
      <c r="F15" s="53"/>
      <c r="G15" s="53"/>
      <c r="H15" s="54"/>
      <c r="I15" s="2"/>
    </row>
    <row r="16" spans="1:9" x14ac:dyDescent="0.2">
      <c r="A16" s="10" t="s">
        <v>102</v>
      </c>
      <c r="C16" s="23"/>
      <c r="D16" s="23"/>
      <c r="E16" s="23"/>
      <c r="F16" s="53"/>
      <c r="G16" s="53"/>
      <c r="H16" s="54"/>
      <c r="I16" s="2"/>
    </row>
    <row r="17" spans="1:9" x14ac:dyDescent="0.2">
      <c r="B17" t="s">
        <v>103</v>
      </c>
      <c r="C17" s="23">
        <f>'7.1'!$E$34</f>
        <v>0.505</v>
      </c>
      <c r="D17" s="55">
        <f>D$14</f>
        <v>0.154</v>
      </c>
      <c r="E17" s="18">
        <f>ROUND(C17*(1+D17),3)</f>
        <v>0.58299999999999996</v>
      </c>
      <c r="F17" s="45"/>
      <c r="G17" s="45"/>
      <c r="H17" s="45"/>
      <c r="I17" s="2"/>
    </row>
    <row r="18" spans="1:9" x14ac:dyDescent="0.2">
      <c r="B18" t="s">
        <v>104</v>
      </c>
      <c r="C18" s="23">
        <f>'8.1'!$E$34</f>
        <v>0.39900000000000002</v>
      </c>
      <c r="D18" s="55">
        <f>D$14</f>
        <v>0.154</v>
      </c>
      <c r="E18" s="18">
        <f>ROUND(C18*(1+D18),3)</f>
        <v>0.46</v>
      </c>
      <c r="F18" s="45"/>
      <c r="G18" s="45"/>
      <c r="H18" s="45"/>
      <c r="I18" s="2"/>
    </row>
    <row r="19" spans="1:9" x14ac:dyDescent="0.2">
      <c r="F19" s="45"/>
      <c r="G19" s="45"/>
      <c r="H19" s="45"/>
      <c r="I19" s="2"/>
    </row>
    <row r="20" spans="1:9" x14ac:dyDescent="0.2">
      <c r="B20" t="s">
        <v>105</v>
      </c>
      <c r="C20" s="20">
        <f>ROUND(AVERAGE(C17:C18),3)</f>
        <v>0.45200000000000001</v>
      </c>
      <c r="D20" s="55">
        <f>D$14</f>
        <v>0.154</v>
      </c>
      <c r="E20" s="18">
        <f>ROUND(C20*(1+D20),3)</f>
        <v>0.52200000000000002</v>
      </c>
      <c r="F20" s="45"/>
      <c r="G20" s="45"/>
      <c r="H20" s="45"/>
      <c r="I20" s="2"/>
    </row>
    <row r="21" spans="1:9" ht="10.5" thickBot="1" x14ac:dyDescent="0.25">
      <c r="A21" s="6"/>
      <c r="B21" s="6"/>
      <c r="C21" s="6"/>
      <c r="D21" s="6"/>
      <c r="E21" s="6"/>
      <c r="I21" s="2"/>
    </row>
    <row r="22" spans="1:9" ht="10.5" thickTop="1" x14ac:dyDescent="0.2">
      <c r="I22" s="2"/>
    </row>
    <row r="23" spans="1:9" x14ac:dyDescent="0.2">
      <c r="A23" t="s">
        <v>17</v>
      </c>
      <c r="I23" s="2"/>
    </row>
    <row r="24" spans="1:9" x14ac:dyDescent="0.2">
      <c r="B24" s="22" t="str">
        <f>C12&amp;" "&amp;'6.1'!$K$1&amp;" - "&amp;'8.1'!$K$1&amp;", "&amp;'6.1'!$K$2</f>
        <v>(2) Exhibit 6 - Exhibit 8, Sheet 1</v>
      </c>
      <c r="I24" s="2"/>
    </row>
    <row r="25" spans="1:9" x14ac:dyDescent="0.2">
      <c r="B25" s="22" t="str">
        <f>D12&amp;" "&amp;'4.1'!$J$1&amp;", "&amp;'4.1'!$J$2</f>
        <v>(3) Exhibit 4, Sheet 1</v>
      </c>
      <c r="I25" s="2"/>
    </row>
    <row r="26" spans="1:9" x14ac:dyDescent="0.2">
      <c r="B26" s="12" t="str">
        <f>E12&amp;" = "&amp;C12&amp;" * [1 + "&amp;D12&amp;"]"</f>
        <v>(4) = (2) * [1 + (3)]</v>
      </c>
      <c r="I26" s="2"/>
    </row>
    <row r="27" spans="1:9" x14ac:dyDescent="0.2">
      <c r="B27" s="22"/>
      <c r="I27" s="2"/>
    </row>
    <row r="28" spans="1:9" x14ac:dyDescent="0.2">
      <c r="B28" s="22"/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I32" s="2"/>
    </row>
    <row r="33" spans="1:9" x14ac:dyDescent="0.2">
      <c r="I33" s="2"/>
    </row>
    <row r="34" spans="1:9" x14ac:dyDescent="0.2">
      <c r="I34" s="2"/>
    </row>
    <row r="35" spans="1:9" x14ac:dyDescent="0.2">
      <c r="I35" s="2"/>
    </row>
    <row r="36" spans="1:9" x14ac:dyDescent="0.2">
      <c r="I36" s="2"/>
    </row>
    <row r="37" spans="1:9" x14ac:dyDescent="0.2">
      <c r="I37" s="2"/>
    </row>
    <row r="38" spans="1:9" x14ac:dyDescent="0.2">
      <c r="I38" s="2"/>
    </row>
    <row r="39" spans="1:9" x14ac:dyDescent="0.2">
      <c r="I39" s="2"/>
    </row>
    <row r="40" spans="1:9" x14ac:dyDescent="0.2">
      <c r="I40" s="2"/>
    </row>
    <row r="41" spans="1:9" x14ac:dyDescent="0.2">
      <c r="I41" s="2"/>
    </row>
    <row r="42" spans="1:9" ht="10.5" thickBot="1" x14ac:dyDescent="0.25">
      <c r="I42" s="2"/>
    </row>
    <row r="43" spans="1:9" ht="10.5" thickBot="1" x14ac:dyDescent="0.25">
      <c r="A43" s="4"/>
      <c r="B43" s="5"/>
      <c r="C43" s="5"/>
      <c r="D43" s="5"/>
      <c r="E43" s="5"/>
      <c r="F43" s="5"/>
      <c r="G43" s="5"/>
      <c r="H43" s="5"/>
      <c r="I4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>
    <tabColor rgb="FF92D050"/>
  </sheetPr>
  <dimension ref="A1:O59"/>
  <sheetViews>
    <sheetView showGridLines="0" topLeftCell="A22" workbookViewId="0">
      <selection activeCell="E41" sqref="E41"/>
    </sheetView>
  </sheetViews>
  <sheetFormatPr defaultColWidth="11.33203125" defaultRowHeight="10" x14ac:dyDescent="0.2"/>
  <cols>
    <col min="1" max="1" width="6.109375" customWidth="1"/>
    <col min="2" max="2" width="11.33203125" customWidth="1"/>
    <col min="3" max="3" width="15.33203125" customWidth="1"/>
    <col min="4" max="4" width="22.109375" customWidth="1"/>
    <col min="5" max="5" width="15.33203125" customWidth="1"/>
    <col min="6" max="6" width="13.77734375" customWidth="1"/>
    <col min="7" max="7" width="11.33203125" customWidth="1"/>
    <col min="8" max="8" width="11.33203125" hidden="1" customWidth="1"/>
    <col min="9" max="10" width="11.33203125" customWidth="1"/>
    <col min="11" max="11" width="2.6640625" customWidth="1"/>
  </cols>
  <sheetData>
    <row r="1" spans="1:15" ht="10.5" x14ac:dyDescent="0.25">
      <c r="A1" s="8" t="str">
        <f>'1'!$A$1</f>
        <v>Texas Windstorm Insurance Association</v>
      </c>
      <c r="B1" s="12"/>
      <c r="K1" s="7" t="s">
        <v>106</v>
      </c>
      <c r="L1" s="1"/>
    </row>
    <row r="2" spans="1:15" ht="10.5" x14ac:dyDescent="0.25">
      <c r="A2" s="8" t="str">
        <f>'1'!$A$2</f>
        <v>Residential Property - Wind &amp; Hail</v>
      </c>
      <c r="B2" s="12"/>
      <c r="K2" s="7" t="s">
        <v>21</v>
      </c>
      <c r="L2" s="2"/>
    </row>
    <row r="3" spans="1:15" ht="10.5" x14ac:dyDescent="0.25">
      <c r="A3" s="8" t="str">
        <f>'1'!$A$3</f>
        <v>Rate Level Review</v>
      </c>
      <c r="B3" s="12"/>
      <c r="L3" s="2"/>
    </row>
    <row r="4" spans="1:15" x14ac:dyDescent="0.2">
      <c r="A4" t="s">
        <v>107</v>
      </c>
      <c r="B4" s="12"/>
      <c r="E4" s="50"/>
      <c r="F4" s="50"/>
      <c r="L4" s="2"/>
      <c r="M4" s="11" t="s">
        <v>115</v>
      </c>
      <c r="N4" s="11" t="s">
        <v>116</v>
      </c>
      <c r="O4" s="11" t="s">
        <v>119</v>
      </c>
    </row>
    <row r="5" spans="1:15" x14ac:dyDescent="0.2">
      <c r="A5" t="str">
        <f>$M$5&amp;" - "&amp;$N$5&amp;" -- Hurricane Years Only"</f>
        <v>1966 - 2020 -- Hurricane Years Only</v>
      </c>
      <c r="B5" s="12"/>
      <c r="E5" s="50"/>
      <c r="F5" s="50"/>
      <c r="L5" s="2"/>
      <c r="M5" s="231">
        <v>1966</v>
      </c>
      <c r="N5" s="231">
        <v>2020</v>
      </c>
      <c r="O5" s="11">
        <f>N5-M5+1</f>
        <v>55</v>
      </c>
    </row>
    <row r="6" spans="1:15" x14ac:dyDescent="0.2">
      <c r="E6" s="50"/>
      <c r="F6" s="50"/>
      <c r="L6" s="2"/>
      <c r="M6" s="87"/>
      <c r="N6" s="78"/>
    </row>
    <row r="7" spans="1:15" ht="10.5" thickBot="1" x14ac:dyDescent="0.25">
      <c r="A7" s="6"/>
      <c r="B7" s="6"/>
      <c r="C7" s="6"/>
      <c r="D7" s="6"/>
      <c r="E7" s="6"/>
      <c r="F7" s="6"/>
      <c r="G7" s="50"/>
      <c r="H7" s="50"/>
      <c r="I7" s="50"/>
      <c r="L7" s="2"/>
    </row>
    <row r="8" spans="1:15" ht="10.5" thickTop="1" x14ac:dyDescent="0.2">
      <c r="E8" s="45"/>
      <c r="F8" s="45"/>
      <c r="L8" s="2"/>
    </row>
    <row r="9" spans="1:15" x14ac:dyDescent="0.2">
      <c r="C9" s="22" t="s">
        <v>44</v>
      </c>
      <c r="E9" s="7" t="s">
        <v>353</v>
      </c>
      <c r="F9" s="45"/>
      <c r="L9" s="2"/>
      <c r="M9" s="27"/>
    </row>
    <row r="10" spans="1:15" x14ac:dyDescent="0.2">
      <c r="A10" t="s">
        <v>53</v>
      </c>
      <c r="C10" t="s">
        <v>42</v>
      </c>
      <c r="D10" s="7" t="s">
        <v>351</v>
      </c>
      <c r="E10" s="7" t="s">
        <v>87</v>
      </c>
      <c r="F10" s="7" t="s">
        <v>354</v>
      </c>
      <c r="L10" s="2"/>
    </row>
    <row r="11" spans="1:15" x14ac:dyDescent="0.2">
      <c r="A11" s="9" t="s">
        <v>54</v>
      </c>
      <c r="B11" s="9"/>
      <c r="C11" s="9" t="s">
        <v>43</v>
      </c>
      <c r="D11" s="307" t="s">
        <v>352</v>
      </c>
      <c r="E11" s="307" t="s">
        <v>78</v>
      </c>
      <c r="F11" s="307" t="s">
        <v>78</v>
      </c>
      <c r="G11" s="50"/>
      <c r="H11" s="50"/>
      <c r="I11" s="50"/>
      <c r="L11" s="2"/>
    </row>
    <row r="12" spans="1:15" x14ac:dyDescent="0.2">
      <c r="A12" s="13"/>
      <c r="B12" s="13"/>
      <c r="C12" s="11" t="str">
        <f>TEXT(COLUMN()-2,"(#)")</f>
        <v>(1)</v>
      </c>
      <c r="D12" s="11" t="str">
        <f>TEXT(COLUMN()-2,"(#)")</f>
        <v>(2)</v>
      </c>
      <c r="E12" s="7" t="str">
        <f>TEXT(COLUMN()-2,"(#)")</f>
        <v>(3)</v>
      </c>
      <c r="F12" s="7" t="str">
        <f>TEXT(COLUMN()-2,"(#)")</f>
        <v>(4)</v>
      </c>
      <c r="G12" s="50"/>
      <c r="H12" s="50"/>
      <c r="I12" s="50"/>
      <c r="L12" s="2"/>
    </row>
    <row r="13" spans="1:15" x14ac:dyDescent="0.2">
      <c r="A13" s="86" t="s">
        <v>395</v>
      </c>
      <c r="B13" s="57"/>
      <c r="C13" s="123">
        <f>VLOOKUP($A13,'6.2'!$A$13:$G$67,5,0)</f>
        <v>27851584</v>
      </c>
      <c r="D13" s="309">
        <v>1</v>
      </c>
      <c r="E13" s="62">
        <f>VLOOKUP($A13,'6.2'!$A$13:$G$67,7,0)</f>
        <v>0.40100000000000002</v>
      </c>
      <c r="F13" s="308">
        <f ca="1">MAX(E13-$E$30,0)/D13</f>
        <v>0.29700000000000004</v>
      </c>
      <c r="G13" s="62"/>
      <c r="H13" s="166"/>
      <c r="I13" s="166"/>
      <c r="L13" s="2"/>
    </row>
    <row r="14" spans="1:15" x14ac:dyDescent="0.2">
      <c r="A14" s="86" t="s">
        <v>264</v>
      </c>
      <c r="B14" s="57"/>
      <c r="C14" s="123">
        <f>VLOOKUP($A14,'6.2'!$A$13:$G$67,5,0)</f>
        <v>28411573</v>
      </c>
      <c r="D14" s="309">
        <v>1</v>
      </c>
      <c r="E14" s="62">
        <f>VLOOKUP($A14,'6.2'!$A$13:$G$67,7,0)</f>
        <v>0.73199999999999998</v>
      </c>
      <c r="F14" s="308">
        <f t="shared" ref="F14:F25" ca="1" si="0">MAX(E14-$E$30,0)/D14</f>
        <v>0.628</v>
      </c>
      <c r="G14" s="62"/>
      <c r="H14" s="166"/>
      <c r="I14" s="166"/>
      <c r="L14" s="2"/>
    </row>
    <row r="15" spans="1:15" x14ac:dyDescent="0.2">
      <c r="A15" s="86" t="s">
        <v>108</v>
      </c>
      <c r="B15" s="57"/>
      <c r="C15" s="123">
        <f>VLOOKUP($A15,'6.2'!$A$13:$G$67,5,0)</f>
        <v>28313684</v>
      </c>
      <c r="D15" s="309">
        <v>1</v>
      </c>
      <c r="E15" s="62">
        <f>VLOOKUP($A15,'6.2'!$A$13:$G$67,7,0)</f>
        <v>0.80300000000000005</v>
      </c>
      <c r="F15" s="308">
        <f t="shared" ca="1" si="0"/>
        <v>0.69900000000000007</v>
      </c>
      <c r="G15" s="62"/>
      <c r="H15" s="166"/>
      <c r="I15" s="166"/>
      <c r="L15" s="2"/>
    </row>
    <row r="16" spans="1:15" x14ac:dyDescent="0.2">
      <c r="A16" s="86" t="s">
        <v>109</v>
      </c>
      <c r="B16" s="57"/>
      <c r="C16" s="123">
        <f>VLOOKUP($A16,'6.2'!$A$13:$G$67,5,0)</f>
        <v>48089878</v>
      </c>
      <c r="D16" s="309">
        <v>1</v>
      </c>
      <c r="E16" s="62">
        <f>VLOOKUP($A16,'6.2'!$A$13:$G$67,7,0)</f>
        <v>0.748</v>
      </c>
      <c r="F16" s="308">
        <f t="shared" ca="1" si="0"/>
        <v>0.64400000000000002</v>
      </c>
      <c r="G16" s="62"/>
      <c r="H16" s="166"/>
      <c r="I16" s="166"/>
      <c r="L16" s="2"/>
    </row>
    <row r="17" spans="1:13" x14ac:dyDescent="0.2">
      <c r="A17" s="86" t="s">
        <v>110</v>
      </c>
      <c r="B17" s="57"/>
      <c r="C17" s="123">
        <f>VLOOKUP($A17,'6.2'!$A$13:$G$67,5,0)</f>
        <v>61754514.017302364</v>
      </c>
      <c r="D17" s="309">
        <v>1</v>
      </c>
      <c r="E17" s="62">
        <f>VLOOKUP($A17,'6.2'!$A$13:$G$67,7,0)</f>
        <v>5.3730000000000002</v>
      </c>
      <c r="F17" s="308">
        <f t="shared" ca="1" si="0"/>
        <v>5.2690000000000001</v>
      </c>
      <c r="G17" s="62"/>
      <c r="H17" s="166"/>
      <c r="I17" s="166"/>
      <c r="L17" s="2"/>
      <c r="M17" t="s">
        <v>347</v>
      </c>
    </row>
    <row r="18" spans="1:13" x14ac:dyDescent="0.2">
      <c r="A18" s="86" t="s">
        <v>111</v>
      </c>
      <c r="B18" s="57"/>
      <c r="C18" s="123">
        <f>VLOOKUP($A18,'6.2'!$A$13:$G$67,5,0)</f>
        <v>78674586.242656693</v>
      </c>
      <c r="D18" s="309">
        <v>1</v>
      </c>
      <c r="E18" s="62">
        <f>VLOOKUP($A18,'6.2'!$A$13:$G$67,7,0)</f>
        <v>0.112</v>
      </c>
      <c r="F18" s="308">
        <f t="shared" ca="1" si="0"/>
        <v>8.0000000000000071E-3</v>
      </c>
      <c r="G18" s="62"/>
      <c r="H18" s="166"/>
      <c r="I18" s="166"/>
      <c r="L18" s="2"/>
    </row>
    <row r="19" spans="1:13" x14ac:dyDescent="0.2">
      <c r="A19" s="86" t="s">
        <v>112</v>
      </c>
      <c r="B19" s="57"/>
      <c r="C19" s="123">
        <f>VLOOKUP($A19,'6.2'!$A$13:$G$67,5,0)</f>
        <v>94668449.620354712</v>
      </c>
      <c r="D19" s="309">
        <v>2</v>
      </c>
      <c r="E19" s="62">
        <f>VLOOKUP($A19,'6.2'!$A$13:$G$67,7,0)</f>
        <v>0.08</v>
      </c>
      <c r="F19" s="308">
        <f t="shared" ca="1" si="0"/>
        <v>0</v>
      </c>
      <c r="G19" s="62"/>
      <c r="H19" s="166"/>
      <c r="I19" s="166"/>
      <c r="L19" s="2"/>
    </row>
    <row r="20" spans="1:13" x14ac:dyDescent="0.2">
      <c r="A20" s="86" t="s">
        <v>113</v>
      </c>
      <c r="B20" s="57"/>
      <c r="C20" s="123">
        <f>VLOOKUP($A20,'6.2'!$A$13:$G$67,5,0)</f>
        <v>175094687.80122298</v>
      </c>
      <c r="D20" s="309">
        <v>1</v>
      </c>
      <c r="E20" s="62">
        <f>VLOOKUP($A20,'6.2'!$A$13:$G$67,7,0)</f>
        <v>8.7999999999999995E-2</v>
      </c>
      <c r="F20" s="308">
        <f t="shared" ca="1" si="0"/>
        <v>0</v>
      </c>
      <c r="G20" s="62"/>
      <c r="H20" s="166"/>
      <c r="I20" s="166"/>
      <c r="L20" s="2"/>
    </row>
    <row r="21" spans="1:13" x14ac:dyDescent="0.2">
      <c r="A21" s="160" t="s">
        <v>276</v>
      </c>
      <c r="B21" s="158"/>
      <c r="C21" s="123">
        <f>VLOOKUP($A21,'6.2'!$A$13:$G$67,5,0)</f>
        <v>225873235.71044844</v>
      </c>
      <c r="D21" s="309">
        <v>1</v>
      </c>
      <c r="E21" s="62">
        <f>VLOOKUP($A21,'6.2'!$A$13:$G$67,7,0)</f>
        <v>0.19800000000000001</v>
      </c>
      <c r="F21" s="308">
        <f t="shared" ca="1" si="0"/>
        <v>9.4000000000000014E-2</v>
      </c>
      <c r="G21" s="62"/>
      <c r="H21" s="166"/>
      <c r="I21" s="166"/>
      <c r="L21" s="2"/>
    </row>
    <row r="22" spans="1:13" x14ac:dyDescent="0.2">
      <c r="A22" s="160" t="s">
        <v>285</v>
      </c>
      <c r="B22" s="158"/>
      <c r="C22" s="123">
        <f>VLOOKUP($A22,'6.2'!$A$13:$G$67,5,0)</f>
        <v>248665747.95384526</v>
      </c>
      <c r="D22" s="309">
        <v>1</v>
      </c>
      <c r="E22" s="62">
        <f>VLOOKUP($A22,'6.2'!$A$13:$G$67,7,0)</f>
        <v>1.105</v>
      </c>
      <c r="F22" s="308">
        <f t="shared" ca="1" si="0"/>
        <v>1.0009999999999999</v>
      </c>
      <c r="G22" s="62"/>
      <c r="H22" s="166"/>
      <c r="I22" s="166"/>
      <c r="L22" s="2"/>
    </row>
    <row r="23" spans="1:13" x14ac:dyDescent="0.2">
      <c r="A23" s="160" t="s">
        <v>299</v>
      </c>
      <c r="B23" s="158"/>
      <c r="C23" s="123">
        <f>VLOOKUP($A23,'6.2'!$A$13:$G$67,5,0)</f>
        <v>384632941.03010315</v>
      </c>
      <c r="D23" s="309">
        <v>1</v>
      </c>
      <c r="E23" s="62">
        <f>VLOOKUP($A23,'6.2'!$A$13:$G$67,7,0)</f>
        <v>0.05</v>
      </c>
      <c r="F23" s="308">
        <f t="shared" ca="1" si="0"/>
        <v>0</v>
      </c>
      <c r="G23" s="62"/>
      <c r="H23" s="166"/>
      <c r="I23" s="166"/>
      <c r="L23" s="2"/>
    </row>
    <row r="24" spans="1:13" x14ac:dyDescent="0.2">
      <c r="A24" s="160" t="s">
        <v>300</v>
      </c>
      <c r="B24" s="158"/>
      <c r="C24" s="123">
        <f>VLOOKUP($A24,'6.2'!$A$13:$G$67,5,0)</f>
        <v>477636240.60245597</v>
      </c>
      <c r="D24" s="309">
        <v>2</v>
      </c>
      <c r="E24" s="62">
        <f>VLOOKUP($A24,'6.2'!$A$13:$G$67,7,0)</f>
        <v>4.242</v>
      </c>
      <c r="F24" s="308">
        <f t="shared" ca="1" si="0"/>
        <v>2.069</v>
      </c>
      <c r="G24" s="62"/>
      <c r="H24" s="166"/>
      <c r="I24" s="166"/>
      <c r="L24" s="2"/>
      <c r="M24" t="s">
        <v>348</v>
      </c>
    </row>
    <row r="25" spans="1:13" x14ac:dyDescent="0.2">
      <c r="A25" s="332">
        <v>2017</v>
      </c>
      <c r="B25" s="158"/>
      <c r="C25" s="123">
        <f>VLOOKUP($A25,'6.2'!$A$13:$G$67,5,0)</f>
        <v>559948821.95000052</v>
      </c>
      <c r="D25" s="309">
        <v>1</v>
      </c>
      <c r="E25" s="62">
        <f ca="1">VLOOKUP($A25,'6.2'!$A$13:$G$67,7,0)</f>
        <v>2.1850320000000001</v>
      </c>
      <c r="F25" s="308">
        <f t="shared" ca="1" si="0"/>
        <v>2.081032</v>
      </c>
      <c r="G25" s="62"/>
      <c r="H25" s="50"/>
      <c r="I25" s="166"/>
      <c r="L25" s="2"/>
    </row>
    <row r="26" spans="1:13" x14ac:dyDescent="0.2">
      <c r="A26" s="332">
        <v>2020</v>
      </c>
      <c r="B26" s="158"/>
      <c r="C26" s="123">
        <f>VLOOKUP($A26,'6.2'!$A$13:$G$67,5,0)</f>
        <v>502850592</v>
      </c>
      <c r="D26" s="309">
        <v>3</v>
      </c>
      <c r="E26" s="62">
        <f ca="1">VLOOKUP($A26,'6.2'!$A$13:$G$67,7,0)</f>
        <v>0.14064500000000002</v>
      </c>
      <c r="F26" s="308">
        <f ca="1">MAX(E26-$E$30,0)/D26</f>
        <v>1.2215000000000009E-2</v>
      </c>
      <c r="G26" s="62"/>
      <c r="H26" s="50"/>
      <c r="I26" s="166"/>
      <c r="L26" s="2"/>
    </row>
    <row r="27" spans="1:13" x14ac:dyDescent="0.2">
      <c r="A27" s="333" t="s">
        <v>117</v>
      </c>
      <c r="B27" s="327"/>
      <c r="C27" s="334"/>
      <c r="D27" s="327"/>
      <c r="E27" s="321"/>
      <c r="F27" s="335"/>
      <c r="G27" s="50"/>
      <c r="H27" s="50"/>
      <c r="I27" s="166"/>
      <c r="L27" s="2"/>
    </row>
    <row r="28" spans="1:13" x14ac:dyDescent="0.2">
      <c r="A28" s="64"/>
      <c r="C28" s="38"/>
      <c r="D28" s="38"/>
      <c r="E28" s="60">
        <f ca="1">ROUND(AVERAGE(E13:E26),3)</f>
        <v>1.161</v>
      </c>
      <c r="F28" s="60">
        <f ca="1">ROUND(AVERAGE(F13:F26),3)</f>
        <v>0.91400000000000003</v>
      </c>
      <c r="G28" s="166"/>
      <c r="H28" s="166"/>
      <c r="I28" s="166"/>
      <c r="L28" s="2"/>
    </row>
    <row r="29" spans="1:13" x14ac:dyDescent="0.2">
      <c r="C29" s="38"/>
      <c r="D29" s="38"/>
      <c r="E29" s="47"/>
      <c r="F29" s="47"/>
      <c r="G29" s="166"/>
      <c r="H29" s="166"/>
      <c r="I29" s="166"/>
      <c r="L29" s="2"/>
    </row>
    <row r="30" spans="1:13" x14ac:dyDescent="0.2">
      <c r="A30" s="64" t="s">
        <v>120</v>
      </c>
      <c r="B30" t="s">
        <v>125</v>
      </c>
      <c r="C30" s="38"/>
      <c r="D30" s="38"/>
      <c r="E30" s="60">
        <f ca="1">'6.2'!$G$71</f>
        <v>0.104</v>
      </c>
      <c r="F30" s="60"/>
      <c r="L30" s="2"/>
    </row>
    <row r="31" spans="1:13" x14ac:dyDescent="0.2">
      <c r="E31" s="45"/>
      <c r="F31" s="45"/>
      <c r="L31" s="2"/>
    </row>
    <row r="32" spans="1:13" x14ac:dyDescent="0.2">
      <c r="A32" s="64" t="s">
        <v>344</v>
      </c>
      <c r="B32" t="s">
        <v>355</v>
      </c>
      <c r="E32" s="63">
        <f ca="1">F28</f>
        <v>0.91400000000000003</v>
      </c>
      <c r="F32" s="63"/>
      <c r="G32" s="20"/>
      <c r="H32" s="20"/>
      <c r="I32" s="20"/>
      <c r="L32" s="2"/>
    </row>
    <row r="33" spans="1:13" x14ac:dyDescent="0.2">
      <c r="A33" s="302" t="s">
        <v>345</v>
      </c>
      <c r="B33" t="s">
        <v>346</v>
      </c>
      <c r="E33" s="63">
        <f ca="1">F28</f>
        <v>0.91400000000000003</v>
      </c>
      <c r="F33" s="45"/>
      <c r="L33" s="2"/>
      <c r="M33" s="79"/>
    </row>
    <row r="34" spans="1:13" x14ac:dyDescent="0.2">
      <c r="L34" s="2"/>
      <c r="M34" s="78"/>
    </row>
    <row r="35" spans="1:13" x14ac:dyDescent="0.2">
      <c r="A35" s="64" t="s">
        <v>123</v>
      </c>
      <c r="B35" t="s">
        <v>279</v>
      </c>
      <c r="E35" s="45"/>
      <c r="F35" s="45"/>
      <c r="L35" s="2"/>
    </row>
    <row r="36" spans="1:13" x14ac:dyDescent="0.2">
      <c r="B36" t="str">
        <f>"(a) "&amp;'9'!A53&amp;" ("&amp;'9'!C53&amp;")"</f>
        <v>(a) 55-Year (1/1/1966 - 12/31/2020)</v>
      </c>
      <c r="E36" s="75">
        <f>'9'!$G$53</f>
        <v>0.32700000000000001</v>
      </c>
      <c r="F36" s="45" t="str">
        <f>"(1 Hurricane Every "&amp;TEXT(1/E36,"0.0")&amp;" years)"</f>
        <v>(1 Hurricane Every 3.1 years)</v>
      </c>
      <c r="L36" s="2"/>
    </row>
    <row r="37" spans="1:13" x14ac:dyDescent="0.2">
      <c r="B37" t="str">
        <f>"(a) "&amp;'9'!A54&amp;" ("&amp;'9'!C54&amp;")"</f>
        <v>(a) 170-Year (1/1/1851 - 12/31/2020)</v>
      </c>
      <c r="E37" s="75">
        <f>'9'!$G$54</f>
        <v>0.39400000000000002</v>
      </c>
      <c r="F37" s="45" t="str">
        <f>"(1 Hurricane Every "&amp;TEXT(1/E37,"0.0")&amp;" years)"</f>
        <v>(1 Hurricane Every 2.5 years)</v>
      </c>
      <c r="L37" s="2"/>
    </row>
    <row r="38" spans="1:13" x14ac:dyDescent="0.2">
      <c r="B38" s="22"/>
      <c r="E38" s="50"/>
      <c r="F38" s="50"/>
      <c r="L38" s="2"/>
    </row>
    <row r="39" spans="1:13" x14ac:dyDescent="0.2">
      <c r="B39" t="s">
        <v>280</v>
      </c>
      <c r="E39" s="155">
        <f>ROUND(E37,3)</f>
        <v>0.39400000000000002</v>
      </c>
      <c r="F39" s="45" t="str">
        <f>"(1 Hurricane Every "&amp;TEXT(1/E39,"0.0")&amp;" years)"</f>
        <v>(1 Hurricane Every 2.5 years)</v>
      </c>
      <c r="L39" s="2"/>
    </row>
    <row r="40" spans="1:13" x14ac:dyDescent="0.2">
      <c r="E40" s="45"/>
      <c r="F40" s="45"/>
      <c r="L40" s="2"/>
    </row>
    <row r="41" spans="1:13" x14ac:dyDescent="0.2">
      <c r="A41" s="64" t="s">
        <v>122</v>
      </c>
      <c r="B41" t="s">
        <v>149</v>
      </c>
      <c r="E41" s="63">
        <f ca="1">ROUND(E39*E33,3)</f>
        <v>0.36</v>
      </c>
      <c r="F41" s="63"/>
      <c r="L41" s="2"/>
      <c r="M41" t="s">
        <v>217</v>
      </c>
    </row>
    <row r="42" spans="1:13" ht="10.5" thickBot="1" x14ac:dyDescent="0.25">
      <c r="A42" s="6"/>
      <c r="B42" s="6"/>
      <c r="C42" s="6"/>
      <c r="D42" s="6"/>
      <c r="E42" s="6"/>
      <c r="F42" s="50"/>
      <c r="L42" s="2"/>
      <c r="M42" s="84">
        <f>'6.4'!K$55</f>
        <v>44104</v>
      </c>
    </row>
    <row r="43" spans="1:13" ht="10.5" thickTop="1" x14ac:dyDescent="0.2">
      <c r="E43" s="50"/>
      <c r="F43" s="50"/>
      <c r="L43" s="2"/>
    </row>
    <row r="44" spans="1:13" x14ac:dyDescent="0.2">
      <c r="A44" t="s">
        <v>17</v>
      </c>
      <c r="E44" s="58"/>
      <c r="F44" s="50"/>
      <c r="L44" s="2"/>
    </row>
    <row r="45" spans="1:13" x14ac:dyDescent="0.2">
      <c r="B45" s="22" t="str">
        <f>C12&amp;" "&amp;'6.2'!$J$1&amp;", "&amp;'6.2'!$J$2&amp;".  Accident years ending "&amp;TEXT($M$42,"m/d/xx")</f>
        <v>(1) Exhibit 6, Sheet 2.  Accident years ending 9/30/xx</v>
      </c>
      <c r="C45" s="22"/>
      <c r="E45" s="50"/>
      <c r="F45" s="50"/>
      <c r="L45" s="2"/>
    </row>
    <row r="46" spans="1:13" x14ac:dyDescent="0.2">
      <c r="B46" s="22" t="str">
        <f>E12&amp;" "&amp;'6.2'!$J$1&amp;", "&amp;'6.2'!$J$2&amp;".  Accident years ending "&amp;TEXT($M$42,"m/d/xx")</f>
        <v>(3) Exhibit 6, Sheet 2.  Accident years ending 9/30/xx</v>
      </c>
      <c r="E46" s="50"/>
      <c r="F46" s="50"/>
      <c r="L46" s="2"/>
    </row>
    <row r="47" spans="1:13" x14ac:dyDescent="0.2">
      <c r="B47" t="s">
        <v>396</v>
      </c>
      <c r="E47" s="50"/>
      <c r="F47" s="50"/>
      <c r="L47" s="2"/>
    </row>
    <row r="48" spans="1:13" x14ac:dyDescent="0.2">
      <c r="B48" s="22" t="str">
        <f>A30&amp;" "&amp;'6.2'!$J$1&amp;", "&amp;'6.2'!$J$2</f>
        <v>(5) Exhibit 6, Sheet 2</v>
      </c>
      <c r="E48" s="50"/>
      <c r="F48" s="50"/>
      <c r="L48" s="2"/>
    </row>
    <row r="49" spans="1:12" x14ac:dyDescent="0.2">
      <c r="B49" s="22" t="str">
        <f>A32&amp;"= Average of "&amp;F12&amp;""</f>
        <v>(6) a= Average of (4)</v>
      </c>
      <c r="E49" s="50"/>
      <c r="F49" s="50"/>
      <c r="L49" s="2"/>
    </row>
    <row r="50" spans="1:12" x14ac:dyDescent="0.2">
      <c r="B50" t="s">
        <v>356</v>
      </c>
      <c r="E50" s="50"/>
      <c r="F50" s="50"/>
      <c r="L50" s="2"/>
    </row>
    <row r="51" spans="1:12" x14ac:dyDescent="0.2">
      <c r="B51" s="22" t="str">
        <f>A35&amp;" "&amp;'9'!$J$1</f>
        <v>(7) Exhibit 9</v>
      </c>
      <c r="E51" s="50"/>
      <c r="F51" s="50"/>
      <c r="L51" s="2"/>
    </row>
    <row r="52" spans="1:12" x14ac:dyDescent="0.2">
      <c r="A52" s="64"/>
      <c r="B52" s="22" t="str">
        <f>A41&amp;" = "&amp;A33&amp;" * "&amp;A35&amp;" Selected"</f>
        <v>(8) = (6) b * (7) Selected</v>
      </c>
      <c r="E52" s="63"/>
      <c r="F52" s="63"/>
      <c r="L52" s="2"/>
    </row>
    <row r="53" spans="1:12" x14ac:dyDescent="0.2">
      <c r="E53" s="50"/>
      <c r="F53" s="50"/>
      <c r="L53" s="2"/>
    </row>
    <row r="54" spans="1:12" x14ac:dyDescent="0.2">
      <c r="E54" s="50"/>
      <c r="F54" s="50"/>
      <c r="L54" s="2"/>
    </row>
    <row r="55" spans="1:12" x14ac:dyDescent="0.2">
      <c r="E55" s="50"/>
      <c r="F55" s="50"/>
      <c r="L55" s="2"/>
    </row>
    <row r="56" spans="1:12" x14ac:dyDescent="0.2">
      <c r="E56" s="50"/>
      <c r="F56" s="50"/>
      <c r="L56" s="2"/>
    </row>
    <row r="57" spans="1:12" x14ac:dyDescent="0.2">
      <c r="E57" s="50"/>
      <c r="F57" s="50"/>
      <c r="L57" s="2"/>
    </row>
    <row r="58" spans="1:12" ht="10.5" thickBot="1" x14ac:dyDescent="0.25">
      <c r="E58" s="50"/>
      <c r="F58" s="50"/>
      <c r="L58" s="2"/>
    </row>
    <row r="59" spans="1:12" ht="10.5" thickBot="1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A14:A19 A20:A24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tabColor rgb="FF92D050"/>
    <pageSetUpPr fitToPage="1"/>
  </sheetPr>
  <dimension ref="A1:M78"/>
  <sheetViews>
    <sheetView showGridLines="0" topLeftCell="A64" workbookViewId="0">
      <selection activeCell="F80" sqref="F80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2" ht="10.5" x14ac:dyDescent="0.25">
      <c r="A1" s="8" t="str">
        <f>'1'!$A$1</f>
        <v>Texas Windstorm Insurance Association</v>
      </c>
      <c r="B1" s="12"/>
      <c r="I1" s="50"/>
      <c r="J1" s="7" t="s">
        <v>106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85</v>
      </c>
      <c r="K2" s="2"/>
    </row>
    <row r="3" spans="1:12" ht="10.5" x14ac:dyDescent="0.25">
      <c r="A3" s="8" t="str">
        <f>'1'!$A$3</f>
        <v>Rate Level Review</v>
      </c>
      <c r="B3" s="12"/>
      <c r="I3" s="50"/>
      <c r="K3" s="2"/>
    </row>
    <row r="4" spans="1:12" x14ac:dyDescent="0.2">
      <c r="A4" t="s">
        <v>107</v>
      </c>
      <c r="B4" s="12"/>
      <c r="I4" s="50"/>
      <c r="K4" s="2"/>
    </row>
    <row r="5" spans="1:12" x14ac:dyDescent="0.2">
      <c r="A5" t="str">
        <f>'6.1'!$M$5&amp;" - "&amp;'6.1'!$N$5</f>
        <v>1966 - 2020</v>
      </c>
      <c r="B5" s="12"/>
      <c r="I5" s="50"/>
      <c r="K5" s="2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50"/>
      <c r="K6" s="2"/>
    </row>
    <row r="7" spans="1:12" ht="6" customHeight="1" thickTop="1" x14ac:dyDescent="0.2">
      <c r="I7" s="50"/>
      <c r="K7" s="2"/>
    </row>
    <row r="8" spans="1:12" x14ac:dyDescent="0.2">
      <c r="C8" s="22"/>
      <c r="D8" t="s">
        <v>126</v>
      </c>
      <c r="E8" t="s">
        <v>44</v>
      </c>
      <c r="I8" s="50"/>
      <c r="K8" s="2"/>
      <c r="L8" s="27"/>
    </row>
    <row r="9" spans="1:12" x14ac:dyDescent="0.2">
      <c r="A9" t="s">
        <v>53</v>
      </c>
      <c r="C9" t="s">
        <v>126</v>
      </c>
      <c r="D9" t="s">
        <v>127</v>
      </c>
      <c r="E9" t="s">
        <v>42</v>
      </c>
      <c r="F9" t="s">
        <v>87</v>
      </c>
      <c r="G9" t="s">
        <v>87</v>
      </c>
      <c r="H9" t="s">
        <v>6</v>
      </c>
      <c r="I9" s="50"/>
      <c r="K9" s="2"/>
      <c r="L9" s="22"/>
    </row>
    <row r="10" spans="1:12" x14ac:dyDescent="0.2">
      <c r="A10" s="9" t="s">
        <v>54</v>
      </c>
      <c r="B10" s="9"/>
      <c r="C10" s="9" t="s">
        <v>127</v>
      </c>
      <c r="D10" s="9" t="s">
        <v>128</v>
      </c>
      <c r="E10" s="9" t="s">
        <v>43</v>
      </c>
      <c r="F10" s="9" t="s">
        <v>118</v>
      </c>
      <c r="G10" s="9" t="s">
        <v>78</v>
      </c>
      <c r="H10" s="9" t="s">
        <v>79</v>
      </c>
      <c r="I10" s="50"/>
      <c r="K10" s="2"/>
      <c r="L10" s="52"/>
    </row>
    <row r="11" spans="1:12" x14ac:dyDescent="0.2">
      <c r="A11" s="13" t="str">
        <f>TEXT(COLUMN(),"(#)")</f>
        <v>(1)</v>
      </c>
      <c r="B11" s="13"/>
      <c r="C11" s="11" t="str">
        <f t="shared" ref="C11:H11" si="0">TEXT(COLUMN()-1,"(#)")</f>
        <v>(2)</v>
      </c>
      <c r="D11" s="11" t="str">
        <f t="shared" si="0"/>
        <v>(3)</v>
      </c>
      <c r="E11" s="11" t="str">
        <f t="shared" si="0"/>
        <v>(4)</v>
      </c>
      <c r="F11" s="11" t="str">
        <f t="shared" si="0"/>
        <v>(5)</v>
      </c>
      <c r="G11" s="11" t="str">
        <f t="shared" si="0"/>
        <v>(6)</v>
      </c>
      <c r="H11" s="11" t="str">
        <f t="shared" si="0"/>
        <v>(7)</v>
      </c>
      <c r="I11" s="115"/>
      <c r="K11" s="2"/>
    </row>
    <row r="12" spans="1:12" x14ac:dyDescent="0.2">
      <c r="A12" s="13"/>
      <c r="B12" s="13"/>
      <c r="C12" s="11"/>
      <c r="D12" s="11"/>
      <c r="E12" s="11"/>
      <c r="F12" s="11"/>
      <c r="G12" s="11"/>
      <c r="H12" s="11"/>
      <c r="I12" s="115"/>
      <c r="K12" s="2"/>
    </row>
    <row r="13" spans="1:12" x14ac:dyDescent="0.2">
      <c r="A13" s="187">
        <v>1966</v>
      </c>
      <c r="B13" s="12"/>
      <c r="D13" s="315">
        <v>13011528</v>
      </c>
      <c r="E13" s="31">
        <f>ROUND(D13*'6.4'!$K$14,0)</f>
        <v>27913364</v>
      </c>
      <c r="F13" s="315">
        <v>1178131</v>
      </c>
      <c r="G13" s="18">
        <f>ROUND(F13/E13,3)</f>
        <v>4.2000000000000003E-2</v>
      </c>
      <c r="I13" s="20"/>
      <c r="K13" s="2"/>
    </row>
    <row r="14" spans="1:12" x14ac:dyDescent="0.2">
      <c r="A14" t="str">
        <f>TEXT(A13+1,"#")</f>
        <v>1967</v>
      </c>
      <c r="B14" s="12"/>
      <c r="D14" s="315">
        <v>13130860</v>
      </c>
      <c r="E14" s="31">
        <f>ROUND(D14*'6.4'!$K$14,0)</f>
        <v>28169364</v>
      </c>
      <c r="F14" s="315">
        <v>663024</v>
      </c>
      <c r="G14" s="18">
        <f t="shared" ref="G14:G16" si="1">ROUND(F14/E14,3)</f>
        <v>2.4E-2</v>
      </c>
      <c r="I14" s="20"/>
      <c r="K14" s="2"/>
    </row>
    <row r="15" spans="1:12" x14ac:dyDescent="0.2">
      <c r="A15" t="str">
        <f t="shared" ref="A15:A16" si="2">TEXT(A14+1,"#")</f>
        <v>1968</v>
      </c>
      <c r="D15" s="315">
        <v>12982730</v>
      </c>
      <c r="E15" s="31">
        <f>ROUND(D15*'6.4'!$K$14,0)</f>
        <v>27851584</v>
      </c>
      <c r="F15" s="315">
        <v>11171683</v>
      </c>
      <c r="G15" s="18">
        <f t="shared" si="1"/>
        <v>0.40100000000000002</v>
      </c>
      <c r="H15" s="230" t="s">
        <v>80</v>
      </c>
      <c r="I15" s="20"/>
      <c r="K15" s="2"/>
    </row>
    <row r="16" spans="1:12" x14ac:dyDescent="0.2">
      <c r="A16" t="str">
        <f t="shared" si="2"/>
        <v>1969</v>
      </c>
      <c r="D16" s="315">
        <v>12499176</v>
      </c>
      <c r="E16" s="31">
        <f>ROUND(D16*'6.4'!$K$14,0)</f>
        <v>26814226</v>
      </c>
      <c r="F16" s="315">
        <v>3218757</v>
      </c>
      <c r="G16" s="18">
        <f t="shared" si="1"/>
        <v>0.12</v>
      </c>
      <c r="H16" s="230"/>
      <c r="I16" s="20"/>
      <c r="K16" s="2"/>
    </row>
    <row r="17" spans="1:13" x14ac:dyDescent="0.2">
      <c r="A17" s="59" t="s">
        <v>264</v>
      </c>
      <c r="B17" s="59"/>
      <c r="C17" s="33"/>
      <c r="D17" s="38">
        <v>13243763</v>
      </c>
      <c r="E17" s="31">
        <f>ROUND(D17*'6.4'!$K$14,0)</f>
        <v>28411573</v>
      </c>
      <c r="F17" s="38">
        <v>20786468</v>
      </c>
      <c r="G17" s="23">
        <f t="shared" ref="G17:G25" si="3">ROUND(F17/E17,3)</f>
        <v>0.73199999999999998</v>
      </c>
      <c r="H17" s="237" t="s">
        <v>80</v>
      </c>
      <c r="I17" s="61"/>
      <c r="K17" s="2"/>
    </row>
    <row r="18" spans="1:13" x14ac:dyDescent="0.2">
      <c r="A18" s="59" t="str">
        <f t="shared" ref="A18:A63" si="4">TEXT(A17+1,"#")</f>
        <v>1971</v>
      </c>
      <c r="B18" s="59"/>
      <c r="C18" s="213">
        <v>10640335</v>
      </c>
      <c r="D18" s="38">
        <v>13198133</v>
      </c>
      <c r="E18" s="31">
        <f>ROUND(D18*'6.4'!$K$14,0)</f>
        <v>28313684</v>
      </c>
      <c r="F18" s="38">
        <v>22731206</v>
      </c>
      <c r="G18" s="23">
        <f>ROUND(F18/E18,3)</f>
        <v>0.80300000000000005</v>
      </c>
      <c r="H18" s="237" t="s">
        <v>80</v>
      </c>
      <c r="I18" s="63"/>
      <c r="K18" s="2"/>
    </row>
    <row r="19" spans="1:13" x14ac:dyDescent="0.2">
      <c r="A19" s="59" t="str">
        <f t="shared" si="4"/>
        <v>1972</v>
      </c>
      <c r="B19" s="59"/>
      <c r="C19" s="213">
        <v>12302040</v>
      </c>
      <c r="D19" s="38">
        <v>13902740</v>
      </c>
      <c r="E19" s="31">
        <f>ROUND(D19*'6.4'!$K$14,0)</f>
        <v>29825263</v>
      </c>
      <c r="F19" s="38">
        <v>2242093</v>
      </c>
      <c r="G19" s="23">
        <f>ROUND(F19/E19,3)</f>
        <v>7.4999999999999997E-2</v>
      </c>
      <c r="H19" s="237"/>
      <c r="I19" s="63"/>
      <c r="K19" s="2"/>
    </row>
    <row r="20" spans="1:13" x14ac:dyDescent="0.2">
      <c r="A20" t="str">
        <f t="shared" si="4"/>
        <v>1973</v>
      </c>
      <c r="B20" s="25"/>
      <c r="C20" s="213">
        <v>12935382</v>
      </c>
      <c r="D20" s="38">
        <v>12724690</v>
      </c>
      <c r="E20" s="31">
        <f>ROUND(D20*'6.4'!$K$14,0)</f>
        <v>27298016</v>
      </c>
      <c r="F20" s="38">
        <v>4933261</v>
      </c>
      <c r="G20" s="23">
        <f t="shared" si="3"/>
        <v>0.18099999999999999</v>
      </c>
      <c r="H20" s="213"/>
      <c r="I20" s="63"/>
      <c r="K20" s="2"/>
      <c r="M20" s="38"/>
    </row>
    <row r="21" spans="1:13" x14ac:dyDescent="0.2">
      <c r="A21" t="str">
        <f t="shared" si="4"/>
        <v>1974</v>
      </c>
      <c r="B21" s="25"/>
      <c r="C21" s="213">
        <v>12794652</v>
      </c>
      <c r="D21" s="38">
        <v>11637700</v>
      </c>
      <c r="E21" s="31">
        <f>ROUND(D21*'6.4'!$K$14,0)</f>
        <v>24966119</v>
      </c>
      <c r="F21" s="38">
        <v>2293219</v>
      </c>
      <c r="G21" s="23">
        <f t="shared" si="3"/>
        <v>9.1999999999999998E-2</v>
      </c>
      <c r="H21" s="213"/>
      <c r="I21" s="63"/>
      <c r="K21" s="2"/>
      <c r="M21" s="38"/>
    </row>
    <row r="22" spans="1:13" x14ac:dyDescent="0.2">
      <c r="A22" t="str">
        <f t="shared" si="4"/>
        <v>1975</v>
      </c>
      <c r="B22" s="25"/>
      <c r="C22" s="213">
        <v>13633616</v>
      </c>
      <c r="D22" s="38">
        <v>12392309</v>
      </c>
      <c r="E22" s="31">
        <f>ROUND(D22*'6.4'!$K$14,0)</f>
        <v>26584966</v>
      </c>
      <c r="F22" s="38">
        <v>3062897</v>
      </c>
      <c r="G22" s="23">
        <f t="shared" si="3"/>
        <v>0.115</v>
      </c>
      <c r="H22" s="213"/>
      <c r="I22" s="63"/>
      <c r="K22" s="2"/>
      <c r="M22" s="38"/>
    </row>
    <row r="23" spans="1:13" x14ac:dyDescent="0.2">
      <c r="A23" t="str">
        <f t="shared" si="4"/>
        <v>1976</v>
      </c>
      <c r="B23" s="25"/>
      <c r="C23" s="213">
        <v>17088846</v>
      </c>
      <c r="D23" s="38">
        <v>13884831</v>
      </c>
      <c r="E23" s="31">
        <f>ROUND(D23*'6.4'!$K$14,0)</f>
        <v>29786843</v>
      </c>
      <c r="F23" s="38">
        <v>1522489</v>
      </c>
      <c r="G23" s="23">
        <f>ROUND(F23/E23,3)</f>
        <v>5.0999999999999997E-2</v>
      </c>
      <c r="H23" s="213"/>
      <c r="I23" s="63"/>
      <c r="K23" s="2"/>
      <c r="M23" s="38"/>
    </row>
    <row r="24" spans="1:13" x14ac:dyDescent="0.2">
      <c r="A24" t="str">
        <f t="shared" si="4"/>
        <v>1977</v>
      </c>
      <c r="B24" s="25"/>
      <c r="C24" s="213">
        <v>23643216</v>
      </c>
      <c r="D24" s="38">
        <v>17474220</v>
      </c>
      <c r="E24" s="31">
        <f>ROUND(D24*'6.4'!$K$14,0)</f>
        <v>37487085</v>
      </c>
      <c r="F24" s="38">
        <v>972383</v>
      </c>
      <c r="G24" s="23">
        <f t="shared" si="3"/>
        <v>2.5999999999999999E-2</v>
      </c>
      <c r="H24" s="213"/>
      <c r="I24" s="63"/>
      <c r="K24" s="2"/>
      <c r="M24" s="38"/>
    </row>
    <row r="25" spans="1:13" x14ac:dyDescent="0.2">
      <c r="A25" t="str">
        <f t="shared" si="4"/>
        <v>1978</v>
      </c>
      <c r="B25" s="25"/>
      <c r="C25" s="213">
        <v>28157329</v>
      </c>
      <c r="D25" s="38">
        <v>19320941</v>
      </c>
      <c r="E25" s="31">
        <f>ROUND(D25*'6.4'!$K$14,0)</f>
        <v>41448818</v>
      </c>
      <c r="F25" s="38">
        <v>1449823</v>
      </c>
      <c r="G25" s="23">
        <f t="shared" si="3"/>
        <v>3.5000000000000003E-2</v>
      </c>
      <c r="H25" s="213"/>
      <c r="I25" s="63"/>
      <c r="K25" s="2"/>
      <c r="M25" s="38"/>
    </row>
    <row r="26" spans="1:13" x14ac:dyDescent="0.2">
      <c r="A26" t="str">
        <f t="shared" si="4"/>
        <v>1979</v>
      </c>
      <c r="B26" s="25"/>
      <c r="C26" s="213">
        <v>32867536</v>
      </c>
      <c r="D26" s="38">
        <v>21563567</v>
      </c>
      <c r="E26" s="31">
        <f>ROUND(D26*'6.4'!$K$14,0)</f>
        <v>46259877</v>
      </c>
      <c r="F26" s="38">
        <v>3940899</v>
      </c>
      <c r="G26" s="23">
        <f>ROUND(F26/E26,3)</f>
        <v>8.5000000000000006E-2</v>
      </c>
      <c r="H26" s="213"/>
      <c r="I26" s="63"/>
      <c r="K26" s="2"/>
      <c r="M26" s="38"/>
    </row>
    <row r="27" spans="1:13" x14ac:dyDescent="0.2">
      <c r="A27" t="str">
        <f t="shared" si="4"/>
        <v>1980</v>
      </c>
      <c r="B27" s="25"/>
      <c r="C27" s="213">
        <v>32179994</v>
      </c>
      <c r="D27" s="38">
        <v>22416603</v>
      </c>
      <c r="E27" s="31">
        <f>ROUND(D27*'6.4'!$K$14,0)</f>
        <v>48089878</v>
      </c>
      <c r="F27" s="38"/>
      <c r="G27" s="201">
        <v>0.748</v>
      </c>
      <c r="H27" s="213" t="s">
        <v>80</v>
      </c>
      <c r="I27" s="63"/>
      <c r="K27" s="2"/>
      <c r="M27" s="38"/>
    </row>
    <row r="28" spans="1:13" x14ac:dyDescent="0.2">
      <c r="A28" t="str">
        <f t="shared" si="4"/>
        <v>1981</v>
      </c>
      <c r="B28" s="25"/>
      <c r="C28" s="214">
        <v>30817037</v>
      </c>
      <c r="D28" s="38">
        <v>29693419</v>
      </c>
      <c r="E28" s="31">
        <f>ROUND(D28*'6.4'!$K$14,0)</f>
        <v>63700682</v>
      </c>
      <c r="F28" s="38"/>
      <c r="G28" s="201">
        <v>3.2000000000000001E-2</v>
      </c>
      <c r="H28" s="213"/>
      <c r="I28" s="63"/>
      <c r="K28" s="2"/>
      <c r="M28" s="38"/>
    </row>
    <row r="29" spans="1:13" x14ac:dyDescent="0.2">
      <c r="A29" s="9" t="str">
        <f t="shared" si="4"/>
        <v>1982</v>
      </c>
      <c r="B29" s="26"/>
      <c r="C29" s="246">
        <v>28140159</v>
      </c>
      <c r="D29" s="67">
        <v>32398474</v>
      </c>
      <c r="E29" s="32">
        <f>ROUND(D29*'6.4'!$K$14,0)</f>
        <v>69503781</v>
      </c>
      <c r="F29" s="67"/>
      <c r="G29" s="247">
        <v>2.3E-2</v>
      </c>
      <c r="H29" s="246"/>
      <c r="I29" s="63"/>
      <c r="K29" s="2"/>
      <c r="M29" s="38"/>
    </row>
    <row r="30" spans="1:13" x14ac:dyDescent="0.2">
      <c r="A30" s="50" t="str">
        <f t="shared" si="4"/>
        <v>1983</v>
      </c>
      <c r="B30" s="50"/>
      <c r="C30" s="214">
        <v>28786234</v>
      </c>
      <c r="D30" s="47"/>
      <c r="E30" s="123">
        <f>'6.4'!E14+'6.5'!E14+'6.6'!E14+'6.7'!E14</f>
        <v>61754514.017302364</v>
      </c>
      <c r="F30" s="123"/>
      <c r="G30" s="53">
        <f>'6.3'!H14</f>
        <v>5.3730000000000002</v>
      </c>
      <c r="H30" s="214" t="s">
        <v>80</v>
      </c>
      <c r="I30" s="61"/>
      <c r="K30" s="2"/>
      <c r="M30" s="38"/>
    </row>
    <row r="31" spans="1:13" x14ac:dyDescent="0.2">
      <c r="A31" s="50" t="str">
        <f t="shared" si="4"/>
        <v>1984</v>
      </c>
      <c r="B31" s="50"/>
      <c r="C31" s="214">
        <v>20078668</v>
      </c>
      <c r="D31" s="47"/>
      <c r="E31" s="123">
        <f>'6.4'!E15+'6.5'!E15+'6.6'!E15+'6.7'!E15</f>
        <v>43074353.626869917</v>
      </c>
      <c r="F31" s="123"/>
      <c r="G31" s="53">
        <f>'6.3'!H15</f>
        <v>0.14599999999999999</v>
      </c>
      <c r="H31" s="214"/>
      <c r="I31" s="61"/>
      <c r="K31" s="2"/>
      <c r="M31" s="38"/>
    </row>
    <row r="32" spans="1:13" x14ac:dyDescent="0.2">
      <c r="A32" t="str">
        <f t="shared" si="4"/>
        <v>1985</v>
      </c>
      <c r="C32" s="213">
        <v>30043452</v>
      </c>
      <c r="D32" s="38"/>
      <c r="E32" s="123">
        <f>'6.4'!E16+'6.5'!E16+'6.6'!E16+'6.7'!E16</f>
        <v>64451600.841041744</v>
      </c>
      <c r="F32" s="31"/>
      <c r="G32" s="53">
        <f>'6.3'!H16</f>
        <v>6.3E-2</v>
      </c>
      <c r="H32" s="213"/>
      <c r="I32" s="245"/>
      <c r="K32" s="2"/>
    </row>
    <row r="33" spans="1:13" x14ac:dyDescent="0.2">
      <c r="A33" t="str">
        <f t="shared" si="4"/>
        <v>1986</v>
      </c>
      <c r="C33" s="213">
        <v>36673352</v>
      </c>
      <c r="D33" s="38"/>
      <c r="E33" s="123">
        <f>'6.4'!E17+'6.5'!E17+'6.6'!E17+'6.7'!E17</f>
        <v>78674586.242656693</v>
      </c>
      <c r="F33" s="31"/>
      <c r="G33" s="53">
        <f>'6.3'!H17</f>
        <v>0.112</v>
      </c>
      <c r="H33" s="214" t="s">
        <v>80</v>
      </c>
      <c r="I33" s="245"/>
      <c r="K33" s="2"/>
    </row>
    <row r="34" spans="1:13" x14ac:dyDescent="0.2">
      <c r="A34" t="str">
        <f t="shared" si="4"/>
        <v>1987</v>
      </c>
      <c r="C34" s="213">
        <v>41598709</v>
      </c>
      <c r="D34" s="38"/>
      <c r="E34" s="123">
        <f>'6.4'!E18+'6.5'!E18+'6.6'!E18+'6.7'!E18</f>
        <v>89240855.949003041</v>
      </c>
      <c r="F34" s="31"/>
      <c r="G34" s="53">
        <f>'6.3'!H18</f>
        <v>2.9000000000000001E-2</v>
      </c>
      <c r="H34" s="214" t="s">
        <v>325</v>
      </c>
      <c r="I34" s="245"/>
      <c r="K34" s="2"/>
    </row>
    <row r="35" spans="1:13" x14ac:dyDescent="0.2">
      <c r="A35" t="str">
        <f t="shared" si="4"/>
        <v>1988</v>
      </c>
      <c r="C35" s="213">
        <v>45044392</v>
      </c>
      <c r="D35" s="80"/>
      <c r="E35" s="123">
        <f>'6.4'!E19+'6.5'!E19+'6.6'!E19+'6.7'!E19</f>
        <v>99314292.923248917</v>
      </c>
      <c r="F35" s="31"/>
      <c r="G35" s="53">
        <f>'6.3'!H19</f>
        <v>0.11899999999999999</v>
      </c>
      <c r="H35" s="229"/>
      <c r="I35" s="245"/>
      <c r="K35" s="2"/>
    </row>
    <row r="36" spans="1:13" x14ac:dyDescent="0.2">
      <c r="A36" t="str">
        <f t="shared" si="4"/>
        <v>1989</v>
      </c>
      <c r="C36" s="236">
        <v>41745774</v>
      </c>
      <c r="D36" s="80"/>
      <c r="E36" s="123">
        <f>'6.4'!E20+'6.5'!E20+'6.6'!E20+'6.7'!E20</f>
        <v>94668449.620354712</v>
      </c>
      <c r="F36" s="31"/>
      <c r="G36" s="53">
        <f>'6.3'!H20</f>
        <v>0.08</v>
      </c>
      <c r="H36" s="229" t="s">
        <v>80</v>
      </c>
      <c r="I36" s="245"/>
      <c r="K36" s="2"/>
    </row>
    <row r="37" spans="1:13" x14ac:dyDescent="0.2">
      <c r="A37" s="59" t="str">
        <f t="shared" si="4"/>
        <v>1990</v>
      </c>
      <c r="B37" s="59"/>
      <c r="C37" s="214">
        <v>40384195</v>
      </c>
      <c r="D37" s="80"/>
      <c r="E37" s="123">
        <f>'6.4'!E21+'6.5'!E21+'6.6'!E21+'6.7'!E21</f>
        <v>90182908.649182692</v>
      </c>
      <c r="F37" s="31"/>
      <c r="G37" s="53">
        <f>'6.3'!H21</f>
        <v>0.20200000000000001</v>
      </c>
      <c r="H37" s="229"/>
      <c r="I37" s="245"/>
      <c r="K37" s="2"/>
    </row>
    <row r="38" spans="1:13" x14ac:dyDescent="0.2">
      <c r="A38" t="str">
        <f t="shared" si="4"/>
        <v>1991</v>
      </c>
      <c r="B38" s="22"/>
      <c r="C38" s="101">
        <f>'[4]TICO 2'!S35</f>
        <v>46237136.860229254</v>
      </c>
      <c r="D38" s="80"/>
      <c r="E38" s="123">
        <f>'6.4'!E22+'6.5'!E22+'6.6'!E22+'6.7'!E22</f>
        <v>90400844.129581183</v>
      </c>
      <c r="F38" s="31"/>
      <c r="G38" s="53">
        <f>'6.3'!H22</f>
        <v>0.93300000000000005</v>
      </c>
      <c r="H38" s="229" t="s">
        <v>325</v>
      </c>
      <c r="I38" s="245"/>
      <c r="K38" s="2"/>
    </row>
    <row r="39" spans="1:13" x14ac:dyDescent="0.2">
      <c r="A39" t="str">
        <f t="shared" si="4"/>
        <v>1992</v>
      </c>
      <c r="B39" s="22"/>
      <c r="C39" s="101">
        <f>'[4]TICO 2'!S36</f>
        <v>44512572.190501273</v>
      </c>
      <c r="D39" s="80"/>
      <c r="E39" s="123">
        <f>'6.4'!E23+'6.5'!E23+'6.6'!E23+'6.7'!E23</f>
        <v>107296088.64396012</v>
      </c>
      <c r="F39" s="31"/>
      <c r="G39" s="53">
        <f>'6.3'!H23</f>
        <v>6.8000000000000005E-2</v>
      </c>
      <c r="H39" s="229" t="s">
        <v>325</v>
      </c>
      <c r="I39" s="245"/>
      <c r="K39" s="2"/>
    </row>
    <row r="40" spans="1:13" x14ac:dyDescent="0.2">
      <c r="A40" t="str">
        <f t="shared" si="4"/>
        <v>1993</v>
      </c>
      <c r="B40" s="22"/>
      <c r="C40" s="101">
        <f>'[4]TICO 2'!S37</f>
        <v>50741119.973159775</v>
      </c>
      <c r="D40" s="80"/>
      <c r="E40" s="123">
        <f>'6.4'!E24+'6.5'!E24+'6.6'!E24+'6.7'!E24</f>
        <v>168782896.39964876</v>
      </c>
      <c r="F40" s="31"/>
      <c r="G40" s="53">
        <f>'6.3'!H24</f>
        <v>8.1000000000000003E-2</v>
      </c>
      <c r="H40" s="229" t="s">
        <v>325</v>
      </c>
      <c r="I40" s="245"/>
      <c r="K40" s="2"/>
    </row>
    <row r="41" spans="1:13" x14ac:dyDescent="0.2">
      <c r="A41" t="str">
        <f t="shared" si="4"/>
        <v>1994</v>
      </c>
      <c r="C41" s="101">
        <f>'[4]TICO 2'!S38</f>
        <v>57584585.297293335</v>
      </c>
      <c r="D41" s="80"/>
      <c r="E41" s="123">
        <f>'6.4'!E25+'6.5'!E25+'6.6'!E25+'6.7'!E25</f>
        <v>169445140.96801338</v>
      </c>
      <c r="F41" s="31"/>
      <c r="G41" s="53">
        <f>'6.3'!H25</f>
        <v>4.2999999999999997E-2</v>
      </c>
      <c r="H41" s="229" t="s">
        <v>325</v>
      </c>
      <c r="I41" s="245"/>
      <c r="K41" s="2"/>
    </row>
    <row r="42" spans="1:13" x14ac:dyDescent="0.2">
      <c r="A42" t="str">
        <f t="shared" si="4"/>
        <v>1995</v>
      </c>
      <c r="C42" s="101">
        <f>'[4]TICO 2'!S39</f>
        <v>60740049.308940537</v>
      </c>
      <c r="D42" s="80"/>
      <c r="E42" s="123">
        <f>'6.4'!E26+'6.5'!E26+'6.6'!E26+'6.7'!E26</f>
        <v>158871316.39444327</v>
      </c>
      <c r="F42" s="31"/>
      <c r="G42" s="53">
        <f>'6.3'!H26</f>
        <v>6.7000000000000004E-2</v>
      </c>
      <c r="H42" s="229" t="s">
        <v>325</v>
      </c>
      <c r="I42" s="245"/>
      <c r="K42" s="2"/>
    </row>
    <row r="43" spans="1:13" x14ac:dyDescent="0.2">
      <c r="A43" t="str">
        <f t="shared" si="4"/>
        <v>1996</v>
      </c>
      <c r="C43" s="101">
        <f>'[4]TICO 2'!S40</f>
        <v>71865572.173548162</v>
      </c>
      <c r="D43" s="80"/>
      <c r="E43" s="123">
        <f>'6.4'!E27+'6.5'!E27+'6.6'!E27+'6.7'!E27</f>
        <v>169174051.3221702</v>
      </c>
      <c r="F43" s="31"/>
      <c r="G43" s="53">
        <f>'6.3'!H27</f>
        <v>3.7999999999999999E-2</v>
      </c>
      <c r="H43" s="229" t="s">
        <v>325</v>
      </c>
      <c r="I43" s="245"/>
      <c r="K43" s="2"/>
    </row>
    <row r="44" spans="1:13" x14ac:dyDescent="0.2">
      <c r="A44" t="str">
        <f t="shared" si="4"/>
        <v>1997</v>
      </c>
      <c r="C44" s="101">
        <f>'[4]TICO 2'!S41</f>
        <v>79154547.157164395</v>
      </c>
      <c r="D44" s="80"/>
      <c r="E44" s="123">
        <f>'6.4'!E28+'6.5'!E28+'6.6'!E28+'6.7'!E28</f>
        <v>186332551.86530501</v>
      </c>
      <c r="F44" s="31"/>
      <c r="G44" s="53">
        <f>'6.3'!H28</f>
        <v>4.7E-2</v>
      </c>
      <c r="H44" s="229" t="s">
        <v>325</v>
      </c>
      <c r="I44" s="245"/>
      <c r="K44" s="2"/>
    </row>
    <row r="45" spans="1:13" x14ac:dyDescent="0.2">
      <c r="A45" t="str">
        <f t="shared" si="4"/>
        <v>1998</v>
      </c>
      <c r="C45" s="101">
        <f>'[4]TICO 2'!S42</f>
        <v>80238259.539037794</v>
      </c>
      <c r="D45" s="80"/>
      <c r="E45" s="123">
        <f>'6.4'!E29+'6.5'!E29+'6.6'!E29+'6.7'!E29</f>
        <v>188694953.06778288</v>
      </c>
      <c r="F45" s="31"/>
      <c r="G45" s="53">
        <f>'6.3'!H29</f>
        <v>0.21299999999999999</v>
      </c>
      <c r="H45" s="229" t="s">
        <v>325</v>
      </c>
      <c r="I45" s="245"/>
      <c r="K45" s="2"/>
    </row>
    <row r="46" spans="1:13" x14ac:dyDescent="0.2">
      <c r="A46" t="str">
        <f t="shared" si="4"/>
        <v>1999</v>
      </c>
      <c r="C46" s="101">
        <f>'[4]TICO 2'!S43</f>
        <v>71026551.585025504</v>
      </c>
      <c r="D46" s="80"/>
      <c r="E46" s="123">
        <f>'6.4'!E30+'6.5'!E30+'6.6'!E30+'6.7'!E30</f>
        <v>175094687.80122298</v>
      </c>
      <c r="F46" s="31"/>
      <c r="G46" s="53">
        <f>'6.3'!H30</f>
        <v>8.7999999999999995E-2</v>
      </c>
      <c r="H46" s="229" t="s">
        <v>80</v>
      </c>
      <c r="I46" s="245"/>
      <c r="K46" s="2"/>
      <c r="L46" t="s">
        <v>217</v>
      </c>
      <c r="M46" t="s">
        <v>218</v>
      </c>
    </row>
    <row r="47" spans="1:13" x14ac:dyDescent="0.2">
      <c r="A47" t="str">
        <f t="shared" si="4"/>
        <v>2000</v>
      </c>
      <c r="C47" s="101">
        <f>'[4]TICO 2'!S44</f>
        <v>75114173.966088086</v>
      </c>
      <c r="D47" s="204"/>
      <c r="E47" s="123">
        <f>'6.4'!E31+'6.5'!E31+'6.6'!E31+'6.7'!E31</f>
        <v>186657904.16447622</v>
      </c>
      <c r="F47" s="31"/>
      <c r="G47" s="53">
        <f>'6.3'!H31</f>
        <v>0.05</v>
      </c>
      <c r="H47" s="229" t="s">
        <v>325</v>
      </c>
      <c r="I47" s="245"/>
      <c r="K47" s="2"/>
      <c r="L47" s="84">
        <f>'6.4'!K$55</f>
        <v>44104</v>
      </c>
      <c r="M47" s="84">
        <f>'6.4'!L$55</f>
        <v>44196</v>
      </c>
    </row>
    <row r="48" spans="1:13" x14ac:dyDescent="0.2">
      <c r="A48" t="str">
        <f t="shared" si="4"/>
        <v>2001</v>
      </c>
      <c r="C48" s="101">
        <f>'[4]TICO 2'!S45</f>
        <v>74726401.205720931</v>
      </c>
      <c r="D48" s="204"/>
      <c r="E48" s="123">
        <f>'6.4'!E32+'6.5'!E32+'6.6'!E32+'6.7'!E32</f>
        <v>163169889.84096152</v>
      </c>
      <c r="F48" s="31"/>
      <c r="G48" s="53">
        <f>'6.3'!H32</f>
        <v>6.8000000000000005E-2</v>
      </c>
      <c r="H48" s="229" t="s">
        <v>325</v>
      </c>
      <c r="I48" s="245"/>
      <c r="K48" s="2"/>
    </row>
    <row r="49" spans="1:11" x14ac:dyDescent="0.2">
      <c r="A49" t="str">
        <f t="shared" si="4"/>
        <v>2002</v>
      </c>
      <c r="C49" s="101">
        <f>'[4]TICO 2'!S46</f>
        <v>86289350</v>
      </c>
      <c r="D49" s="204"/>
      <c r="E49" s="123">
        <f>'6.4'!E33+'6.5'!E33+'6.6'!E33+'6.7'!E33</f>
        <v>173710570.05616033</v>
      </c>
      <c r="F49" s="31"/>
      <c r="G49" s="53">
        <f>'6.3'!H33</f>
        <v>0.17299999999999999</v>
      </c>
      <c r="H49" s="229" t="s">
        <v>325</v>
      </c>
      <c r="I49" s="245"/>
      <c r="K49" s="2"/>
    </row>
    <row r="50" spans="1:11" x14ac:dyDescent="0.2">
      <c r="A50" t="str">
        <f t="shared" si="4"/>
        <v>2003</v>
      </c>
      <c r="C50" s="101">
        <f>'[4]TICO 2'!S47</f>
        <v>112200741</v>
      </c>
      <c r="D50" s="204"/>
      <c r="E50" s="123">
        <f>'6.4'!E34+'6.5'!E34+'6.6'!E34+'6.7'!E34</f>
        <v>225873235.71044844</v>
      </c>
      <c r="G50" s="53">
        <f>'6.3'!H34</f>
        <v>0.19800000000000001</v>
      </c>
      <c r="H50" s="229" t="s">
        <v>80</v>
      </c>
      <c r="I50" s="245"/>
      <c r="K50" s="2"/>
    </row>
    <row r="51" spans="1:11" x14ac:dyDescent="0.2">
      <c r="A51" t="str">
        <f t="shared" si="4"/>
        <v>2004</v>
      </c>
      <c r="C51" s="101">
        <f>'[4]TICO 2'!S48</f>
        <v>123050217</v>
      </c>
      <c r="D51" s="204"/>
      <c r="E51" s="123">
        <f>'6.4'!E35+'6.5'!E35+'6.6'!E35+'6.7'!E35</f>
        <v>236207042.34843534</v>
      </c>
      <c r="F51" s="59"/>
      <c r="G51" s="53">
        <f>'6.3'!H35</f>
        <v>1.7000000000000001E-2</v>
      </c>
      <c r="H51" s="229" t="s">
        <v>325</v>
      </c>
      <c r="I51" s="245"/>
      <c r="K51" s="2"/>
    </row>
    <row r="52" spans="1:11" x14ac:dyDescent="0.2">
      <c r="A52" t="str">
        <f t="shared" si="4"/>
        <v>2005</v>
      </c>
      <c r="C52" s="101">
        <f>'[4]TICO 2'!S49</f>
        <v>135380924</v>
      </c>
      <c r="D52" s="204"/>
      <c r="E52" s="123">
        <f>'6.4'!E36+'6.5'!E36+'6.6'!E36+'6.7'!E36</f>
        <v>248665747.95384526</v>
      </c>
      <c r="G52" s="53">
        <f>'6.3'!H36</f>
        <v>1.105</v>
      </c>
      <c r="H52" s="229" t="s">
        <v>80</v>
      </c>
      <c r="I52" s="245"/>
      <c r="K52" s="2"/>
    </row>
    <row r="53" spans="1:11" x14ac:dyDescent="0.2">
      <c r="A53" s="50" t="str">
        <f t="shared" si="4"/>
        <v>2006</v>
      </c>
      <c r="B53" s="51"/>
      <c r="C53" s="101">
        <f>'[4]TICO 2'!S50</f>
        <v>154699767</v>
      </c>
      <c r="D53" s="204"/>
      <c r="E53" s="123">
        <f>'6.4'!E37+'6.5'!E37+'6.6'!E37+'6.7'!E37</f>
        <v>283468384.49484938</v>
      </c>
      <c r="F53" s="123"/>
      <c r="G53" s="53">
        <f>'6.3'!H37</f>
        <v>0.02</v>
      </c>
      <c r="H53" s="229" t="s">
        <v>325</v>
      </c>
      <c r="I53" s="245"/>
      <c r="K53" s="2"/>
    </row>
    <row r="54" spans="1:11" x14ac:dyDescent="0.2">
      <c r="A54" s="50" t="str">
        <f t="shared" si="4"/>
        <v>2007</v>
      </c>
      <c r="C54" s="101">
        <f>'[4]TICO 2'!S51</f>
        <v>219914305</v>
      </c>
      <c r="D54" s="204"/>
      <c r="E54" s="123">
        <f>'6.4'!E38+'6.5'!E38+'6.6'!E38+'6.7'!E38</f>
        <v>384632941.03010315</v>
      </c>
      <c r="G54" s="53">
        <f>'6.3'!H38</f>
        <v>0.05</v>
      </c>
      <c r="H54" s="229" t="s">
        <v>80</v>
      </c>
      <c r="I54" s="20"/>
      <c r="K54" s="2"/>
    </row>
    <row r="55" spans="1:11" x14ac:dyDescent="0.2">
      <c r="A55" s="50" t="str">
        <f t="shared" si="4"/>
        <v>2008</v>
      </c>
      <c r="C55" s="101">
        <f>'[4]TICO 2'!S52</f>
        <v>289558186</v>
      </c>
      <c r="D55" s="204"/>
      <c r="E55" s="123">
        <f>'6.4'!E39+'6.5'!E39+'6.6'!E39+'6.7'!E39</f>
        <v>477636240.60245597</v>
      </c>
      <c r="G55" s="53">
        <f>'6.3'!H39</f>
        <v>4.242</v>
      </c>
      <c r="H55" s="229" t="s">
        <v>80</v>
      </c>
      <c r="I55" s="20"/>
      <c r="K55" s="2"/>
    </row>
    <row r="56" spans="1:11" x14ac:dyDescent="0.2">
      <c r="A56" s="50" t="str">
        <f t="shared" si="4"/>
        <v>2009</v>
      </c>
      <c r="C56" s="101">
        <f>'[4]TICO 2'!S53</f>
        <v>327305758</v>
      </c>
      <c r="D56" s="204"/>
      <c r="E56" s="123">
        <f>'6.4'!E40+'6.5'!E40+'6.6'!E40+'6.7'!E40</f>
        <v>490534994.9272626</v>
      </c>
      <c r="G56" s="53">
        <f>'6.3'!H40</f>
        <v>1.9E-2</v>
      </c>
      <c r="H56" s="229"/>
      <c r="I56" s="61"/>
      <c r="K56" s="2"/>
    </row>
    <row r="57" spans="1:11" x14ac:dyDescent="0.2">
      <c r="A57" s="50" t="str">
        <f t="shared" si="4"/>
        <v>2010</v>
      </c>
      <c r="C57" s="101">
        <f>'[4]TICO 2'!S54</f>
        <v>355219215</v>
      </c>
      <c r="D57" s="204"/>
      <c r="E57" s="123">
        <f>'6.4'!E41+'6.5'!E41+'6.6'!E41+'6.7'!E41</f>
        <v>499964244.13406676</v>
      </c>
      <c r="G57" s="53">
        <f>'6.3'!H41</f>
        <v>3.7999999999999999E-2</v>
      </c>
      <c r="H57" s="229"/>
      <c r="I57" s="61"/>
      <c r="K57" s="2"/>
    </row>
    <row r="58" spans="1:11" x14ac:dyDescent="0.2">
      <c r="A58" s="50" t="str">
        <f t="shared" si="4"/>
        <v>2011</v>
      </c>
      <c r="C58" s="101">
        <f>'[4]TICO 2'!S55</f>
        <v>370875863</v>
      </c>
      <c r="D58" s="204"/>
      <c r="E58" s="123">
        <f>'6.4'!E42+'6.5'!E42+'6.6'!E42+'6.7'!E42</f>
        <v>509107481.73026603</v>
      </c>
      <c r="G58" s="53">
        <f>'6.3'!H42</f>
        <v>0.182</v>
      </c>
      <c r="H58" s="229" t="s">
        <v>325</v>
      </c>
      <c r="I58" s="61"/>
      <c r="K58" s="2"/>
    </row>
    <row r="59" spans="1:11" x14ac:dyDescent="0.2">
      <c r="A59" s="50" t="str">
        <f t="shared" si="4"/>
        <v>2012</v>
      </c>
      <c r="B59" s="50"/>
      <c r="C59" s="101">
        <f>'[4]TICO 2'!S56</f>
        <v>406981851</v>
      </c>
      <c r="D59" s="204"/>
      <c r="E59" s="123">
        <f>'6.4'!E43+'6.5'!E43+'6.6'!E43+'6.7'!E43</f>
        <v>532077164.16692668</v>
      </c>
      <c r="F59" s="50"/>
      <c r="G59" s="53">
        <f ca="1">'6.3'!H43</f>
        <v>0.13700000000000001</v>
      </c>
      <c r="H59" s="230"/>
      <c r="I59" s="20"/>
      <c r="K59" s="2"/>
    </row>
    <row r="60" spans="1:11" x14ac:dyDescent="0.2">
      <c r="A60" s="50" t="str">
        <f t="shared" si="4"/>
        <v>2013</v>
      </c>
      <c r="B60" s="50"/>
      <c r="C60" s="101">
        <f>'[4]TICO 2'!S57</f>
        <v>440952159</v>
      </c>
      <c r="D60" s="217"/>
      <c r="E60" s="123">
        <f>'6.4'!E44+'6.5'!E44+'6.6'!E44+'6.7'!E44</f>
        <v>549111155.1242429</v>
      </c>
      <c r="F60" s="50"/>
      <c r="G60" s="53">
        <f ca="1">'6.3'!H44</f>
        <v>0.17599999999999999</v>
      </c>
      <c r="H60" s="229" t="s">
        <v>325</v>
      </c>
      <c r="I60" s="61"/>
      <c r="K60" s="2"/>
    </row>
    <row r="61" spans="1:11" x14ac:dyDescent="0.2">
      <c r="A61" s="50" t="str">
        <f t="shared" si="4"/>
        <v>2014</v>
      </c>
      <c r="B61" s="50"/>
      <c r="C61" s="101">
        <f>'[4]TICO 2'!S58</f>
        <v>477983216</v>
      </c>
      <c r="D61" s="217"/>
      <c r="E61" s="123">
        <f>'6.4'!E45+'6.5'!E45+'6.6'!E45+'6.7'!E45</f>
        <v>567000312.45500708</v>
      </c>
      <c r="F61" s="50"/>
      <c r="G61" s="53">
        <f ca="1">'6.3'!H45</f>
        <v>2.3E-2</v>
      </c>
      <c r="H61" s="229"/>
      <c r="I61" s="61"/>
      <c r="K61" s="2"/>
    </row>
    <row r="62" spans="1:11" x14ac:dyDescent="0.2">
      <c r="A62" s="50" t="str">
        <f t="shared" si="4"/>
        <v>2015</v>
      </c>
      <c r="B62" s="50"/>
      <c r="C62" s="101">
        <f>'[4]TICO 2'!S59</f>
        <v>517579765</v>
      </c>
      <c r="D62" s="217"/>
      <c r="E62" s="123">
        <f>'6.4'!E46+'6.5'!E46+'6.6'!E46+'6.7'!E46</f>
        <v>584847630.32357705</v>
      </c>
      <c r="F62" s="50"/>
      <c r="G62" s="53">
        <f ca="1">'6.3'!H46</f>
        <v>0.24099999999999999</v>
      </c>
      <c r="H62" s="230"/>
      <c r="I62" s="166"/>
      <c r="K62" s="2"/>
    </row>
    <row r="63" spans="1:11" x14ac:dyDescent="0.2">
      <c r="A63" s="50" t="str">
        <f t="shared" si="4"/>
        <v>2016</v>
      </c>
      <c r="B63" s="50"/>
      <c r="C63" s="101">
        <f>'[4]TICO 2'!S60</f>
        <v>541982800</v>
      </c>
      <c r="D63" s="217"/>
      <c r="E63" s="123">
        <f>'6.4'!E47+'6.5'!E47+'6.6'!E47+'6.7'!E47</f>
        <v>583476869.03160226</v>
      </c>
      <c r="F63" s="50"/>
      <c r="G63" s="53">
        <f ca="1">'6.3'!H47</f>
        <v>8.6085999999999982E-2</v>
      </c>
      <c r="H63" s="230"/>
      <c r="I63" s="50"/>
      <c r="K63" s="2"/>
    </row>
    <row r="64" spans="1:11" x14ac:dyDescent="0.2">
      <c r="A64" s="51">
        <v>2017</v>
      </c>
      <c r="B64" s="50"/>
      <c r="C64" s="101">
        <f>'[4]TICO 2'!S61</f>
        <v>533284592</v>
      </c>
      <c r="D64" s="217"/>
      <c r="E64" s="123">
        <f>'6.4'!E48+'6.5'!E48+'6.6'!E48+'6.7'!E48</f>
        <v>559948821.95000052</v>
      </c>
      <c r="F64" s="50"/>
      <c r="G64" s="53">
        <f ca="1">'6.3'!H48</f>
        <v>2.1850320000000001</v>
      </c>
      <c r="H64" s="230" t="s">
        <v>80</v>
      </c>
      <c r="I64" s="50"/>
      <c r="K64" s="2"/>
    </row>
    <row r="65" spans="1:11" x14ac:dyDescent="0.2">
      <c r="A65" s="51">
        <v>2018</v>
      </c>
      <c r="B65" s="50"/>
      <c r="C65" s="101">
        <f>'[4]TICO 2'!S62</f>
        <v>516732311</v>
      </c>
      <c r="D65" s="217"/>
      <c r="E65" s="123">
        <f>'6.4'!E49+'6.5'!E49+'6.6'!E49+'6.7'!E49</f>
        <v>529931693.41623127</v>
      </c>
      <c r="F65" s="50"/>
      <c r="G65" s="53">
        <f ca="1">'6.3'!H49</f>
        <v>3.5595000000000002E-2</v>
      </c>
      <c r="H65" s="230"/>
      <c r="I65" s="50"/>
      <c r="K65" s="2"/>
    </row>
    <row r="66" spans="1:11" x14ac:dyDescent="0.2">
      <c r="A66" s="51">
        <v>2019</v>
      </c>
      <c r="B66" s="50"/>
      <c r="C66" s="101">
        <f>'[4]TICO 2'!S63</f>
        <v>509685524</v>
      </c>
      <c r="D66" s="217"/>
      <c r="E66" s="123">
        <f>'6.4'!E50+'6.5'!E50+'6.6'!E50+'6.7'!E50</f>
        <v>509685523.99999881</v>
      </c>
      <c r="F66" s="50"/>
      <c r="G66" s="53">
        <f ca="1">'6.3'!H50</f>
        <v>6.8159999999999998E-2</v>
      </c>
      <c r="H66" s="230"/>
      <c r="I66" s="50"/>
      <c r="K66" s="2"/>
    </row>
    <row r="67" spans="1:11" x14ac:dyDescent="0.2">
      <c r="A67" s="51">
        <v>2020</v>
      </c>
      <c r="B67" s="50"/>
      <c r="C67" s="101">
        <f>'[4]TICO 2'!S64</f>
        <v>502850592</v>
      </c>
      <c r="D67" s="217"/>
      <c r="E67" s="123">
        <f>'6.4'!E51+'6.5'!E51+'6.6'!E51+'6.7'!E51</f>
        <v>502850592</v>
      </c>
      <c r="F67" s="50"/>
      <c r="G67" s="53">
        <f ca="1">'6.3'!H51</f>
        <v>0.14064500000000002</v>
      </c>
      <c r="H67" s="230" t="s">
        <v>80</v>
      </c>
      <c r="I67" s="50"/>
      <c r="K67" s="2"/>
    </row>
    <row r="68" spans="1:11" x14ac:dyDescent="0.2">
      <c r="A68" s="51"/>
      <c r="B68" s="50"/>
      <c r="C68" s="101"/>
      <c r="D68" s="217"/>
      <c r="E68" s="123"/>
      <c r="F68" s="50"/>
      <c r="G68" s="53"/>
      <c r="H68" s="230"/>
      <c r="I68" s="50"/>
      <c r="K68" s="2"/>
    </row>
    <row r="69" spans="1:11" x14ac:dyDescent="0.2">
      <c r="A69" s="327" t="s">
        <v>30</v>
      </c>
      <c r="B69" s="327"/>
      <c r="C69" s="330">
        <f>SUM(C16:C67)</f>
        <v>7874023023.2567091</v>
      </c>
      <c r="D69" s="330">
        <f>SUM(D13:D67)</f>
        <v>285475684</v>
      </c>
      <c r="E69" s="330">
        <f>SUM(E13:E67)</f>
        <v>11446437654.922705</v>
      </c>
      <c r="F69" s="321"/>
      <c r="G69" s="331">
        <f ca="1">ROUND(AVERAGE(G13:G67),3)</f>
        <v>0.373</v>
      </c>
      <c r="K69" s="2"/>
    </row>
    <row r="70" spans="1:11" x14ac:dyDescent="0.2">
      <c r="A70" t="s">
        <v>129</v>
      </c>
      <c r="C70" s="59"/>
      <c r="D70" s="59"/>
      <c r="E70" s="59"/>
      <c r="F70" s="59"/>
      <c r="G70" s="29">
        <f ca="1">ROUND(SUMIF(H13:H67,"&lt;&gt;H",G13:G67)/COUNTIF(H13:H67,"&lt;&gt;H"),3)</f>
        <v>0.104</v>
      </c>
      <c r="K70" s="2"/>
    </row>
    <row r="71" spans="1:11" ht="10.5" thickBot="1" x14ac:dyDescent="0.25">
      <c r="A71" s="6" t="s">
        <v>73</v>
      </c>
      <c r="B71" s="6"/>
      <c r="C71" s="6"/>
      <c r="D71" s="6"/>
      <c r="E71" s="6"/>
      <c r="F71" s="6"/>
      <c r="G71" s="279">
        <f ca="1">ROUND(AVERAGE(G70:G70),3)</f>
        <v>0.104</v>
      </c>
      <c r="K71" s="2"/>
    </row>
    <row r="72" spans="1:11" ht="10.5" hidden="1" thickBot="1" x14ac:dyDescent="0.25">
      <c r="A72" s="6"/>
      <c r="B72" s="6"/>
      <c r="C72" s="6"/>
      <c r="D72" s="6"/>
      <c r="E72" s="6"/>
      <c r="F72" s="6"/>
      <c r="G72" s="6"/>
      <c r="K72" s="2"/>
    </row>
    <row r="73" spans="1:11" ht="10.5" thickTop="1" x14ac:dyDescent="0.2">
      <c r="A73" t="s">
        <v>17</v>
      </c>
      <c r="B73" s="22" t="str">
        <f>C11&amp;", "&amp;D11&amp;" Provided by TDI.  Accident years ending "&amp;TEXT($L$47,"m/d/xx")&amp;" as of "&amp;TEXT($M$47,"m/d/yyyy")</f>
        <v>(2), (3) Provided by TDI.  Accident years ending 9/30/xx as of 12/31/2020</v>
      </c>
      <c r="I73" s="50"/>
      <c r="K73" s="2"/>
    </row>
    <row r="74" spans="1:11" x14ac:dyDescent="0.2">
      <c r="B74" s="22" t="str">
        <f>E11&amp;" "&amp;A30&amp;" - "&amp;YEAR(M47)&amp;": Sum of "&amp;'6.4'!$I$1&amp;", "&amp;'6.4'!$I$2&amp;" - "&amp;'6.7'!$I$2&amp;", "&amp;'6.4'!E12&amp;"; "&amp;A13&amp;" - "&amp;A29&amp;": "&amp;D11&amp;" * "&amp;TEXT('6.4'!$K$14,"0.0")</f>
        <v>(4) 1983 - 2020: Sum of Exhibit 6, Sheet 4 - Sheet 7, (4); 1966 - 1982: (3) * 2.1</v>
      </c>
      <c r="F74" s="45"/>
      <c r="K74" s="2"/>
    </row>
    <row r="75" spans="1:11" x14ac:dyDescent="0.2">
      <c r="B75" s="22" t="str">
        <f>F11&amp;" Provided by TDI.  Accident years ending "&amp;TEXT($L$47,"m/d/xx")&amp;" as of 12/31/2010"</f>
        <v>(5) Provided by TDI.  Accident years ending 9/30/xx as of 12/31/2010</v>
      </c>
      <c r="D75" s="22"/>
      <c r="K75" s="2"/>
    </row>
    <row r="76" spans="1:11" x14ac:dyDescent="0.2">
      <c r="B76" s="22" t="str">
        <f>G11&amp;" "&amp;A30&amp;" - "&amp;YEAR(M47)&amp;": "&amp;'6.3'!$I$1&amp;", "&amp;'6.3'!$I$2&amp;"; "&amp;A13&amp;" - "&amp;A29&amp;": "&amp;F11&amp;" / "&amp;E11</f>
        <v>(6) 1983 - 2020: Exhibit 6, Sheet 3; 1966 - 1982: (5) / (4)</v>
      </c>
      <c r="C76" s="59"/>
      <c r="D76" s="59"/>
      <c r="E76" s="59"/>
      <c r="K76" s="2"/>
    </row>
    <row r="77" spans="1:11" ht="10.5" thickBot="1" x14ac:dyDescent="0.25">
      <c r="B77" t="str">
        <f>H11&amp;" ""H"" indicates occurrence of hurricane(s) during the time period (years ending "&amp;TEXT($L$47,"m/d/xx")&amp;")"</f>
        <v>(7) "H" indicates occurrence of hurricane(s) during the time period (years ending 9/30/xx)</v>
      </c>
      <c r="K77" s="2"/>
    </row>
    <row r="78" spans="1:11" ht="10.5" thickBot="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3"/>
    </row>
  </sheetData>
  <phoneticPr fontId="0" type="noConversion"/>
  <pageMargins left="0.5" right="0.5" top="0.5" bottom="0" header="0.5" footer="0.25"/>
  <pageSetup scale="98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>
    <tabColor rgb="FF92D050"/>
    <pageSetUpPr fitToPage="1"/>
  </sheetPr>
  <dimension ref="A1:N72"/>
  <sheetViews>
    <sheetView showGridLines="0" workbookViewId="0">
      <selection activeCell="C15" sqref="C15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</cols>
  <sheetData>
    <row r="1" spans="1:11" ht="10.5" x14ac:dyDescent="0.25">
      <c r="A1" s="8" t="str">
        <f>'1'!$A$1</f>
        <v>Texas Windstorm Insurance Association</v>
      </c>
      <c r="B1" s="12"/>
      <c r="I1" s="7" t="s">
        <v>106</v>
      </c>
      <c r="J1" s="1"/>
    </row>
    <row r="2" spans="1:11" ht="10.5" x14ac:dyDescent="0.25">
      <c r="A2" s="8" t="str">
        <f>'1'!$A$2</f>
        <v>Residential Property - Wind &amp; Hail</v>
      </c>
      <c r="B2" s="12"/>
      <c r="I2" s="7" t="s">
        <v>88</v>
      </c>
      <c r="J2" s="2"/>
    </row>
    <row r="3" spans="1:11" ht="10.5" x14ac:dyDescent="0.25">
      <c r="A3" s="8" t="str">
        <f>'1'!$A$3</f>
        <v>Rate Level Review</v>
      </c>
      <c r="B3" s="12"/>
      <c r="J3" s="2"/>
    </row>
    <row r="4" spans="1:11" x14ac:dyDescent="0.2">
      <c r="A4" t="s">
        <v>107</v>
      </c>
      <c r="B4" s="12"/>
      <c r="J4" s="2"/>
    </row>
    <row r="5" spans="1:11" x14ac:dyDescent="0.2">
      <c r="B5" s="12"/>
      <c r="J5" s="2"/>
    </row>
    <row r="6" spans="1:11" x14ac:dyDescent="0.2">
      <c r="J6" s="2"/>
    </row>
    <row r="7" spans="1:11" ht="10.5" thickBot="1" x14ac:dyDescent="0.25">
      <c r="A7" s="6"/>
      <c r="B7" s="6"/>
      <c r="C7" s="6"/>
      <c r="D7" s="6"/>
      <c r="E7" s="6"/>
      <c r="F7" s="6"/>
      <c r="G7" s="6"/>
      <c r="H7" s="6"/>
      <c r="I7" s="285"/>
      <c r="J7" s="2"/>
    </row>
    <row r="8" spans="1:11" ht="10.5" thickTop="1" x14ac:dyDescent="0.2">
      <c r="J8" s="2"/>
    </row>
    <row r="9" spans="1:11" x14ac:dyDescent="0.2">
      <c r="C9" s="24" t="s">
        <v>134</v>
      </c>
      <c r="J9" s="2"/>
      <c r="K9" s="27"/>
    </row>
    <row r="10" spans="1:11" x14ac:dyDescent="0.2">
      <c r="A10" t="s">
        <v>53</v>
      </c>
      <c r="G10" t="s">
        <v>133</v>
      </c>
      <c r="H10" s="59" t="s">
        <v>335</v>
      </c>
      <c r="I10" s="59"/>
      <c r="J10" s="2"/>
      <c r="K10" s="22">
        <v>1.01</v>
      </c>
    </row>
    <row r="11" spans="1:11" x14ac:dyDescent="0.2">
      <c r="A11" s="9" t="s">
        <v>54</v>
      </c>
      <c r="B11" s="9"/>
      <c r="C11" s="9" t="s">
        <v>130</v>
      </c>
      <c r="D11" s="9" t="s">
        <v>131</v>
      </c>
      <c r="E11" s="9" t="s">
        <v>132</v>
      </c>
      <c r="F11" s="9" t="s">
        <v>24</v>
      </c>
      <c r="G11" s="9" t="s">
        <v>78</v>
      </c>
      <c r="H11" s="183" t="s">
        <v>334</v>
      </c>
      <c r="I11" s="298"/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299" t="s">
        <v>123</v>
      </c>
      <c r="I12" s="59"/>
      <c r="J12" s="2"/>
    </row>
    <row r="13" spans="1:11" x14ac:dyDescent="0.2">
      <c r="H13" s="59"/>
      <c r="I13" s="59"/>
      <c r="J13" s="2"/>
    </row>
    <row r="14" spans="1:11" x14ac:dyDescent="0.2">
      <c r="A14" s="187">
        <v>1983</v>
      </c>
      <c r="C14" s="60">
        <f>'6.4'!G14</f>
        <v>12.836</v>
      </c>
      <c r="D14" s="60">
        <f>'6.5'!G14</f>
        <v>7.5361927213726823E-2</v>
      </c>
      <c r="E14" s="60">
        <f>'6.6'!G14</f>
        <v>1.7377887588583629</v>
      </c>
      <c r="F14" s="60">
        <f>'6.7'!G14</f>
        <v>1.771630391229825</v>
      </c>
      <c r="G14" s="23">
        <f>ROUND(SUMPRODUCT(C14:F14,$C$59:$F$59)/$G$59,3)</f>
        <v>5.3730000000000002</v>
      </c>
      <c r="H14" s="29">
        <f t="shared" ref="H14:H39" si="0">G14</f>
        <v>5.3730000000000002</v>
      </c>
      <c r="I14" s="59"/>
      <c r="J14" s="2"/>
    </row>
    <row r="15" spans="1:11" x14ac:dyDescent="0.2">
      <c r="A15" t="str">
        <f>TEXT(A14+1,"#")</f>
        <v>1984</v>
      </c>
      <c r="C15" s="60">
        <f>'6.4'!G15</f>
        <v>3.9E-2</v>
      </c>
      <c r="D15" s="60">
        <f>'6.5'!G15</f>
        <v>7.1131331874026982E-2</v>
      </c>
      <c r="E15" s="60">
        <f>'6.6'!G15</f>
        <v>0.25358629414447104</v>
      </c>
      <c r="F15" s="60">
        <f>'6.7'!G15</f>
        <v>0.40375638179765827</v>
      </c>
      <c r="G15" s="23">
        <f t="shared" ref="G15:G50" si="1">ROUND(SUMPRODUCT(C15:F15,$C$59:$F$59)/$G$59,3)</f>
        <v>0.14599999999999999</v>
      </c>
      <c r="H15" s="29">
        <f t="shared" si="0"/>
        <v>0.14599999999999999</v>
      </c>
      <c r="I15" s="59"/>
      <c r="J15" s="2"/>
    </row>
    <row r="16" spans="1:11" x14ac:dyDescent="0.2">
      <c r="A16" t="str">
        <f t="shared" ref="A16:A46" si="2">TEXT(A15+1,"#")</f>
        <v>1985</v>
      </c>
      <c r="C16" s="60">
        <f>'6.4'!G16</f>
        <v>0.02</v>
      </c>
      <c r="D16" s="60">
        <f>'6.5'!G16</f>
        <v>8.7015675274727311E-2</v>
      </c>
      <c r="E16" s="60">
        <f>'6.6'!G16</f>
        <v>8.4665611450317022E-2</v>
      </c>
      <c r="F16" s="60">
        <f>'6.7'!G16</f>
        <v>0.13490412368535912</v>
      </c>
      <c r="G16" s="23">
        <f t="shared" si="1"/>
        <v>6.3E-2</v>
      </c>
      <c r="H16" s="29">
        <f t="shared" si="0"/>
        <v>6.3E-2</v>
      </c>
      <c r="I16" s="59"/>
      <c r="J16" s="2"/>
    </row>
    <row r="17" spans="1:10" x14ac:dyDescent="0.2">
      <c r="A17" t="str">
        <f t="shared" si="2"/>
        <v>1986</v>
      </c>
      <c r="C17" s="60">
        <f>'6.4'!G17</f>
        <v>1.2999999999999999E-2</v>
      </c>
      <c r="D17" s="60">
        <f>'6.5'!G17</f>
        <v>0.03</v>
      </c>
      <c r="E17" s="60">
        <f>'6.6'!G17</f>
        <v>0.223</v>
      </c>
      <c r="F17" s="60">
        <f>'6.7'!G17</f>
        <v>0.14799999999999999</v>
      </c>
      <c r="G17" s="23">
        <f t="shared" si="1"/>
        <v>0.112</v>
      </c>
      <c r="H17" s="29">
        <f t="shared" si="0"/>
        <v>0.112</v>
      </c>
      <c r="I17" s="59"/>
      <c r="J17" s="2"/>
    </row>
    <row r="18" spans="1:10" x14ac:dyDescent="0.2">
      <c r="A18" t="str">
        <f t="shared" si="2"/>
        <v>1987</v>
      </c>
      <c r="C18" s="60">
        <f>'6.4'!G18</f>
        <v>7.0000000000000001E-3</v>
      </c>
      <c r="D18" s="60">
        <f>'6.5'!G18</f>
        <v>4.2999999999999997E-2</v>
      </c>
      <c r="E18" s="60">
        <f>'6.6'!G18</f>
        <v>3.9E-2</v>
      </c>
      <c r="F18" s="60">
        <f>'6.7'!G18</f>
        <v>7.6999999999999999E-2</v>
      </c>
      <c r="G18" s="23">
        <f t="shared" si="1"/>
        <v>2.9000000000000001E-2</v>
      </c>
      <c r="H18" s="29">
        <f t="shared" si="0"/>
        <v>2.9000000000000001E-2</v>
      </c>
      <c r="I18" s="59"/>
      <c r="J18" s="2"/>
    </row>
    <row r="19" spans="1:10" x14ac:dyDescent="0.2">
      <c r="A19" t="str">
        <f t="shared" si="2"/>
        <v>1988</v>
      </c>
      <c r="C19" s="60">
        <f>'6.4'!G19</f>
        <v>5.8000000000000003E-2</v>
      </c>
      <c r="D19" s="60">
        <f>'6.5'!G19</f>
        <v>7.1999999999999995E-2</v>
      </c>
      <c r="E19" s="60">
        <f>'6.6'!G19</f>
        <v>0.188</v>
      </c>
      <c r="F19" s="60">
        <f>'6.7'!G19</f>
        <v>7.5999999999999998E-2</v>
      </c>
      <c r="G19" s="23">
        <f t="shared" si="1"/>
        <v>0.11899999999999999</v>
      </c>
      <c r="H19" s="29">
        <f t="shared" si="0"/>
        <v>0.11899999999999999</v>
      </c>
      <c r="I19" s="59"/>
      <c r="J19" s="2"/>
    </row>
    <row r="20" spans="1:10" x14ac:dyDescent="0.2">
      <c r="A20" t="str">
        <f t="shared" si="2"/>
        <v>1989</v>
      </c>
      <c r="C20" s="60">
        <f>'6.4'!G20</f>
        <v>6.3E-2</v>
      </c>
      <c r="D20" s="60">
        <f>'6.5'!G20</f>
        <v>6.6000000000000003E-2</v>
      </c>
      <c r="E20" s="60">
        <f>'6.6'!G20</f>
        <v>9.5000000000000001E-2</v>
      </c>
      <c r="F20" s="60">
        <f>'6.7'!G20</f>
        <v>0.17699999999999999</v>
      </c>
      <c r="G20" s="23">
        <f t="shared" si="1"/>
        <v>0.08</v>
      </c>
      <c r="H20" s="29">
        <f t="shared" si="0"/>
        <v>0.08</v>
      </c>
      <c r="I20" s="59"/>
      <c r="J20" s="2"/>
    </row>
    <row r="21" spans="1:10" x14ac:dyDescent="0.2">
      <c r="A21" t="str">
        <f t="shared" si="2"/>
        <v>1990</v>
      </c>
      <c r="C21" s="60">
        <f>'6.4'!G21</f>
        <v>0.33900000000000002</v>
      </c>
      <c r="D21" s="60">
        <f>'6.5'!G21</f>
        <v>0.122</v>
      </c>
      <c r="E21" s="60">
        <f>'6.6'!G21</f>
        <v>0.124</v>
      </c>
      <c r="F21" s="60">
        <f>'6.7'!G21</f>
        <v>0.25</v>
      </c>
      <c r="G21" s="23">
        <f t="shared" si="1"/>
        <v>0.20200000000000001</v>
      </c>
      <c r="H21" s="29">
        <f t="shared" si="0"/>
        <v>0.20200000000000001</v>
      </c>
      <c r="I21" s="59"/>
      <c r="J21" s="2"/>
    </row>
    <row r="22" spans="1:10" x14ac:dyDescent="0.2">
      <c r="A22" t="str">
        <f t="shared" si="2"/>
        <v>1991</v>
      </c>
      <c r="C22" s="60">
        <f>'6.4'!G22</f>
        <v>0.78200000000000003</v>
      </c>
      <c r="D22" s="60">
        <f>'6.5'!G22</f>
        <v>0.17199999999999999</v>
      </c>
      <c r="E22" s="60">
        <f>'6.6'!G22</f>
        <v>1.385</v>
      </c>
      <c r="F22" s="60">
        <f>'6.7'!G22</f>
        <v>0.20599999999999999</v>
      </c>
      <c r="G22" s="23">
        <f t="shared" si="1"/>
        <v>0.93300000000000005</v>
      </c>
      <c r="H22" s="29">
        <f t="shared" si="0"/>
        <v>0.93300000000000005</v>
      </c>
      <c r="I22" s="59"/>
      <c r="J22" s="2"/>
    </row>
    <row r="23" spans="1:10" x14ac:dyDescent="0.2">
      <c r="A23" t="str">
        <f t="shared" si="2"/>
        <v>1992</v>
      </c>
      <c r="B23" s="22"/>
      <c r="C23" s="60">
        <f>'6.4'!G23</f>
        <v>1.2999999999999999E-2</v>
      </c>
      <c r="D23" s="60">
        <f>'6.5'!G23</f>
        <v>0.124</v>
      </c>
      <c r="E23" s="60">
        <f>'6.6'!G23</f>
        <v>8.4000000000000005E-2</v>
      </c>
      <c r="F23" s="60">
        <f>'6.7'!G23</f>
        <v>0.19</v>
      </c>
      <c r="G23" s="23">
        <f t="shared" si="1"/>
        <v>6.8000000000000005E-2</v>
      </c>
      <c r="H23" s="29">
        <f t="shared" si="0"/>
        <v>6.8000000000000005E-2</v>
      </c>
      <c r="I23" s="59"/>
      <c r="J23" s="2"/>
    </row>
    <row r="24" spans="1:10" x14ac:dyDescent="0.2">
      <c r="A24" t="str">
        <f t="shared" si="2"/>
        <v>1993</v>
      </c>
      <c r="B24" s="22"/>
      <c r="C24" s="60">
        <f>'6.4'!G24</f>
        <v>9.8000000000000004E-2</v>
      </c>
      <c r="D24" s="60">
        <f>'6.5'!G24</f>
        <v>8.6999999999999994E-2</v>
      </c>
      <c r="E24" s="60">
        <f>'6.6'!G24</f>
        <v>6.3E-2</v>
      </c>
      <c r="F24" s="60">
        <f>'6.7'!G24</f>
        <v>0.16900000000000001</v>
      </c>
      <c r="G24" s="23">
        <f t="shared" si="1"/>
        <v>8.1000000000000003E-2</v>
      </c>
      <c r="H24" s="29">
        <f t="shared" si="0"/>
        <v>8.1000000000000003E-2</v>
      </c>
      <c r="I24" s="59"/>
      <c r="J24" s="2"/>
    </row>
    <row r="25" spans="1:10" x14ac:dyDescent="0.2">
      <c r="A25" t="str">
        <f t="shared" si="2"/>
        <v>1994</v>
      </c>
      <c r="B25" s="22"/>
      <c r="C25" s="60">
        <f>'6.4'!G25</f>
        <v>0.02</v>
      </c>
      <c r="D25" s="60">
        <f>'6.5'!G25</f>
        <v>5.0999999999999997E-2</v>
      </c>
      <c r="E25" s="60">
        <f>'6.6'!G25</f>
        <v>5.7000000000000002E-2</v>
      </c>
      <c r="F25" s="60">
        <f>'6.7'!G25</f>
        <v>6.7000000000000004E-2</v>
      </c>
      <c r="G25" s="23">
        <f t="shared" si="1"/>
        <v>4.2999999999999997E-2</v>
      </c>
      <c r="H25" s="29">
        <f t="shared" si="0"/>
        <v>4.2999999999999997E-2</v>
      </c>
      <c r="I25" s="59"/>
      <c r="J25" s="2"/>
    </row>
    <row r="26" spans="1:10" x14ac:dyDescent="0.2">
      <c r="A26" t="str">
        <f t="shared" si="2"/>
        <v>1995</v>
      </c>
      <c r="C26" s="60">
        <f>'6.4'!G26</f>
        <v>2.8000000000000001E-2</v>
      </c>
      <c r="D26" s="60">
        <f>'6.5'!G26</f>
        <v>8.5999999999999993E-2</v>
      </c>
      <c r="E26" s="60">
        <f>'6.6'!G26</f>
        <v>8.5999999999999993E-2</v>
      </c>
      <c r="F26" s="60">
        <f>'6.7'!G26</f>
        <v>0.22500000000000001</v>
      </c>
      <c r="G26" s="23">
        <f t="shared" si="1"/>
        <v>6.7000000000000004E-2</v>
      </c>
      <c r="H26" s="29">
        <f t="shared" si="0"/>
        <v>6.7000000000000004E-2</v>
      </c>
      <c r="I26" s="59"/>
      <c r="J26" s="2"/>
    </row>
    <row r="27" spans="1:10" x14ac:dyDescent="0.2">
      <c r="A27" t="str">
        <f t="shared" si="2"/>
        <v>1996</v>
      </c>
      <c r="C27" s="60">
        <f>'6.4'!G27</f>
        <v>1.4999999999999999E-2</v>
      </c>
      <c r="D27" s="60">
        <f>'6.5'!G27</f>
        <v>5.2999999999999999E-2</v>
      </c>
      <c r="E27" s="60">
        <f>'6.6'!G27</f>
        <v>4.9000000000000002E-2</v>
      </c>
      <c r="F27" s="60">
        <f>'6.7'!G27</f>
        <v>0.1</v>
      </c>
      <c r="G27" s="23">
        <f t="shared" si="1"/>
        <v>3.7999999999999999E-2</v>
      </c>
      <c r="H27" s="29">
        <f t="shared" si="0"/>
        <v>3.7999999999999999E-2</v>
      </c>
      <c r="I27" s="59"/>
      <c r="J27" s="2"/>
    </row>
    <row r="28" spans="1:10" x14ac:dyDescent="0.2">
      <c r="A28" t="str">
        <f t="shared" si="2"/>
        <v>1997</v>
      </c>
      <c r="C28" s="60">
        <f>'6.4'!G28</f>
        <v>1.9E-2</v>
      </c>
      <c r="D28" s="60">
        <f>'6.5'!G28</f>
        <v>4.3999999999999997E-2</v>
      </c>
      <c r="E28" s="60">
        <f>'6.6'!G28</f>
        <v>6.9000000000000006E-2</v>
      </c>
      <c r="F28" s="60">
        <f>'6.7'!G28</f>
        <v>8.5000000000000006E-2</v>
      </c>
      <c r="G28" s="23">
        <f t="shared" si="1"/>
        <v>4.7E-2</v>
      </c>
      <c r="H28" s="29">
        <f t="shared" si="0"/>
        <v>4.7E-2</v>
      </c>
      <c r="I28" s="59"/>
      <c r="J28" s="2"/>
    </row>
    <row r="29" spans="1:10" x14ac:dyDescent="0.2">
      <c r="A29" t="str">
        <f t="shared" si="2"/>
        <v>1998</v>
      </c>
      <c r="C29" s="60">
        <f>'6.4'!G29</f>
        <v>0.19600000000000001</v>
      </c>
      <c r="D29" s="60">
        <f>'6.5'!G29</f>
        <v>0.111</v>
      </c>
      <c r="E29" s="60">
        <f>'6.6'!G29</f>
        <v>0.27100000000000002</v>
      </c>
      <c r="F29" s="60">
        <f>'6.7'!G29</f>
        <v>0.104</v>
      </c>
      <c r="G29" s="23">
        <f t="shared" si="1"/>
        <v>0.21299999999999999</v>
      </c>
      <c r="H29" s="29">
        <f t="shared" si="0"/>
        <v>0.21299999999999999</v>
      </c>
      <c r="I29" s="59"/>
      <c r="J29" s="2"/>
    </row>
    <row r="30" spans="1:10" x14ac:dyDescent="0.2">
      <c r="A30" t="str">
        <f t="shared" si="2"/>
        <v>1999</v>
      </c>
      <c r="C30" s="60">
        <f>'6.4'!G30</f>
        <v>2.1000000000000001E-2</v>
      </c>
      <c r="D30" s="60">
        <f>'6.5'!G30</f>
        <v>0.18099999999999999</v>
      </c>
      <c r="E30" s="60">
        <f>'6.6'!G30</f>
        <v>0.10299999999999999</v>
      </c>
      <c r="F30" s="60">
        <f>'6.7'!G30</f>
        <v>0.104</v>
      </c>
      <c r="G30" s="23">
        <f t="shared" si="1"/>
        <v>8.7999999999999995E-2</v>
      </c>
      <c r="H30" s="29">
        <f t="shared" si="0"/>
        <v>8.7999999999999995E-2</v>
      </c>
      <c r="I30" s="59"/>
      <c r="J30" s="2"/>
    </row>
    <row r="31" spans="1:10" x14ac:dyDescent="0.2">
      <c r="A31" t="str">
        <f t="shared" si="2"/>
        <v>2000</v>
      </c>
      <c r="C31" s="60">
        <f>'6.4'!G31</f>
        <v>8.0000000000000002E-3</v>
      </c>
      <c r="D31" s="60">
        <f>'6.5'!G31</f>
        <v>2.3E-2</v>
      </c>
      <c r="E31" s="60">
        <f>'6.6'!G31</f>
        <v>9.2999999999999999E-2</v>
      </c>
      <c r="F31" s="60">
        <f>'6.7'!G31</f>
        <v>0.105</v>
      </c>
      <c r="G31" s="23">
        <f t="shared" si="1"/>
        <v>0.05</v>
      </c>
      <c r="H31" s="29">
        <f t="shared" si="0"/>
        <v>0.05</v>
      </c>
      <c r="I31" s="59"/>
      <c r="J31" s="2"/>
    </row>
    <row r="32" spans="1:10" x14ac:dyDescent="0.2">
      <c r="A32" t="str">
        <f t="shared" si="2"/>
        <v>2001</v>
      </c>
      <c r="C32" s="60">
        <f>'6.4'!G32</f>
        <v>0.05</v>
      </c>
      <c r="D32" s="60">
        <f>'6.5'!G32</f>
        <v>7.1999999999999995E-2</v>
      </c>
      <c r="E32" s="60">
        <f>'6.6'!G32</f>
        <v>7.2999999999999995E-2</v>
      </c>
      <c r="F32" s="60">
        <f>'6.7'!G32</f>
        <v>0.32800000000000001</v>
      </c>
      <c r="G32" s="23">
        <f t="shared" si="1"/>
        <v>6.8000000000000005E-2</v>
      </c>
      <c r="H32" s="29">
        <f t="shared" si="0"/>
        <v>6.8000000000000005E-2</v>
      </c>
      <c r="I32" s="59"/>
      <c r="J32" s="2"/>
    </row>
    <row r="33" spans="1:14" x14ac:dyDescent="0.2">
      <c r="A33" t="str">
        <f t="shared" si="2"/>
        <v>2002</v>
      </c>
      <c r="C33" s="60">
        <f>'6.4'!G33</f>
        <v>0.24399999999999999</v>
      </c>
      <c r="D33" s="60">
        <f>'6.5'!G33</f>
        <v>5.8000000000000003E-2</v>
      </c>
      <c r="E33" s="60">
        <f>'6.6'!G33</f>
        <v>0.16500000000000001</v>
      </c>
      <c r="F33" s="60">
        <f>'6.7'!G33</f>
        <v>0.106</v>
      </c>
      <c r="G33" s="23">
        <f t="shared" si="1"/>
        <v>0.17299999999999999</v>
      </c>
      <c r="H33" s="29">
        <f t="shared" si="0"/>
        <v>0.17299999999999999</v>
      </c>
      <c r="I33" s="59"/>
      <c r="J33" s="2"/>
    </row>
    <row r="34" spans="1:14" x14ac:dyDescent="0.2">
      <c r="A34" t="str">
        <f t="shared" si="2"/>
        <v>2003</v>
      </c>
      <c r="C34" s="60">
        <f>'6.4'!G34</f>
        <v>5.0999999999999997E-2</v>
      </c>
      <c r="D34" s="60">
        <f>'6.5'!G34</f>
        <v>8.2000000000000003E-2</v>
      </c>
      <c r="E34" s="60">
        <f>'6.6'!G34</f>
        <v>0.36499999999999999</v>
      </c>
      <c r="F34" s="60">
        <f>'6.7'!G34</f>
        <v>0.10299999999999999</v>
      </c>
      <c r="G34" s="23">
        <f t="shared" si="1"/>
        <v>0.19800000000000001</v>
      </c>
      <c r="H34" s="29">
        <f t="shared" si="0"/>
        <v>0.19800000000000001</v>
      </c>
      <c r="I34" s="59"/>
      <c r="J34" s="2"/>
    </row>
    <row r="35" spans="1:14" x14ac:dyDescent="0.2">
      <c r="A35" t="str">
        <f t="shared" si="2"/>
        <v>2004</v>
      </c>
      <c r="B35" s="25"/>
      <c r="C35" s="60">
        <f>'6.4'!G35</f>
        <v>1.2999999999999999E-2</v>
      </c>
      <c r="D35" s="60">
        <f>'6.5'!G35</f>
        <v>1.9E-2</v>
      </c>
      <c r="E35" s="60">
        <f>'6.6'!G35</f>
        <v>1.9E-2</v>
      </c>
      <c r="F35" s="60">
        <f>'6.7'!G35</f>
        <v>3.9E-2</v>
      </c>
      <c r="G35" s="23">
        <f t="shared" si="1"/>
        <v>1.7000000000000001E-2</v>
      </c>
      <c r="H35" s="29">
        <f t="shared" si="0"/>
        <v>1.7000000000000001E-2</v>
      </c>
      <c r="I35" s="59"/>
      <c r="J35" s="2"/>
    </row>
    <row r="36" spans="1:14" x14ac:dyDescent="0.2">
      <c r="A36" t="str">
        <f t="shared" si="2"/>
        <v>2005</v>
      </c>
      <c r="C36" s="60">
        <f>'6.4'!G36</f>
        <v>0.51100000000000001</v>
      </c>
      <c r="D36" s="60">
        <f>'6.5'!G36</f>
        <v>2.7E-2</v>
      </c>
      <c r="E36" s="60">
        <f>'6.6'!G36</f>
        <v>2.036</v>
      </c>
      <c r="F36" s="60">
        <f>'6.7'!G36</f>
        <v>0.372</v>
      </c>
      <c r="G36" s="23">
        <f t="shared" si="1"/>
        <v>1.105</v>
      </c>
      <c r="H36" s="29">
        <f t="shared" si="0"/>
        <v>1.105</v>
      </c>
      <c r="I36" s="59"/>
      <c r="J36" s="2"/>
    </row>
    <row r="37" spans="1:14" x14ac:dyDescent="0.2">
      <c r="A37" t="str">
        <f t="shared" si="2"/>
        <v>2006</v>
      </c>
      <c r="B37" s="25"/>
      <c r="C37" s="60">
        <f>'6.4'!G37</f>
        <v>0.01</v>
      </c>
      <c r="D37" s="60">
        <f>'6.5'!G37</f>
        <v>1.7000000000000001E-2</v>
      </c>
      <c r="E37" s="60">
        <f>'6.6'!G37</f>
        <v>2.8000000000000001E-2</v>
      </c>
      <c r="F37" s="60">
        <f>'6.7'!G37</f>
        <v>4.9000000000000002E-2</v>
      </c>
      <c r="G37" s="23">
        <f t="shared" si="1"/>
        <v>0.02</v>
      </c>
      <c r="H37" s="29">
        <f t="shared" si="0"/>
        <v>0.02</v>
      </c>
      <c r="I37" s="59"/>
      <c r="J37" s="2"/>
    </row>
    <row r="38" spans="1:14" x14ac:dyDescent="0.2">
      <c r="A38" s="50" t="str">
        <f t="shared" si="2"/>
        <v>2007</v>
      </c>
      <c r="B38" s="51"/>
      <c r="C38" s="62">
        <f>'6.4'!G38</f>
        <v>2.7E-2</v>
      </c>
      <c r="D38" s="62">
        <f>'6.5'!G38</f>
        <v>1.6E-2</v>
      </c>
      <c r="E38" s="62">
        <f>'6.6'!G38</f>
        <v>8.3000000000000004E-2</v>
      </c>
      <c r="F38" s="60">
        <f>'6.7'!G38</f>
        <v>4.9000000000000002E-2</v>
      </c>
      <c r="G38" s="53">
        <f t="shared" si="1"/>
        <v>0.05</v>
      </c>
      <c r="H38" s="29">
        <f t="shared" si="0"/>
        <v>0.05</v>
      </c>
      <c r="I38" s="59"/>
      <c r="J38" s="2"/>
    </row>
    <row r="39" spans="1:14" x14ac:dyDescent="0.2">
      <c r="A39" s="50" t="str">
        <f t="shared" si="2"/>
        <v>2008</v>
      </c>
      <c r="B39" s="25"/>
      <c r="C39" s="62">
        <f>'6.4'!G39</f>
        <v>6.9459999999999997</v>
      </c>
      <c r="D39" s="62">
        <f>'6.5'!G39</f>
        <v>2.1999999999999999E-2</v>
      </c>
      <c r="E39" s="62">
        <f>'6.6'!G39</f>
        <v>3.8220000000000001</v>
      </c>
      <c r="F39" s="60">
        <f>'6.7'!G39</f>
        <v>4.1840000000000002</v>
      </c>
      <c r="G39" s="53">
        <f t="shared" si="1"/>
        <v>4.242</v>
      </c>
      <c r="H39" s="29">
        <f t="shared" si="0"/>
        <v>4.242</v>
      </c>
      <c r="I39" s="59"/>
      <c r="J39" s="2"/>
    </row>
    <row r="40" spans="1:14" x14ac:dyDescent="0.2">
      <c r="A40" s="50" t="str">
        <f t="shared" si="2"/>
        <v>2009</v>
      </c>
      <c r="B40" s="25"/>
      <c r="C40" s="60">
        <f>'6.4'!G40</f>
        <v>2.9000000000000001E-2</v>
      </c>
      <c r="D40" s="60">
        <f>'6.5'!G40</f>
        <v>8.9999999999999993E-3</v>
      </c>
      <c r="E40" s="60">
        <f>'6.6'!G40</f>
        <v>1.2999999999999999E-2</v>
      </c>
      <c r="F40" s="60">
        <f>'6.7'!G40</f>
        <v>9.4E-2</v>
      </c>
      <c r="G40" s="23">
        <f t="shared" si="1"/>
        <v>1.9E-2</v>
      </c>
      <c r="H40" s="29">
        <f>G40</f>
        <v>1.9E-2</v>
      </c>
      <c r="I40" s="59"/>
      <c r="J40" s="2"/>
    </row>
    <row r="41" spans="1:14" x14ac:dyDescent="0.2">
      <c r="A41" s="50" t="str">
        <f t="shared" si="2"/>
        <v>2010</v>
      </c>
      <c r="B41" s="25"/>
      <c r="C41" s="60">
        <f>'6.4'!G41</f>
        <v>1.2E-2</v>
      </c>
      <c r="D41" s="60">
        <f>'6.5'!G41</f>
        <v>5.6000000000000001E-2</v>
      </c>
      <c r="E41" s="60">
        <f>'6.6'!G41</f>
        <v>4.8000000000000001E-2</v>
      </c>
      <c r="F41" s="60">
        <f>'6.7'!G41</f>
        <v>0.109</v>
      </c>
      <c r="G41" s="23">
        <f t="shared" si="1"/>
        <v>3.7999999999999999E-2</v>
      </c>
      <c r="H41" s="29">
        <f>G41</f>
        <v>3.7999999999999999E-2</v>
      </c>
      <c r="I41" s="59"/>
      <c r="J41" s="2"/>
    </row>
    <row r="42" spans="1:14" x14ac:dyDescent="0.2">
      <c r="A42" s="50" t="str">
        <f t="shared" si="2"/>
        <v>2011</v>
      </c>
      <c r="B42" s="51"/>
      <c r="C42" s="62">
        <f>'6.4'!G42</f>
        <v>0.01</v>
      </c>
      <c r="D42" s="62">
        <f>'6.5'!G42</f>
        <v>0.27300000000000002</v>
      </c>
      <c r="E42" s="62">
        <f>'6.6'!G42</f>
        <v>0.28399999999999997</v>
      </c>
      <c r="F42" s="62">
        <f>'6.7'!G42</f>
        <v>0.06</v>
      </c>
      <c r="G42" s="53">
        <f t="shared" si="1"/>
        <v>0.182</v>
      </c>
      <c r="H42" s="29">
        <f>G42</f>
        <v>0.182</v>
      </c>
      <c r="I42" s="59"/>
      <c r="J42" s="2"/>
      <c r="N42" t="s">
        <v>438</v>
      </c>
    </row>
    <row r="43" spans="1:14" x14ac:dyDescent="0.2">
      <c r="A43" s="50" t="str">
        <f t="shared" si="2"/>
        <v>2012</v>
      </c>
      <c r="B43" s="51"/>
      <c r="C43" s="62">
        <f>'6.4'!G43</f>
        <v>8.3000000000000004E-2</v>
      </c>
      <c r="D43" s="62">
        <f>'6.5'!G43</f>
        <v>0.28899999999999998</v>
      </c>
      <c r="E43" s="62">
        <f>'6.6'!G43</f>
        <v>9.5000000000000001E-2</v>
      </c>
      <c r="F43" s="62">
        <f>'6.7'!G43</f>
        <v>0.85</v>
      </c>
      <c r="G43" s="53">
        <f t="shared" si="1"/>
        <v>0.13700000000000001</v>
      </c>
      <c r="H43" s="29">
        <f ca="1">G43*N43</f>
        <v>0.13700000000000001</v>
      </c>
      <c r="I43" s="59"/>
      <c r="J43" s="2"/>
      <c r="M43" t="str">
        <f>A43</f>
        <v>2012</v>
      </c>
      <c r="N43">
        <f ca="1">OFFSET('ldf 3.1b'!$C$46,0,$M$51-M43)</f>
        <v>1</v>
      </c>
    </row>
    <row r="44" spans="1:14" x14ac:dyDescent="0.2">
      <c r="A44" s="50" t="str">
        <f t="shared" si="2"/>
        <v>2013</v>
      </c>
      <c r="B44" s="51"/>
      <c r="C44" s="62">
        <f>'6.4'!G44</f>
        <v>0.40699999999999997</v>
      </c>
      <c r="D44" s="62">
        <f>'6.5'!G44</f>
        <v>9.0999999999999998E-2</v>
      </c>
      <c r="E44" s="62">
        <f>'6.6'!G44</f>
        <v>2.8000000000000001E-2</v>
      </c>
      <c r="F44" s="62">
        <f>'6.7'!G44</f>
        <v>0.19600000000000001</v>
      </c>
      <c r="G44" s="53">
        <f t="shared" si="1"/>
        <v>0.17599999999999999</v>
      </c>
      <c r="H44" s="29">
        <f t="shared" ref="H44:H51" ca="1" si="3">G44*N44</f>
        <v>0.17599999999999999</v>
      </c>
      <c r="I44" s="59"/>
      <c r="J44" s="2"/>
      <c r="M44" t="str">
        <f t="shared" ref="M44:M51" si="4">A44</f>
        <v>2013</v>
      </c>
      <c r="N44">
        <f ca="1">OFFSET('ldf 3.1b'!$C$46,0,$M$51-M44)</f>
        <v>1</v>
      </c>
    </row>
    <row r="45" spans="1:14" x14ac:dyDescent="0.2">
      <c r="A45" s="50" t="str">
        <f t="shared" si="2"/>
        <v>2014</v>
      </c>
      <c r="B45" s="51"/>
      <c r="C45" s="215">
        <f>'6.4'!G45</f>
        <v>5.0000000000000001E-3</v>
      </c>
      <c r="D45" s="215">
        <f>'6.5'!G45</f>
        <v>2.5000000000000001E-2</v>
      </c>
      <c r="E45" s="215">
        <f>'6.6'!G45</f>
        <v>3.1E-2</v>
      </c>
      <c r="F45" s="215">
        <f>'6.7'!G45</f>
        <v>0.17699999999999999</v>
      </c>
      <c r="G45" s="216">
        <f t="shared" si="1"/>
        <v>2.3E-2</v>
      </c>
      <c r="H45" s="29">
        <f t="shared" ca="1" si="3"/>
        <v>2.3E-2</v>
      </c>
      <c r="I45" s="59"/>
      <c r="J45" s="2"/>
      <c r="M45" t="str">
        <f t="shared" si="4"/>
        <v>2014</v>
      </c>
      <c r="N45">
        <f ca="1">OFFSET('ldf 3.1b'!$C$46,0,$M$51-M45)</f>
        <v>1</v>
      </c>
    </row>
    <row r="46" spans="1:14" x14ac:dyDescent="0.2">
      <c r="A46" s="50" t="str">
        <f t="shared" si="2"/>
        <v>2015</v>
      </c>
      <c r="B46" s="51"/>
      <c r="C46" s="215">
        <f>'6.4'!G46</f>
        <v>0.127</v>
      </c>
      <c r="D46" s="215">
        <f>'6.5'!G46</f>
        <v>0.122</v>
      </c>
      <c r="E46" s="215">
        <f>'6.6'!G46</f>
        <v>0.375</v>
      </c>
      <c r="F46" s="215">
        <f>'6.7'!G46</f>
        <v>0.35099999999999998</v>
      </c>
      <c r="G46" s="216">
        <f t="shared" si="1"/>
        <v>0.24099999999999999</v>
      </c>
      <c r="H46" s="29">
        <f t="shared" ca="1" si="3"/>
        <v>0.24099999999999999</v>
      </c>
      <c r="I46" s="59"/>
      <c r="J46" s="2"/>
      <c r="M46" t="str">
        <f t="shared" si="4"/>
        <v>2015</v>
      </c>
      <c r="N46">
        <f ca="1">OFFSET('ldf 3.1b'!$C$46,0,$M$51-M46)</f>
        <v>1</v>
      </c>
    </row>
    <row r="47" spans="1:14" x14ac:dyDescent="0.2">
      <c r="A47" s="51">
        <v>2016</v>
      </c>
      <c r="B47" s="51"/>
      <c r="C47" s="215">
        <f>'6.4'!G47</f>
        <v>8.3000000000000004E-2</v>
      </c>
      <c r="D47" s="215">
        <f>'6.5'!G47</f>
        <v>0.127</v>
      </c>
      <c r="E47" s="215">
        <f>'6.6'!G47</f>
        <v>6.4000000000000001E-2</v>
      </c>
      <c r="F47" s="215">
        <f>'6.7'!G47</f>
        <v>0.35899999999999999</v>
      </c>
      <c r="G47" s="216">
        <f t="shared" si="1"/>
        <v>8.5999999999999993E-2</v>
      </c>
      <c r="H47" s="29">
        <f t="shared" ca="1" si="3"/>
        <v>8.6085999999999982E-2</v>
      </c>
      <c r="I47" s="59"/>
      <c r="J47" s="2"/>
      <c r="M47" s="25">
        <f t="shared" si="4"/>
        <v>2016</v>
      </c>
      <c r="N47">
        <f ca="1">OFFSET('ldf 3.1b'!$C$46,0,$M$51-M47)</f>
        <v>1.0009999999999999</v>
      </c>
    </row>
    <row r="48" spans="1:14" x14ac:dyDescent="0.2">
      <c r="A48" s="51">
        <v>2017</v>
      </c>
      <c r="B48" s="51"/>
      <c r="C48" s="215">
        <f>'6.4'!G48</f>
        <v>0.312</v>
      </c>
      <c r="D48" s="215">
        <f>'6.5'!G48</f>
        <v>3.4369999999999998</v>
      </c>
      <c r="E48" s="215">
        <f>'6.6'!G48</f>
        <v>3.1789999999999998</v>
      </c>
      <c r="F48" s="215">
        <f>'6.7'!G48</f>
        <v>0.60799999999999998</v>
      </c>
      <c r="G48" s="216">
        <f t="shared" si="1"/>
        <v>2.1720000000000002</v>
      </c>
      <c r="H48" s="29">
        <f t="shared" ca="1" si="3"/>
        <v>2.1850320000000001</v>
      </c>
      <c r="I48" s="59"/>
      <c r="J48" s="2"/>
      <c r="M48" s="25">
        <f t="shared" si="4"/>
        <v>2017</v>
      </c>
      <c r="N48">
        <f ca="1">OFFSET('ldf 3.1b'!$C$46,0,$M$51-M48)</f>
        <v>1.006</v>
      </c>
    </row>
    <row r="49" spans="1:14" x14ac:dyDescent="0.2">
      <c r="A49" s="51">
        <v>2018</v>
      </c>
      <c r="B49" s="50"/>
      <c r="C49" s="215">
        <f>'6.4'!G49</f>
        <v>2.5000000000000001E-2</v>
      </c>
      <c r="D49" s="215">
        <f>'6.5'!G49</f>
        <v>2.1999999999999999E-2</v>
      </c>
      <c r="E49" s="215">
        <f>'6.6'!G49</f>
        <v>4.5999999999999999E-2</v>
      </c>
      <c r="F49" s="215">
        <f>'6.7'!G49</f>
        <v>0.105</v>
      </c>
      <c r="G49" s="216">
        <f t="shared" si="1"/>
        <v>3.5000000000000003E-2</v>
      </c>
      <c r="H49" s="29">
        <f t="shared" ca="1" si="3"/>
        <v>3.5595000000000002E-2</v>
      </c>
      <c r="I49" s="59"/>
      <c r="J49" s="2"/>
      <c r="M49" s="25">
        <f t="shared" si="4"/>
        <v>2018</v>
      </c>
      <c r="N49">
        <f ca="1">OFFSET('ldf 3.1b'!$C$46,0,$M$51-M49)</f>
        <v>1.0169999999999999</v>
      </c>
    </row>
    <row r="50" spans="1:14" x14ac:dyDescent="0.2">
      <c r="A50" s="51">
        <v>2019</v>
      </c>
      <c r="B50" s="50"/>
      <c r="C50" s="215">
        <f>'6.4'!G50</f>
        <v>5.2999999999999999E-2</v>
      </c>
      <c r="D50" s="215">
        <f>'6.5'!G50</f>
        <v>1.7999999999999999E-2</v>
      </c>
      <c r="E50" s="215">
        <f>'6.6'!G50</f>
        <v>8.4000000000000005E-2</v>
      </c>
      <c r="F50" s="215">
        <f>'6.7'!G50</f>
        <v>0.31900000000000001</v>
      </c>
      <c r="G50" s="216">
        <f t="shared" si="1"/>
        <v>6.4000000000000001E-2</v>
      </c>
      <c r="H50" s="29">
        <f t="shared" ca="1" si="3"/>
        <v>6.8159999999999998E-2</v>
      </c>
      <c r="I50" s="59"/>
      <c r="J50" s="2"/>
      <c r="M50" s="25">
        <f t="shared" si="4"/>
        <v>2019</v>
      </c>
      <c r="N50">
        <f ca="1">OFFSET('ldf 3.1b'!$C$46,0,$M$51-M50)</f>
        <v>1.0649999999999999</v>
      </c>
    </row>
    <row r="51" spans="1:14" x14ac:dyDescent="0.2">
      <c r="A51" s="158">
        <v>2020</v>
      </c>
      <c r="C51" s="215">
        <f>'6.4'!G51</f>
        <v>4.4999999999999998E-2</v>
      </c>
      <c r="D51" s="215">
        <f>'6.5'!G51</f>
        <v>3.5000000000000003E-2</v>
      </c>
      <c r="E51" s="215">
        <f>'6.6'!G51</f>
        <v>0.19400000000000001</v>
      </c>
      <c r="F51" s="215">
        <f>'6.7'!G51</f>
        <v>0.36599999999999999</v>
      </c>
      <c r="G51" s="216">
        <f t="shared" ref="G51" si="5">ROUND(SUMPRODUCT(C51:F51,$C$59:$F$59)/$G$59,3)</f>
        <v>0.115</v>
      </c>
      <c r="H51" s="29">
        <f t="shared" ca="1" si="3"/>
        <v>0.14064500000000002</v>
      </c>
      <c r="I51" s="59"/>
      <c r="J51" s="2"/>
      <c r="K51" t="s">
        <v>217</v>
      </c>
      <c r="M51" s="25">
        <f t="shared" si="4"/>
        <v>2020</v>
      </c>
      <c r="N51">
        <f ca="1">OFFSET('ldf 3.1b'!$C$46,0,$M$51-M51)</f>
        <v>1.2230000000000001</v>
      </c>
    </row>
    <row r="52" spans="1:14" x14ac:dyDescent="0.2">
      <c r="A52" s="327" t="s">
        <v>71</v>
      </c>
      <c r="B52" s="327"/>
      <c r="C52" s="326">
        <f t="shared" ref="C52:H52" si="6">ROUND(AVERAGE(C14:C51),3)</f>
        <v>0.622</v>
      </c>
      <c r="D52" s="326">
        <f t="shared" si="6"/>
        <v>0.16600000000000001</v>
      </c>
      <c r="E52" s="326">
        <f t="shared" si="6"/>
        <v>0.42199999999999999</v>
      </c>
      <c r="F52" s="326">
        <f t="shared" si="6"/>
        <v>0.34799999999999998</v>
      </c>
      <c r="G52" s="326">
        <f t="shared" si="6"/>
        <v>0.44500000000000001</v>
      </c>
      <c r="H52" s="326">
        <f t="shared" ca="1" si="6"/>
        <v>0.44600000000000001</v>
      </c>
      <c r="I52" s="59"/>
      <c r="J52" s="2"/>
      <c r="K52" s="84">
        <f>'6.4'!K$55</f>
        <v>44104</v>
      </c>
    </row>
    <row r="53" spans="1:14" x14ac:dyDescent="0.2">
      <c r="A53" s="50"/>
      <c r="B53" s="50"/>
      <c r="C53" s="50"/>
      <c r="D53" s="50"/>
      <c r="E53" s="50"/>
      <c r="F53" s="50"/>
      <c r="G53" s="50"/>
      <c r="J53" s="2"/>
    </row>
    <row r="54" spans="1:14" x14ac:dyDescent="0.2">
      <c r="C54" s="24" t="str">
        <f>"TWIA "&amp;YEAR('2.1'!$L$9)&amp;" Written Premium by Territory / Tier"</f>
        <v>TWIA 2020 Written Premium by Territory / Tier</v>
      </c>
      <c r="J54" s="2"/>
    </row>
    <row r="55" spans="1:14" x14ac:dyDescent="0.2">
      <c r="J55" s="2"/>
    </row>
    <row r="56" spans="1:14" x14ac:dyDescent="0.2">
      <c r="A56" s="9"/>
      <c r="B56" s="9"/>
      <c r="C56" s="9" t="s">
        <v>130</v>
      </c>
      <c r="D56" s="9" t="s">
        <v>131</v>
      </c>
      <c r="E56" s="9" t="s">
        <v>132</v>
      </c>
      <c r="F56" s="9" t="s">
        <v>24</v>
      </c>
      <c r="G56" s="9" t="s">
        <v>9</v>
      </c>
      <c r="H56" s="9"/>
      <c r="I56" s="283"/>
      <c r="J56" s="2"/>
    </row>
    <row r="57" spans="1:14" x14ac:dyDescent="0.2">
      <c r="J57" s="2"/>
    </row>
    <row r="58" spans="1:14" x14ac:dyDescent="0.2">
      <c r="A58" s="56" t="s">
        <v>122</v>
      </c>
      <c r="B58" s="59" t="s">
        <v>27</v>
      </c>
      <c r="C58" s="31">
        <f>'2.1'!$C$14</f>
        <v>110461812</v>
      </c>
      <c r="D58" s="31">
        <f>'2.1'!$C$15</f>
        <v>56782746</v>
      </c>
      <c r="E58" s="31">
        <f>'2.1'!$C$16</f>
        <v>139598381</v>
      </c>
      <c r="F58" s="31">
        <f>'2.1'!$C$17</f>
        <v>4478381</v>
      </c>
      <c r="G58" s="33">
        <f>SUM(C58:F58)</f>
        <v>311321320</v>
      </c>
      <c r="J58" s="2"/>
    </row>
    <row r="59" spans="1:14" x14ac:dyDescent="0.2">
      <c r="A59" s="56" t="s">
        <v>121</v>
      </c>
      <c r="B59" t="s">
        <v>135</v>
      </c>
      <c r="C59" s="20">
        <f>ROUND(C58/$G58,4)</f>
        <v>0.3548</v>
      </c>
      <c r="D59" s="20">
        <f>ROUND(D58/$G58,4)</f>
        <v>0.18240000000000001</v>
      </c>
      <c r="E59" s="20">
        <f>ROUND(E58/$G58,4)</f>
        <v>0.44840000000000002</v>
      </c>
      <c r="F59" s="20">
        <f>ROUND(F58/$G58,4)</f>
        <v>1.44E-2</v>
      </c>
      <c r="G59" s="20">
        <f>SUM(C59:F59)</f>
        <v>1</v>
      </c>
      <c r="J59" s="2"/>
    </row>
    <row r="60" spans="1:14" ht="10.5" thickBot="1" x14ac:dyDescent="0.25">
      <c r="A60" s="6"/>
      <c r="B60" s="6"/>
      <c r="C60" s="6"/>
      <c r="D60" s="6"/>
      <c r="E60" s="6"/>
      <c r="F60" s="6"/>
      <c r="G60" s="6"/>
      <c r="H60" s="6"/>
      <c r="I60" s="285"/>
      <c r="J60" s="2"/>
    </row>
    <row r="61" spans="1:14" ht="10.5" thickTop="1" x14ac:dyDescent="0.2">
      <c r="J61" s="2"/>
    </row>
    <row r="62" spans="1:14" x14ac:dyDescent="0.2">
      <c r="A62" t="s">
        <v>17</v>
      </c>
      <c r="F62" s="45"/>
      <c r="J62" s="2"/>
    </row>
    <row r="63" spans="1:14" x14ac:dyDescent="0.2">
      <c r="B63" s="22" t="str">
        <f>C12&amp;" "&amp;'6.4'!$I$1&amp;", "&amp;'6.4'!$I$2</f>
        <v>(2) Exhibit 6, Sheet 4</v>
      </c>
      <c r="J63" s="2"/>
    </row>
    <row r="64" spans="1:14" x14ac:dyDescent="0.2">
      <c r="B64" s="22" t="str">
        <f>D12&amp;" "&amp;'6.5'!$I$1&amp;", "&amp;'6.5'!$I$2</f>
        <v>(3) Exhibit 6, Sheet 5</v>
      </c>
      <c r="J64" s="2"/>
    </row>
    <row r="65" spans="1:10" x14ac:dyDescent="0.2">
      <c r="B65" s="22" t="str">
        <f>E12&amp;" "&amp;'6.6'!$I$1&amp;", "&amp;'6.6'!$I$2</f>
        <v>(4) Exhibit 6, Sheet 6</v>
      </c>
      <c r="J65" s="2"/>
    </row>
    <row r="66" spans="1:10" x14ac:dyDescent="0.2">
      <c r="B66" s="22" t="str">
        <f>F12&amp;" "&amp;'6.7'!$I$1&amp;", "&amp;'6.7'!$I$2</f>
        <v>(5) Exhibit 6, Sheet 7</v>
      </c>
      <c r="J66" s="2"/>
    </row>
    <row r="67" spans="1:10" x14ac:dyDescent="0.2">
      <c r="B67" s="22" t="str">
        <f>G12&amp;" = Weighted average of "&amp;C12&amp;" to "&amp;F12&amp;", using "&amp;A59</f>
        <v>(6) = Weighted average of (2) to (5), using (9)</v>
      </c>
      <c r="J67" s="2"/>
    </row>
    <row r="68" spans="1:10" x14ac:dyDescent="0.2">
      <c r="B68" t="s">
        <v>397</v>
      </c>
      <c r="D68" s="60"/>
      <c r="E68" s="60"/>
      <c r="F68" s="60"/>
      <c r="G68" s="23"/>
      <c r="J68" s="2"/>
    </row>
    <row r="69" spans="1:10" x14ac:dyDescent="0.2">
      <c r="B69" s="25" t="str">
        <f>A58&amp;" Provided by TWIA"</f>
        <v>(8) Provided by TWIA</v>
      </c>
      <c r="J69" s="2"/>
    </row>
    <row r="70" spans="1:10" x14ac:dyDescent="0.2">
      <c r="B70" s="25" t="str">
        <f>A59&amp;" = "&amp;A58&amp;" / "&amp;A58&amp;" Total"</f>
        <v>(9) = (8) / (8) Total</v>
      </c>
      <c r="J70" s="2"/>
    </row>
    <row r="71" spans="1:10" ht="10.5" thickBot="1" x14ac:dyDescent="0.25">
      <c r="B71" s="25"/>
      <c r="J71" s="2"/>
    </row>
    <row r="72" spans="1:10" ht="10.5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3"/>
    </row>
  </sheetData>
  <phoneticPr fontId="0" type="noConversion"/>
  <pageMargins left="0.5" right="0.5" top="0.5" bottom="0.5" header="0.5" footer="0.5"/>
  <pageSetup scale="99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>
    <tabColor rgb="FF92D050"/>
  </sheetPr>
  <dimension ref="A1:BJ64"/>
  <sheetViews>
    <sheetView showGridLines="0" topLeftCell="A19" workbookViewId="0">
      <selection activeCell="F69" sqref="F69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6640625" bestFit="1" customWidth="1"/>
    <col min="13" max="13" width="0" hidden="1" customWidth="1"/>
    <col min="14" max="14" width="12.6640625" hidden="1" customWidth="1"/>
    <col min="15" max="16" width="0" hidden="1" customWidth="1"/>
    <col min="21" max="21" width="3.77734375" bestFit="1" customWidth="1"/>
    <col min="23" max="45" width="5.109375" bestFit="1" customWidth="1"/>
    <col min="46" max="46" width="5.109375" style="295" bestFit="1" customWidth="1"/>
    <col min="47" max="60" width="5.109375" bestFit="1" customWidth="1"/>
  </cols>
  <sheetData>
    <row r="1" spans="1:60" ht="10.5" x14ac:dyDescent="0.25">
      <c r="A1" s="8" t="str">
        <f>'1'!$A$1</f>
        <v>Texas Windstorm Insurance Association</v>
      </c>
      <c r="B1" s="12"/>
      <c r="I1" s="7" t="s">
        <v>106</v>
      </c>
      <c r="J1" s="1"/>
    </row>
    <row r="2" spans="1:60" ht="10.5" x14ac:dyDescent="0.25">
      <c r="A2" s="8" t="str">
        <f>'1'!$A$2</f>
        <v>Residential Property - Wind &amp; Hail</v>
      </c>
      <c r="B2" s="12"/>
      <c r="I2" s="7" t="s">
        <v>91</v>
      </c>
      <c r="J2" s="2"/>
    </row>
    <row r="3" spans="1:60" ht="10.5" x14ac:dyDescent="0.25">
      <c r="A3" s="8" t="str">
        <f>'1'!$A$3</f>
        <v>Rate Level Review</v>
      </c>
      <c r="B3" s="12"/>
      <c r="J3" s="2"/>
    </row>
    <row r="4" spans="1:60" x14ac:dyDescent="0.2">
      <c r="A4" t="s">
        <v>107</v>
      </c>
      <c r="B4" s="12"/>
      <c r="J4" s="2"/>
    </row>
    <row r="5" spans="1:60" x14ac:dyDescent="0.2">
      <c r="A5" t="s">
        <v>31</v>
      </c>
      <c r="B5" s="12"/>
      <c r="E5" s="240"/>
      <c r="F5" s="240"/>
      <c r="G5" s="240"/>
      <c r="H5" s="240"/>
      <c r="J5" s="2"/>
    </row>
    <row r="6" spans="1:60" x14ac:dyDescent="0.2">
      <c r="J6" s="2"/>
    </row>
    <row r="7" spans="1:60" ht="10.5" thickBot="1" x14ac:dyDescent="0.25">
      <c r="A7" s="6"/>
      <c r="B7" s="6"/>
      <c r="C7" s="6"/>
      <c r="D7" s="6"/>
      <c r="E7" s="6"/>
      <c r="F7" s="6"/>
      <c r="G7" s="6"/>
      <c r="J7" s="2"/>
    </row>
    <row r="8" spans="1:60" ht="10.5" thickTop="1" x14ac:dyDescent="0.2">
      <c r="J8" s="2"/>
    </row>
    <row r="9" spans="1:60" x14ac:dyDescent="0.2">
      <c r="C9" s="22"/>
      <c r="D9" t="s">
        <v>37</v>
      </c>
      <c r="E9" t="s">
        <v>44</v>
      </c>
      <c r="J9" s="2"/>
      <c r="K9" s="27"/>
    </row>
    <row r="10" spans="1:60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60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H11" s="158"/>
      <c r="J11" s="2"/>
      <c r="K11" s="52"/>
    </row>
    <row r="12" spans="1:60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60" x14ac:dyDescent="0.2">
      <c r="J13" s="2"/>
      <c r="K13" t="s">
        <v>140</v>
      </c>
      <c r="N13" t="s">
        <v>14</v>
      </c>
      <c r="O13" t="s">
        <v>74</v>
      </c>
      <c r="P13" t="s">
        <v>266</v>
      </c>
      <c r="S13" t="s">
        <v>360</v>
      </c>
      <c r="T13" t="s">
        <v>74</v>
      </c>
      <c r="V13" t="s">
        <v>394</v>
      </c>
      <c r="W13">
        <v>1983</v>
      </c>
      <c r="X13">
        <f>W13+1</f>
        <v>1984</v>
      </c>
      <c r="Y13">
        <f t="shared" ref="Y13:BG13" si="0">X13+1</f>
        <v>1985</v>
      </c>
      <c r="Z13">
        <f t="shared" si="0"/>
        <v>1986</v>
      </c>
      <c r="AA13">
        <f t="shared" si="0"/>
        <v>1987</v>
      </c>
      <c r="AB13">
        <f t="shared" si="0"/>
        <v>1988</v>
      </c>
      <c r="AC13">
        <f t="shared" si="0"/>
        <v>1989</v>
      </c>
      <c r="AD13">
        <f t="shared" si="0"/>
        <v>1990</v>
      </c>
      <c r="AE13">
        <f t="shared" si="0"/>
        <v>1991</v>
      </c>
      <c r="AF13">
        <f t="shared" si="0"/>
        <v>1992</v>
      </c>
      <c r="AG13">
        <f t="shared" si="0"/>
        <v>1993</v>
      </c>
      <c r="AH13">
        <f t="shared" si="0"/>
        <v>1994</v>
      </c>
      <c r="AI13">
        <f t="shared" si="0"/>
        <v>1995</v>
      </c>
      <c r="AJ13">
        <f t="shared" si="0"/>
        <v>1996</v>
      </c>
      <c r="AK13">
        <f t="shared" si="0"/>
        <v>1997</v>
      </c>
      <c r="AL13">
        <f t="shared" si="0"/>
        <v>1998</v>
      </c>
      <c r="AM13">
        <f t="shared" si="0"/>
        <v>1999</v>
      </c>
      <c r="AN13">
        <f t="shared" si="0"/>
        <v>2000</v>
      </c>
      <c r="AO13">
        <f t="shared" si="0"/>
        <v>2001</v>
      </c>
      <c r="AP13">
        <f t="shared" si="0"/>
        <v>2002</v>
      </c>
      <c r="AQ13">
        <f t="shared" si="0"/>
        <v>2003</v>
      </c>
      <c r="AR13">
        <f t="shared" si="0"/>
        <v>2004</v>
      </c>
      <c r="AS13">
        <f t="shared" si="0"/>
        <v>2005</v>
      </c>
      <c r="AT13" s="295">
        <f t="shared" si="0"/>
        <v>2006</v>
      </c>
      <c r="AU13">
        <f t="shared" si="0"/>
        <v>2007</v>
      </c>
      <c r="AV13">
        <f t="shared" si="0"/>
        <v>2008</v>
      </c>
      <c r="AW13">
        <f t="shared" si="0"/>
        <v>2009</v>
      </c>
      <c r="AX13">
        <f t="shared" si="0"/>
        <v>2010</v>
      </c>
      <c r="AY13">
        <f t="shared" si="0"/>
        <v>2011</v>
      </c>
      <c r="AZ13">
        <f t="shared" si="0"/>
        <v>2012</v>
      </c>
      <c r="BA13">
        <f t="shared" si="0"/>
        <v>2013</v>
      </c>
      <c r="BB13">
        <f t="shared" si="0"/>
        <v>2014</v>
      </c>
      <c r="BC13">
        <f t="shared" si="0"/>
        <v>2015</v>
      </c>
      <c r="BD13">
        <f t="shared" si="0"/>
        <v>2016</v>
      </c>
      <c r="BE13">
        <f t="shared" si="0"/>
        <v>2017</v>
      </c>
      <c r="BF13">
        <f t="shared" si="0"/>
        <v>2018</v>
      </c>
      <c r="BG13">
        <f t="shared" si="0"/>
        <v>2019</v>
      </c>
      <c r="BH13">
        <v>2020</v>
      </c>
    </row>
    <row r="14" spans="1:60" x14ac:dyDescent="0.2">
      <c r="A14" s="187">
        <v>1983</v>
      </c>
      <c r="C14" s="38">
        <v>4317605</v>
      </c>
      <c r="D14" s="35">
        <f>'6.4'!$K$14</f>
        <v>2.1452794581413541</v>
      </c>
      <c r="E14" s="123">
        <f>ROUND(C14*D14,0)</f>
        <v>9262469</v>
      </c>
      <c r="F14" s="38">
        <v>118889570</v>
      </c>
      <c r="G14" s="23">
        <f>ROUND(F14/E14,3)</f>
        <v>12.836</v>
      </c>
      <c r="J14" s="2"/>
      <c r="K14" s="125">
        <f>V14</f>
        <v>2.1452794581413541</v>
      </c>
      <c r="L14" s="44"/>
      <c r="M14" t="s">
        <v>265</v>
      </c>
      <c r="N14" s="95">
        <f>1.3/PRODUCT(N15:N17)</f>
        <v>1.1139540074268341</v>
      </c>
      <c r="O14" s="43">
        <f>PRODUCT(N$14:N14)</f>
        <v>1.1139540074268341</v>
      </c>
      <c r="P14" s="43">
        <f>O$29/O14</f>
        <v>2.3493360399540935</v>
      </c>
      <c r="R14" t="s">
        <v>265</v>
      </c>
      <c r="S14">
        <v>1</v>
      </c>
      <c r="T14" s="43">
        <v>1</v>
      </c>
      <c r="U14" t="s">
        <v>361</v>
      </c>
      <c r="V14">
        <f>AA50</f>
        <v>2.1452794581413541</v>
      </c>
      <c r="W14">
        <v>1</v>
      </c>
      <c r="X14">
        <v>1</v>
      </c>
      <c r="Y14">
        <v>1</v>
      </c>
      <c r="Z14">
        <v>1</v>
      </c>
      <c r="AA14">
        <v>1</v>
      </c>
      <c r="AB14">
        <v>0.5</v>
      </c>
    </row>
    <row r="15" spans="1:60" x14ac:dyDescent="0.2">
      <c r="A15" t="str">
        <f>TEXT(A14+1,"#")</f>
        <v>1984</v>
      </c>
      <c r="C15" s="38">
        <v>3512853</v>
      </c>
      <c r="D15" s="35">
        <f t="shared" ref="D15:D18" si="1">D$14</f>
        <v>2.1452794581413541</v>
      </c>
      <c r="E15" s="123">
        <f t="shared" ref="E15:E32" si="2">ROUND(C15*D15,0)</f>
        <v>7536051</v>
      </c>
      <c r="F15" s="38">
        <v>292543</v>
      </c>
      <c r="G15" s="23">
        <f t="shared" ref="G15:G42" si="3">ROUND(F15/E15,3)</f>
        <v>3.9E-2</v>
      </c>
      <c r="J15" s="2"/>
      <c r="M15" s="68">
        <v>36161</v>
      </c>
      <c r="N15" s="124">
        <v>0.90600000000000003</v>
      </c>
      <c r="O15" s="43">
        <f>PRODUCT(N$14:N15)</f>
        <v>1.0092423307287117</v>
      </c>
      <c r="P15" s="43">
        <f>O$29/O15</f>
        <v>2.5930861368146725</v>
      </c>
      <c r="R15">
        <v>1988</v>
      </c>
      <c r="S15">
        <v>0.94599999999999995</v>
      </c>
      <c r="T15" s="43">
        <f>PRODUCT($S$14:S15)</f>
        <v>0.94599999999999995</v>
      </c>
      <c r="U15" t="s">
        <v>362</v>
      </c>
      <c r="V15">
        <f>AB50</f>
        <v>2.2048093094977945</v>
      </c>
      <c r="AB15">
        <v>0.5</v>
      </c>
      <c r="AC15">
        <v>0.5</v>
      </c>
    </row>
    <row r="16" spans="1:60" x14ac:dyDescent="0.2">
      <c r="A16" t="str">
        <f t="shared" ref="A16:A51" si="4">TEXT(A15+1,"#")</f>
        <v>1985</v>
      </c>
      <c r="C16" s="38">
        <v>6066870</v>
      </c>
      <c r="D16" s="35">
        <f t="shared" si="1"/>
        <v>2.1452794581413541</v>
      </c>
      <c r="E16" s="123">
        <f t="shared" si="2"/>
        <v>13015132</v>
      </c>
      <c r="F16" s="38">
        <v>265705</v>
      </c>
      <c r="G16" s="23">
        <f t="shared" si="3"/>
        <v>0.02</v>
      </c>
      <c r="J16" s="2"/>
      <c r="M16" s="68">
        <v>36526</v>
      </c>
      <c r="N16" s="124">
        <v>1.087</v>
      </c>
      <c r="O16" s="43">
        <f>PRODUCT(N$14:N16)</f>
        <v>1.0970464135021096</v>
      </c>
      <c r="P16" s="43">
        <f t="shared" ref="P16:P28" si="5">O$29/O16</f>
        <v>2.3855438241165343</v>
      </c>
      <c r="R16">
        <v>1989</v>
      </c>
      <c r="S16">
        <v>1</v>
      </c>
      <c r="T16" s="43">
        <f>PRODUCT($S$14:S16)</f>
        <v>0.94599999999999995</v>
      </c>
      <c r="U16" t="s">
        <v>363</v>
      </c>
      <c r="V16">
        <f>AC50</f>
        <v>2.267737270762531</v>
      </c>
      <c r="AC16">
        <v>0.5</v>
      </c>
      <c r="AD16">
        <v>0.5</v>
      </c>
    </row>
    <row r="17" spans="1:46" x14ac:dyDescent="0.2">
      <c r="A17" t="str">
        <f t="shared" si="4"/>
        <v>1986</v>
      </c>
      <c r="C17" s="38">
        <v>6846710</v>
      </c>
      <c r="D17" s="35">
        <f t="shared" si="1"/>
        <v>2.1452794581413541</v>
      </c>
      <c r="E17" s="123">
        <f t="shared" si="2"/>
        <v>14688106</v>
      </c>
      <c r="F17" s="38">
        <v>187218</v>
      </c>
      <c r="G17" s="23">
        <f t="shared" si="3"/>
        <v>1.2999999999999999E-2</v>
      </c>
      <c r="J17" s="2"/>
      <c r="M17" s="68">
        <v>36892</v>
      </c>
      <c r="N17" s="124">
        <v>1.1850000000000001</v>
      </c>
      <c r="O17" s="43">
        <f>PRODUCT(N$14:N17)</f>
        <v>1.3</v>
      </c>
      <c r="P17" s="43">
        <f t="shared" si="5"/>
        <v>2.0131171511531933</v>
      </c>
      <c r="R17">
        <v>1990</v>
      </c>
      <c r="S17">
        <v>1.0309999999999999</v>
      </c>
      <c r="T17" s="43">
        <f>PRODUCT($S$14:S17)</f>
        <v>0.97532599999999992</v>
      </c>
      <c r="U17" t="s">
        <v>364</v>
      </c>
      <c r="V17">
        <f>AD50</f>
        <v>2.2331238510709315</v>
      </c>
      <c r="AD17">
        <v>0.5</v>
      </c>
      <c r="AE17">
        <v>0.5</v>
      </c>
    </row>
    <row r="18" spans="1:46" x14ac:dyDescent="0.2">
      <c r="A18" t="str">
        <f t="shared" si="4"/>
        <v>1987</v>
      </c>
      <c r="C18" s="38">
        <v>7738740</v>
      </c>
      <c r="D18" s="35">
        <f t="shared" si="1"/>
        <v>2.1452794581413541</v>
      </c>
      <c r="E18" s="123">
        <f t="shared" si="2"/>
        <v>16601760</v>
      </c>
      <c r="F18" s="38">
        <v>111242</v>
      </c>
      <c r="G18" s="23">
        <f t="shared" si="3"/>
        <v>7.0000000000000001E-3</v>
      </c>
      <c r="J18" s="2"/>
      <c r="M18" s="68">
        <v>37987</v>
      </c>
      <c r="N18" s="124">
        <v>1.0960000000000001</v>
      </c>
      <c r="O18" s="43">
        <f>PRODUCT(N$14:N18)</f>
        <v>1.4248000000000001</v>
      </c>
      <c r="P18" s="43">
        <f t="shared" si="5"/>
        <v>1.8367857218551031</v>
      </c>
      <c r="R18">
        <v>1991</v>
      </c>
      <c r="S18">
        <v>1.25</v>
      </c>
      <c r="T18" s="43">
        <f>PRODUCT($S$14:S18)</f>
        <v>1.2191574999999999</v>
      </c>
      <c r="U18" t="s">
        <v>365</v>
      </c>
      <c r="V18">
        <f>AE50</f>
        <v>1.9551566080504634</v>
      </c>
      <c r="AE18">
        <v>0.5</v>
      </c>
      <c r="AF18">
        <v>0.5</v>
      </c>
    </row>
    <row r="19" spans="1:46" x14ac:dyDescent="0.2">
      <c r="A19" t="str">
        <f t="shared" si="4"/>
        <v>1988</v>
      </c>
      <c r="C19" s="214">
        <v>8043378</v>
      </c>
      <c r="D19" s="35">
        <f>V15</f>
        <v>2.2048093094977945</v>
      </c>
      <c r="E19" s="123">
        <f t="shared" si="2"/>
        <v>17734115</v>
      </c>
      <c r="F19" s="214">
        <v>1026666</v>
      </c>
      <c r="G19" s="23">
        <f t="shared" si="3"/>
        <v>5.8000000000000003E-2</v>
      </c>
      <c r="J19" s="2"/>
      <c r="M19" s="68">
        <v>38961</v>
      </c>
      <c r="N19" s="124">
        <v>1.0309999999999999</v>
      </c>
      <c r="O19" s="43">
        <f>PRODUCT(N$14:N19)</f>
        <v>1.4689687999999999</v>
      </c>
      <c r="P19" s="43">
        <f t="shared" si="5"/>
        <v>1.781557441178568</v>
      </c>
      <c r="R19">
        <v>1992</v>
      </c>
      <c r="S19">
        <v>0.45999999999999996</v>
      </c>
      <c r="T19" s="43">
        <f>PRODUCT($S$14:S19)</f>
        <v>0.56081244999999991</v>
      </c>
      <c r="U19" t="s">
        <v>366</v>
      </c>
      <c r="V19">
        <f>AF50</f>
        <v>2.410467051021119</v>
      </c>
      <c r="AF19">
        <v>0.5</v>
      </c>
      <c r="AG19">
        <v>0.5</v>
      </c>
    </row>
    <row r="20" spans="1:46" x14ac:dyDescent="0.2">
      <c r="A20" t="str">
        <f t="shared" si="4"/>
        <v>1989</v>
      </c>
      <c r="C20" s="214">
        <v>8149957</v>
      </c>
      <c r="D20" s="35">
        <f t="shared" ref="D20:D33" si="6">V16</f>
        <v>2.267737270762531</v>
      </c>
      <c r="E20" s="123">
        <f t="shared" si="2"/>
        <v>18481961</v>
      </c>
      <c r="F20" s="214">
        <v>1163813</v>
      </c>
      <c r="G20" s="23">
        <f t="shared" si="3"/>
        <v>6.3E-2</v>
      </c>
      <c r="J20" s="2"/>
      <c r="M20" s="68">
        <v>39083</v>
      </c>
      <c r="N20" s="124">
        <v>1.042</v>
      </c>
      <c r="O20" s="43">
        <f>PRODUCT(N$14:N20)</f>
        <v>1.5306654895999998</v>
      </c>
      <c r="P20" s="43">
        <f t="shared" si="5"/>
        <v>1.7097480241636929</v>
      </c>
      <c r="R20">
        <v>1993</v>
      </c>
      <c r="S20">
        <v>1.3</v>
      </c>
      <c r="T20" s="43">
        <f>PRODUCT($S$14:S20)</f>
        <v>0.72905618499999991</v>
      </c>
      <c r="U20" t="s">
        <v>367</v>
      </c>
      <c r="V20">
        <f>AG50</f>
        <v>3.3263533974393513</v>
      </c>
      <c r="AG20">
        <v>0.5</v>
      </c>
      <c r="AH20">
        <v>0.5</v>
      </c>
    </row>
    <row r="21" spans="1:46" x14ac:dyDescent="0.2">
      <c r="A21" t="str">
        <f t="shared" si="4"/>
        <v>1990</v>
      </c>
      <c r="C21" s="214">
        <v>7816199</v>
      </c>
      <c r="D21" s="35">
        <f t="shared" si="6"/>
        <v>2.2331238510709315</v>
      </c>
      <c r="E21" s="123">
        <f t="shared" si="2"/>
        <v>17454540</v>
      </c>
      <c r="F21" s="214">
        <v>5908943</v>
      </c>
      <c r="G21" s="23">
        <f t="shared" si="3"/>
        <v>0.33900000000000002</v>
      </c>
      <c r="J21" s="2"/>
      <c r="M21" s="68">
        <v>39479</v>
      </c>
      <c r="N21" s="124">
        <v>1.0820000000000001</v>
      </c>
      <c r="O21" s="43">
        <f>PRODUCT(N$14:N21)</f>
        <v>1.6561800597471998</v>
      </c>
      <c r="P21" s="43">
        <f t="shared" si="5"/>
        <v>1.5801737746429694</v>
      </c>
      <c r="R21">
        <v>1994</v>
      </c>
      <c r="S21">
        <v>1</v>
      </c>
      <c r="T21" s="43">
        <f>PRODUCT($S$14:S21)</f>
        <v>0.72905618499999991</v>
      </c>
      <c r="U21" t="s">
        <v>80</v>
      </c>
      <c r="V21">
        <f>AH50</f>
        <v>2.9425433900425033</v>
      </c>
      <c r="AH21">
        <v>0.5</v>
      </c>
      <c r="AI21">
        <v>0.5</v>
      </c>
    </row>
    <row r="22" spans="1:46" x14ac:dyDescent="0.2">
      <c r="A22" t="str">
        <f t="shared" si="4"/>
        <v>1991</v>
      </c>
      <c r="C22" s="101">
        <f>'[4]TICO 2'!O35</f>
        <v>8645207.9953246601</v>
      </c>
      <c r="D22" s="35">
        <f t="shared" si="6"/>
        <v>1.9551566080504634</v>
      </c>
      <c r="E22" s="123">
        <f>ROUND(C22*D22,0)</f>
        <v>16902736</v>
      </c>
      <c r="F22" s="101">
        <f>'[4]TICO 2'!U35</f>
        <v>13225286.939999998</v>
      </c>
      <c r="G22" s="23">
        <f t="shared" si="3"/>
        <v>0.78200000000000003</v>
      </c>
      <c r="J22" s="2"/>
      <c r="M22" s="68">
        <v>39845</v>
      </c>
      <c r="N22" s="124">
        <v>1.123</v>
      </c>
      <c r="O22" s="43">
        <f>PRODUCT(N$14:N22)</f>
        <v>1.8598902070961054</v>
      </c>
      <c r="P22" s="43">
        <f t="shared" si="5"/>
        <v>1.4071004226562505</v>
      </c>
      <c r="R22">
        <v>1995</v>
      </c>
      <c r="S22">
        <v>1.25</v>
      </c>
      <c r="T22" s="43">
        <f>PRODUCT($S$14:S22)</f>
        <v>0.91132023124999995</v>
      </c>
      <c r="U22" t="s">
        <v>368</v>
      </c>
      <c r="V22">
        <f>AI50</f>
        <v>2.6155941244822252</v>
      </c>
      <c r="AI22">
        <v>0.5</v>
      </c>
      <c r="AJ22">
        <v>0.5</v>
      </c>
    </row>
    <row r="23" spans="1:46" x14ac:dyDescent="0.2">
      <c r="A23" t="str">
        <f t="shared" si="4"/>
        <v>1992</v>
      </c>
      <c r="B23" s="22"/>
      <c r="C23" s="101">
        <f>'[4]TICO 2'!O36</f>
        <v>5826466.6888902895</v>
      </c>
      <c r="D23" s="35">
        <f t="shared" si="6"/>
        <v>2.410467051021119</v>
      </c>
      <c r="E23" s="123">
        <f t="shared" si="2"/>
        <v>14044506</v>
      </c>
      <c r="F23" s="101">
        <f>'[4]TICO 2'!U36</f>
        <v>180484.07</v>
      </c>
      <c r="G23" s="23">
        <f t="shared" si="3"/>
        <v>1.2999999999999999E-2</v>
      </c>
      <c r="J23" s="2"/>
      <c r="M23" s="68">
        <v>40544</v>
      </c>
      <c r="N23" s="124">
        <v>1.05</v>
      </c>
      <c r="O23" s="43">
        <f>PRODUCT(N$14:N23)</f>
        <v>1.9528847174509107</v>
      </c>
      <c r="P23" s="43">
        <f t="shared" si="5"/>
        <v>1.3400956406250004</v>
      </c>
      <c r="R23">
        <v>1996</v>
      </c>
      <c r="S23">
        <v>1</v>
      </c>
      <c r="T23" s="43">
        <f>PRODUCT($S$14:S23)</f>
        <v>0.91132023124999995</v>
      </c>
      <c r="U23" t="s">
        <v>369</v>
      </c>
      <c r="V23">
        <f>AJ50</f>
        <v>2.3540347120340024</v>
      </c>
      <c r="AJ23">
        <v>0.5</v>
      </c>
      <c r="AK23">
        <v>0.5</v>
      </c>
    </row>
    <row r="24" spans="1:46" x14ac:dyDescent="0.2">
      <c r="A24" t="str">
        <f t="shared" si="4"/>
        <v>1993</v>
      </c>
      <c r="B24" s="22"/>
      <c r="C24" s="101">
        <f>'[4]TICO 2'!O37</f>
        <v>5825915.9799037296</v>
      </c>
      <c r="D24" s="35">
        <f t="shared" si="6"/>
        <v>3.3263533974393513</v>
      </c>
      <c r="E24" s="123">
        <f t="shared" si="2"/>
        <v>19379055</v>
      </c>
      <c r="F24" s="101">
        <f>'[4]TICO 2'!U37</f>
        <v>1900088.189999999</v>
      </c>
      <c r="G24" s="23">
        <f t="shared" si="3"/>
        <v>9.8000000000000004E-2</v>
      </c>
      <c r="J24" s="2"/>
      <c r="M24" s="68">
        <v>40909</v>
      </c>
      <c r="N24" s="124">
        <v>1.05</v>
      </c>
      <c r="O24" s="43">
        <f>PRODUCT(N$14:N24)</f>
        <v>2.0505289533234565</v>
      </c>
      <c r="P24" s="43">
        <f t="shared" si="5"/>
        <v>1.2762815625000004</v>
      </c>
      <c r="R24">
        <v>1997</v>
      </c>
      <c r="S24">
        <v>1</v>
      </c>
      <c r="T24" s="43">
        <f>PRODUCT($S$14:S24)</f>
        <v>0.91132023124999995</v>
      </c>
      <c r="U24" t="s">
        <v>370</v>
      </c>
      <c r="V24">
        <f>AK50</f>
        <v>2.3540347120340024</v>
      </c>
      <c r="AK24">
        <v>0.5</v>
      </c>
      <c r="AL24">
        <v>0.5</v>
      </c>
    </row>
    <row r="25" spans="1:46" x14ac:dyDescent="0.2">
      <c r="A25" t="str">
        <f t="shared" si="4"/>
        <v>1994</v>
      </c>
      <c r="B25" s="22"/>
      <c r="C25" s="101">
        <f>'[4]TICO 2'!O38</f>
        <v>6996873.8393279798</v>
      </c>
      <c r="D25" s="35">
        <f t="shared" si="6"/>
        <v>2.9425433900425033</v>
      </c>
      <c r="E25" s="123">
        <f t="shared" si="2"/>
        <v>20588605</v>
      </c>
      <c r="F25" s="101">
        <f>'[4]TICO 2'!U38</f>
        <v>420037.679999999</v>
      </c>
      <c r="G25" s="23">
        <f t="shared" si="3"/>
        <v>0.02</v>
      </c>
      <c r="J25" s="2"/>
      <c r="M25" s="68">
        <v>41275</v>
      </c>
      <c r="N25" s="124">
        <v>1.05</v>
      </c>
      <c r="O25" s="43">
        <f>PRODUCT(N$14:N25)</f>
        <v>2.1530554009896297</v>
      </c>
      <c r="P25" s="43">
        <f t="shared" si="5"/>
        <v>1.21550625</v>
      </c>
      <c r="R25">
        <v>1998</v>
      </c>
      <c r="S25">
        <v>1.002</v>
      </c>
      <c r="T25" s="43">
        <f>PRODUCT($S$14:S25)</f>
        <v>0.91314287171249997</v>
      </c>
      <c r="U25" t="s">
        <v>371</v>
      </c>
      <c r="V25">
        <f>AL50</f>
        <v>2.351683029004997</v>
      </c>
      <c r="AL25">
        <v>0.5</v>
      </c>
      <c r="AM25">
        <v>0.5</v>
      </c>
    </row>
    <row r="26" spans="1:46" x14ac:dyDescent="0.2">
      <c r="A26" t="str">
        <f t="shared" si="4"/>
        <v>1995</v>
      </c>
      <c r="C26" s="101">
        <f>'[4]TICO 2'!O39</f>
        <v>8737576.0959496386</v>
      </c>
      <c r="D26" s="35">
        <f t="shared" si="6"/>
        <v>2.6155941244822252</v>
      </c>
      <c r="E26" s="123">
        <f t="shared" si="2"/>
        <v>22853953</v>
      </c>
      <c r="F26" s="101">
        <f>'[4]TICO 2'!U39</f>
        <v>644169</v>
      </c>
      <c r="G26" s="23">
        <f t="shared" si="3"/>
        <v>2.8000000000000001E-2</v>
      </c>
      <c r="J26" s="2"/>
      <c r="M26" s="68">
        <v>41640</v>
      </c>
      <c r="N26" s="124">
        <v>1.05</v>
      </c>
      <c r="O26" s="43">
        <f>PRODUCT(N$14:N26)</f>
        <v>2.260708171039111</v>
      </c>
      <c r="P26" s="43">
        <f t="shared" si="5"/>
        <v>1.1576250000000001</v>
      </c>
      <c r="R26">
        <v>1999</v>
      </c>
      <c r="S26">
        <v>0.90600000000000003</v>
      </c>
      <c r="T26" s="43">
        <f>PRODUCT($S$14:S26)</f>
        <v>0.82730744177152504</v>
      </c>
      <c r="U26" t="s">
        <v>372</v>
      </c>
      <c r="V26">
        <f>AM50</f>
        <v>2.4652004616517251</v>
      </c>
      <c r="AM26">
        <v>0.5</v>
      </c>
      <c r="AN26">
        <v>0.5</v>
      </c>
    </row>
    <row r="27" spans="1:46" x14ac:dyDescent="0.2">
      <c r="A27" t="str">
        <f t="shared" si="4"/>
        <v>1996</v>
      </c>
      <c r="C27" s="101">
        <f>'[4]TICO 2'!O40</f>
        <v>11652672.33924751</v>
      </c>
      <c r="D27" s="35">
        <f t="shared" si="6"/>
        <v>2.3540347120340024</v>
      </c>
      <c r="E27" s="123">
        <f t="shared" si="2"/>
        <v>27430795</v>
      </c>
      <c r="F27" s="101">
        <f>'[4]TICO 2'!U40</f>
        <v>406004</v>
      </c>
      <c r="G27" s="23">
        <f t="shared" si="3"/>
        <v>1.4999999999999999E-2</v>
      </c>
      <c r="J27" s="2"/>
      <c r="M27" s="68">
        <v>42005</v>
      </c>
      <c r="N27" s="124">
        <v>1.05</v>
      </c>
      <c r="O27" s="43">
        <f>PRODUCT(N$14:N27)</f>
        <v>2.3737435795910669</v>
      </c>
      <c r="P27" s="43">
        <f t="shared" si="5"/>
        <v>1.1025</v>
      </c>
      <c r="R27">
        <v>2000</v>
      </c>
      <c r="S27">
        <v>1.087</v>
      </c>
      <c r="T27" s="43">
        <f>PRODUCT($S$14:S27)</f>
        <v>0.89928318920564765</v>
      </c>
      <c r="U27" t="s">
        <v>373</v>
      </c>
      <c r="V27">
        <f>AN50</f>
        <v>2.4849891105075934</v>
      </c>
      <c r="AN27">
        <v>0.5</v>
      </c>
      <c r="AO27">
        <v>0.5</v>
      </c>
    </row>
    <row r="28" spans="1:46" x14ac:dyDescent="0.2">
      <c r="A28" t="str">
        <f t="shared" si="4"/>
        <v>1997</v>
      </c>
      <c r="C28" s="101">
        <f>'[4]TICO 2'!O41</f>
        <v>12573252.045386501</v>
      </c>
      <c r="D28" s="35">
        <f t="shared" si="6"/>
        <v>2.3540347120340024</v>
      </c>
      <c r="E28" s="123">
        <f t="shared" si="2"/>
        <v>29597872</v>
      </c>
      <c r="F28" s="101">
        <f>'[4]TICO 2'!U41</f>
        <v>573343</v>
      </c>
      <c r="G28" s="23">
        <f t="shared" si="3"/>
        <v>1.9E-2</v>
      </c>
      <c r="J28" s="2"/>
      <c r="M28" s="68">
        <v>42370</v>
      </c>
      <c r="N28" s="124">
        <v>1.05</v>
      </c>
      <c r="O28" s="43">
        <f>PRODUCT(N$14:N28)</f>
        <v>2.4924307585706202</v>
      </c>
      <c r="P28" s="43">
        <f t="shared" si="5"/>
        <v>1.05</v>
      </c>
      <c r="R28">
        <v>2001</v>
      </c>
      <c r="S28">
        <v>1.1850000000000001</v>
      </c>
      <c r="T28" s="43">
        <f>PRODUCT($S$14:S28)</f>
        <v>1.0656505792086925</v>
      </c>
      <c r="U28" t="s">
        <v>374</v>
      </c>
      <c r="V28">
        <f>AO50</f>
        <v>2.1835641410677664</v>
      </c>
      <c r="AO28">
        <v>0.5</v>
      </c>
      <c r="AP28">
        <v>0.5</v>
      </c>
    </row>
    <row r="29" spans="1:46" x14ac:dyDescent="0.2">
      <c r="A29" t="str">
        <f t="shared" si="4"/>
        <v>1998</v>
      </c>
      <c r="C29" s="101">
        <f>'[4]TICO 2'!O42</f>
        <v>13838930.147333838</v>
      </c>
      <c r="D29" s="35">
        <f t="shared" si="6"/>
        <v>2.351683029004997</v>
      </c>
      <c r="E29" s="123">
        <f t="shared" si="2"/>
        <v>32544777</v>
      </c>
      <c r="F29" s="101">
        <f>'[4]TICO 2'!U42</f>
        <v>6371206</v>
      </c>
      <c r="G29" s="23">
        <f t="shared" si="3"/>
        <v>0.19600000000000001</v>
      </c>
      <c r="J29" s="2"/>
      <c r="M29" s="68">
        <v>43101</v>
      </c>
      <c r="N29" s="124">
        <v>1.05</v>
      </c>
      <c r="O29" s="43">
        <f>PRODUCT(N$14:N29)</f>
        <v>2.6170522964991512</v>
      </c>
      <c r="P29" s="43">
        <f>O$29/O29</f>
        <v>1</v>
      </c>
      <c r="R29">
        <v>2002</v>
      </c>
      <c r="S29">
        <v>1</v>
      </c>
      <c r="T29" s="43">
        <f>PRODUCT($S$14:S29)</f>
        <v>1.0656505792086925</v>
      </c>
      <c r="U29" t="s">
        <v>375</v>
      </c>
      <c r="V29">
        <f>AP50</f>
        <v>2.0131171511531938</v>
      </c>
      <c r="AP29">
        <v>0.5</v>
      </c>
      <c r="AQ29">
        <v>0.5</v>
      </c>
    </row>
    <row r="30" spans="1:46" x14ac:dyDescent="0.2">
      <c r="A30" t="str">
        <f t="shared" si="4"/>
        <v>1999</v>
      </c>
      <c r="C30" s="101">
        <f>'[4]TICO 2'!O43</f>
        <v>14103814.475361705</v>
      </c>
      <c r="D30" s="35">
        <f t="shared" si="6"/>
        <v>2.4652004616517251</v>
      </c>
      <c r="E30" s="123">
        <f t="shared" si="2"/>
        <v>34768730</v>
      </c>
      <c r="F30" s="101">
        <f>'[4]TICO 2'!U43</f>
        <v>742130</v>
      </c>
      <c r="G30" s="23">
        <f t="shared" si="3"/>
        <v>2.1000000000000001E-2</v>
      </c>
      <c r="J30" s="2"/>
      <c r="R30">
        <v>2003</v>
      </c>
      <c r="S30">
        <v>1</v>
      </c>
      <c r="T30" s="43">
        <f>PRODUCT($S$14:S30)</f>
        <v>1.0656505792086925</v>
      </c>
      <c r="U30" t="s">
        <v>376</v>
      </c>
      <c r="V30">
        <f>AQ50</f>
        <v>2.0131171511531938</v>
      </c>
      <c r="AQ30">
        <v>0.5</v>
      </c>
      <c r="AR30">
        <v>0.5</v>
      </c>
    </row>
    <row r="31" spans="1:46" x14ac:dyDescent="0.2">
      <c r="A31" t="str">
        <f t="shared" si="4"/>
        <v>2000</v>
      </c>
      <c r="C31" s="101">
        <f>'[4]TICO 2'!O44</f>
        <v>15784217.73365989</v>
      </c>
      <c r="D31" s="35">
        <f t="shared" si="6"/>
        <v>2.4849891105075934</v>
      </c>
      <c r="E31" s="123">
        <f t="shared" si="2"/>
        <v>39223609</v>
      </c>
      <c r="F31" s="101">
        <f>'[4]TICO 2'!U44</f>
        <v>324948</v>
      </c>
      <c r="G31" s="23">
        <f t="shared" si="3"/>
        <v>8.0000000000000002E-3</v>
      </c>
      <c r="H31" s="241"/>
      <c r="J31" s="2"/>
      <c r="R31">
        <v>2004</v>
      </c>
      <c r="S31">
        <v>1.0960000000000001</v>
      </c>
      <c r="T31" s="43">
        <f>PRODUCT($S$14:S31)</f>
        <v>1.1679530348127272</v>
      </c>
      <c r="U31" t="s">
        <v>377</v>
      </c>
      <c r="V31">
        <f>AR50</f>
        <v>1.9209133121690778</v>
      </c>
      <c r="AR31">
        <v>0.5</v>
      </c>
      <c r="AS31">
        <v>0.5</v>
      </c>
    </row>
    <row r="32" spans="1:46" x14ac:dyDescent="0.2">
      <c r="A32" t="str">
        <f t="shared" si="4"/>
        <v>2001</v>
      </c>
      <c r="C32" s="101">
        <f>'[4]TICO 2'!O45</f>
        <v>17776665.907286998</v>
      </c>
      <c r="D32" s="35">
        <f t="shared" si="6"/>
        <v>2.1835641410677664</v>
      </c>
      <c r="E32" s="123">
        <f t="shared" si="2"/>
        <v>38816490</v>
      </c>
      <c r="F32" s="101">
        <f>'[4]TICO 2'!U45</f>
        <v>1947817</v>
      </c>
      <c r="G32" s="23">
        <f t="shared" si="3"/>
        <v>0.05</v>
      </c>
      <c r="H32" s="241"/>
      <c r="J32" s="2"/>
      <c r="R32">
        <v>2005</v>
      </c>
      <c r="S32">
        <v>1</v>
      </c>
      <c r="T32" s="43">
        <f>PRODUCT($S$14:S32)</f>
        <v>1.1679530348127272</v>
      </c>
      <c r="U32" t="s">
        <v>378</v>
      </c>
      <c r="V32">
        <f>AS50</f>
        <v>1.8367857218551038</v>
      </c>
      <c r="AS32">
        <v>0.5</v>
      </c>
      <c r="AT32" s="295">
        <v>0.5</v>
      </c>
    </row>
    <row r="33" spans="1:60" x14ac:dyDescent="0.2">
      <c r="A33" t="str">
        <f t="shared" si="4"/>
        <v>2002</v>
      </c>
      <c r="C33" s="101">
        <f>'[4]TICO 2'!O46</f>
        <v>20514469</v>
      </c>
      <c r="D33" s="35">
        <f t="shared" si="6"/>
        <v>2.0131171511531938</v>
      </c>
      <c r="E33" s="123">
        <f t="shared" ref="E33:E47" si="7">ROUND(C33*D33,0)</f>
        <v>41298029</v>
      </c>
      <c r="F33" s="101">
        <f>'[4]TICO 2'!U46</f>
        <v>10059284</v>
      </c>
      <c r="G33" s="23">
        <f t="shared" si="3"/>
        <v>0.24399999999999999</v>
      </c>
      <c r="H33" s="241"/>
      <c r="J33" s="2"/>
      <c r="R33">
        <v>2006</v>
      </c>
      <c r="S33">
        <v>1</v>
      </c>
      <c r="T33" s="43">
        <f>PRODUCT($S$14:S33)</f>
        <v>1.1679530348127272</v>
      </c>
      <c r="U33" t="s">
        <v>379</v>
      </c>
      <c r="V33">
        <f>AT50</f>
        <v>1.8336278072980903</v>
      </c>
      <c r="AT33" s="295">
        <f>0.5-AT34</f>
        <v>0.44444444444444442</v>
      </c>
      <c r="AU33">
        <f>0.5*(8/12)^2</f>
        <v>0.22222222222222221</v>
      </c>
    </row>
    <row r="34" spans="1:60" x14ac:dyDescent="0.2">
      <c r="A34" t="str">
        <f t="shared" si="4"/>
        <v>2003</v>
      </c>
      <c r="C34" s="101">
        <f>'[4]TICO 2'!O47</f>
        <v>25868450</v>
      </c>
      <c r="D34" s="102">
        <f>'[4]TWIA 5'!J261</f>
        <v>2.0131171511531929</v>
      </c>
      <c r="E34" s="123">
        <f t="shared" si="7"/>
        <v>52076220</v>
      </c>
      <c r="F34" s="101">
        <f>'[4]TICO 2'!U47</f>
        <v>2672918</v>
      </c>
      <c r="G34" s="23">
        <f t="shared" si="3"/>
        <v>5.0999999999999997E-2</v>
      </c>
      <c r="H34" s="241"/>
      <c r="J34" s="2"/>
      <c r="Q34" s="68">
        <v>42614</v>
      </c>
      <c r="R34">
        <v>2006.66666667</v>
      </c>
      <c r="S34">
        <v>1.0309999999999999</v>
      </c>
      <c r="T34" s="43">
        <f>PRODUCT($S$14:S34)</f>
        <v>1.2041595788919217</v>
      </c>
      <c r="U34" t="s">
        <v>380</v>
      </c>
      <c r="V34">
        <f>AT50</f>
        <v>1.8336278072980903</v>
      </c>
      <c r="AT34" s="295">
        <f>0.5*(4/12)^2</f>
        <v>5.5555555555555552E-2</v>
      </c>
      <c r="AU34">
        <f>0.5-AU33</f>
        <v>0.27777777777777779</v>
      </c>
    </row>
    <row r="35" spans="1:60" x14ac:dyDescent="0.2">
      <c r="A35" t="str">
        <f t="shared" si="4"/>
        <v>2004</v>
      </c>
      <c r="B35" s="59"/>
      <c r="C35" s="101">
        <f>'[4]TICO 2'!O48</f>
        <v>30357860</v>
      </c>
      <c r="D35" s="102">
        <f>'[4]TWIA 5'!J262</f>
        <v>1.9195987469434546</v>
      </c>
      <c r="E35" s="123">
        <f t="shared" si="7"/>
        <v>58274910</v>
      </c>
      <c r="F35" s="101">
        <f>'[4]TICO 2'!U48</f>
        <v>731759</v>
      </c>
      <c r="G35" s="23">
        <f t="shared" si="3"/>
        <v>1.2999999999999999E-2</v>
      </c>
      <c r="J35" s="2"/>
      <c r="R35">
        <v>2007</v>
      </c>
      <c r="S35">
        <v>1.042</v>
      </c>
      <c r="T35" s="43">
        <f>PRODUCT($S$14:S35)</f>
        <v>1.2547342812053826</v>
      </c>
      <c r="U35" t="s">
        <v>381</v>
      </c>
      <c r="V35">
        <f>AU50</f>
        <v>1.7564087495037835</v>
      </c>
      <c r="AU35">
        <v>0.5</v>
      </c>
      <c r="AV35">
        <f>1-AV36</f>
        <v>0.57986111111111116</v>
      </c>
      <c r="AW35">
        <f>0.5*(1/12)^2</f>
        <v>3.472222222222222E-3</v>
      </c>
    </row>
    <row r="36" spans="1:60" x14ac:dyDescent="0.2">
      <c r="A36" t="str">
        <f t="shared" si="4"/>
        <v>2005</v>
      </c>
      <c r="C36" s="101">
        <f>'[4]TICO 2'!O49</f>
        <v>36780457</v>
      </c>
      <c r="D36" s="102">
        <f>'[4]TWIA 5'!J263</f>
        <v>1.8367857218551029</v>
      </c>
      <c r="E36" s="123">
        <f t="shared" si="7"/>
        <v>67557818</v>
      </c>
      <c r="F36" s="101">
        <f>'[4]TICO 2'!U49</f>
        <v>34527644</v>
      </c>
      <c r="G36" s="23">
        <f t="shared" si="3"/>
        <v>0.51100000000000001</v>
      </c>
      <c r="J36" s="2"/>
      <c r="Q36" s="68">
        <v>39479</v>
      </c>
      <c r="R36">
        <v>2008.0833333</v>
      </c>
      <c r="S36">
        <v>1.0820000000000001</v>
      </c>
      <c r="T36" s="43">
        <f>PRODUCT($S$14:S36)</f>
        <v>1.3576224922642239</v>
      </c>
      <c r="U36" t="s">
        <v>382</v>
      </c>
      <c r="V36">
        <f>AV50</f>
        <v>1.652806543186282</v>
      </c>
      <c r="AV36">
        <f>0.5*(11/12)^2</f>
        <v>0.42013888888888884</v>
      </c>
      <c r="AW36">
        <f>1-AW35-AW37</f>
        <v>0.57638888888888895</v>
      </c>
      <c r="AX36">
        <f>0.5*(1/12)^2</f>
        <v>3.472222222222222E-3</v>
      </c>
    </row>
    <row r="37" spans="1:60" x14ac:dyDescent="0.2">
      <c r="A37" t="str">
        <f t="shared" si="4"/>
        <v>2006</v>
      </c>
      <c r="C37" s="101">
        <f>'[4]TICO 2'!O50</f>
        <v>43562211</v>
      </c>
      <c r="D37" s="102">
        <f>'[4]TWIA 5'!J264</f>
        <v>1.8323775762609837</v>
      </c>
      <c r="E37" s="123">
        <f t="shared" si="7"/>
        <v>79822419</v>
      </c>
      <c r="F37" s="101">
        <f>'[4]TICO 2'!U50</f>
        <v>813430</v>
      </c>
      <c r="G37" s="23">
        <f t="shared" si="3"/>
        <v>0.01</v>
      </c>
      <c r="J37" s="2"/>
      <c r="Q37" s="68">
        <v>39845</v>
      </c>
      <c r="R37">
        <v>2009.08</v>
      </c>
      <c r="S37">
        <v>1.123</v>
      </c>
      <c r="T37" s="43">
        <f>PRODUCT($S$14:S37)</f>
        <v>1.5246100588127234</v>
      </c>
      <c r="U37" t="s">
        <v>383</v>
      </c>
      <c r="V37">
        <f>AW50</f>
        <v>1.5029035816476448</v>
      </c>
      <c r="AW37">
        <f>0.5*(11/12)^2</f>
        <v>0.42013888888888884</v>
      </c>
      <c r="AX37">
        <f>0.5-AX36</f>
        <v>0.49652777777777779</v>
      </c>
    </row>
    <row r="38" spans="1:60" x14ac:dyDescent="0.2">
      <c r="A38" s="50" t="str">
        <f t="shared" si="4"/>
        <v>2007</v>
      </c>
      <c r="B38" s="51"/>
      <c r="C38" s="101">
        <f>'[4]TICO 2'!O51</f>
        <v>59282257</v>
      </c>
      <c r="D38" s="102">
        <f>'[4]TWIA 5'!J265</f>
        <v>1.7490128310516411</v>
      </c>
      <c r="E38" s="123">
        <f t="shared" si="7"/>
        <v>103685428</v>
      </c>
      <c r="F38" s="101">
        <f>'[4]TICO 2'!U51</f>
        <v>2757645</v>
      </c>
      <c r="G38" s="53">
        <f t="shared" si="3"/>
        <v>2.7E-2</v>
      </c>
      <c r="J38" s="2"/>
      <c r="R38">
        <v>2010</v>
      </c>
      <c r="S38">
        <v>1</v>
      </c>
      <c r="T38" s="43">
        <f>PRODUCT($S$14:S38)</f>
        <v>1.5246100588127234</v>
      </c>
      <c r="U38" t="s">
        <v>384</v>
      </c>
      <c r="V38">
        <f>AX50</f>
        <v>1.407635754597651</v>
      </c>
      <c r="AX38">
        <v>0.5</v>
      </c>
      <c r="AY38">
        <v>0.5</v>
      </c>
    </row>
    <row r="39" spans="1:60" x14ac:dyDescent="0.2">
      <c r="A39" s="50" t="str">
        <f t="shared" si="4"/>
        <v>2008</v>
      </c>
      <c r="B39" s="59"/>
      <c r="C39" s="101">
        <f>'[4]TICO 2'!O52</f>
        <v>73789694</v>
      </c>
      <c r="D39" s="102">
        <f>'[4]TWIA 5'!J266</f>
        <v>1.6495345789525933</v>
      </c>
      <c r="E39" s="123">
        <f t="shared" si="7"/>
        <v>121718652</v>
      </c>
      <c r="F39" s="101">
        <f>'[4]TICO 2'!U52-K41</f>
        <v>845466768</v>
      </c>
      <c r="G39" s="53">
        <f>ROUND(F39/E39,3)</f>
        <v>6.9459999999999997</v>
      </c>
      <c r="H39" s="43"/>
      <c r="I39" s="43"/>
      <c r="J39" s="2"/>
      <c r="R39">
        <v>2011</v>
      </c>
      <c r="S39">
        <v>1.05</v>
      </c>
      <c r="T39" s="43">
        <f>PRODUCT($S$14:S39)</f>
        <v>1.6008405617533596</v>
      </c>
      <c r="U39" t="s">
        <v>385</v>
      </c>
      <c r="V39" s="59">
        <f>AY50</f>
        <v>1.3727809001524396</v>
      </c>
      <c r="AY39">
        <v>0.5</v>
      </c>
      <c r="AZ39">
        <v>0.5</v>
      </c>
    </row>
    <row r="40" spans="1:60" x14ac:dyDescent="0.2">
      <c r="A40" s="50" t="str">
        <f t="shared" si="4"/>
        <v>2009</v>
      </c>
      <c r="B40" s="59"/>
      <c r="C40" s="101">
        <f>'[4]TICO 2'!O53</f>
        <v>81999709</v>
      </c>
      <c r="D40" s="102">
        <f>'[4]TWIA 5'!J267</f>
        <v>1.4987056675771686</v>
      </c>
      <c r="E40" s="123">
        <f>ROUND(C40*D40,0)</f>
        <v>122893429</v>
      </c>
      <c r="F40" s="101">
        <f>'[4]TICO 2'!U53</f>
        <v>3581024</v>
      </c>
      <c r="G40" s="53">
        <f t="shared" si="3"/>
        <v>2.9000000000000001E-2</v>
      </c>
      <c r="J40" s="2"/>
      <c r="K40" t="s">
        <v>324</v>
      </c>
      <c r="R40">
        <v>2012</v>
      </c>
      <c r="S40">
        <v>1.05</v>
      </c>
      <c r="T40" s="43">
        <f>PRODUCT($S$14:S40)</f>
        <v>1.6808825898410278</v>
      </c>
      <c r="U40" t="s">
        <v>386</v>
      </c>
      <c r="V40" s="59">
        <f>AZ50</f>
        <v>1.3074103810975615</v>
      </c>
      <c r="AZ40">
        <v>0.5</v>
      </c>
      <c r="BA40">
        <v>0.5</v>
      </c>
    </row>
    <row r="41" spans="1:60" x14ac:dyDescent="0.2">
      <c r="A41" s="50" t="str">
        <f t="shared" si="4"/>
        <v>2010</v>
      </c>
      <c r="B41" s="59"/>
      <c r="C41" s="101">
        <f>'[4]TICO 2'!O54</f>
        <v>89665314</v>
      </c>
      <c r="D41" s="102">
        <f>'[4]TWIA 5'!J268</f>
        <v>1.4074808531397425</v>
      </c>
      <c r="E41" s="123">
        <f t="shared" si="7"/>
        <v>126202213</v>
      </c>
      <c r="F41" s="101">
        <f>'[4]TICO 2'!U54</f>
        <v>1451547</v>
      </c>
      <c r="G41" s="53">
        <f t="shared" si="3"/>
        <v>1.2E-2</v>
      </c>
      <c r="H41" s="19"/>
      <c r="J41" s="2"/>
      <c r="K41" s="328">
        <v>206858309</v>
      </c>
      <c r="L41" s="19"/>
      <c r="R41">
        <v>2013</v>
      </c>
      <c r="S41">
        <v>1.05</v>
      </c>
      <c r="T41" s="43">
        <f>PRODUCT($S$14:S41)</f>
        <v>1.7649267193330793</v>
      </c>
      <c r="U41" t="s">
        <v>387</v>
      </c>
      <c r="V41" s="59">
        <f>BA50</f>
        <v>1.2451527439024392</v>
      </c>
      <c r="BA41">
        <v>0.5</v>
      </c>
      <c r="BB41">
        <v>0.5</v>
      </c>
    </row>
    <row r="42" spans="1:60" x14ac:dyDescent="0.2">
      <c r="A42" s="50" t="str">
        <f t="shared" si="4"/>
        <v>2011</v>
      </c>
      <c r="B42" s="59"/>
      <c r="C42" s="101">
        <f>'[4]TICO 2'!O55</f>
        <v>93230854</v>
      </c>
      <c r="D42" s="102">
        <f>'[4]TWIA 5'!J269</f>
        <v>1.3727166755238378</v>
      </c>
      <c r="E42" s="123">
        <f t="shared" si="7"/>
        <v>127979548</v>
      </c>
      <c r="F42" s="101">
        <f>'[4]TICO 2'!U55</f>
        <v>1329886</v>
      </c>
      <c r="G42" s="53">
        <f t="shared" si="3"/>
        <v>0.01</v>
      </c>
      <c r="J42" s="2"/>
      <c r="R42">
        <v>2014</v>
      </c>
      <c r="S42">
        <v>1.05</v>
      </c>
      <c r="T42" s="43">
        <f>PRODUCT($S$14:S42)</f>
        <v>1.8531730552997334</v>
      </c>
      <c r="U42" s="59" t="s">
        <v>388</v>
      </c>
      <c r="V42" s="59">
        <f>BB50</f>
        <v>1.185859756097561</v>
      </c>
      <c r="BB42">
        <v>0.5</v>
      </c>
      <c r="BC42">
        <v>0.5</v>
      </c>
    </row>
    <row r="43" spans="1:60" s="59" customFormat="1" x14ac:dyDescent="0.2">
      <c r="A43" s="50" t="str">
        <f t="shared" si="4"/>
        <v>2012</v>
      </c>
      <c r="B43" s="45"/>
      <c r="C43" s="101">
        <f>'[4]TICO 2'!O56</f>
        <v>99629727</v>
      </c>
      <c r="D43" s="102">
        <f>'[4]TWIA 5'!J270</f>
        <v>1.3073731976777445</v>
      </c>
      <c r="E43" s="123">
        <f>ROUND(C43*D43,0)</f>
        <v>130253235</v>
      </c>
      <c r="F43" s="101">
        <f>'[4]TICO 2'!U56</f>
        <v>10756644</v>
      </c>
      <c r="G43" s="53">
        <f t="shared" ref="G43:G51" si="8">ROUND(F43/E43,3)</f>
        <v>8.3000000000000004E-2</v>
      </c>
      <c r="I43"/>
      <c r="J43" s="2"/>
      <c r="M43"/>
      <c r="N43"/>
      <c r="O43"/>
      <c r="R43" s="59">
        <v>2015</v>
      </c>
      <c r="S43" s="59">
        <v>1.05</v>
      </c>
      <c r="T43" s="43">
        <f>PRODUCT($S$14:S43)</f>
        <v>1.9458317080647203</v>
      </c>
      <c r="U43" s="59" t="s">
        <v>389</v>
      </c>
      <c r="V43" s="59">
        <f>BC50</f>
        <v>1.1293902439024393</v>
      </c>
      <c r="AT43" s="295"/>
      <c r="BC43">
        <v>0.5</v>
      </c>
      <c r="BD43">
        <v>0.5</v>
      </c>
    </row>
    <row r="44" spans="1:60" s="59" customFormat="1" x14ac:dyDescent="0.2">
      <c r="A44" s="50" t="str">
        <f t="shared" si="4"/>
        <v>2013</v>
      </c>
      <c r="B44" s="45"/>
      <c r="C44" s="101">
        <f>'[4]TICO 2'!O57</f>
        <v>107104250</v>
      </c>
      <c r="D44" s="102">
        <f>'[4]TWIA 5'!J271</f>
        <v>1.2452851041347781</v>
      </c>
      <c r="E44" s="123">
        <f>ROUND(C44*D44,0)</f>
        <v>133375327</v>
      </c>
      <c r="F44" s="101">
        <f>'[4]TICO 2'!U57</f>
        <v>54322555</v>
      </c>
      <c r="G44" s="53">
        <f t="shared" si="8"/>
        <v>0.40699999999999997</v>
      </c>
      <c r="I44"/>
      <c r="J44" s="2"/>
      <c r="M44"/>
      <c r="N44"/>
      <c r="O44"/>
      <c r="R44" s="59">
        <v>2016</v>
      </c>
      <c r="S44" s="59">
        <v>1.05</v>
      </c>
      <c r="T44" s="43">
        <f>PRODUCT($S$14:S44)</f>
        <v>2.0431232934679562</v>
      </c>
      <c r="U44" s="59" t="s">
        <v>390</v>
      </c>
      <c r="V44" s="59">
        <f>BD50</f>
        <v>1.075609756097561</v>
      </c>
      <c r="AT44" s="295"/>
      <c r="BD44">
        <v>0.5</v>
      </c>
      <c r="BE44">
        <v>0.5</v>
      </c>
    </row>
    <row r="45" spans="1:60" s="59" customFormat="1" x14ac:dyDescent="0.2">
      <c r="A45" s="50" t="str">
        <f t="shared" si="4"/>
        <v>2014</v>
      </c>
      <c r="B45" s="45"/>
      <c r="C45" s="101">
        <f>'[4]TICO 2'!O58</f>
        <v>114784032</v>
      </c>
      <c r="D45" s="102">
        <f>'[4]TWIA 5'!J272</f>
        <v>1.1862347753925764</v>
      </c>
      <c r="E45" s="123">
        <f t="shared" si="7"/>
        <v>136160810</v>
      </c>
      <c r="F45" s="101">
        <f>'[4]TICO 2'!U58</f>
        <v>691708</v>
      </c>
      <c r="G45" s="53">
        <f t="shared" si="8"/>
        <v>5.0000000000000001E-3</v>
      </c>
      <c r="I45"/>
      <c r="J45" s="2"/>
      <c r="M45"/>
      <c r="N45"/>
      <c r="O45"/>
      <c r="R45" s="59">
        <v>2017</v>
      </c>
      <c r="S45" s="59">
        <v>1</v>
      </c>
      <c r="T45" s="43">
        <f>PRODUCT($S$14:S45)</f>
        <v>2.0431232934679562</v>
      </c>
      <c r="U45" s="59" t="s">
        <v>391</v>
      </c>
      <c r="V45" s="59">
        <f>BE50</f>
        <v>1.05</v>
      </c>
      <c r="AT45" s="295"/>
      <c r="BE45">
        <v>0.5</v>
      </c>
      <c r="BF45">
        <v>0.5</v>
      </c>
    </row>
    <row r="46" spans="1:60" x14ac:dyDescent="0.2">
      <c r="A46" s="50" t="str">
        <f t="shared" si="4"/>
        <v>2015</v>
      </c>
      <c r="B46" s="45"/>
      <c r="C46" s="101">
        <f>'[4]TICO 2'!O59</f>
        <v>122782019</v>
      </c>
      <c r="D46" s="102">
        <f>'[4]TWIA 5'!J273</f>
        <v>1.1299661810216541</v>
      </c>
      <c r="E46" s="123">
        <f t="shared" si="7"/>
        <v>138739529</v>
      </c>
      <c r="F46" s="101">
        <f>'[4]TICO 2'!U59</f>
        <v>17655480</v>
      </c>
      <c r="G46" s="53">
        <f t="shared" si="8"/>
        <v>0.127</v>
      </c>
      <c r="J46" s="2"/>
      <c r="N46" s="19"/>
      <c r="R46">
        <v>2018</v>
      </c>
      <c r="S46">
        <v>1.05</v>
      </c>
      <c r="T46" s="43">
        <f>PRODUCT($S$14:S46)</f>
        <v>2.1452794581413541</v>
      </c>
      <c r="U46" s="59" t="s">
        <v>392</v>
      </c>
      <c r="V46" s="59">
        <f>BF50</f>
        <v>1.0243902439024393</v>
      </c>
      <c r="BF46">
        <v>0.5</v>
      </c>
      <c r="BG46">
        <v>0.5</v>
      </c>
    </row>
    <row r="47" spans="1:60" s="59" customFormat="1" x14ac:dyDescent="0.2">
      <c r="A47" s="50" t="str">
        <f t="shared" si="4"/>
        <v>2016</v>
      </c>
      <c r="B47" s="45"/>
      <c r="C47" s="101">
        <f>'[4]TICO 2'!O60</f>
        <v>127007324</v>
      </c>
      <c r="D47" s="102">
        <f>'[4]TWIA 5'!J274</f>
        <v>1.0765597532120244</v>
      </c>
      <c r="E47" s="123">
        <f t="shared" si="7"/>
        <v>136730973</v>
      </c>
      <c r="F47" s="101">
        <f>'[4]TICO 2'!U60</f>
        <v>11304270</v>
      </c>
      <c r="G47" s="53">
        <f t="shared" si="8"/>
        <v>8.3000000000000004E-2</v>
      </c>
      <c r="H47" s="50"/>
      <c r="I47"/>
      <c r="J47" s="2"/>
      <c r="M47"/>
      <c r="N47"/>
      <c r="O47"/>
      <c r="R47" s="59">
        <v>2019</v>
      </c>
      <c r="S47" s="59">
        <v>1</v>
      </c>
      <c r="T47" s="43">
        <f>PRODUCT($S$14:S47)</f>
        <v>2.1452794581413541</v>
      </c>
      <c r="U47" s="59" t="s">
        <v>393</v>
      </c>
      <c r="V47">
        <f>BG50</f>
        <v>1</v>
      </c>
      <c r="AT47" s="295"/>
      <c r="BG47">
        <v>0.5</v>
      </c>
      <c r="BH47" s="59">
        <v>0.5</v>
      </c>
    </row>
    <row r="48" spans="1:60" s="59" customFormat="1" x14ac:dyDescent="0.2">
      <c r="A48" s="50" t="str">
        <f t="shared" si="4"/>
        <v>2017</v>
      </c>
      <c r="B48" s="45"/>
      <c r="C48" s="101">
        <f>'[4]TICO 2'!O61</f>
        <v>126002753</v>
      </c>
      <c r="D48" s="102">
        <f>'[4]TWIA 5'!J275</f>
        <v>1.0500000000000014</v>
      </c>
      <c r="E48" s="123">
        <f>ROUND(C48*D48,0)</f>
        <v>132302891</v>
      </c>
      <c r="F48" s="101">
        <f>'[4]TICO 2'!U61</f>
        <v>41316273</v>
      </c>
      <c r="G48" s="53">
        <f t="shared" si="8"/>
        <v>0.312</v>
      </c>
      <c r="H48" s="50"/>
      <c r="I48"/>
      <c r="J48" s="2"/>
      <c r="M48"/>
      <c r="N48"/>
      <c r="O48"/>
      <c r="R48" s="59">
        <v>2020</v>
      </c>
      <c r="S48" s="59">
        <v>1</v>
      </c>
      <c r="T48" s="43">
        <f>PRODUCT($S$14:S48)</f>
        <v>2.1452794581413541</v>
      </c>
      <c r="U48" s="59" t="s">
        <v>436</v>
      </c>
      <c r="V48">
        <f>BH50</f>
        <v>1</v>
      </c>
      <c r="AT48" s="295"/>
      <c r="BG48"/>
      <c r="BH48" s="59">
        <v>0.5</v>
      </c>
    </row>
    <row r="49" spans="1:62" s="59" customFormat="1" x14ac:dyDescent="0.2">
      <c r="A49" s="50" t="str">
        <f t="shared" si="4"/>
        <v>2018</v>
      </c>
      <c r="B49" s="45"/>
      <c r="C49" s="101">
        <f>'[4]TICO 2'!O62</f>
        <v>122707170</v>
      </c>
      <c r="D49" s="102">
        <f>'[4]TWIA 5'!J276</f>
        <v>1.0255439472483592</v>
      </c>
      <c r="E49" s="123">
        <f>ROUND(C49*D49,0)</f>
        <v>125841595</v>
      </c>
      <c r="F49" s="101">
        <f>'[4]TICO 2'!U62</f>
        <v>3199518</v>
      </c>
      <c r="G49" s="53">
        <f t="shared" si="8"/>
        <v>2.5000000000000001E-2</v>
      </c>
      <c r="H49"/>
      <c r="I49"/>
      <c r="J49" s="2"/>
      <c r="M49"/>
      <c r="N49"/>
      <c r="O49"/>
      <c r="T49" s="43"/>
      <c r="W49" s="59">
        <f>SUMPRODUCT($T$14:$T$48,W14:W48)</f>
        <v>1</v>
      </c>
      <c r="X49" s="59">
        <f t="shared" ref="X49:BH49" si="9">SUMPRODUCT($T$14:$T$48,X14:X48)</f>
        <v>1</v>
      </c>
      <c r="Y49" s="59">
        <f t="shared" si="9"/>
        <v>1</v>
      </c>
      <c r="Z49" s="59">
        <f t="shared" si="9"/>
        <v>1</v>
      </c>
      <c r="AA49" s="59">
        <f t="shared" si="9"/>
        <v>1</v>
      </c>
      <c r="AB49" s="59">
        <f t="shared" si="9"/>
        <v>0.97299999999999998</v>
      </c>
      <c r="AC49" s="59">
        <f t="shared" si="9"/>
        <v>0.94599999999999995</v>
      </c>
      <c r="AD49" s="59">
        <f t="shared" si="9"/>
        <v>0.96066299999999993</v>
      </c>
      <c r="AE49" s="59">
        <f t="shared" si="9"/>
        <v>1.0972417499999998</v>
      </c>
      <c r="AF49" s="59">
        <f t="shared" si="9"/>
        <v>0.88998497499999996</v>
      </c>
      <c r="AG49" s="59">
        <f t="shared" si="9"/>
        <v>0.64493431749999997</v>
      </c>
      <c r="AH49" s="59">
        <f t="shared" si="9"/>
        <v>0.72905618499999991</v>
      </c>
      <c r="AI49" s="59">
        <f t="shared" si="9"/>
        <v>0.82018820812499993</v>
      </c>
      <c r="AJ49" s="59">
        <f t="shared" si="9"/>
        <v>0.91132023124999995</v>
      </c>
      <c r="AK49" s="59">
        <f t="shared" si="9"/>
        <v>0.91132023124999995</v>
      </c>
      <c r="AL49" s="59">
        <f t="shared" si="9"/>
        <v>0.91223155148125001</v>
      </c>
      <c r="AM49" s="59">
        <f t="shared" si="9"/>
        <v>0.87022515674201251</v>
      </c>
      <c r="AN49" s="59">
        <f t="shared" si="9"/>
        <v>0.86329531548858629</v>
      </c>
      <c r="AO49" s="59">
        <f t="shared" si="9"/>
        <v>0.9824668842071701</v>
      </c>
      <c r="AP49" s="59">
        <f t="shared" si="9"/>
        <v>1.0656505792086925</v>
      </c>
      <c r="AQ49" s="59">
        <f t="shared" si="9"/>
        <v>1.0656505792086925</v>
      </c>
      <c r="AR49" s="59">
        <f t="shared" si="9"/>
        <v>1.11680180701071</v>
      </c>
      <c r="AS49" s="59">
        <f t="shared" si="9"/>
        <v>1.1679530348127272</v>
      </c>
      <c r="AT49" s="59">
        <f t="shared" si="9"/>
        <v>1.1699645094837936</v>
      </c>
      <c r="AU49" s="59">
        <f t="shared" si="9"/>
        <v>1.2214010313643868</v>
      </c>
      <c r="AV49" s="59">
        <f t="shared" si="9"/>
        <v>1.2979616198794097</v>
      </c>
      <c r="AW49" s="59">
        <f t="shared" si="9"/>
        <v>1.4274232121993267</v>
      </c>
      <c r="AX49" s="59">
        <f t="shared" si="9"/>
        <v>1.5240302408733188</v>
      </c>
      <c r="AY49" s="59">
        <f t="shared" si="9"/>
        <v>1.5627253102830414</v>
      </c>
      <c r="AZ49" s="59">
        <f t="shared" si="9"/>
        <v>1.6408615757971936</v>
      </c>
      <c r="BA49" s="59">
        <f t="shared" si="9"/>
        <v>1.7229046545870537</v>
      </c>
      <c r="BB49" s="59">
        <f t="shared" si="9"/>
        <v>1.8090498873164065</v>
      </c>
      <c r="BC49" s="59">
        <f t="shared" si="9"/>
        <v>1.8995023816822267</v>
      </c>
      <c r="BD49" s="59">
        <f t="shared" si="9"/>
        <v>1.9944775007663382</v>
      </c>
      <c r="BE49" s="59">
        <f t="shared" si="9"/>
        <v>2.0431232934679562</v>
      </c>
      <c r="BF49" s="59">
        <f t="shared" si="9"/>
        <v>2.0942013758046549</v>
      </c>
      <c r="BG49" s="59">
        <f t="shared" si="9"/>
        <v>2.1452794581413541</v>
      </c>
      <c r="BH49" s="59">
        <f t="shared" si="9"/>
        <v>2.1452794581413541</v>
      </c>
    </row>
    <row r="50" spans="1:62" s="59" customFormat="1" x14ac:dyDescent="0.2">
      <c r="A50" s="50" t="str">
        <f t="shared" si="4"/>
        <v>2019</v>
      </c>
      <c r="B50" s="45"/>
      <c r="C50" s="101">
        <f>'[4]TICO 2'!O63</f>
        <v>121980686</v>
      </c>
      <c r="D50" s="102">
        <f>'[4]TWIA 5'!J277</f>
        <v>0.999999999999997</v>
      </c>
      <c r="E50" s="123">
        <f>ROUND(C50*D50,0)</f>
        <v>121980686</v>
      </c>
      <c r="F50" s="101">
        <f>'[4]TICO 2'!U63</f>
        <v>6499306</v>
      </c>
      <c r="G50" s="53">
        <f t="shared" si="8"/>
        <v>5.2999999999999999E-2</v>
      </c>
      <c r="H50"/>
      <c r="I50"/>
      <c r="J50" s="2"/>
      <c r="M50"/>
      <c r="N50"/>
      <c r="O50"/>
      <c r="W50" s="59">
        <f>$T$48/W49</f>
        <v>2.1452794581413541</v>
      </c>
      <c r="X50" s="59">
        <f t="shared" ref="X50:BH50" si="10">$T$48/X49</f>
        <v>2.1452794581413541</v>
      </c>
      <c r="Y50" s="59">
        <f t="shared" si="10"/>
        <v>2.1452794581413541</v>
      </c>
      <c r="Z50" s="59">
        <f t="shared" si="10"/>
        <v>2.1452794581413541</v>
      </c>
      <c r="AA50" s="59">
        <f t="shared" si="10"/>
        <v>2.1452794581413541</v>
      </c>
      <c r="AB50" s="59">
        <f t="shared" si="10"/>
        <v>2.2048093094977945</v>
      </c>
      <c r="AC50" s="59">
        <f t="shared" si="10"/>
        <v>2.267737270762531</v>
      </c>
      <c r="AD50" s="59">
        <f t="shared" si="10"/>
        <v>2.2331238510709315</v>
      </c>
      <c r="AE50" s="59">
        <f t="shared" si="10"/>
        <v>1.9551566080504634</v>
      </c>
      <c r="AF50" s="59">
        <f t="shared" si="10"/>
        <v>2.410467051021119</v>
      </c>
      <c r="AG50" s="59">
        <f t="shared" si="10"/>
        <v>3.3263533974393513</v>
      </c>
      <c r="AH50" s="59">
        <f t="shared" si="10"/>
        <v>2.9425433900425033</v>
      </c>
      <c r="AI50" s="59">
        <f t="shared" si="10"/>
        <v>2.6155941244822252</v>
      </c>
      <c r="AJ50" s="59">
        <f t="shared" si="10"/>
        <v>2.3540347120340024</v>
      </c>
      <c r="AK50" s="59">
        <f t="shared" si="10"/>
        <v>2.3540347120340024</v>
      </c>
      <c r="AL50" s="59">
        <f t="shared" si="10"/>
        <v>2.351683029004997</v>
      </c>
      <c r="AM50" s="59">
        <f t="shared" si="10"/>
        <v>2.4652004616517251</v>
      </c>
      <c r="AN50" s="59">
        <f t="shared" si="10"/>
        <v>2.4849891105075934</v>
      </c>
      <c r="AO50" s="59">
        <f t="shared" si="10"/>
        <v>2.1835641410677664</v>
      </c>
      <c r="AP50" s="59">
        <f t="shared" si="10"/>
        <v>2.0131171511531938</v>
      </c>
      <c r="AQ50" s="59">
        <f t="shared" si="10"/>
        <v>2.0131171511531938</v>
      </c>
      <c r="AR50" s="59">
        <f t="shared" si="10"/>
        <v>1.9209133121690778</v>
      </c>
      <c r="AS50" s="59">
        <f t="shared" si="10"/>
        <v>1.8367857218551038</v>
      </c>
      <c r="AT50" s="59">
        <f t="shared" si="10"/>
        <v>1.8336278072980903</v>
      </c>
      <c r="AU50" s="59">
        <f t="shared" si="10"/>
        <v>1.7564087495037835</v>
      </c>
      <c r="AV50" s="59">
        <f t="shared" si="10"/>
        <v>1.652806543186282</v>
      </c>
      <c r="AW50" s="59">
        <f t="shared" si="10"/>
        <v>1.5029035816476448</v>
      </c>
      <c r="AX50" s="59">
        <f t="shared" si="10"/>
        <v>1.407635754597651</v>
      </c>
      <c r="AY50" s="59">
        <f t="shared" si="10"/>
        <v>1.3727809001524396</v>
      </c>
      <c r="AZ50" s="59">
        <f t="shared" si="10"/>
        <v>1.3074103810975615</v>
      </c>
      <c r="BA50" s="59">
        <f t="shared" si="10"/>
        <v>1.2451527439024392</v>
      </c>
      <c r="BB50" s="59">
        <f t="shared" si="10"/>
        <v>1.185859756097561</v>
      </c>
      <c r="BC50" s="59">
        <f t="shared" si="10"/>
        <v>1.1293902439024393</v>
      </c>
      <c r="BD50" s="59">
        <f t="shared" si="10"/>
        <v>1.075609756097561</v>
      </c>
      <c r="BE50" s="59">
        <f t="shared" si="10"/>
        <v>1.05</v>
      </c>
      <c r="BF50" s="59">
        <f t="shared" si="10"/>
        <v>1.0243902439024393</v>
      </c>
      <c r="BG50" s="59">
        <f t="shared" si="10"/>
        <v>1</v>
      </c>
      <c r="BH50" s="59">
        <f t="shared" si="10"/>
        <v>1</v>
      </c>
    </row>
    <row r="51" spans="1:62" s="59" customFormat="1" x14ac:dyDescent="0.2">
      <c r="A51" s="50" t="str">
        <f t="shared" si="4"/>
        <v>2020</v>
      </c>
      <c r="B51" s="45"/>
      <c r="C51" s="101">
        <f>'[4]TICO 2'!O64</f>
        <v>121816746</v>
      </c>
      <c r="D51" s="102">
        <f>'[4]TWIA 5'!J278</f>
        <v>1</v>
      </c>
      <c r="E51" s="123">
        <f>ROUND(C51*D51,0)</f>
        <v>121816746</v>
      </c>
      <c r="F51" s="101">
        <f>'[4]TICO 2'!U64</f>
        <v>5435871</v>
      </c>
      <c r="G51" s="53">
        <f t="shared" si="8"/>
        <v>4.4999999999999998E-2</v>
      </c>
      <c r="H51"/>
      <c r="I51"/>
      <c r="J51" s="2"/>
      <c r="M51"/>
      <c r="N51"/>
      <c r="O51"/>
      <c r="AT51" s="295"/>
    </row>
    <row r="52" spans="1:62" s="59" customFormat="1" x14ac:dyDescent="0.2">
      <c r="A52" s="322"/>
      <c r="B52" s="321"/>
      <c r="C52" s="323"/>
      <c r="D52" s="324"/>
      <c r="E52" s="325"/>
      <c r="F52" s="323"/>
      <c r="G52" s="326"/>
      <c r="H52"/>
      <c r="I52"/>
      <c r="J52" s="2"/>
      <c r="M52"/>
      <c r="N52"/>
      <c r="O52"/>
      <c r="AT52" s="295"/>
    </row>
    <row r="53" spans="1:62" x14ac:dyDescent="0.2">
      <c r="A53" s="50"/>
      <c r="B53" s="45"/>
      <c r="C53" s="101"/>
      <c r="D53" s="211"/>
      <c r="E53" s="123"/>
      <c r="F53" s="101"/>
      <c r="G53" s="53"/>
      <c r="J53" s="2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</row>
    <row r="54" spans="1:62" x14ac:dyDescent="0.2">
      <c r="A54" s="59" t="s">
        <v>9</v>
      </c>
      <c r="B54" s="59"/>
      <c r="C54" s="31">
        <f>SUM(C14:C51)</f>
        <v>1793119887.2476728</v>
      </c>
      <c r="D54" s="31"/>
      <c r="E54" s="31">
        <f>SUM(E14:E51)</f>
        <v>2489635720</v>
      </c>
      <c r="F54" s="31">
        <f>SUM(F14:F51)</f>
        <v>1209154743.8800001</v>
      </c>
      <c r="G54" s="23">
        <f>ROUND(F54/E54,3)</f>
        <v>0.48599999999999999</v>
      </c>
      <c r="J54" s="2"/>
      <c r="K54" t="s">
        <v>217</v>
      </c>
      <c r="L54" t="s">
        <v>218</v>
      </c>
      <c r="M54" s="59"/>
      <c r="N54" s="59"/>
      <c r="O54" s="59"/>
    </row>
    <row r="55" spans="1:62" s="59" customFormat="1" ht="10.5" thickBot="1" x14ac:dyDescent="0.25">
      <c r="A55" s="6"/>
      <c r="B55" s="6"/>
      <c r="C55" s="6"/>
      <c r="D55" s="6"/>
      <c r="E55" s="6"/>
      <c r="F55" s="6"/>
      <c r="G55" s="6"/>
      <c r="I55"/>
      <c r="J55" s="2"/>
      <c r="K55" s="82">
        <f>'[4]TICO 2'!$E$1</f>
        <v>44104</v>
      </c>
      <c r="L55" s="82">
        <f>'[4]TICO 2'!$E$2</f>
        <v>44196</v>
      </c>
      <c r="M55"/>
      <c r="N55"/>
      <c r="O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 s="29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59" customFormat="1" ht="10.5" thickTop="1" x14ac:dyDescent="0.2">
      <c r="A56"/>
      <c r="B56"/>
      <c r="C56"/>
      <c r="D56"/>
      <c r="E56"/>
      <c r="F56"/>
      <c r="G56"/>
      <c r="H56"/>
      <c r="I56"/>
      <c r="J56" s="2"/>
      <c r="M56"/>
      <c r="N56"/>
      <c r="O56"/>
      <c r="AT56" s="295"/>
    </row>
    <row r="57" spans="1:62" x14ac:dyDescent="0.2">
      <c r="A57" t="s">
        <v>17</v>
      </c>
      <c r="F57" s="45"/>
      <c r="J57" s="2"/>
      <c r="M57" s="59"/>
      <c r="N57" s="59"/>
      <c r="O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</row>
    <row r="58" spans="1:62" x14ac:dyDescent="0.2">
      <c r="A58" s="22" t="str">
        <f>C12&amp;" Provided by TDI.  Accident years ending "&amp;TEXT($K$55,"m/d/xx")&amp;" as of "&amp;TEXT($L$55,"m/d/yyyy")</f>
        <v>(2) Provided by TDI.  Accident years ending 9/30/xx as of 12/31/2020</v>
      </c>
      <c r="J58" s="2"/>
      <c r="M58" s="59"/>
      <c r="N58" s="59"/>
      <c r="O58" s="59"/>
    </row>
    <row r="59" spans="1:62" x14ac:dyDescent="0.2">
      <c r="A59" s="22" t="str">
        <f>D12&amp;" 1987 and prior judgementally selected; 1988 - "&amp;YEAR(L55)&amp;" based on TWIA on-level factors"</f>
        <v>(3) 1987 and prior judgementally selected; 1988 - 2020 based on TWIA on-level factors</v>
      </c>
      <c r="J59" s="2"/>
    </row>
    <row r="60" spans="1:62" x14ac:dyDescent="0.2">
      <c r="A60" s="22" t="str">
        <f>E12&amp;" = "&amp;C12&amp;" * "&amp;D12</f>
        <v>(4) = (2) * (3)</v>
      </c>
      <c r="J60" s="2"/>
    </row>
    <row r="61" spans="1:62" x14ac:dyDescent="0.2">
      <c r="A61" s="22" t="str">
        <f>F12&amp;" Provided by TDI. Accidn't yrs ending "&amp;TEXT($K$55,"m/d/xx")&amp;" as of "&amp;TEXT($L$55,"m/d/yyyy")&amp;"; "&amp;" 2008 IKE incurred loss was adjusted down by $206,858,309"</f>
        <v>(5) Provided by TDI. Accidn't yrs ending 9/30/xx as of 12/31/2020;  2008 IKE incurred loss was adjusted down by $206,858,309</v>
      </c>
      <c r="B61" s="59"/>
      <c r="C61" s="59"/>
      <c r="D61" s="59"/>
      <c r="E61" s="59"/>
      <c r="F61" s="59"/>
      <c r="J61" s="2"/>
      <c r="K61" s="43"/>
    </row>
    <row r="62" spans="1:62" x14ac:dyDescent="0.2">
      <c r="A62" t="s">
        <v>337</v>
      </c>
      <c r="J62" s="2"/>
      <c r="K62" s="43"/>
    </row>
    <row r="63" spans="1:62" s="59" customFormat="1" ht="10.5" thickBot="1" x14ac:dyDescent="0.25">
      <c r="A63" s="22" t="str">
        <f>G12&amp;" = "&amp;F12&amp;" / "&amp;E12</f>
        <v>(6) = (5) / (4)</v>
      </c>
      <c r="B63" s="22"/>
      <c r="C63"/>
      <c r="D63" s="60"/>
      <c r="E63" s="60"/>
      <c r="F63" s="60"/>
      <c r="G63" s="23"/>
      <c r="H63"/>
      <c r="I63"/>
      <c r="J63" s="2"/>
      <c r="M63"/>
      <c r="N63"/>
      <c r="O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295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10.5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3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>
    <tabColor rgb="FF92D050"/>
  </sheetPr>
  <dimension ref="A1:L64"/>
  <sheetViews>
    <sheetView showGridLines="0" topLeftCell="A6" workbookViewId="0">
      <selection activeCell="F66" sqref="F66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ht="10.5" x14ac:dyDescent="0.25">
      <c r="A1" s="8" t="str">
        <f>'1'!$A$1</f>
        <v>Texas Windstorm Insurance Association</v>
      </c>
      <c r="B1" s="12"/>
      <c r="I1" s="7" t="s">
        <v>106</v>
      </c>
      <c r="J1" s="1"/>
    </row>
    <row r="2" spans="1:11" ht="10.5" x14ac:dyDescent="0.25">
      <c r="A2" s="8" t="str">
        <f>'1'!$A$2</f>
        <v>Residential Property - Wind &amp; Hail</v>
      </c>
      <c r="B2" s="12"/>
      <c r="I2" s="7" t="s">
        <v>94</v>
      </c>
      <c r="J2" s="2"/>
    </row>
    <row r="3" spans="1:11" ht="10.5" x14ac:dyDescent="0.25">
      <c r="A3" s="8" t="str">
        <f>'1'!$A$3</f>
        <v>Rate Level Review</v>
      </c>
      <c r="B3" s="12"/>
      <c r="J3" s="2"/>
    </row>
    <row r="4" spans="1:11" x14ac:dyDescent="0.2">
      <c r="A4" t="s">
        <v>107</v>
      </c>
      <c r="B4" s="12"/>
      <c r="J4" s="2"/>
    </row>
    <row r="5" spans="1:11" x14ac:dyDescent="0.2">
      <c r="A5" t="s">
        <v>45</v>
      </c>
      <c r="B5" s="12"/>
      <c r="J5" s="2"/>
    </row>
    <row r="6" spans="1:11" x14ac:dyDescent="0.2">
      <c r="J6" s="2"/>
    </row>
    <row r="7" spans="1:11" ht="10.5" thickBot="1" x14ac:dyDescent="0.25">
      <c r="A7" s="6"/>
      <c r="B7" s="6"/>
      <c r="C7" s="6"/>
      <c r="D7" s="6"/>
      <c r="E7" s="6"/>
      <c r="F7" s="6"/>
      <c r="G7" s="6"/>
      <c r="J7" s="2"/>
    </row>
    <row r="8" spans="1:11" ht="10.5" thickTop="1" x14ac:dyDescent="0.2">
      <c r="J8" s="2"/>
    </row>
    <row r="9" spans="1:11" x14ac:dyDescent="0.2">
      <c r="C9" s="22"/>
      <c r="D9" t="s">
        <v>37</v>
      </c>
      <c r="E9" t="s">
        <v>44</v>
      </c>
      <c r="J9" s="2"/>
      <c r="K9" s="27"/>
    </row>
    <row r="10" spans="1:11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1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87">
        <v>1983</v>
      </c>
      <c r="C14" s="38">
        <v>2331938</v>
      </c>
      <c r="D14" s="102">
        <f>'6.4'!D14</f>
        <v>2.1452794581413541</v>
      </c>
      <c r="E14" s="31">
        <f t="shared" ref="E14:E45" si="0">C14*D14</f>
        <v>5002658.6890592333</v>
      </c>
      <c r="F14" s="38">
        <v>377010</v>
      </c>
      <c r="G14" s="23">
        <f>F14/E14</f>
        <v>7.5361927213726823E-2</v>
      </c>
      <c r="J14" s="2"/>
    </row>
    <row r="15" spans="1:11" x14ac:dyDescent="0.2">
      <c r="A15" t="str">
        <f>TEXT(A14+1,"#")</f>
        <v>1984</v>
      </c>
      <c r="C15" s="38">
        <v>1632317</v>
      </c>
      <c r="D15" s="102">
        <f>'6.4'!D15</f>
        <v>2.1452794581413541</v>
      </c>
      <c r="E15" s="31">
        <f t="shared" si="0"/>
        <v>3501776.1292749206</v>
      </c>
      <c r="F15" s="38">
        <v>249086</v>
      </c>
      <c r="G15" s="23">
        <f>F15/E15</f>
        <v>7.1131331874026982E-2</v>
      </c>
      <c r="J15" s="2"/>
    </row>
    <row r="16" spans="1:11" x14ac:dyDescent="0.2">
      <c r="A16" t="str">
        <f t="shared" ref="A16:A51" si="1">TEXT(A15+1,"#")</f>
        <v>1985</v>
      </c>
      <c r="C16" s="38">
        <v>2505564</v>
      </c>
      <c r="D16" s="102">
        <f>'6.4'!D16</f>
        <v>2.1452794581413541</v>
      </c>
      <c r="E16" s="31">
        <f t="shared" si="0"/>
        <v>5375134.9802584834</v>
      </c>
      <c r="F16" s="38">
        <v>467721</v>
      </c>
      <c r="G16" s="23">
        <f>F16/E16</f>
        <v>8.7015675274727311E-2</v>
      </c>
      <c r="J16" s="2"/>
    </row>
    <row r="17" spans="1:10" x14ac:dyDescent="0.2">
      <c r="A17" t="str">
        <f t="shared" si="1"/>
        <v>1986</v>
      </c>
      <c r="C17" s="38">
        <v>2977992</v>
      </c>
      <c r="D17" s="102">
        <f>'6.4'!D17</f>
        <v>2.1452794581413541</v>
      </c>
      <c r="E17" s="31">
        <f t="shared" si="0"/>
        <v>6388625.0641092872</v>
      </c>
      <c r="F17" s="38">
        <v>189449</v>
      </c>
      <c r="G17" s="23">
        <f t="shared" ref="G17:G47" si="2">ROUND(F17/E17,3)</f>
        <v>0.03</v>
      </c>
      <c r="J17" s="2"/>
    </row>
    <row r="18" spans="1:10" x14ac:dyDescent="0.2">
      <c r="A18" t="str">
        <f t="shared" si="1"/>
        <v>1987</v>
      </c>
      <c r="C18" s="38">
        <v>3639667</v>
      </c>
      <c r="D18" s="102">
        <f>'6.4'!D18</f>
        <v>2.1452794581413541</v>
      </c>
      <c r="E18" s="31">
        <f t="shared" si="0"/>
        <v>7808102.8495749682</v>
      </c>
      <c r="F18" s="38">
        <v>335212</v>
      </c>
      <c r="G18" s="23">
        <f t="shared" si="2"/>
        <v>4.2999999999999997E-2</v>
      </c>
      <c r="J18" s="2"/>
    </row>
    <row r="19" spans="1:10" x14ac:dyDescent="0.2">
      <c r="A19" t="str">
        <f t="shared" si="1"/>
        <v>1988</v>
      </c>
      <c r="C19" s="214">
        <v>3971251</v>
      </c>
      <c r="D19" s="102">
        <f>'6.4'!D19</f>
        <v>2.2048093094977945</v>
      </c>
      <c r="E19" s="31">
        <f t="shared" si="0"/>
        <v>8755851.1751524266</v>
      </c>
      <c r="F19" s="214">
        <v>626491</v>
      </c>
      <c r="G19" s="23">
        <f t="shared" si="2"/>
        <v>7.1999999999999995E-2</v>
      </c>
      <c r="J19" s="2"/>
    </row>
    <row r="20" spans="1:10" x14ac:dyDescent="0.2">
      <c r="A20" t="str">
        <f t="shared" si="1"/>
        <v>1989</v>
      </c>
      <c r="C20" s="214">
        <v>3702536</v>
      </c>
      <c r="D20" s="102">
        <f>'6.4'!D20</f>
        <v>2.267737270762531</v>
      </c>
      <c r="E20" s="31">
        <f t="shared" si="0"/>
        <v>8396378.8835400175</v>
      </c>
      <c r="F20" s="214">
        <v>550215</v>
      </c>
      <c r="G20" s="23">
        <f t="shared" si="2"/>
        <v>6.6000000000000003E-2</v>
      </c>
      <c r="J20" s="2"/>
    </row>
    <row r="21" spans="1:10" x14ac:dyDescent="0.2">
      <c r="A21" t="str">
        <f t="shared" si="1"/>
        <v>1990</v>
      </c>
      <c r="C21" s="214">
        <v>3519306</v>
      </c>
      <c r="D21" s="102">
        <f>'6.4'!D21</f>
        <v>2.2331238510709315</v>
      </c>
      <c r="E21" s="31">
        <f t="shared" si="0"/>
        <v>7859046.1678170357</v>
      </c>
      <c r="F21" s="214">
        <v>955271</v>
      </c>
      <c r="G21" s="23">
        <f>ROUND(F21/E21,3)</f>
        <v>0.122</v>
      </c>
      <c r="J21" s="2"/>
    </row>
    <row r="22" spans="1:10" x14ac:dyDescent="0.2">
      <c r="A22" t="str">
        <f t="shared" si="1"/>
        <v>1991</v>
      </c>
      <c r="C22" s="101">
        <f>'[4]TICO 2'!P35</f>
        <v>4065189.7500367444</v>
      </c>
      <c r="D22" s="102">
        <f>'6.4'!D22</f>
        <v>1.9551566080504634</v>
      </c>
      <c r="E22" s="31">
        <f t="shared" si="0"/>
        <v>7948082.6027633529</v>
      </c>
      <c r="F22" s="101">
        <f>'[4]TICO 2'!V35</f>
        <v>1367254.0699999901</v>
      </c>
      <c r="G22" s="23">
        <f t="shared" si="2"/>
        <v>0.17199999999999999</v>
      </c>
      <c r="J22" s="2"/>
    </row>
    <row r="23" spans="1:10" x14ac:dyDescent="0.2">
      <c r="A23" t="str">
        <f t="shared" si="1"/>
        <v>1992</v>
      </c>
      <c r="B23" s="22"/>
      <c r="C23" s="101">
        <f>'[4]TICO 2'!P36</f>
        <v>3907711.7768190652</v>
      </c>
      <c r="D23" s="102">
        <f>'6.4'!D23</f>
        <v>2.410467051021119</v>
      </c>
      <c r="E23" s="31">
        <f t="shared" si="0"/>
        <v>9419410.482909549</v>
      </c>
      <c r="F23" s="101">
        <f>'[4]TICO 2'!V36</f>
        <v>1170577.6100000001</v>
      </c>
      <c r="G23" s="23">
        <f t="shared" si="2"/>
        <v>0.124</v>
      </c>
      <c r="J23" s="2"/>
    </row>
    <row r="24" spans="1:10" x14ac:dyDescent="0.2">
      <c r="A24" t="str">
        <f t="shared" si="1"/>
        <v>1993</v>
      </c>
      <c r="B24" s="22"/>
      <c r="C24" s="101">
        <f>'[4]TICO 2'!P37</f>
        <v>4552394.5717778523</v>
      </c>
      <c r="D24" s="102">
        <f>'6.4'!D24</f>
        <v>3.3263533974393513</v>
      </c>
      <c r="E24" s="31">
        <f t="shared" si="0"/>
        <v>15142873.150317719</v>
      </c>
      <c r="F24" s="101">
        <f>'[4]TICO 2'!V37</f>
        <v>1312776.429999999</v>
      </c>
      <c r="G24" s="23">
        <f t="shared" si="2"/>
        <v>8.6999999999999994E-2</v>
      </c>
      <c r="J24" s="2"/>
    </row>
    <row r="25" spans="1:10" x14ac:dyDescent="0.2">
      <c r="A25" t="str">
        <f t="shared" si="1"/>
        <v>1994</v>
      </c>
      <c r="B25" s="22"/>
      <c r="C25" s="101">
        <f>'[4]TICO 2'!P38</f>
        <v>5710806.31582803</v>
      </c>
      <c r="D25" s="102">
        <f>'6.4'!D25</f>
        <v>2.9425433900425033</v>
      </c>
      <c r="E25" s="31">
        <f t="shared" si="0"/>
        <v>16804295.376452751</v>
      </c>
      <c r="F25" s="101">
        <f>'[4]TICO 2'!V38</f>
        <v>856368.79999999795</v>
      </c>
      <c r="G25" s="23">
        <f t="shared" si="2"/>
        <v>5.0999999999999997E-2</v>
      </c>
      <c r="J25" s="2"/>
    </row>
    <row r="26" spans="1:10" x14ac:dyDescent="0.2">
      <c r="A26" t="str">
        <f t="shared" si="1"/>
        <v>1995</v>
      </c>
      <c r="C26" s="101">
        <f>'[4]TICO 2'!P39</f>
        <v>6908551.5027387999</v>
      </c>
      <c r="D26" s="102">
        <f>'6.4'!D26</f>
        <v>2.6155941244822252</v>
      </c>
      <c r="E26" s="31">
        <f t="shared" si="0"/>
        <v>18069966.719246451</v>
      </c>
      <c r="F26" s="101">
        <f>'[4]TICO 2'!V39</f>
        <v>1552987</v>
      </c>
      <c r="G26" s="23">
        <f t="shared" si="2"/>
        <v>8.5999999999999993E-2</v>
      </c>
      <c r="J26" s="2"/>
    </row>
    <row r="27" spans="1:10" x14ac:dyDescent="0.2">
      <c r="A27" t="str">
        <f t="shared" si="1"/>
        <v>1996</v>
      </c>
      <c r="C27" s="101">
        <f>'[4]TICO 2'!P40</f>
        <v>8568167.9449975695</v>
      </c>
      <c r="D27" s="102">
        <f>'6.4'!D27</f>
        <v>2.3540347120340024</v>
      </c>
      <c r="E27" s="31">
        <f t="shared" si="0"/>
        <v>20169764.761061322</v>
      </c>
      <c r="F27" s="101">
        <f>'[4]TICO 2'!V40</f>
        <v>1061115</v>
      </c>
      <c r="G27" s="23">
        <f t="shared" si="2"/>
        <v>5.2999999999999999E-2</v>
      </c>
      <c r="J27" s="2"/>
    </row>
    <row r="28" spans="1:10" x14ac:dyDescent="0.2">
      <c r="A28" t="str">
        <f t="shared" si="1"/>
        <v>1997</v>
      </c>
      <c r="C28" s="101">
        <f>'[4]TICO 2'!P41</f>
        <v>8425344.4375255406</v>
      </c>
      <c r="D28" s="102">
        <f>'6.4'!D28</f>
        <v>2.3540347120340024</v>
      </c>
      <c r="E28" s="31">
        <f t="shared" si="0"/>
        <v>19833553.26677772</v>
      </c>
      <c r="F28" s="101">
        <f>'[4]TICO 2'!V41</f>
        <v>882561</v>
      </c>
      <c r="G28" s="23">
        <f t="shared" si="2"/>
        <v>4.3999999999999997E-2</v>
      </c>
      <c r="J28" s="2"/>
    </row>
    <row r="29" spans="1:10" x14ac:dyDescent="0.2">
      <c r="A29" t="str">
        <f t="shared" si="1"/>
        <v>1998</v>
      </c>
      <c r="C29" s="101">
        <f>'[4]TICO 2'!P42</f>
        <v>8803621.2708639689</v>
      </c>
      <c r="D29" s="102">
        <f>'6.4'!D29</f>
        <v>2.351683029004997</v>
      </c>
      <c r="E29" s="31">
        <f t="shared" si="0"/>
        <v>20703326.736478198</v>
      </c>
      <c r="F29" s="101">
        <f>'[4]TICO 2'!V42</f>
        <v>2289890</v>
      </c>
      <c r="G29" s="23">
        <f t="shared" si="2"/>
        <v>0.111</v>
      </c>
      <c r="J29" s="2"/>
    </row>
    <row r="30" spans="1:10" x14ac:dyDescent="0.2">
      <c r="A30" t="str">
        <f t="shared" si="1"/>
        <v>1999</v>
      </c>
      <c r="C30" s="101">
        <f>'[4]TICO 2'!P43</f>
        <v>8465255.5940993298</v>
      </c>
      <c r="D30" s="102">
        <f>'6.4'!D30</f>
        <v>2.4652004616517251</v>
      </c>
      <c r="E30" s="31">
        <f t="shared" si="0"/>
        <v>20868551.998573516</v>
      </c>
      <c r="F30" s="101">
        <f>'[4]TICO 2'!V43</f>
        <v>3778386</v>
      </c>
      <c r="G30" s="23">
        <f t="shared" si="2"/>
        <v>0.18099999999999999</v>
      </c>
      <c r="J30" s="2"/>
    </row>
    <row r="31" spans="1:10" x14ac:dyDescent="0.2">
      <c r="A31" t="str">
        <f t="shared" si="1"/>
        <v>2000</v>
      </c>
      <c r="C31" s="101">
        <f>'[4]TICO 2'!P44</f>
        <v>8437094.0914586708</v>
      </c>
      <c r="D31" s="102">
        <f>'6.4'!D31</f>
        <v>2.4849891105075934</v>
      </c>
      <c r="E31" s="31">
        <f t="shared" si="0"/>
        <v>20966086.941602755</v>
      </c>
      <c r="F31" s="101">
        <f>'[4]TICO 2'!V44</f>
        <v>485581</v>
      </c>
      <c r="G31" s="23">
        <f t="shared" si="2"/>
        <v>2.3E-2</v>
      </c>
      <c r="J31" s="2"/>
    </row>
    <row r="32" spans="1:10" x14ac:dyDescent="0.2">
      <c r="A32" t="str">
        <f t="shared" si="1"/>
        <v>2001</v>
      </c>
      <c r="C32" s="101">
        <f>'[4]TICO 2'!P45</f>
        <v>8894551.5983342491</v>
      </c>
      <c r="D32" s="102">
        <f>'6.4'!D32</f>
        <v>2.1835641410677664</v>
      </c>
      <c r="E32" s="31">
        <f t="shared" si="0"/>
        <v>19421823.920999654</v>
      </c>
      <c r="F32" s="101">
        <f>'[4]TICO 2'!V45</f>
        <v>1394445</v>
      </c>
      <c r="G32" s="23">
        <f t="shared" si="2"/>
        <v>7.1999999999999995E-2</v>
      </c>
      <c r="J32" s="2"/>
    </row>
    <row r="33" spans="1:10" x14ac:dyDescent="0.2">
      <c r="A33" t="str">
        <f t="shared" si="1"/>
        <v>2002</v>
      </c>
      <c r="C33" s="101">
        <f>'[4]TICO 2'!P46</f>
        <v>10534795</v>
      </c>
      <c r="D33" s="102">
        <f>'6.4'!D33</f>
        <v>2.0131171511531938</v>
      </c>
      <c r="E33" s="31">
        <f t="shared" si="0"/>
        <v>21207776.498382911</v>
      </c>
      <c r="F33" s="101">
        <f>'[4]TICO 2'!V46</f>
        <v>1227528</v>
      </c>
      <c r="G33" s="23">
        <f t="shared" si="2"/>
        <v>5.8000000000000003E-2</v>
      </c>
      <c r="J33" s="2"/>
    </row>
    <row r="34" spans="1:10" x14ac:dyDescent="0.2">
      <c r="A34" t="str">
        <f t="shared" si="1"/>
        <v>2003</v>
      </c>
      <c r="C34" s="101">
        <f>'[4]TICO 2'!P47</f>
        <v>13881847</v>
      </c>
      <c r="D34" s="102">
        <f>'[7]TWIA 5'!$J$249</f>
        <v>2.0131171511531929</v>
      </c>
      <c r="E34" s="31">
        <f t="shared" si="0"/>
        <v>27945784.285384499</v>
      </c>
      <c r="F34" s="101">
        <f>'[4]TICO 2'!V47</f>
        <v>2295803</v>
      </c>
      <c r="G34" s="23">
        <f t="shared" si="2"/>
        <v>8.2000000000000003E-2</v>
      </c>
      <c r="J34" s="2"/>
    </row>
    <row r="35" spans="1:10" x14ac:dyDescent="0.2">
      <c r="A35" t="str">
        <f t="shared" si="1"/>
        <v>2004</v>
      </c>
      <c r="B35" s="59"/>
      <c r="C35" s="101">
        <f>'[4]TICO 2'!P48</f>
        <v>15458506</v>
      </c>
      <c r="D35" s="102">
        <f>'6.4'!D35</f>
        <v>1.9195987469434546</v>
      </c>
      <c r="E35" s="31">
        <f t="shared" si="0"/>
        <v>29674128.747217875</v>
      </c>
      <c r="F35" s="101">
        <f>'[4]TICO 2'!V48</f>
        <v>569877</v>
      </c>
      <c r="G35" s="23">
        <f t="shared" si="2"/>
        <v>1.9E-2</v>
      </c>
      <c r="J35" s="2"/>
    </row>
    <row r="36" spans="1:10" x14ac:dyDescent="0.2">
      <c r="A36" t="str">
        <f t="shared" si="1"/>
        <v>2005</v>
      </c>
      <c r="C36" s="101">
        <f>'[4]TICO 2'!P49</f>
        <v>17471646</v>
      </c>
      <c r="D36" s="102">
        <f>'6.4'!D36</f>
        <v>1.8367857218551029</v>
      </c>
      <c r="E36" s="31">
        <f t="shared" si="0"/>
        <v>32091669.910106823</v>
      </c>
      <c r="F36" s="101">
        <f>'[4]TICO 2'!V49</f>
        <v>872451</v>
      </c>
      <c r="G36" s="23">
        <f t="shared" si="2"/>
        <v>2.7E-2</v>
      </c>
      <c r="J36" s="2"/>
    </row>
    <row r="37" spans="1:10" x14ac:dyDescent="0.2">
      <c r="A37" t="str">
        <f t="shared" si="1"/>
        <v>2006</v>
      </c>
      <c r="C37" s="101">
        <f>'[4]TICO 2'!P50</f>
        <v>19888512</v>
      </c>
      <c r="D37" s="102">
        <f>'6.4'!D37</f>
        <v>1.8323775762609837</v>
      </c>
      <c r="E37" s="31">
        <f t="shared" si="0"/>
        <v>36443263.413997494</v>
      </c>
      <c r="F37" s="101">
        <f>'[4]TICO 2'!V50</f>
        <v>621501</v>
      </c>
      <c r="G37" s="23">
        <f t="shared" si="2"/>
        <v>1.7000000000000001E-2</v>
      </c>
      <c r="J37" s="2"/>
    </row>
    <row r="38" spans="1:10" x14ac:dyDescent="0.2">
      <c r="A38" t="str">
        <f t="shared" si="1"/>
        <v>2007</v>
      </c>
      <c r="B38" s="51"/>
      <c r="C38" s="101">
        <f>'[4]TICO 2'!P51</f>
        <v>29704042</v>
      </c>
      <c r="D38" s="102">
        <f>'6.4'!D38</f>
        <v>1.7490128310516411</v>
      </c>
      <c r="E38" s="31">
        <f t="shared" si="0"/>
        <v>51952750.59209685</v>
      </c>
      <c r="F38" s="101">
        <f>'[4]TICO 2'!V51</f>
        <v>833793</v>
      </c>
      <c r="G38" s="53">
        <f t="shared" si="2"/>
        <v>1.6E-2</v>
      </c>
      <c r="J38" s="2"/>
    </row>
    <row r="39" spans="1:10" x14ac:dyDescent="0.2">
      <c r="A39" t="str">
        <f t="shared" si="1"/>
        <v>2008</v>
      </c>
      <c r="B39" s="59"/>
      <c r="C39" s="101">
        <f>'[4]TICO 2'!P52</f>
        <v>40565108</v>
      </c>
      <c r="D39" s="102">
        <f>'6.4'!D39</f>
        <v>1.6495345789525933</v>
      </c>
      <c r="E39" s="31">
        <f>C39*D39</f>
        <v>66913548.344946474</v>
      </c>
      <c r="F39" s="101">
        <f>'[4]TICO 2'!V52</f>
        <v>1468028</v>
      </c>
      <c r="G39" s="53">
        <f t="shared" si="2"/>
        <v>2.1999999999999999E-2</v>
      </c>
      <c r="J39" s="2"/>
    </row>
    <row r="40" spans="1:10" x14ac:dyDescent="0.2">
      <c r="A40" t="str">
        <f t="shared" si="1"/>
        <v>2009</v>
      </c>
      <c r="C40" s="101">
        <f>'[4]TICO 2'!P53</f>
        <v>46363445</v>
      </c>
      <c r="D40" s="102">
        <f>'6.4'!D40</f>
        <v>1.4987056675771686</v>
      </c>
      <c r="E40" s="31">
        <f t="shared" si="0"/>
        <v>69485157.789902344</v>
      </c>
      <c r="F40" s="101">
        <f>'[4]TICO 2'!V53</f>
        <v>615469</v>
      </c>
      <c r="G40" s="53">
        <f t="shared" si="2"/>
        <v>8.9999999999999993E-3</v>
      </c>
      <c r="J40" s="2"/>
    </row>
    <row r="41" spans="1:10" x14ac:dyDescent="0.2">
      <c r="A41" t="str">
        <f t="shared" si="1"/>
        <v>2010</v>
      </c>
      <c r="C41" s="101">
        <f>'[4]TICO 2'!P54</f>
        <v>51529115</v>
      </c>
      <c r="D41" s="102">
        <f>'6.4'!D41</f>
        <v>1.4074808531397425</v>
      </c>
      <c r="E41" s="31">
        <f t="shared" si="0"/>
        <v>72526242.741735905</v>
      </c>
      <c r="F41" s="101">
        <f>'[4]TICO 2'!V54</f>
        <v>4059049</v>
      </c>
      <c r="G41" s="53">
        <f t="shared" si="2"/>
        <v>5.6000000000000001E-2</v>
      </c>
      <c r="J41" s="2"/>
    </row>
    <row r="42" spans="1:10" x14ac:dyDescent="0.2">
      <c r="A42" t="str">
        <f t="shared" si="1"/>
        <v>2011</v>
      </c>
      <c r="C42" s="101">
        <f>'[4]TICO 2'!P55</f>
        <v>52931755</v>
      </c>
      <c r="D42" s="102">
        <f>'6.4'!D42</f>
        <v>1.3727166755238378</v>
      </c>
      <c r="E42" s="31">
        <f t="shared" si="0"/>
        <v>72660302.753242284</v>
      </c>
      <c r="F42" s="101">
        <f>'[4]TICO 2'!V55</f>
        <v>19845538</v>
      </c>
      <c r="G42" s="53">
        <f t="shared" si="2"/>
        <v>0.27300000000000002</v>
      </c>
      <c r="J42" s="2"/>
    </row>
    <row r="43" spans="1:10" s="59" customFormat="1" x14ac:dyDescent="0.2">
      <c r="A43" t="str">
        <f t="shared" si="1"/>
        <v>2012</v>
      </c>
      <c r="B43" s="50"/>
      <c r="C43" s="101">
        <f>'[4]TICO 2'!P56</f>
        <v>56334273</v>
      </c>
      <c r="D43" s="102">
        <f>'6.4'!D43</f>
        <v>1.3073731976777445</v>
      </c>
      <c r="E43" s="31">
        <f t="shared" si="0"/>
        <v>73649918.630861029</v>
      </c>
      <c r="F43" s="101">
        <f>'[4]TICO 2'!V56</f>
        <v>21291155</v>
      </c>
      <c r="G43" s="53">
        <f t="shared" si="2"/>
        <v>0.28899999999999998</v>
      </c>
      <c r="H43"/>
      <c r="I43"/>
      <c r="J43" s="2"/>
    </row>
    <row r="44" spans="1:10" s="59" customFormat="1" x14ac:dyDescent="0.2">
      <c r="A44" t="str">
        <f t="shared" si="1"/>
        <v>2013</v>
      </c>
      <c r="B44" s="50"/>
      <c r="C44" s="101">
        <f>'[4]TICO 2'!P57</f>
        <v>60101696</v>
      </c>
      <c r="D44" s="102">
        <f>'6.4'!D44</f>
        <v>1.2452851041347781</v>
      </c>
      <c r="E44" s="31">
        <f t="shared" si="0"/>
        <v>74843746.762036771</v>
      </c>
      <c r="F44" s="101">
        <f>'[4]TICO 2'!V57</f>
        <v>6825640</v>
      </c>
      <c r="G44" s="53">
        <f t="shared" si="2"/>
        <v>9.0999999999999998E-2</v>
      </c>
      <c r="H44"/>
      <c r="I44"/>
      <c r="J44" s="2"/>
    </row>
    <row r="45" spans="1:10" s="59" customFormat="1" x14ac:dyDescent="0.2">
      <c r="A45" t="str">
        <f t="shared" si="1"/>
        <v>2014</v>
      </c>
      <c r="B45" s="50"/>
      <c r="C45" s="101">
        <f>'[4]TICO 2'!P58</f>
        <v>65642137</v>
      </c>
      <c r="D45" s="102">
        <f>'6.4'!D45</f>
        <v>1.1862347753925764</v>
      </c>
      <c r="E45" s="31">
        <f t="shared" si="0"/>
        <v>77866985.640483722</v>
      </c>
      <c r="F45" s="101">
        <f>'[4]TICO 2'!V58</f>
        <v>1914066</v>
      </c>
      <c r="G45" s="53">
        <f t="shared" si="2"/>
        <v>2.5000000000000001E-2</v>
      </c>
      <c r="H45"/>
      <c r="I45"/>
      <c r="J45" s="2"/>
    </row>
    <row r="46" spans="1:10" s="59" customFormat="1" x14ac:dyDescent="0.2">
      <c r="A46" t="str">
        <f t="shared" si="1"/>
        <v>2015</v>
      </c>
      <c r="B46" s="50"/>
      <c r="C46" s="101">
        <f>'[4]TICO 2'!P59</f>
        <v>72124134</v>
      </c>
      <c r="D46" s="102">
        <f>'6.4'!D46</f>
        <v>1.1299661810216541</v>
      </c>
      <c r="E46" s="123">
        <f t="shared" ref="E46:E51" si="3">C46*D46</f>
        <v>81497832.255474046</v>
      </c>
      <c r="F46" s="101">
        <f>'[4]TICO 2'!V59</f>
        <v>9924249</v>
      </c>
      <c r="G46" s="53">
        <f t="shared" si="2"/>
        <v>0.122</v>
      </c>
      <c r="H46"/>
      <c r="I46"/>
      <c r="J46" s="2"/>
    </row>
    <row r="47" spans="1:10" x14ac:dyDescent="0.2">
      <c r="A47" t="str">
        <f t="shared" si="1"/>
        <v>2016</v>
      </c>
      <c r="B47" s="50"/>
      <c r="C47" s="101">
        <f>'[4]TICO 2'!P60</f>
        <v>76436084</v>
      </c>
      <c r="D47" s="102">
        <f>'6.4'!D47</f>
        <v>1.0765597532120244</v>
      </c>
      <c r="E47" s="123">
        <f t="shared" si="3"/>
        <v>82288011.727533564</v>
      </c>
      <c r="F47" s="101">
        <f>'[4]TICO 2'!V60</f>
        <v>10445691</v>
      </c>
      <c r="G47" s="53">
        <f t="shared" si="2"/>
        <v>0.127</v>
      </c>
      <c r="H47" s="50"/>
      <c r="I47" s="50"/>
      <c r="J47" s="2"/>
    </row>
    <row r="48" spans="1:10" s="50" customFormat="1" x14ac:dyDescent="0.2">
      <c r="A48" t="str">
        <f t="shared" si="1"/>
        <v>2017</v>
      </c>
      <c r="C48" s="101">
        <f>'[4]TICO 2'!P61</f>
        <v>77008517</v>
      </c>
      <c r="D48" s="102">
        <f>'6.4'!D48</f>
        <v>1.0500000000000014</v>
      </c>
      <c r="E48" s="123">
        <f t="shared" si="3"/>
        <v>80858942.850000113</v>
      </c>
      <c r="F48" s="101">
        <f>'[4]TICO 2'!V61</f>
        <v>277935210</v>
      </c>
      <c r="G48" s="53">
        <f>ROUND(F48/E48,3)</f>
        <v>3.4369999999999998</v>
      </c>
      <c r="J48" s="2"/>
    </row>
    <row r="49" spans="1:12" s="50" customFormat="1" x14ac:dyDescent="0.2">
      <c r="A49" t="str">
        <f t="shared" si="1"/>
        <v>2018</v>
      </c>
      <c r="C49" s="101">
        <f>'[4]TICO 2'!P62</f>
        <v>77031486</v>
      </c>
      <c r="D49" s="102">
        <f>'6.4'!D49</f>
        <v>1.0255439472483592</v>
      </c>
      <c r="E49" s="123">
        <f t="shared" si="3"/>
        <v>78999174.214846715</v>
      </c>
      <c r="F49" s="101">
        <f>'[4]TICO 2'!V62</f>
        <v>1730171</v>
      </c>
      <c r="G49" s="53">
        <f>ROUND(F49/E49,3)</f>
        <v>2.1999999999999999E-2</v>
      </c>
      <c r="J49" s="2"/>
    </row>
    <row r="50" spans="1:12" s="50" customFormat="1" x14ac:dyDescent="0.2">
      <c r="A50" t="str">
        <f t="shared" si="1"/>
        <v>2019</v>
      </c>
      <c r="C50" s="101">
        <f>'[4]TICO 2'!P63</f>
        <v>76506580</v>
      </c>
      <c r="D50" s="102">
        <f>'6.4'!D50</f>
        <v>0.999999999999997</v>
      </c>
      <c r="E50" s="123">
        <f t="shared" si="3"/>
        <v>76506579.999999776</v>
      </c>
      <c r="F50" s="101">
        <f>'[4]TICO 2'!V63</f>
        <v>1379885</v>
      </c>
      <c r="G50" s="53">
        <f>ROUND(F50/E50,3)</f>
        <v>1.7999999999999999E-2</v>
      </c>
      <c r="J50" s="2"/>
    </row>
    <row r="51" spans="1:12" s="50" customFormat="1" x14ac:dyDescent="0.2">
      <c r="A51" t="str">
        <f t="shared" si="1"/>
        <v>2020</v>
      </c>
      <c r="C51" s="101">
        <f>'[4]TICO 2'!P64</f>
        <v>73290167</v>
      </c>
      <c r="D51" s="102">
        <f>'6.4'!D51</f>
        <v>1</v>
      </c>
      <c r="E51" s="123">
        <f t="shared" si="3"/>
        <v>73290167</v>
      </c>
      <c r="F51" s="101">
        <f>'[4]TICO 2'!V64</f>
        <v>2574708</v>
      </c>
      <c r="G51" s="53">
        <f>ROUND(F51/E51,3)</f>
        <v>3.5000000000000003E-2</v>
      </c>
      <c r="J51" s="2"/>
    </row>
    <row r="52" spans="1:12" s="59" customFormat="1" x14ac:dyDescent="0.2">
      <c r="A52" s="327"/>
      <c r="B52" s="327"/>
      <c r="C52" s="323"/>
      <c r="D52" s="324"/>
      <c r="E52" s="325"/>
      <c r="F52" s="323"/>
      <c r="G52" s="326"/>
      <c r="H52"/>
      <c r="I52"/>
      <c r="J52" s="2"/>
    </row>
    <row r="53" spans="1:12" x14ac:dyDescent="0.2">
      <c r="A53" s="59" t="s">
        <v>9</v>
      </c>
      <c r="B53" s="59"/>
      <c r="C53" s="31">
        <f>SUM(C14:C51)</f>
        <v>1033823104.8544798</v>
      </c>
      <c r="D53" s="31"/>
      <c r="E53" s="31">
        <f>SUM(E14:E51)</f>
        <v>1423137294.0542185</v>
      </c>
      <c r="F53" s="31">
        <f>SUM(F14:F51)</f>
        <v>386332208.90999997</v>
      </c>
      <c r="G53" s="23">
        <f>ROUND(F53/E53,3)</f>
        <v>0.27100000000000002</v>
      </c>
      <c r="J53" s="2"/>
    </row>
    <row r="54" spans="1:12" ht="10.5" thickBot="1" x14ac:dyDescent="0.25">
      <c r="A54" s="6"/>
      <c r="B54" s="6"/>
      <c r="C54" s="6"/>
      <c r="D54" s="6"/>
      <c r="E54" s="6"/>
      <c r="F54" s="6"/>
      <c r="G54" s="6"/>
      <c r="J54" s="2"/>
      <c r="K54" t="s">
        <v>217</v>
      </c>
      <c r="L54" t="s">
        <v>218</v>
      </c>
    </row>
    <row r="55" spans="1:12" s="59" customFormat="1" ht="10.5" thickTop="1" x14ac:dyDescent="0.2">
      <c r="A55"/>
      <c r="B55"/>
      <c r="C55"/>
      <c r="D55"/>
      <c r="E55"/>
      <c r="F55"/>
      <c r="G55"/>
      <c r="H55"/>
      <c r="I55"/>
      <c r="J55" s="2"/>
      <c r="K55" s="84">
        <f>'6.4'!K$55</f>
        <v>44104</v>
      </c>
      <c r="L55" s="84">
        <f>'6.4'!L$55</f>
        <v>44196</v>
      </c>
    </row>
    <row r="56" spans="1:12" s="59" customFormat="1" x14ac:dyDescent="0.2">
      <c r="A56" t="s">
        <v>17</v>
      </c>
      <c r="B56"/>
      <c r="C56"/>
      <c r="D56"/>
      <c r="E56"/>
      <c r="F56" s="45"/>
      <c r="G56"/>
      <c r="H56"/>
      <c r="I56"/>
      <c r="J56" s="2"/>
    </row>
    <row r="57" spans="1:12" x14ac:dyDescent="0.2">
      <c r="J57" s="2"/>
    </row>
    <row r="58" spans="1:12" x14ac:dyDescent="0.2">
      <c r="A58" s="22" t="str">
        <f>C12&amp;" Provided by TDI.  Accident years ending "&amp;TEXT($K$55,"m/d/xx")&amp;" as of "&amp;TEXT($L$55,"m/d/yyyy")</f>
        <v>(2) Provided by TDI.  Accident years ending 9/30/xx as of 12/31/2020</v>
      </c>
      <c r="J58" s="2"/>
    </row>
    <row r="59" spans="1:12" x14ac:dyDescent="0.2">
      <c r="A59" s="22" t="str">
        <f>'6.4'!A59</f>
        <v>(3) 1987 and prior judgementally selected; 1988 - 2020 based on TWIA on-level factors</v>
      </c>
      <c r="J59" s="2"/>
    </row>
    <row r="60" spans="1:12" x14ac:dyDescent="0.2">
      <c r="A60" s="22" t="str">
        <f>E12&amp;" = "&amp;C12&amp;" * "&amp;D12</f>
        <v>(4) = (2) * (3)</v>
      </c>
      <c r="J60" s="2"/>
    </row>
    <row r="61" spans="1:12" x14ac:dyDescent="0.2">
      <c r="A61" s="22" t="str">
        <f>F12&amp;" Provided by TDI. Accidn't yrs ending "&amp;TEXT($K$55,"m/d/xx")&amp;" as of "&amp;TEXT($L$55,"m/d/yyyy")</f>
        <v>(5) Provided by TDI. Accidn't yrs ending 9/30/xx as of 12/31/2020</v>
      </c>
      <c r="J61" s="2"/>
    </row>
    <row r="62" spans="1:12" x14ac:dyDescent="0.2">
      <c r="A62" s="22" t="str">
        <f>G12&amp;" = "&amp;F12&amp;" / "&amp;E12</f>
        <v>(6) = (5) / (4)</v>
      </c>
      <c r="B62" s="25"/>
      <c r="J62" s="2"/>
    </row>
    <row r="63" spans="1:12" ht="10.5" thickBot="1" x14ac:dyDescent="0.25">
      <c r="B63" s="25"/>
      <c r="C63" s="60"/>
      <c r="D63" s="60"/>
      <c r="E63" s="60"/>
      <c r="F63" s="60"/>
      <c r="G63" s="23"/>
      <c r="J63" s="2"/>
    </row>
    <row r="64" spans="1:12" ht="10.5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>
    <tabColor rgb="FF92D050"/>
  </sheetPr>
  <dimension ref="A1:L63"/>
  <sheetViews>
    <sheetView showGridLines="0" topLeftCell="A19" workbookViewId="0">
      <selection activeCell="A7" sqref="A7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ht="10.5" x14ac:dyDescent="0.25">
      <c r="A1" s="8" t="str">
        <f>'1'!$A$1</f>
        <v>Texas Windstorm Insurance Association</v>
      </c>
      <c r="B1" s="12"/>
      <c r="I1" s="7" t="s">
        <v>106</v>
      </c>
      <c r="J1" s="1"/>
    </row>
    <row r="2" spans="1:11" ht="10.5" x14ac:dyDescent="0.25">
      <c r="A2" s="8" t="str">
        <f>'1'!$A$2</f>
        <v>Residential Property - Wind &amp; Hail</v>
      </c>
      <c r="B2" s="12"/>
      <c r="I2" s="7" t="s">
        <v>138</v>
      </c>
      <c r="J2" s="2"/>
    </row>
    <row r="3" spans="1:11" ht="10.5" x14ac:dyDescent="0.25">
      <c r="A3" s="8" t="str">
        <f>'1'!$A$3</f>
        <v>Rate Level Review</v>
      </c>
      <c r="B3" s="12"/>
      <c r="J3" s="2"/>
    </row>
    <row r="4" spans="1:11" x14ac:dyDescent="0.2">
      <c r="A4" t="s">
        <v>107</v>
      </c>
      <c r="B4" s="12"/>
      <c r="J4" s="2"/>
    </row>
    <row r="5" spans="1:11" x14ac:dyDescent="0.2">
      <c r="A5" t="s">
        <v>47</v>
      </c>
      <c r="B5" s="12"/>
      <c r="J5" s="2"/>
    </row>
    <row r="6" spans="1:11" x14ac:dyDescent="0.2">
      <c r="J6" s="2"/>
    </row>
    <row r="7" spans="1:11" ht="10.5" thickBot="1" x14ac:dyDescent="0.25">
      <c r="A7" s="6"/>
      <c r="B7" s="6"/>
      <c r="C7" s="6"/>
      <c r="D7" s="6"/>
      <c r="E7" s="6"/>
      <c r="F7" s="6"/>
      <c r="G7" s="6"/>
      <c r="J7" s="2"/>
    </row>
    <row r="8" spans="1:11" ht="10.5" thickTop="1" x14ac:dyDescent="0.2">
      <c r="J8" s="2"/>
    </row>
    <row r="9" spans="1:11" x14ac:dyDescent="0.2">
      <c r="C9" s="22"/>
      <c r="D9" t="s">
        <v>37</v>
      </c>
      <c r="E9" t="s">
        <v>44</v>
      </c>
      <c r="J9" s="2"/>
      <c r="K9" s="27"/>
    </row>
    <row r="10" spans="1:11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1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87">
        <v>1983</v>
      </c>
      <c r="C14" s="38">
        <v>5888781</v>
      </c>
      <c r="D14" s="35">
        <f>'6.4'!D14</f>
        <v>2.1452794581413541</v>
      </c>
      <c r="E14" s="31">
        <f t="shared" ref="E14:E44" si="0">C14*D14</f>
        <v>12633080.912793102</v>
      </c>
      <c r="F14" s="38">
        <v>21953626</v>
      </c>
      <c r="G14" s="23">
        <f>F14/E14</f>
        <v>1.7377887588583629</v>
      </c>
      <c r="J14" s="2"/>
    </row>
    <row r="15" spans="1:11" x14ac:dyDescent="0.2">
      <c r="A15" t="str">
        <f>TEXT(A14+1,"#")</f>
        <v>1984</v>
      </c>
      <c r="C15" s="38">
        <v>3924651</v>
      </c>
      <c r="D15" s="35">
        <f>'6.4'!D15</f>
        <v>2.1452794581413541</v>
      </c>
      <c r="E15" s="31">
        <f t="shared" si="0"/>
        <v>8419473.1706739236</v>
      </c>
      <c r="F15" s="38">
        <v>2135063</v>
      </c>
      <c r="G15" s="23">
        <f>F15/E15</f>
        <v>0.25358629414447104</v>
      </c>
      <c r="J15" s="2"/>
    </row>
    <row r="16" spans="1:11" x14ac:dyDescent="0.2">
      <c r="A16" t="str">
        <f t="shared" ref="A16:A51" si="1">TEXT(A15+1,"#")</f>
        <v>1985</v>
      </c>
      <c r="C16" s="38">
        <v>5808825</v>
      </c>
      <c r="D16" s="35">
        <f>'6.4'!D16</f>
        <v>2.1452794581413541</v>
      </c>
      <c r="E16" s="31">
        <f t="shared" si="0"/>
        <v>12461552.948437952</v>
      </c>
      <c r="F16" s="38">
        <v>1055065</v>
      </c>
      <c r="G16" s="23">
        <f>F16/E16</f>
        <v>8.4665611450317022E-2</v>
      </c>
      <c r="J16" s="2"/>
    </row>
    <row r="17" spans="1:10" x14ac:dyDescent="0.2">
      <c r="A17" t="str">
        <f t="shared" si="1"/>
        <v>1986</v>
      </c>
      <c r="C17" s="38">
        <v>6993722</v>
      </c>
      <c r="D17" s="35">
        <f>'6.4'!D17</f>
        <v>2.1452794581413541</v>
      </c>
      <c r="E17" s="31">
        <f t="shared" si="0"/>
        <v>15003488.142551268</v>
      </c>
      <c r="F17" s="38">
        <v>3338312</v>
      </c>
      <c r="G17" s="23">
        <f t="shared" ref="G17:G42" si="2">ROUND(F17/E17,3)</f>
        <v>0.223</v>
      </c>
      <c r="J17" s="2"/>
    </row>
    <row r="18" spans="1:10" x14ac:dyDescent="0.2">
      <c r="A18" t="str">
        <f t="shared" si="1"/>
        <v>1987</v>
      </c>
      <c r="C18" s="38">
        <v>7677374</v>
      </c>
      <c r="D18" s="35">
        <f>'6.4'!D18</f>
        <v>2.1452794581413541</v>
      </c>
      <c r="E18" s="31">
        <f t="shared" si="0"/>
        <v>16470112.734668521</v>
      </c>
      <c r="F18" s="38">
        <v>634637</v>
      </c>
      <c r="G18" s="23">
        <f t="shared" si="2"/>
        <v>3.9E-2</v>
      </c>
      <c r="J18" s="2"/>
    </row>
    <row r="19" spans="1:10" x14ac:dyDescent="0.2">
      <c r="A19" t="str">
        <f t="shared" si="1"/>
        <v>1988</v>
      </c>
      <c r="C19" s="214">
        <v>8284768</v>
      </c>
      <c r="D19" s="35">
        <f>'6.4'!D19</f>
        <v>2.2048093094977945</v>
      </c>
      <c r="E19" s="31">
        <f t="shared" si="0"/>
        <v>18266333.613429423</v>
      </c>
      <c r="F19" s="214">
        <v>3434130</v>
      </c>
      <c r="G19" s="23">
        <f t="shared" si="2"/>
        <v>0.188</v>
      </c>
      <c r="J19" s="2"/>
    </row>
    <row r="20" spans="1:10" x14ac:dyDescent="0.2">
      <c r="A20" t="str">
        <f t="shared" si="1"/>
        <v>1989</v>
      </c>
      <c r="C20" s="214">
        <v>7733295</v>
      </c>
      <c r="D20" s="35">
        <f>'6.4'!D20</f>
        <v>2.267737270762531</v>
      </c>
      <c r="E20" s="31">
        <f t="shared" si="0"/>
        <v>17537081.297301527</v>
      </c>
      <c r="F20" s="214">
        <v>1670422</v>
      </c>
      <c r="G20" s="23">
        <f t="shared" si="2"/>
        <v>9.5000000000000001E-2</v>
      </c>
      <c r="J20" s="2"/>
    </row>
    <row r="21" spans="1:10" x14ac:dyDescent="0.2">
      <c r="A21" t="str">
        <f t="shared" si="1"/>
        <v>1990</v>
      </c>
      <c r="C21" s="214">
        <v>7568146</v>
      </c>
      <c r="D21" s="35">
        <f>'6.4'!D21</f>
        <v>2.2331238510709315</v>
      </c>
      <c r="E21" s="31">
        <f t="shared" si="0"/>
        <v>16900607.340987064</v>
      </c>
      <c r="F21" s="214">
        <v>2095151</v>
      </c>
      <c r="G21" s="23">
        <f t="shared" si="2"/>
        <v>0.124</v>
      </c>
      <c r="J21" s="2"/>
    </row>
    <row r="22" spans="1:10" x14ac:dyDescent="0.2">
      <c r="A22" t="str">
        <f t="shared" si="1"/>
        <v>1991</v>
      </c>
      <c r="C22" s="101">
        <f>'[4]TICO 2'!Q35</f>
        <v>8287605.1148678511</v>
      </c>
      <c r="D22" s="35">
        <f>'6.4'!D22</f>
        <v>1.9551566080504634</v>
      </c>
      <c r="E22" s="31">
        <f t="shared" si="0"/>
        <v>16203565.905246699</v>
      </c>
      <c r="F22" s="101">
        <f>'[4]TICO 2'!W35</f>
        <v>22444043.9799999</v>
      </c>
      <c r="G22" s="23">
        <f t="shared" si="2"/>
        <v>1.385</v>
      </c>
      <c r="J22" s="2"/>
    </row>
    <row r="23" spans="1:10" x14ac:dyDescent="0.2">
      <c r="A23" t="str">
        <f t="shared" si="1"/>
        <v>1992</v>
      </c>
      <c r="B23" s="22"/>
      <c r="C23" s="101">
        <f>'[4]TICO 2'!Q36</f>
        <v>8059406.7247919338</v>
      </c>
      <c r="D23" s="35">
        <f>'6.4'!D23</f>
        <v>2.410467051021119</v>
      </c>
      <c r="E23" s="31">
        <f t="shared" si="0"/>
        <v>19426934.360888988</v>
      </c>
      <c r="F23" s="101">
        <f>'[4]TICO 2'!W36</f>
        <v>1625107.7899999989</v>
      </c>
      <c r="G23" s="23">
        <f t="shared" si="2"/>
        <v>8.4000000000000005E-2</v>
      </c>
      <c r="J23" s="2"/>
    </row>
    <row r="24" spans="1:10" x14ac:dyDescent="0.2">
      <c r="A24" t="str">
        <f t="shared" si="1"/>
        <v>1993</v>
      </c>
      <c r="B24" s="22"/>
      <c r="C24" s="101">
        <f>'[4]TICO 2'!Q37</f>
        <v>8448603.4214781895</v>
      </c>
      <c r="D24" s="35">
        <f>'6.4'!D24</f>
        <v>3.3263533974393513</v>
      </c>
      <c r="E24" s="31">
        <f t="shared" si="0"/>
        <v>28103040.694651704</v>
      </c>
      <c r="F24" s="101">
        <f>'[4]TICO 2'!W37</f>
        <v>1776572.409999999</v>
      </c>
      <c r="G24" s="23">
        <f t="shared" si="2"/>
        <v>6.3E-2</v>
      </c>
      <c r="J24" s="2"/>
    </row>
    <row r="25" spans="1:10" x14ac:dyDescent="0.2">
      <c r="A25" t="str">
        <f t="shared" si="1"/>
        <v>1994</v>
      </c>
      <c r="B25" s="22"/>
      <c r="C25" s="101">
        <f>'[4]TICO 2'!Q38</f>
        <v>9743293.14213733</v>
      </c>
      <c r="D25" s="35">
        <f>'6.4'!D25</f>
        <v>2.9425433900425033</v>
      </c>
      <c r="E25" s="31">
        <f t="shared" si="0"/>
        <v>28670062.832642652</v>
      </c>
      <c r="F25" s="101">
        <f>'[4]TICO 2'!W38</f>
        <v>1637914.6199999992</v>
      </c>
      <c r="G25" s="23">
        <f t="shared" si="2"/>
        <v>5.7000000000000002E-2</v>
      </c>
      <c r="J25" s="2"/>
    </row>
    <row r="26" spans="1:10" x14ac:dyDescent="0.2">
      <c r="A26" t="str">
        <f t="shared" si="1"/>
        <v>1995</v>
      </c>
      <c r="C26" s="101">
        <f>'[4]TICO 2'!Q39</f>
        <v>10745994.710252099</v>
      </c>
      <c r="D26" s="35">
        <f>'6.4'!D26</f>
        <v>2.6155941244822252</v>
      </c>
      <c r="E26" s="31">
        <f t="shared" si="0"/>
        <v>28107160.625852462</v>
      </c>
      <c r="F26" s="101">
        <f>'[4]TICO 2'!W39</f>
        <v>2416675</v>
      </c>
      <c r="G26" s="23">
        <f t="shared" si="2"/>
        <v>8.5999999999999993E-2</v>
      </c>
      <c r="J26" s="2"/>
    </row>
    <row r="27" spans="1:10" x14ac:dyDescent="0.2">
      <c r="A27" t="str">
        <f t="shared" si="1"/>
        <v>1996</v>
      </c>
      <c r="C27" s="101">
        <f>'[4]TICO 2'!Q40</f>
        <v>13294968.250411501</v>
      </c>
      <c r="D27" s="35">
        <f>'6.4'!D27</f>
        <v>2.3540347120340024</v>
      </c>
      <c r="E27" s="31">
        <f t="shared" si="0"/>
        <v>31296816.756858643</v>
      </c>
      <c r="F27" s="101">
        <f>'[4]TICO 2'!W40</f>
        <v>1520229</v>
      </c>
      <c r="G27" s="23">
        <f t="shared" si="2"/>
        <v>4.9000000000000002E-2</v>
      </c>
      <c r="J27" s="2"/>
    </row>
    <row r="28" spans="1:10" x14ac:dyDescent="0.2">
      <c r="A28" t="str">
        <f t="shared" si="1"/>
        <v>1997</v>
      </c>
      <c r="C28" s="101">
        <f>'[4]TICO 2'!Q41</f>
        <v>15708220.143906999</v>
      </c>
      <c r="D28" s="35">
        <f>'6.4'!D28</f>
        <v>2.3540347120340024</v>
      </c>
      <c r="E28" s="31">
        <f t="shared" si="0"/>
        <v>36977695.483028829</v>
      </c>
      <c r="F28" s="101">
        <f>'[4]TICO 2'!W41</f>
        <v>2569544</v>
      </c>
      <c r="G28" s="23">
        <f t="shared" si="2"/>
        <v>6.9000000000000006E-2</v>
      </c>
      <c r="J28" s="2"/>
    </row>
    <row r="29" spans="1:10" x14ac:dyDescent="0.2">
      <c r="A29" t="str">
        <f t="shared" si="1"/>
        <v>1998</v>
      </c>
      <c r="C29" s="101">
        <f>'[4]TICO 2'!Q42</f>
        <v>16168136.035215829</v>
      </c>
      <c r="D29" s="35">
        <f>'6.4'!D29</f>
        <v>2.351683029004997</v>
      </c>
      <c r="E29" s="31">
        <f t="shared" si="0"/>
        <v>38022331.1246612</v>
      </c>
      <c r="F29" s="101">
        <f>'[4]TICO 2'!W42</f>
        <v>10312506</v>
      </c>
      <c r="G29" s="23">
        <f t="shared" si="2"/>
        <v>0.27100000000000002</v>
      </c>
      <c r="J29" s="2"/>
    </row>
    <row r="30" spans="1:10" x14ac:dyDescent="0.2">
      <c r="A30" t="str">
        <f t="shared" si="1"/>
        <v>1999</v>
      </c>
      <c r="C30" s="101">
        <f>'[4]TICO 2'!Q43</f>
        <v>14452666.932483979</v>
      </c>
      <c r="D30" s="35">
        <f>'6.4'!D30</f>
        <v>2.4652004616517251</v>
      </c>
      <c r="E30" s="31">
        <f t="shared" si="0"/>
        <v>35628721.194058128</v>
      </c>
      <c r="F30" s="101">
        <f>'[4]TICO 2'!W43</f>
        <v>3655754</v>
      </c>
      <c r="G30" s="23">
        <f t="shared" si="2"/>
        <v>0.10299999999999999</v>
      </c>
      <c r="J30" s="2"/>
    </row>
    <row r="31" spans="1:10" x14ac:dyDescent="0.2">
      <c r="A31" t="str">
        <f t="shared" si="1"/>
        <v>2000</v>
      </c>
      <c r="C31" s="101">
        <f>'[4]TICO 2'!Q44</f>
        <v>14453384.88868602</v>
      </c>
      <c r="D31" s="35">
        <f>'6.4'!D31</f>
        <v>2.4849891105075934</v>
      </c>
      <c r="E31" s="31">
        <f t="shared" si="0"/>
        <v>35916504.058359765</v>
      </c>
      <c r="F31" s="101">
        <f>'[4]TICO 2'!W44</f>
        <v>3332580</v>
      </c>
      <c r="G31" s="23">
        <f t="shared" si="2"/>
        <v>9.2999999999999999E-2</v>
      </c>
      <c r="J31" s="2"/>
    </row>
    <row r="32" spans="1:10" x14ac:dyDescent="0.2">
      <c r="A32" t="str">
        <f t="shared" si="1"/>
        <v>2001</v>
      </c>
      <c r="C32" s="101">
        <f>'[4]TICO 2'!Q45</f>
        <v>15173521.372718498</v>
      </c>
      <c r="D32" s="35">
        <f>'6.4'!D32</f>
        <v>2.1835641410677664</v>
      </c>
      <c r="E32" s="31">
        <f t="shared" si="0"/>
        <v>33132357.163193464</v>
      </c>
      <c r="F32" s="101">
        <f>'[4]TICO 2'!W45</f>
        <v>2426814</v>
      </c>
      <c r="G32" s="23">
        <f t="shared" si="2"/>
        <v>7.2999999999999995E-2</v>
      </c>
      <c r="J32" s="2"/>
    </row>
    <row r="33" spans="1:10" x14ac:dyDescent="0.2">
      <c r="A33" t="str">
        <f t="shared" si="1"/>
        <v>2002</v>
      </c>
      <c r="C33" s="101">
        <f>'[4]TICO 2'!Q46</f>
        <v>17843905</v>
      </c>
      <c r="D33" s="35">
        <f>'6.4'!D33</f>
        <v>2.0131171511531938</v>
      </c>
      <c r="E33" s="31">
        <f t="shared" si="0"/>
        <v>35921871.199048229</v>
      </c>
      <c r="F33" s="101">
        <f>'[4]TICO 2'!W46</f>
        <v>5925066</v>
      </c>
      <c r="G33" s="23">
        <f t="shared" si="2"/>
        <v>0.16500000000000001</v>
      </c>
      <c r="J33" s="2"/>
    </row>
    <row r="34" spans="1:10" x14ac:dyDescent="0.2">
      <c r="A34" t="str">
        <f t="shared" si="1"/>
        <v>2003</v>
      </c>
      <c r="C34" s="101">
        <f>'[4]TICO 2'!Q47</f>
        <v>23423208</v>
      </c>
      <c r="D34" s="35">
        <f>'6.4'!D34</f>
        <v>2.0131171511531929</v>
      </c>
      <c r="E34" s="31">
        <f t="shared" si="0"/>
        <v>47153661.759828679</v>
      </c>
      <c r="F34" s="101">
        <f>'[4]TICO 2'!W47</f>
        <v>17213668</v>
      </c>
      <c r="G34" s="23">
        <f t="shared" si="2"/>
        <v>0.36499999999999999</v>
      </c>
      <c r="J34" s="2"/>
    </row>
    <row r="35" spans="1:10" x14ac:dyDescent="0.2">
      <c r="A35" t="str">
        <f t="shared" si="1"/>
        <v>2004</v>
      </c>
      <c r="B35" s="59"/>
      <c r="C35" s="101">
        <f>'[4]TICO 2'!Q48</f>
        <v>27306202</v>
      </c>
      <c r="D35" s="35">
        <f>'6.4'!D35</f>
        <v>1.9195987469434546</v>
      </c>
      <c r="E35" s="31">
        <f t="shared" si="0"/>
        <v>52416951.142984852</v>
      </c>
      <c r="F35" s="101">
        <f>'[4]TICO 2'!W48</f>
        <v>990613</v>
      </c>
      <c r="G35" s="23">
        <f t="shared" si="2"/>
        <v>1.9E-2</v>
      </c>
      <c r="J35" s="2"/>
    </row>
    <row r="36" spans="1:10" x14ac:dyDescent="0.2">
      <c r="A36" t="str">
        <f t="shared" si="1"/>
        <v>2005</v>
      </c>
      <c r="C36" s="101">
        <f>'[4]TICO 2'!Q49</f>
        <v>31012304</v>
      </c>
      <c r="D36" s="35">
        <f>'6.4'!D36</f>
        <v>1.8367857218551029</v>
      </c>
      <c r="E36" s="31">
        <f t="shared" si="0"/>
        <v>56962957.189029895</v>
      </c>
      <c r="F36" s="101">
        <f>'[4]TICO 2'!W49</f>
        <v>115989785</v>
      </c>
      <c r="G36" s="23">
        <f t="shared" si="2"/>
        <v>2.036</v>
      </c>
      <c r="J36" s="2"/>
    </row>
    <row r="37" spans="1:10" x14ac:dyDescent="0.2">
      <c r="A37" t="str">
        <f t="shared" si="1"/>
        <v>2006</v>
      </c>
      <c r="C37" s="101">
        <f>'[4]TICO 2'!Q50</f>
        <v>36545725</v>
      </c>
      <c r="D37" s="35">
        <f>'6.4'!D37</f>
        <v>1.8323775762609837</v>
      </c>
      <c r="E37" s="31">
        <f>C37*D37</f>
        <v>66965566.998200439</v>
      </c>
      <c r="F37" s="101">
        <f>'[4]TICO 2'!W50</f>
        <v>1842548</v>
      </c>
      <c r="G37" s="23">
        <f t="shared" si="2"/>
        <v>2.8000000000000001E-2</v>
      </c>
      <c r="J37" s="2"/>
    </row>
    <row r="38" spans="1:10" x14ac:dyDescent="0.2">
      <c r="A38" t="str">
        <f t="shared" si="1"/>
        <v>2007</v>
      </c>
      <c r="B38" s="50"/>
      <c r="C38" s="101">
        <f>'[4]TICO 2'!Q51</f>
        <v>69945120</v>
      </c>
      <c r="D38" s="35">
        <f>'6.4'!D38</f>
        <v>1.7490128310516411</v>
      </c>
      <c r="E38" s="31">
        <f t="shared" si="0"/>
        <v>122334912.34944676</v>
      </c>
      <c r="F38" s="101">
        <f>'[4]TICO 2'!W51</f>
        <v>10105722</v>
      </c>
      <c r="G38" s="53">
        <f t="shared" si="2"/>
        <v>8.3000000000000004E-2</v>
      </c>
      <c r="J38" s="2"/>
    </row>
    <row r="39" spans="1:10" x14ac:dyDescent="0.2">
      <c r="A39" t="str">
        <f t="shared" si="1"/>
        <v>2008</v>
      </c>
      <c r="B39" s="59"/>
      <c r="C39" s="101">
        <f>'[4]TICO 2'!Q52</f>
        <v>110187567</v>
      </c>
      <c r="D39" s="35">
        <f>'6.4'!D39</f>
        <v>1.6495345789525933</v>
      </c>
      <c r="E39" s="31">
        <f t="shared" si="0"/>
        <v>181758201.93715566</v>
      </c>
      <c r="F39" s="101">
        <f>'[4]TICO 2'!W52</f>
        <v>694640836</v>
      </c>
      <c r="G39" s="53">
        <f t="shared" si="2"/>
        <v>3.8220000000000001</v>
      </c>
      <c r="J39" s="2"/>
    </row>
    <row r="40" spans="1:10" s="59" customFormat="1" x14ac:dyDescent="0.2">
      <c r="A40" t="str">
        <f t="shared" si="1"/>
        <v>2009</v>
      </c>
      <c r="B40" s="45"/>
      <c r="C40" s="101">
        <f>'[4]TICO 2'!Q53</f>
        <v>128275387</v>
      </c>
      <c r="D40" s="35">
        <f>'6.4'!D40</f>
        <v>1.4987056675771686</v>
      </c>
      <c r="E40" s="31">
        <f t="shared" si="0"/>
        <v>192247049.50755465</v>
      </c>
      <c r="F40" s="101">
        <f>'[4]TICO 2'!W53</f>
        <v>2522159</v>
      </c>
      <c r="G40" s="53">
        <f t="shared" si="2"/>
        <v>1.2999999999999999E-2</v>
      </c>
      <c r="H40"/>
      <c r="I40"/>
      <c r="J40" s="2"/>
    </row>
    <row r="41" spans="1:10" x14ac:dyDescent="0.2">
      <c r="A41" t="str">
        <f t="shared" si="1"/>
        <v>2010</v>
      </c>
      <c r="B41" s="45"/>
      <c r="C41" s="101">
        <f>'[4]TICO 2'!Q54</f>
        <v>143236007</v>
      </c>
      <c r="D41" s="35">
        <f>'6.4'!D41</f>
        <v>1.4074808531397425</v>
      </c>
      <c r="E41" s="31">
        <f t="shared" si="0"/>
        <v>201601937.33269012</v>
      </c>
      <c r="F41" s="101">
        <f>'[4]TICO 2'!W54</f>
        <v>9656553</v>
      </c>
      <c r="G41" s="53">
        <f t="shared" si="2"/>
        <v>4.8000000000000001E-2</v>
      </c>
      <c r="J41" s="2"/>
    </row>
    <row r="42" spans="1:10" x14ac:dyDescent="0.2">
      <c r="A42" t="str">
        <f t="shared" si="1"/>
        <v>2011</v>
      </c>
      <c r="B42" s="45"/>
      <c r="C42" s="101">
        <f>'[4]TICO 2'!Q55</f>
        <v>151387931</v>
      </c>
      <c r="D42" s="35">
        <f>'6.4'!D42</f>
        <v>1.3727166755238378</v>
      </c>
      <c r="E42" s="31">
        <f t="shared" si="0"/>
        <v>207812737.35675216</v>
      </c>
      <c r="F42" s="101">
        <f>'[4]TICO 2'!W55</f>
        <v>59069922</v>
      </c>
      <c r="G42" s="53">
        <f t="shared" si="2"/>
        <v>0.28399999999999997</v>
      </c>
      <c r="J42" s="2"/>
    </row>
    <row r="43" spans="1:10" s="59" customFormat="1" x14ac:dyDescent="0.2">
      <c r="A43" t="str">
        <f t="shared" si="1"/>
        <v>2012</v>
      </c>
      <c r="B43" s="45"/>
      <c r="C43" s="101">
        <f>'[4]TICO 2'!Q56</f>
        <v>170159709</v>
      </c>
      <c r="D43" s="35">
        <f>'6.4'!D43</f>
        <v>1.3073731976777445</v>
      </c>
      <c r="E43" s="31">
        <f t="shared" si="0"/>
        <v>222462242.87124449</v>
      </c>
      <c r="F43" s="101">
        <f>'[4]TICO 2'!W56</f>
        <v>21191208</v>
      </c>
      <c r="G43" s="53">
        <f t="shared" ref="G43:G51" si="3">ROUND(F43/E43,3)</f>
        <v>9.5000000000000001E-2</v>
      </c>
      <c r="H43"/>
      <c r="I43"/>
      <c r="J43" s="2"/>
    </row>
    <row r="44" spans="1:10" s="59" customFormat="1" x14ac:dyDescent="0.2">
      <c r="A44" t="str">
        <f t="shared" si="1"/>
        <v>2013</v>
      </c>
      <c r="B44" s="45"/>
      <c r="C44" s="101">
        <f>'[4]TICO 2'!Q57</f>
        <v>183495510</v>
      </c>
      <c r="D44" s="35">
        <f>'6.4'!D44</f>
        <v>1.2452851041347781</v>
      </c>
      <c r="E44" s="31">
        <f t="shared" si="0"/>
        <v>228504225.27861422</v>
      </c>
      <c r="F44" s="101">
        <f>'[4]TICO 2'!W57</f>
        <v>6484481</v>
      </c>
      <c r="G44" s="53">
        <f t="shared" si="3"/>
        <v>2.8000000000000001E-2</v>
      </c>
      <c r="H44"/>
      <c r="I44"/>
      <c r="J44" s="2"/>
    </row>
    <row r="45" spans="1:10" s="59" customFormat="1" x14ac:dyDescent="0.2">
      <c r="A45" t="str">
        <f t="shared" si="1"/>
        <v>2014</v>
      </c>
      <c r="B45" s="45"/>
      <c r="C45" s="101">
        <f>'[4]TICO 2'!Q58</f>
        <v>197640983</v>
      </c>
      <c r="D45" s="35">
        <f>'6.4'!D45</f>
        <v>1.1862347753925764</v>
      </c>
      <c r="E45" s="123">
        <f t="shared" ref="E45:E51" si="4">C45*D45</f>
        <v>234448607.077373</v>
      </c>
      <c r="F45" s="101">
        <f>'[4]TICO 2'!W58</f>
        <v>7234983</v>
      </c>
      <c r="G45" s="53">
        <f t="shared" si="3"/>
        <v>3.1E-2</v>
      </c>
      <c r="H45"/>
      <c r="I45"/>
      <c r="J45" s="2"/>
    </row>
    <row r="46" spans="1:10" s="59" customFormat="1" x14ac:dyDescent="0.2">
      <c r="A46" t="str">
        <f t="shared" si="1"/>
        <v>2015</v>
      </c>
      <c r="B46" s="45"/>
      <c r="C46" s="101">
        <f>'[4]TICO 2'!Q59</f>
        <v>212320998</v>
      </c>
      <c r="D46" s="35">
        <f>'6.4'!D46</f>
        <v>1.1299661810216541</v>
      </c>
      <c r="E46" s="123">
        <f t="shared" si="4"/>
        <v>239915547.26076627</v>
      </c>
      <c r="F46" s="101">
        <f>'[4]TICO 2'!W59</f>
        <v>90027756</v>
      </c>
      <c r="G46" s="53">
        <f t="shared" si="3"/>
        <v>0.375</v>
      </c>
      <c r="H46"/>
      <c r="I46"/>
      <c r="J46" s="2"/>
    </row>
    <row r="47" spans="1:10" x14ac:dyDescent="0.2">
      <c r="A47" t="str">
        <f t="shared" si="1"/>
        <v>2016</v>
      </c>
      <c r="B47" s="45"/>
      <c r="C47" s="101">
        <f>'[4]TICO 2'!Q60</f>
        <v>218795204</v>
      </c>
      <c r="D47" s="35">
        <f>'6.4'!D47</f>
        <v>1.0765597532120244</v>
      </c>
      <c r="E47" s="123">
        <f t="shared" si="4"/>
        <v>235546110.82221451</v>
      </c>
      <c r="F47" s="101">
        <f>'[4]TICO 2'!W60</f>
        <v>15013827</v>
      </c>
      <c r="G47" s="53">
        <f t="shared" si="3"/>
        <v>6.4000000000000001E-2</v>
      </c>
      <c r="J47" s="2"/>
    </row>
    <row r="48" spans="1:10" s="50" customFormat="1" x14ac:dyDescent="0.2">
      <c r="A48" t="str">
        <f t="shared" si="1"/>
        <v>2017</v>
      </c>
      <c r="B48" s="45"/>
      <c r="C48" s="101">
        <f>'[4]TICO 2'!Q61</f>
        <v>212533686</v>
      </c>
      <c r="D48" s="102">
        <f>'6.4'!D48</f>
        <v>1.0500000000000014</v>
      </c>
      <c r="E48" s="123">
        <f t="shared" si="4"/>
        <v>223160370.30000028</v>
      </c>
      <c r="F48" s="101">
        <f>'[4]TICO 2'!W61</f>
        <v>709453537</v>
      </c>
      <c r="G48" s="53">
        <f t="shared" si="3"/>
        <v>3.1789999999999998</v>
      </c>
      <c r="J48" s="2"/>
    </row>
    <row r="49" spans="1:12" s="50" customFormat="1" x14ac:dyDescent="0.2">
      <c r="A49" t="str">
        <f t="shared" si="1"/>
        <v>2018</v>
      </c>
      <c r="B49" s="45"/>
      <c r="C49" s="101">
        <f>'[4]TICO 2'!Q62</f>
        <v>201509514</v>
      </c>
      <c r="D49" s="102">
        <f>'6.4'!D49</f>
        <v>1.0255439472483592</v>
      </c>
      <c r="E49" s="123">
        <f t="shared" si="4"/>
        <v>206656862.39565849</v>
      </c>
      <c r="F49" s="101">
        <f>'[4]TICO 2'!W62</f>
        <v>9575293</v>
      </c>
      <c r="G49" s="53">
        <f t="shared" si="3"/>
        <v>4.5999999999999999E-2</v>
      </c>
      <c r="J49" s="2"/>
    </row>
    <row r="50" spans="1:12" s="50" customFormat="1" x14ac:dyDescent="0.2">
      <c r="A50" t="str">
        <f t="shared" si="1"/>
        <v>2019</v>
      </c>
      <c r="B50" s="45"/>
      <c r="C50" s="101">
        <f>'[4]TICO 2'!Q63</f>
        <v>194433202</v>
      </c>
      <c r="D50" s="102">
        <f>'6.4'!D50</f>
        <v>0.999999999999997</v>
      </c>
      <c r="E50" s="123">
        <f t="shared" si="4"/>
        <v>194433201.9999994</v>
      </c>
      <c r="F50" s="101">
        <f>'[4]TICO 2'!W63</f>
        <v>16355744</v>
      </c>
      <c r="G50" s="53">
        <f t="shared" si="3"/>
        <v>8.4000000000000005E-2</v>
      </c>
      <c r="J50" s="2"/>
    </row>
    <row r="51" spans="1:12" s="50" customFormat="1" x14ac:dyDescent="0.2">
      <c r="A51" t="str">
        <f t="shared" si="1"/>
        <v>2020</v>
      </c>
      <c r="B51" s="45"/>
      <c r="C51" s="101">
        <f>'[4]TICO 2'!Q64</f>
        <v>186264517</v>
      </c>
      <c r="D51" s="102">
        <f>'6.4'!D51</f>
        <v>1</v>
      </c>
      <c r="E51" s="123">
        <f t="shared" si="4"/>
        <v>186264517</v>
      </c>
      <c r="F51" s="101">
        <f>'[4]TICO 2'!W64</f>
        <v>36217836</v>
      </c>
      <c r="G51" s="53">
        <f t="shared" si="3"/>
        <v>0.19400000000000001</v>
      </c>
      <c r="J51" s="2"/>
    </row>
    <row r="52" spans="1:12" s="59" customFormat="1" x14ac:dyDescent="0.2">
      <c r="A52" s="321"/>
      <c r="B52" s="321"/>
      <c r="C52" s="321"/>
      <c r="D52" s="321"/>
      <c r="E52" s="321"/>
      <c r="F52" s="321"/>
      <c r="G52" s="321"/>
      <c r="H52"/>
      <c r="I52"/>
      <c r="J52" s="2"/>
    </row>
    <row r="53" spans="1:12" x14ac:dyDescent="0.2">
      <c r="A53" s="59" t="s">
        <v>9</v>
      </c>
      <c r="B53" s="59"/>
      <c r="C53" s="31">
        <f>SUM(C14:C51)</f>
        <v>2704732041.7369499</v>
      </c>
      <c r="D53" s="31"/>
      <c r="E53" s="31">
        <f>SUM(E14:E51)</f>
        <v>3585744452.1388474</v>
      </c>
      <c r="F53" s="31">
        <f>SUM(F14:F51)</f>
        <v>1919545683.8</v>
      </c>
      <c r="G53" s="23">
        <f>ROUND(F53/E53,3)</f>
        <v>0.53500000000000003</v>
      </c>
      <c r="J53" s="2"/>
    </row>
    <row r="54" spans="1:12" ht="10.5" thickBot="1" x14ac:dyDescent="0.25">
      <c r="A54" s="6"/>
      <c r="B54" s="6"/>
      <c r="C54" s="6"/>
      <c r="D54" s="6"/>
      <c r="E54" s="6"/>
      <c r="F54" s="6"/>
      <c r="G54" s="6"/>
      <c r="J54" s="2"/>
      <c r="K54" t="s">
        <v>217</v>
      </c>
      <c r="L54" t="s">
        <v>218</v>
      </c>
    </row>
    <row r="55" spans="1:12" ht="10.5" thickTop="1" x14ac:dyDescent="0.2">
      <c r="J55" s="2"/>
      <c r="K55" s="84">
        <f>'6.4'!K$55</f>
        <v>44104</v>
      </c>
      <c r="L55" s="84">
        <f>'6.4'!L$55</f>
        <v>44196</v>
      </c>
    </row>
    <row r="56" spans="1:12" s="59" customFormat="1" x14ac:dyDescent="0.2">
      <c r="A56" t="s">
        <v>17</v>
      </c>
      <c r="B56"/>
      <c r="C56"/>
      <c r="D56"/>
      <c r="E56"/>
      <c r="F56" s="45"/>
      <c r="G56"/>
      <c r="H56"/>
      <c r="I56"/>
      <c r="J56" s="2"/>
    </row>
    <row r="57" spans="1:12" x14ac:dyDescent="0.2">
      <c r="A57" s="22" t="str">
        <f>C12&amp;" Provided by TDI.  Accident years ending "&amp;TEXT($K$55,"m/d/xx")&amp;" as of "&amp;TEXT($L$55,"m/d/yyyy")</f>
        <v>(2) Provided by TDI.  Accident years ending 9/30/xx as of 12/31/2020</v>
      </c>
      <c r="J57" s="2"/>
    </row>
    <row r="58" spans="1:12" x14ac:dyDescent="0.2">
      <c r="A58" s="22" t="str">
        <f>'6.4'!A59</f>
        <v>(3) 1987 and prior judgementally selected; 1988 - 2020 based on TWIA on-level factors</v>
      </c>
      <c r="J58" s="2"/>
    </row>
    <row r="59" spans="1:12" x14ac:dyDescent="0.2">
      <c r="A59" s="22" t="str">
        <f>E12&amp;" = "&amp;C12&amp;" * "&amp;D12</f>
        <v>(4) = (2) * (3)</v>
      </c>
      <c r="J59" s="2"/>
    </row>
    <row r="60" spans="1:12" x14ac:dyDescent="0.2">
      <c r="A60" s="22" t="str">
        <f>'6.5'!A61</f>
        <v>(5) Provided by TDI. Accidn't yrs ending 9/30/xx as of 12/31/2020</v>
      </c>
      <c r="J60" s="2"/>
    </row>
    <row r="61" spans="1:12" x14ac:dyDescent="0.2">
      <c r="A61" s="22" t="str">
        <f>G12&amp;" = "&amp;F12&amp;" / "&amp;E12</f>
        <v>(6) = (5) / (4)</v>
      </c>
      <c r="J61" s="2"/>
    </row>
    <row r="62" spans="1:12" ht="10.5" thickBot="1" x14ac:dyDescent="0.25">
      <c r="B62" s="22"/>
      <c r="D62" s="60"/>
      <c r="E62" s="60"/>
      <c r="F62" s="60"/>
      <c r="G62" s="23"/>
      <c r="J62" s="2"/>
    </row>
    <row r="63" spans="1:12" ht="10.5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>
    <tabColor rgb="FF92D050"/>
  </sheetPr>
  <dimension ref="A1:M63"/>
  <sheetViews>
    <sheetView showGridLines="0" topLeftCell="A46" workbookViewId="0">
      <selection activeCell="F64" sqref="F64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44140625" customWidth="1"/>
    <col min="12" max="12" width="13.109375" customWidth="1"/>
  </cols>
  <sheetData>
    <row r="1" spans="1:13" ht="10.5" x14ac:dyDescent="0.25">
      <c r="A1" s="8" t="str">
        <f>'1'!$A$1</f>
        <v>Texas Windstorm Insurance Association</v>
      </c>
      <c r="B1" s="12"/>
      <c r="I1" s="7" t="s">
        <v>106</v>
      </c>
      <c r="J1" s="1"/>
    </row>
    <row r="2" spans="1:13" ht="10.5" x14ac:dyDescent="0.25">
      <c r="A2" s="8" t="str">
        <f>'1'!$A$2</f>
        <v>Residential Property - Wind &amp; Hail</v>
      </c>
      <c r="B2" s="12"/>
      <c r="I2" s="7" t="s">
        <v>139</v>
      </c>
      <c r="J2" s="2"/>
    </row>
    <row r="3" spans="1:13" ht="10.5" x14ac:dyDescent="0.25">
      <c r="A3" s="8" t="str">
        <f>'1'!$A$3</f>
        <v>Rate Level Review</v>
      </c>
      <c r="B3" s="12"/>
      <c r="J3" s="2"/>
    </row>
    <row r="4" spans="1:13" x14ac:dyDescent="0.2">
      <c r="A4" t="s">
        <v>107</v>
      </c>
      <c r="B4" s="12"/>
      <c r="J4" s="2"/>
    </row>
    <row r="5" spans="1:13" x14ac:dyDescent="0.2">
      <c r="A5" t="s">
        <v>50</v>
      </c>
      <c r="B5" s="12"/>
      <c r="J5" s="2"/>
    </row>
    <row r="6" spans="1:13" x14ac:dyDescent="0.2">
      <c r="J6" s="2"/>
    </row>
    <row r="7" spans="1:13" ht="10.5" thickBot="1" x14ac:dyDescent="0.25">
      <c r="A7" s="6"/>
      <c r="B7" s="6"/>
      <c r="C7" s="6"/>
      <c r="D7" s="6"/>
      <c r="E7" s="6"/>
      <c r="F7" s="6"/>
      <c r="G7" s="6"/>
      <c r="J7" s="2"/>
    </row>
    <row r="8" spans="1:13" ht="10.5" thickTop="1" x14ac:dyDescent="0.2">
      <c r="J8" s="2"/>
    </row>
    <row r="9" spans="1:13" x14ac:dyDescent="0.2">
      <c r="C9" s="22"/>
      <c r="D9" t="s">
        <v>37</v>
      </c>
      <c r="E9" t="s">
        <v>44</v>
      </c>
      <c r="G9" s="11"/>
      <c r="J9" s="2"/>
      <c r="K9" s="27"/>
    </row>
    <row r="10" spans="1:13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3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3" x14ac:dyDescent="0.2">
      <c r="J13" s="2"/>
    </row>
    <row r="14" spans="1:13" x14ac:dyDescent="0.2">
      <c r="A14" s="187">
        <v>1983</v>
      </c>
      <c r="C14" s="38">
        <v>16247909</v>
      </c>
      <c r="D14" s="35">
        <f>'6.4'!D14</f>
        <v>2.1452794581413541</v>
      </c>
      <c r="E14" s="31">
        <f t="shared" ref="E14:E45" si="0">C14*D14</f>
        <v>34856305.415450029</v>
      </c>
      <c r="F14" s="38">
        <v>61752490</v>
      </c>
      <c r="G14" s="23">
        <f>F14/E14</f>
        <v>1.771630391229825</v>
      </c>
      <c r="J14" s="2"/>
      <c r="K14" s="7"/>
      <c r="M14" s="19"/>
    </row>
    <row r="15" spans="1:13" x14ac:dyDescent="0.2">
      <c r="A15" t="str">
        <f>TEXT(A14+1,"#")</f>
        <v>1984</v>
      </c>
      <c r="C15" s="38">
        <v>11008847</v>
      </c>
      <c r="D15" s="35">
        <f>'6.4'!D15</f>
        <v>2.1452794581413541</v>
      </c>
      <c r="E15" s="31">
        <f t="shared" si="0"/>
        <v>23617053.326921072</v>
      </c>
      <c r="F15" s="38">
        <v>9535536</v>
      </c>
      <c r="G15" s="23">
        <f>F15/E15</f>
        <v>0.40375638179765827</v>
      </c>
      <c r="J15" s="2"/>
      <c r="K15" s="7"/>
      <c r="M15" s="19"/>
    </row>
    <row r="16" spans="1:13" x14ac:dyDescent="0.2">
      <c r="A16" t="str">
        <f t="shared" ref="A16:A51" si="1">TEXT(A15+1,"#")</f>
        <v>1985</v>
      </c>
      <c r="C16" s="38">
        <v>15662193</v>
      </c>
      <c r="D16" s="35">
        <f>'6.4'!D16</f>
        <v>2.1452794581413541</v>
      </c>
      <c r="E16" s="31">
        <f t="shared" si="0"/>
        <v>33599780.912345313</v>
      </c>
      <c r="F16" s="38">
        <v>4532749</v>
      </c>
      <c r="G16" s="23">
        <f>F16/E16</f>
        <v>0.13490412368535912</v>
      </c>
      <c r="J16" s="2"/>
      <c r="K16" s="7"/>
      <c r="M16" s="19"/>
    </row>
    <row r="17" spans="1:13" x14ac:dyDescent="0.2">
      <c r="A17" t="str">
        <f t="shared" si="1"/>
        <v>1986</v>
      </c>
      <c r="C17" s="38">
        <v>19854927</v>
      </c>
      <c r="D17" s="35">
        <f>'6.4'!D17</f>
        <v>2.1452794581413541</v>
      </c>
      <c r="E17" s="31">
        <f t="shared" si="0"/>
        <v>42594367.035996139</v>
      </c>
      <c r="F17" s="38">
        <v>6306903</v>
      </c>
      <c r="G17" s="23">
        <f t="shared" ref="G17:G45" si="2">ROUND(F17/E17,3)</f>
        <v>0.14799999999999999</v>
      </c>
      <c r="J17" s="2"/>
      <c r="K17" s="7"/>
      <c r="M17" s="19"/>
    </row>
    <row r="18" spans="1:13" x14ac:dyDescent="0.2">
      <c r="A18" t="str">
        <f t="shared" si="1"/>
        <v>1987</v>
      </c>
      <c r="C18" s="38">
        <v>22542928</v>
      </c>
      <c r="D18" s="35">
        <f>'6.4'!D18</f>
        <v>2.1452794581413541</v>
      </c>
      <c r="E18" s="31">
        <f t="shared" si="0"/>
        <v>48360880.364759557</v>
      </c>
      <c r="F18" s="38">
        <v>3739010</v>
      </c>
      <c r="G18" s="23">
        <f t="shared" si="2"/>
        <v>7.6999999999999999E-2</v>
      </c>
      <c r="J18" s="2"/>
      <c r="K18" s="7"/>
      <c r="M18" s="19"/>
    </row>
    <row r="19" spans="1:13" x14ac:dyDescent="0.2">
      <c r="A19" t="str">
        <f t="shared" si="1"/>
        <v>1988</v>
      </c>
      <c r="C19" s="214">
        <v>24744994</v>
      </c>
      <c r="D19" s="35">
        <f>'6.4'!D19</f>
        <v>2.2048093094977945</v>
      </c>
      <c r="E19" s="31">
        <f t="shared" si="0"/>
        <v>54557993.134667069</v>
      </c>
      <c r="F19" s="213">
        <v>4139098</v>
      </c>
      <c r="G19" s="23">
        <f t="shared" si="2"/>
        <v>7.5999999999999998E-2</v>
      </c>
      <c r="J19" s="2"/>
      <c r="K19" s="7"/>
      <c r="M19" s="19"/>
    </row>
    <row r="20" spans="1:13" x14ac:dyDescent="0.2">
      <c r="A20" t="str">
        <f t="shared" si="1"/>
        <v>1989</v>
      </c>
      <c r="C20" s="214">
        <v>22159987</v>
      </c>
      <c r="D20" s="35">
        <f>'6.4'!D20</f>
        <v>2.267737270762531</v>
      </c>
      <c r="E20" s="31">
        <f t="shared" si="0"/>
        <v>50253028.439513169</v>
      </c>
      <c r="F20" s="214">
        <v>8884751</v>
      </c>
      <c r="G20" s="23">
        <f t="shared" si="2"/>
        <v>0.17699999999999999</v>
      </c>
      <c r="J20" s="2"/>
      <c r="K20" s="7"/>
      <c r="M20" s="19"/>
    </row>
    <row r="21" spans="1:13" x14ac:dyDescent="0.2">
      <c r="A21" t="str">
        <f t="shared" si="1"/>
        <v>1990</v>
      </c>
      <c r="C21" s="214">
        <v>21480544</v>
      </c>
      <c r="D21" s="35">
        <f>'6.4'!D21</f>
        <v>2.2331238510709315</v>
      </c>
      <c r="E21" s="31">
        <f t="shared" si="0"/>
        <v>47968715.140378594</v>
      </c>
      <c r="F21" s="214">
        <v>11997188</v>
      </c>
      <c r="G21" s="23">
        <f t="shared" si="2"/>
        <v>0.25</v>
      </c>
      <c r="J21" s="2"/>
      <c r="K21" s="7"/>
      <c r="M21" s="19"/>
    </row>
    <row r="22" spans="1:13" x14ac:dyDescent="0.2">
      <c r="A22" t="str">
        <f t="shared" si="1"/>
        <v>1991</v>
      </c>
      <c r="B22" s="22"/>
      <c r="C22" s="101">
        <f>'[4]TICO 2'!R35</f>
        <v>25239134</v>
      </c>
      <c r="D22" s="35">
        <f>'6.4'!D22</f>
        <v>1.9551566080504634</v>
      </c>
      <c r="E22" s="31">
        <f>C22*D22</f>
        <v>49346459.621571124</v>
      </c>
      <c r="F22" s="101">
        <f>'[4]TICO 2'!X35</f>
        <v>10178608</v>
      </c>
      <c r="G22" s="23">
        <f t="shared" si="2"/>
        <v>0.20599999999999999</v>
      </c>
      <c r="J22" s="2"/>
      <c r="K22" s="7"/>
      <c r="M22" s="19"/>
    </row>
    <row r="23" spans="1:13" x14ac:dyDescent="0.2">
      <c r="A23" t="str">
        <f t="shared" si="1"/>
        <v>1992</v>
      </c>
      <c r="B23" s="22"/>
      <c r="C23" s="101">
        <f>'[4]TICO 2'!R36</f>
        <v>26718986.999999989</v>
      </c>
      <c r="D23" s="35">
        <f>'6.4'!D23</f>
        <v>2.410467051021119</v>
      </c>
      <c r="E23" s="31">
        <f t="shared" si="0"/>
        <v>64405237.800161593</v>
      </c>
      <c r="F23" s="101">
        <f>'[4]TICO 2'!X36</f>
        <v>12221034</v>
      </c>
      <c r="G23" s="23">
        <f t="shared" si="2"/>
        <v>0.19</v>
      </c>
      <c r="J23" s="2"/>
      <c r="K23" s="7"/>
      <c r="M23" s="19"/>
    </row>
    <row r="24" spans="1:13" x14ac:dyDescent="0.2">
      <c r="A24" t="str">
        <f t="shared" si="1"/>
        <v>1993</v>
      </c>
      <c r="B24" s="22"/>
      <c r="C24" s="101">
        <f>'[4]TICO 2'!R37</f>
        <v>31914206</v>
      </c>
      <c r="D24" s="35">
        <f>'6.4'!D24</f>
        <v>3.3263533974393513</v>
      </c>
      <c r="E24" s="31">
        <f t="shared" si="0"/>
        <v>106157927.55467933</v>
      </c>
      <c r="F24" s="101">
        <f>'[4]TICO 2'!X37</f>
        <v>17910197</v>
      </c>
      <c r="G24" s="23">
        <f t="shared" si="2"/>
        <v>0.16900000000000001</v>
      </c>
      <c r="J24" s="2"/>
      <c r="K24" s="7"/>
      <c r="M24" s="19"/>
    </row>
    <row r="25" spans="1:13" x14ac:dyDescent="0.2">
      <c r="A25" t="str">
        <f t="shared" si="1"/>
        <v>1994</v>
      </c>
      <c r="C25" s="101">
        <f>'[4]TICO 2'!R38</f>
        <v>35133612</v>
      </c>
      <c r="D25" s="35">
        <f>'6.4'!D25</f>
        <v>2.9425433900425033</v>
      </c>
      <c r="E25" s="31">
        <f t="shared" si="0"/>
        <v>103382177.75891797</v>
      </c>
      <c r="F25" s="101">
        <f>'[4]TICO 2'!X38</f>
        <v>6968697</v>
      </c>
      <c r="G25" s="23">
        <f t="shared" si="2"/>
        <v>6.7000000000000004E-2</v>
      </c>
      <c r="J25" s="2"/>
    </row>
    <row r="26" spans="1:13" x14ac:dyDescent="0.2">
      <c r="A26" t="str">
        <f t="shared" si="1"/>
        <v>1995</v>
      </c>
      <c r="C26" s="101">
        <f>'[4]TICO 2'!R39</f>
        <v>34347927</v>
      </c>
      <c r="D26" s="35">
        <f>'6.4'!D26</f>
        <v>2.6155941244822252</v>
      </c>
      <c r="E26" s="31">
        <f t="shared" si="0"/>
        <v>89840236.049344376</v>
      </c>
      <c r="F26" s="101">
        <f>'[4]TICO 2'!X39</f>
        <v>20240594</v>
      </c>
      <c r="G26" s="23">
        <f t="shared" si="2"/>
        <v>0.22500000000000001</v>
      </c>
      <c r="J26" s="2"/>
    </row>
    <row r="27" spans="1:13" x14ac:dyDescent="0.2">
      <c r="A27" t="str">
        <f t="shared" si="1"/>
        <v>1996</v>
      </c>
      <c r="C27" s="101">
        <f>'[4]TICO 2'!R40</f>
        <v>38349763.638891585</v>
      </c>
      <c r="D27" s="35">
        <f>'6.4'!D27</f>
        <v>2.3540347120340024</v>
      </c>
      <c r="E27" s="31">
        <f t="shared" si="0"/>
        <v>90276674.804250211</v>
      </c>
      <c r="F27" s="101">
        <f>'[4]TICO 2'!X40</f>
        <v>9046495</v>
      </c>
      <c r="G27" s="23">
        <f t="shared" si="2"/>
        <v>0.1</v>
      </c>
      <c r="J27" s="2"/>
    </row>
    <row r="28" spans="1:13" x14ac:dyDescent="0.2">
      <c r="A28" t="str">
        <f t="shared" si="1"/>
        <v>1997</v>
      </c>
      <c r="C28" s="101">
        <f>'[4]TICO 2'!R41</f>
        <v>42447730.530345351</v>
      </c>
      <c r="D28" s="35">
        <f>'6.4'!D28</f>
        <v>2.3540347120340024</v>
      </c>
      <c r="E28" s="31">
        <f t="shared" si="0"/>
        <v>99923431.115498453</v>
      </c>
      <c r="F28" s="101">
        <f>'[4]TICO 2'!X41</f>
        <v>8514675</v>
      </c>
      <c r="G28" s="23">
        <f t="shared" si="2"/>
        <v>8.5000000000000006E-2</v>
      </c>
      <c r="J28" s="2"/>
    </row>
    <row r="29" spans="1:13" x14ac:dyDescent="0.2">
      <c r="A29" t="str">
        <f t="shared" si="1"/>
        <v>1998</v>
      </c>
      <c r="C29" s="101">
        <f>'[4]TICO 2'!R42</f>
        <v>41427572.085624166</v>
      </c>
      <c r="D29" s="35">
        <f>'6.4'!D29</f>
        <v>2.351683029004997</v>
      </c>
      <c r="E29" s="31">
        <f t="shared" si="0"/>
        <v>97424518.206643507</v>
      </c>
      <c r="F29" s="101">
        <f>'[4]TICO 2'!X42</f>
        <v>10127907</v>
      </c>
      <c r="G29" s="23">
        <f t="shared" si="2"/>
        <v>0.104</v>
      </c>
      <c r="J29" s="2"/>
    </row>
    <row r="30" spans="1:13" x14ac:dyDescent="0.2">
      <c r="A30" t="str">
        <f t="shared" si="1"/>
        <v>1999</v>
      </c>
      <c r="C30" s="101">
        <f>'[4]TICO 2'!R43</f>
        <v>34004814.583080493</v>
      </c>
      <c r="D30" s="35">
        <f>'6.4'!D30</f>
        <v>2.4652004616517251</v>
      </c>
      <c r="E30" s="31">
        <f t="shared" si="0"/>
        <v>83828684.608591348</v>
      </c>
      <c r="F30" s="101">
        <f>'[4]TICO 2'!X43</f>
        <v>8680187</v>
      </c>
      <c r="G30" s="23">
        <f t="shared" si="2"/>
        <v>0.104</v>
      </c>
      <c r="J30" s="2"/>
    </row>
    <row r="31" spans="1:13" x14ac:dyDescent="0.2">
      <c r="A31" t="str">
        <f t="shared" si="1"/>
        <v>2000</v>
      </c>
      <c r="C31" s="101">
        <f>'[4]TICO 2'!R44</f>
        <v>36439477.252283514</v>
      </c>
      <c r="D31" s="35">
        <f>'6.4'!D31</f>
        <v>2.4849891105075934</v>
      </c>
      <c r="E31" s="31">
        <f t="shared" si="0"/>
        <v>90551704.164513692</v>
      </c>
      <c r="F31" s="101">
        <f>'[4]TICO 2'!X44</f>
        <v>9518422</v>
      </c>
      <c r="G31" s="23">
        <f t="shared" si="2"/>
        <v>0.105</v>
      </c>
      <c r="J31" s="2"/>
    </row>
    <row r="32" spans="1:13" x14ac:dyDescent="0.2">
      <c r="A32" t="str">
        <f t="shared" si="1"/>
        <v>2001</v>
      </c>
      <c r="C32" s="101">
        <f>'[4]TICO 2'!R45</f>
        <v>32881662.327381182</v>
      </c>
      <c r="D32" s="35">
        <f>'6.4'!D32</f>
        <v>2.1835641410677664</v>
      </c>
      <c r="E32" s="31">
        <f t="shared" si="0"/>
        <v>71799218.75676842</v>
      </c>
      <c r="F32" s="101">
        <f>'[4]TICO 2'!X45</f>
        <v>23547404</v>
      </c>
      <c r="G32" s="23">
        <f t="shared" si="2"/>
        <v>0.32800000000000001</v>
      </c>
      <c r="J32" s="2"/>
    </row>
    <row r="33" spans="1:10" x14ac:dyDescent="0.2">
      <c r="A33" t="str">
        <f t="shared" si="1"/>
        <v>2002</v>
      </c>
      <c r="C33" s="101">
        <f>'[4]TICO 2'!R46</f>
        <v>37396181</v>
      </c>
      <c r="D33" s="35">
        <f>'6.4'!D33</f>
        <v>2.0131171511531938</v>
      </c>
      <c r="E33" s="31">
        <f t="shared" si="0"/>
        <v>75282893.358729199</v>
      </c>
      <c r="F33" s="101">
        <f>'[4]TICO 2'!X46</f>
        <v>7950367</v>
      </c>
      <c r="G33" s="23">
        <f t="shared" si="2"/>
        <v>0.106</v>
      </c>
      <c r="J33" s="2"/>
    </row>
    <row r="34" spans="1:10" x14ac:dyDescent="0.2">
      <c r="A34" t="str">
        <f t="shared" si="1"/>
        <v>2003</v>
      </c>
      <c r="B34" s="59"/>
      <c r="C34" s="101">
        <f>'[4]TICO 2'!R47</f>
        <v>49027236</v>
      </c>
      <c r="D34" s="35">
        <f>'6.4'!D34</f>
        <v>2.0131171511531929</v>
      </c>
      <c r="E34" s="31">
        <f t="shared" si="0"/>
        <v>98697569.665235266</v>
      </c>
      <c r="F34" s="101">
        <f>'[4]TICO 2'!X47</f>
        <v>10177909</v>
      </c>
      <c r="G34" s="23">
        <f t="shared" si="2"/>
        <v>0.10299999999999999</v>
      </c>
      <c r="J34" s="2"/>
    </row>
    <row r="35" spans="1:10" x14ac:dyDescent="0.2">
      <c r="A35" t="str">
        <f t="shared" si="1"/>
        <v>2004</v>
      </c>
      <c r="C35" s="101">
        <f>'[4]TICO 2'!R48</f>
        <v>49927649</v>
      </c>
      <c r="D35" s="35">
        <f>'6.4'!D35</f>
        <v>1.9195987469434546</v>
      </c>
      <c r="E35" s="31">
        <f t="shared" si="0"/>
        <v>95841052.458232626</v>
      </c>
      <c r="F35" s="101">
        <f>'[4]TICO 2'!X48</f>
        <v>3738542</v>
      </c>
      <c r="G35" s="23">
        <f t="shared" si="2"/>
        <v>3.9E-2</v>
      </c>
      <c r="J35" s="2"/>
    </row>
    <row r="36" spans="1:10" x14ac:dyDescent="0.2">
      <c r="A36" t="str">
        <f t="shared" si="1"/>
        <v>2005</v>
      </c>
      <c r="B36" s="59"/>
      <c r="C36" s="101">
        <f>'[4]TICO 2'!R49</f>
        <v>50116517</v>
      </c>
      <c r="D36" s="35">
        <f>'6.4'!D36</f>
        <v>1.8367857218551029</v>
      </c>
      <c r="E36" s="31">
        <f>C36*D36</f>
        <v>92053302.854708537</v>
      </c>
      <c r="F36" s="101">
        <f>'[4]TICO 2'!X49</f>
        <v>34201898</v>
      </c>
      <c r="G36" s="23">
        <f t="shared" si="2"/>
        <v>0.372</v>
      </c>
      <c r="J36" s="2"/>
    </row>
    <row r="37" spans="1:10" x14ac:dyDescent="0.2">
      <c r="A37" t="str">
        <f t="shared" si="1"/>
        <v>2006</v>
      </c>
      <c r="B37" s="45"/>
      <c r="C37" s="101">
        <f>'[4]TICO 2'!R50</f>
        <v>54703319</v>
      </c>
      <c r="D37" s="35">
        <f>'6.4'!D37</f>
        <v>1.8323775762609837</v>
      </c>
      <c r="E37" s="31">
        <f>C37*D37</f>
        <v>100237135.08265142</v>
      </c>
      <c r="F37" s="101">
        <f>'[4]TICO 2'!X50</f>
        <v>4909932</v>
      </c>
      <c r="G37" s="53">
        <f t="shared" si="2"/>
        <v>4.9000000000000002E-2</v>
      </c>
      <c r="J37" s="2"/>
    </row>
    <row r="38" spans="1:10" x14ac:dyDescent="0.2">
      <c r="A38" t="str">
        <f t="shared" si="1"/>
        <v>2007</v>
      </c>
      <c r="C38" s="101">
        <f>'[4]TICO 2'!R51</f>
        <v>60982886</v>
      </c>
      <c r="D38" s="35">
        <f>'6.4'!D38</f>
        <v>1.7490128310516411</v>
      </c>
      <c r="E38" s="31">
        <f t="shared" si="0"/>
        <v>106659850.08855949</v>
      </c>
      <c r="F38" s="101">
        <f>'[4]TICO 2'!X51</f>
        <v>5242698</v>
      </c>
      <c r="G38" s="53">
        <f t="shared" si="2"/>
        <v>4.9000000000000002E-2</v>
      </c>
      <c r="J38" s="2"/>
    </row>
    <row r="39" spans="1:10" s="59" customFormat="1" x14ac:dyDescent="0.2">
      <c r="A39" t="str">
        <f t="shared" si="1"/>
        <v>2008</v>
      </c>
      <c r="B39" s="45"/>
      <c r="C39" s="101">
        <f>'[4]TICO 2'!R52</f>
        <v>65015817</v>
      </c>
      <c r="D39" s="35">
        <f>'6.4'!D39</f>
        <v>1.6495345789525933</v>
      </c>
      <c r="E39" s="31">
        <f t="shared" si="0"/>
        <v>107245838.32035385</v>
      </c>
      <c r="F39" s="101">
        <f>'[4]TICO 2'!X52</f>
        <v>448708416</v>
      </c>
      <c r="G39" s="53">
        <f t="shared" si="2"/>
        <v>4.1840000000000002</v>
      </c>
      <c r="H39"/>
      <c r="I39"/>
      <c r="J39" s="2"/>
    </row>
    <row r="40" spans="1:10" x14ac:dyDescent="0.2">
      <c r="A40" t="str">
        <f t="shared" si="1"/>
        <v>2009</v>
      </c>
      <c r="B40" s="45"/>
      <c r="C40" s="101">
        <f>'[4]TICO 2'!R53</f>
        <v>70667217</v>
      </c>
      <c r="D40" s="35">
        <f>'6.4'!D40</f>
        <v>1.4987056675771686</v>
      </c>
      <c r="E40" s="31">
        <f t="shared" si="0"/>
        <v>105909358.62980564</v>
      </c>
      <c r="F40" s="101">
        <f>'[4]TICO 2'!X53</f>
        <v>9952501</v>
      </c>
      <c r="G40" s="53">
        <f t="shared" si="2"/>
        <v>9.4E-2</v>
      </c>
      <c r="J40" s="2"/>
    </row>
    <row r="41" spans="1:10" x14ac:dyDescent="0.2">
      <c r="A41" t="str">
        <f t="shared" si="1"/>
        <v>2010</v>
      </c>
      <c r="B41" s="45"/>
      <c r="C41" s="101">
        <f>'[4]TICO 2'!R54</f>
        <v>70788779</v>
      </c>
      <c r="D41" s="35">
        <f>'6.4'!D41</f>
        <v>1.4074808531397425</v>
      </c>
      <c r="E41" s="31">
        <f t="shared" si="0"/>
        <v>99633851.059640691</v>
      </c>
      <c r="F41" s="101">
        <f>'[4]TICO 2'!X54</f>
        <v>10829031</v>
      </c>
      <c r="G41" s="53">
        <f t="shared" si="2"/>
        <v>0.109</v>
      </c>
      <c r="J41" s="2"/>
    </row>
    <row r="42" spans="1:10" s="59" customFormat="1" x14ac:dyDescent="0.2">
      <c r="A42" t="str">
        <f t="shared" si="1"/>
        <v>2011</v>
      </c>
      <c r="B42" s="51"/>
      <c r="C42" s="101">
        <f>'[4]TICO 2'!R55</f>
        <v>73325323</v>
      </c>
      <c r="D42" s="35">
        <f>'6.4'!D42</f>
        <v>1.3727166755238378</v>
      </c>
      <c r="E42" s="31">
        <f t="shared" si="0"/>
        <v>100654893.62027161</v>
      </c>
      <c r="F42" s="101">
        <f>'[4]TICO 2'!X55</f>
        <v>5993038</v>
      </c>
      <c r="G42" s="53">
        <f t="shared" si="2"/>
        <v>0.06</v>
      </c>
      <c r="H42"/>
      <c r="I42"/>
      <c r="J42" s="2"/>
    </row>
    <row r="43" spans="1:10" x14ac:dyDescent="0.2">
      <c r="A43" t="str">
        <f t="shared" si="1"/>
        <v>2012</v>
      </c>
      <c r="B43" s="45"/>
      <c r="C43" s="101">
        <f>'[4]TICO 2'!R56</f>
        <v>80858142</v>
      </c>
      <c r="D43" s="35">
        <f>'6.4'!D43</f>
        <v>1.3073731976777445</v>
      </c>
      <c r="E43" s="31">
        <f t="shared" si="0"/>
        <v>105711767.66482113</v>
      </c>
      <c r="F43" s="101">
        <f>'[4]TICO 2'!X56</f>
        <v>89889612</v>
      </c>
      <c r="G43" s="53">
        <f t="shared" si="2"/>
        <v>0.85</v>
      </c>
      <c r="J43" s="2"/>
    </row>
    <row r="44" spans="1:10" s="59" customFormat="1" x14ac:dyDescent="0.2">
      <c r="A44" t="str">
        <f t="shared" si="1"/>
        <v>2013</v>
      </c>
      <c r="B44" s="51"/>
      <c r="C44" s="101">
        <f>'[4]TICO 2'!R57</f>
        <v>90250703</v>
      </c>
      <c r="D44" s="35">
        <f>'6.4'!D44</f>
        <v>1.2452851041347781</v>
      </c>
      <c r="E44" s="31">
        <f t="shared" si="0"/>
        <v>112387856.08359194</v>
      </c>
      <c r="F44" s="101">
        <f>'[4]TICO 2'!X57</f>
        <v>22065904</v>
      </c>
      <c r="G44" s="53">
        <f t="shared" si="2"/>
        <v>0.19600000000000001</v>
      </c>
      <c r="H44"/>
      <c r="I44"/>
      <c r="J44" s="2"/>
    </row>
    <row r="45" spans="1:10" s="59" customFormat="1" x14ac:dyDescent="0.2">
      <c r="A45" t="str">
        <f t="shared" si="1"/>
        <v>2014</v>
      </c>
      <c r="B45" s="51"/>
      <c r="C45" s="101">
        <f>'[4]TICO 2'!R58</f>
        <v>99916064</v>
      </c>
      <c r="D45" s="35">
        <f>'6.4'!D45</f>
        <v>1.1862347753925764</v>
      </c>
      <c r="E45" s="31">
        <f t="shared" si="0"/>
        <v>118523909.73715028</v>
      </c>
      <c r="F45" s="101">
        <f>'[4]TICO 2'!X58</f>
        <v>20930082</v>
      </c>
      <c r="G45" s="53">
        <f t="shared" si="2"/>
        <v>0.17699999999999999</v>
      </c>
      <c r="H45"/>
      <c r="I45"/>
      <c r="J45" s="2"/>
    </row>
    <row r="46" spans="1:10" s="59" customFormat="1" x14ac:dyDescent="0.2">
      <c r="A46" t="str">
        <f t="shared" si="1"/>
        <v>2015</v>
      </c>
      <c r="B46" s="51"/>
      <c r="C46" s="101">
        <f>'[4]TICO 2'!R59</f>
        <v>110352614</v>
      </c>
      <c r="D46" s="35">
        <f>'6.4'!D46</f>
        <v>1.1299661810216541</v>
      </c>
      <c r="E46" s="123">
        <f t="shared" ref="E46:E51" si="3">C46*D46</f>
        <v>124694721.80733672</v>
      </c>
      <c r="F46" s="101">
        <f>'[4]TICO 2'!X59</f>
        <v>43786734</v>
      </c>
      <c r="G46" s="53">
        <f t="shared" ref="G46:G51" si="4">ROUND(F46/E46,3)</f>
        <v>0.35099999999999998</v>
      </c>
      <c r="H46"/>
      <c r="I46"/>
      <c r="J46" s="2"/>
    </row>
    <row r="47" spans="1:10" x14ac:dyDescent="0.2">
      <c r="A47" t="str">
        <f t="shared" si="1"/>
        <v>2016</v>
      </c>
      <c r="B47" s="51"/>
      <c r="C47" s="101">
        <f>'[4]TICO 2'!R60</f>
        <v>119744188</v>
      </c>
      <c r="D47" s="35">
        <f>'6.4'!D47</f>
        <v>1.0765597532120244</v>
      </c>
      <c r="E47" s="123">
        <f t="shared" si="3"/>
        <v>128911773.48185425</v>
      </c>
      <c r="F47" s="101">
        <f>'[4]TICO 2'!X60</f>
        <v>46335724</v>
      </c>
      <c r="G47" s="53">
        <f t="shared" si="4"/>
        <v>0.35899999999999999</v>
      </c>
      <c r="J47" s="2"/>
    </row>
    <row r="48" spans="1:10" x14ac:dyDescent="0.2">
      <c r="A48" t="str">
        <f t="shared" si="1"/>
        <v>2017</v>
      </c>
      <c r="B48" s="51"/>
      <c r="C48" s="101">
        <f>'[4]TICO 2'!R61</f>
        <v>117739636</v>
      </c>
      <c r="D48" s="102">
        <f>'6.4'!D48</f>
        <v>1.0500000000000014</v>
      </c>
      <c r="E48" s="123">
        <f t="shared" si="3"/>
        <v>123626617.80000016</v>
      </c>
      <c r="F48" s="101">
        <f>'[4]TICO 2'!X61</f>
        <v>75108251</v>
      </c>
      <c r="G48" s="53">
        <f t="shared" si="4"/>
        <v>0.60799999999999998</v>
      </c>
      <c r="H48" s="50"/>
      <c r="J48" s="2"/>
    </row>
    <row r="49" spans="1:12" x14ac:dyDescent="0.2">
      <c r="A49" t="str">
        <f t="shared" si="1"/>
        <v>2018</v>
      </c>
      <c r="B49" s="51"/>
      <c r="C49" s="101">
        <f>'[4]TICO 2'!R62</f>
        <v>115484141</v>
      </c>
      <c r="D49" s="102">
        <f>'6.4'!D49</f>
        <v>1.0255439472483592</v>
      </c>
      <c r="E49" s="123">
        <f t="shared" si="3"/>
        <v>118434061.80572607</v>
      </c>
      <c r="F49" s="101">
        <f>'[4]TICO 2'!X62</f>
        <v>12448123</v>
      </c>
      <c r="G49" s="53">
        <f t="shared" si="4"/>
        <v>0.105</v>
      </c>
      <c r="J49" s="2"/>
    </row>
    <row r="50" spans="1:12" x14ac:dyDescent="0.2">
      <c r="A50" t="str">
        <f t="shared" si="1"/>
        <v>2019</v>
      </c>
      <c r="B50" s="51"/>
      <c r="C50" s="101">
        <f>'[4]TICO 2'!R63</f>
        <v>116765056</v>
      </c>
      <c r="D50" s="102">
        <f>'6.4'!D50</f>
        <v>0.999999999999997</v>
      </c>
      <c r="E50" s="123">
        <f t="shared" si="3"/>
        <v>116765055.99999966</v>
      </c>
      <c r="F50" s="101">
        <f>'[4]TICO 2'!X63</f>
        <v>37215741</v>
      </c>
      <c r="G50" s="53">
        <f t="shared" si="4"/>
        <v>0.31900000000000001</v>
      </c>
      <c r="J50" s="2"/>
    </row>
    <row r="51" spans="1:12" x14ac:dyDescent="0.2">
      <c r="A51" t="str">
        <f t="shared" si="1"/>
        <v>2020</v>
      </c>
      <c r="B51" s="51"/>
      <c r="C51" s="101">
        <f>'[4]TICO 2'!R64</f>
        <v>121479162</v>
      </c>
      <c r="D51" s="102">
        <f>'6.4'!D51</f>
        <v>1</v>
      </c>
      <c r="E51" s="123">
        <f t="shared" si="3"/>
        <v>121479162</v>
      </c>
      <c r="F51" s="101">
        <f>'[4]TICO 2'!X64</f>
        <v>44441912</v>
      </c>
      <c r="G51" s="53">
        <f t="shared" si="4"/>
        <v>0.36599999999999999</v>
      </c>
      <c r="J51" s="2"/>
    </row>
    <row r="52" spans="1:12" s="59" customFormat="1" x14ac:dyDescent="0.2">
      <c r="A52" s="321"/>
      <c r="B52" s="321"/>
      <c r="C52" s="321"/>
      <c r="D52" s="321"/>
      <c r="E52" s="321"/>
      <c r="F52" s="321"/>
      <c r="G52" s="321"/>
      <c r="H52"/>
      <c r="I52"/>
      <c r="J52" s="2"/>
    </row>
    <row r="53" spans="1:12" x14ac:dyDescent="0.2">
      <c r="A53" s="59" t="s">
        <v>9</v>
      </c>
      <c r="B53" s="59"/>
      <c r="C53" s="31">
        <f>SUM(C14:C51)</f>
        <v>2087147845.4176064</v>
      </c>
      <c r="D53" s="31"/>
      <c r="E53" s="31">
        <f>SUM(E14:E51)</f>
        <v>3335495065.7296391</v>
      </c>
      <c r="F53" s="31">
        <f>SUM(F14:F51)</f>
        <v>1181768360</v>
      </c>
      <c r="G53" s="23">
        <f>ROUND(F53/E53,3)</f>
        <v>0.35399999999999998</v>
      </c>
      <c r="J53" s="2"/>
    </row>
    <row r="54" spans="1:12" ht="10.5" thickBot="1" x14ac:dyDescent="0.25">
      <c r="A54" s="6"/>
      <c r="B54" s="6"/>
      <c r="C54" s="6"/>
      <c r="D54" s="6"/>
      <c r="E54" s="6"/>
      <c r="F54" s="6"/>
      <c r="G54" s="6"/>
      <c r="J54" s="2"/>
      <c r="K54" s="11" t="s">
        <v>217</v>
      </c>
      <c r="L54" s="11" t="s">
        <v>218</v>
      </c>
    </row>
    <row r="55" spans="1:12" ht="10.5" thickTop="1" x14ac:dyDescent="0.2">
      <c r="J55" s="2"/>
      <c r="K55" s="284">
        <f>'6.4'!K$55</f>
        <v>44104</v>
      </c>
      <c r="L55" s="284">
        <f>'6.4'!L$55</f>
        <v>44196</v>
      </c>
    </row>
    <row r="56" spans="1:12" s="59" customFormat="1" x14ac:dyDescent="0.2">
      <c r="A56" t="s">
        <v>17</v>
      </c>
      <c r="B56"/>
      <c r="C56"/>
      <c r="D56"/>
      <c r="E56"/>
      <c r="F56" s="45"/>
      <c r="G56"/>
      <c r="H56"/>
      <c r="I56"/>
      <c r="J56" s="2"/>
    </row>
    <row r="57" spans="1:12" x14ac:dyDescent="0.2">
      <c r="A57" s="22" t="str">
        <f>C12&amp;" Provided by TDI.  Accident years ending "&amp;TEXT($K$55,"m/d/xx")&amp;" as of "&amp;TEXT($L$55,"m/d/yyyy")</f>
        <v>(2) Provided by TDI.  Accident years ending 9/30/xx as of 12/31/2020</v>
      </c>
      <c r="J57" s="2"/>
    </row>
    <row r="58" spans="1:12" x14ac:dyDescent="0.2">
      <c r="A58" s="22" t="str">
        <f>'6.4'!A59</f>
        <v>(3) 1987 and prior judgementally selected; 1988 - 2020 based on TWIA on-level factors</v>
      </c>
      <c r="J58" s="2"/>
    </row>
    <row r="59" spans="1:12" x14ac:dyDescent="0.2">
      <c r="A59" s="22" t="str">
        <f>E12&amp;" = "&amp;C12&amp;" * "&amp;D12</f>
        <v>(4) = (2) * (3)</v>
      </c>
      <c r="J59" s="2"/>
    </row>
    <row r="60" spans="1:12" x14ac:dyDescent="0.2">
      <c r="A60" s="22" t="str">
        <f>'6.5'!A61</f>
        <v>(5) Provided by TDI. Accidn't yrs ending 9/30/xx as of 12/31/2020</v>
      </c>
      <c r="J60" s="2"/>
    </row>
    <row r="61" spans="1:12" x14ac:dyDescent="0.2">
      <c r="A61" s="22" t="str">
        <f>G12&amp;" = "&amp;F12&amp;" / "&amp;E12</f>
        <v>(6) = (5) / (4)</v>
      </c>
      <c r="J61" s="2"/>
    </row>
    <row r="62" spans="1:12" ht="10.5" thickBot="1" x14ac:dyDescent="0.25">
      <c r="D62" s="60"/>
      <c r="E62" s="60"/>
      <c r="F62" s="60"/>
      <c r="G62" s="23"/>
      <c r="J62" s="2"/>
    </row>
    <row r="63" spans="1:12" ht="10.5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>
    <tabColor rgb="FF92D050"/>
  </sheetPr>
  <dimension ref="A1:Q69"/>
  <sheetViews>
    <sheetView showGridLines="0" topLeftCell="A16" workbookViewId="0">
      <selection activeCell="J36" sqref="J36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21.441406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09375" customWidth="1"/>
  </cols>
  <sheetData>
    <row r="1" spans="1:13" ht="10.5" x14ac:dyDescent="0.25">
      <c r="A1" s="8" t="str">
        <f>'1'!$A$1</f>
        <v>Texas Windstorm Insurance Association</v>
      </c>
      <c r="B1" s="12"/>
      <c r="K1" s="7" t="s">
        <v>298</v>
      </c>
      <c r="L1" s="1"/>
    </row>
    <row r="2" spans="1:13" ht="10.5" x14ac:dyDescent="0.25">
      <c r="A2" s="8" t="str">
        <f>'1'!$A$2</f>
        <v>Residential Property - Wind &amp; Hail</v>
      </c>
      <c r="B2" s="12"/>
      <c r="K2" s="7" t="s">
        <v>21</v>
      </c>
      <c r="L2" s="2"/>
    </row>
    <row r="3" spans="1:13" ht="10.5" x14ac:dyDescent="0.25">
      <c r="A3" s="8" t="str">
        <f>'1'!$A$3</f>
        <v>Rate Level Review</v>
      </c>
      <c r="B3" s="12"/>
      <c r="L3" s="2"/>
    </row>
    <row r="4" spans="1:13" x14ac:dyDescent="0.2">
      <c r="A4" t="s">
        <v>169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0.5" thickBot="1" x14ac:dyDescent="0.25">
      <c r="A7" s="6"/>
      <c r="B7" s="6"/>
      <c r="C7" s="6"/>
      <c r="D7" s="6"/>
      <c r="E7" s="6"/>
      <c r="L7" s="2"/>
    </row>
    <row r="8" spans="1:13" ht="10.5" thickTop="1" x14ac:dyDescent="0.2">
      <c r="L8" s="2"/>
    </row>
    <row r="9" spans="1:13" x14ac:dyDescent="0.2">
      <c r="C9" s="52" t="s">
        <v>143</v>
      </c>
      <c r="L9" s="2"/>
      <c r="M9" s="27"/>
    </row>
    <row r="10" spans="1:13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11/30/20</v>
      </c>
      <c r="D11" s="252" t="s">
        <v>146</v>
      </c>
      <c r="E11" s="9" t="s">
        <v>147</v>
      </c>
      <c r="L11" s="2"/>
      <c r="M11" s="83">
        <f>'7.2'!L11</f>
        <v>44165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150</v>
      </c>
      <c r="C14" s="202">
        <f>'7.2'!C14</f>
        <v>1641086</v>
      </c>
      <c r="D14" s="271">
        <f>'7.2'!E14</f>
        <v>2.5289999999999999</v>
      </c>
      <c r="E14" s="31">
        <f t="shared" ref="E14:E28" si="0">ROUND(C14*D14,0)</f>
        <v>4150306</v>
      </c>
      <c r="G14" s="19"/>
      <c r="H14" s="19"/>
      <c r="I14" s="19"/>
      <c r="L14" s="2"/>
    </row>
    <row r="15" spans="1:13" x14ac:dyDescent="0.2">
      <c r="A15" t="s">
        <v>151</v>
      </c>
      <c r="C15" s="202">
        <f>'7.2'!C15</f>
        <v>9184245</v>
      </c>
      <c r="D15" s="271">
        <f>'7.2'!E15</f>
        <v>1.76</v>
      </c>
      <c r="E15" s="31">
        <f t="shared" si="0"/>
        <v>16164271</v>
      </c>
      <c r="G15" s="19"/>
      <c r="H15" s="19"/>
      <c r="I15" s="19"/>
      <c r="L15" s="2"/>
    </row>
    <row r="16" spans="1:13" x14ac:dyDescent="0.2">
      <c r="A16" t="s">
        <v>152</v>
      </c>
      <c r="C16" s="202">
        <f>'7.2'!C16</f>
        <v>928096</v>
      </c>
      <c r="D16" s="271">
        <f>'7.2'!E16</f>
        <v>3.0550000000000002</v>
      </c>
      <c r="E16" s="31">
        <f t="shared" si="0"/>
        <v>2835333</v>
      </c>
      <c r="G16" s="19"/>
      <c r="H16" s="19"/>
      <c r="I16" s="19"/>
      <c r="L16" s="2"/>
    </row>
    <row r="17" spans="1:17" x14ac:dyDescent="0.2">
      <c r="A17" t="s">
        <v>153</v>
      </c>
      <c r="C17" s="202">
        <f>'7.2'!C17</f>
        <v>2026672</v>
      </c>
      <c r="D17" s="271">
        <f>'7.2'!E17</f>
        <v>1.8029999999999999</v>
      </c>
      <c r="E17" s="31">
        <f t="shared" si="0"/>
        <v>3654090</v>
      </c>
      <c r="G17" s="19"/>
      <c r="H17" s="19"/>
      <c r="I17" s="19"/>
      <c r="L17" s="2"/>
    </row>
    <row r="18" spans="1:17" x14ac:dyDescent="0.2">
      <c r="A18" t="s">
        <v>154</v>
      </c>
      <c r="C18" s="202">
        <f>'7.2'!C18</f>
        <v>1413194</v>
      </c>
      <c r="D18" s="271">
        <f>'7.2'!E18</f>
        <v>1.617</v>
      </c>
      <c r="E18" s="31">
        <f t="shared" si="0"/>
        <v>2285135</v>
      </c>
      <c r="G18" s="19"/>
      <c r="H18" s="19"/>
      <c r="I18" s="19"/>
      <c r="L18" s="2"/>
    </row>
    <row r="19" spans="1:17" x14ac:dyDescent="0.2">
      <c r="A19" t="s">
        <v>155</v>
      </c>
      <c r="C19" s="202">
        <f>'7.2'!C19</f>
        <v>19194216</v>
      </c>
      <c r="D19" s="271">
        <f>'7.2'!E19</f>
        <v>4.0860000000000003</v>
      </c>
      <c r="E19" s="31">
        <f t="shared" si="0"/>
        <v>78427567</v>
      </c>
      <c r="G19" s="19"/>
      <c r="H19" s="19"/>
      <c r="I19" s="19"/>
      <c r="L19" s="2"/>
      <c r="O19" s="19"/>
      <c r="P19" s="19"/>
      <c r="Q19" s="19"/>
    </row>
    <row r="20" spans="1:17" x14ac:dyDescent="0.2">
      <c r="A20" t="s">
        <v>156</v>
      </c>
      <c r="C20" s="202">
        <f>'7.2'!C20</f>
        <v>1145896</v>
      </c>
      <c r="D20" s="271">
        <f>'7.2'!E20</f>
        <v>3.9260000000000002</v>
      </c>
      <c r="E20" s="31">
        <f t="shared" si="0"/>
        <v>4498788</v>
      </c>
      <c r="G20" s="19"/>
      <c r="H20" s="19"/>
      <c r="I20" s="19"/>
      <c r="L20" s="2"/>
      <c r="O20" s="19"/>
      <c r="P20" s="19"/>
      <c r="Q20" s="19"/>
    </row>
    <row r="21" spans="1:17" x14ac:dyDescent="0.2">
      <c r="A21" t="s">
        <v>157</v>
      </c>
      <c r="C21" s="202">
        <f>'7.2'!C21</f>
        <v>6116468</v>
      </c>
      <c r="D21" s="271">
        <f>'7.2'!E21</f>
        <v>1.9950000000000001</v>
      </c>
      <c r="E21" s="31">
        <f t="shared" si="0"/>
        <v>12202354</v>
      </c>
      <c r="G21" s="19"/>
      <c r="H21" s="19"/>
      <c r="I21" s="19"/>
      <c r="L21" s="2"/>
      <c r="O21" s="19"/>
      <c r="P21" s="19"/>
      <c r="Q21" s="19"/>
    </row>
    <row r="22" spans="1:17" x14ac:dyDescent="0.2">
      <c r="A22" t="s">
        <v>158</v>
      </c>
      <c r="C22" s="202">
        <f>'7.2'!C22</f>
        <v>6205</v>
      </c>
      <c r="D22" s="271">
        <f>'7.2'!E22</f>
        <v>0.80200000000000005</v>
      </c>
      <c r="E22" s="31">
        <f t="shared" si="0"/>
        <v>4976</v>
      </c>
      <c r="G22" s="19"/>
      <c r="H22" s="19"/>
      <c r="I22" s="19"/>
      <c r="L22" s="2"/>
      <c r="O22" s="19"/>
      <c r="P22" s="19"/>
      <c r="Q22" s="19"/>
    </row>
    <row r="23" spans="1:17" x14ac:dyDescent="0.2">
      <c r="A23" t="s">
        <v>159</v>
      </c>
      <c r="B23" s="22"/>
      <c r="C23" s="202">
        <f>'7.2'!C23</f>
        <v>173966</v>
      </c>
      <c r="D23" s="271">
        <f>'7.2'!E23</f>
        <v>0.94199999999999995</v>
      </c>
      <c r="E23" s="31">
        <f t="shared" si="0"/>
        <v>163876</v>
      </c>
      <c r="G23" s="19"/>
      <c r="H23" s="19"/>
      <c r="I23" s="19"/>
      <c r="L23" s="2"/>
    </row>
    <row r="24" spans="1:17" x14ac:dyDescent="0.2">
      <c r="A24" t="s">
        <v>160</v>
      </c>
      <c r="B24" s="22"/>
      <c r="C24" s="202">
        <f>'7.2'!C24</f>
        <v>1107032</v>
      </c>
      <c r="D24" s="271">
        <f>'7.2'!E24</f>
        <v>2.7189999999999999</v>
      </c>
      <c r="E24" s="31">
        <f t="shared" si="0"/>
        <v>3010020</v>
      </c>
      <c r="G24" s="19"/>
      <c r="H24" s="19"/>
      <c r="I24" s="19"/>
      <c r="L24" s="2"/>
    </row>
    <row r="25" spans="1:17" x14ac:dyDescent="0.2">
      <c r="A25" t="s">
        <v>161</v>
      </c>
      <c r="B25" s="22"/>
      <c r="C25" s="202">
        <f>'7.2'!C25</f>
        <v>10012218</v>
      </c>
      <c r="D25" s="271">
        <f>'7.2'!E25</f>
        <v>2.597</v>
      </c>
      <c r="E25" s="31">
        <f>ROUND(C25*D25,0)</f>
        <v>26001730</v>
      </c>
      <c r="G25" s="19"/>
      <c r="H25" s="19"/>
      <c r="I25" s="19"/>
      <c r="L25" s="2"/>
    </row>
    <row r="26" spans="1:17" x14ac:dyDescent="0.2">
      <c r="A26" t="s">
        <v>162</v>
      </c>
      <c r="C26" s="202">
        <f>'7.2'!C26</f>
        <v>78870</v>
      </c>
      <c r="D26" s="271">
        <f>'7.2'!E26</f>
        <v>1.4910000000000001</v>
      </c>
      <c r="E26" s="31">
        <f t="shared" si="0"/>
        <v>117595</v>
      </c>
      <c r="G26" s="19"/>
      <c r="H26" s="19"/>
      <c r="I26" s="19"/>
      <c r="L26" s="2"/>
    </row>
    <row r="27" spans="1:17" x14ac:dyDescent="0.2">
      <c r="A27" t="s">
        <v>163</v>
      </c>
      <c r="C27" s="202">
        <f>'7.2'!C27</f>
        <v>1593039</v>
      </c>
      <c r="D27" s="271">
        <f>'7.2'!E27</f>
        <v>1.921</v>
      </c>
      <c r="E27" s="31">
        <f t="shared" si="0"/>
        <v>3060228</v>
      </c>
      <c r="G27" s="19"/>
      <c r="H27" s="19"/>
      <c r="I27" s="19"/>
      <c r="L27" s="2"/>
    </row>
    <row r="28" spans="1:17" x14ac:dyDescent="0.2">
      <c r="A28" t="s">
        <v>164</v>
      </c>
      <c r="C28" s="202">
        <f>'7.2'!C28</f>
        <v>79020</v>
      </c>
      <c r="D28" s="271">
        <f>'7.2'!E28</f>
        <v>2.073</v>
      </c>
      <c r="E28" s="31">
        <f t="shared" si="0"/>
        <v>163808</v>
      </c>
      <c r="G28" s="19"/>
      <c r="H28" s="19"/>
      <c r="I28" s="19"/>
      <c r="L28" s="2"/>
    </row>
    <row r="29" spans="1:17" s="59" customFormat="1" x14ac:dyDescent="0.2">
      <c r="A29" s="9"/>
      <c r="B29" s="26"/>
      <c r="C29" s="203"/>
      <c r="D29" s="272"/>
      <c r="E29" s="32"/>
      <c r="L29" s="2"/>
    </row>
    <row r="30" spans="1:17" x14ac:dyDescent="0.2">
      <c r="C30" s="19"/>
      <c r="D30" s="273"/>
      <c r="E30" s="12"/>
      <c r="L30" s="2"/>
    </row>
    <row r="31" spans="1:17" x14ac:dyDescent="0.2">
      <c r="A31" t="s">
        <v>9</v>
      </c>
      <c r="C31" s="31">
        <f>SUM(C14:C28)</f>
        <v>54700223</v>
      </c>
      <c r="D31" s="271">
        <f>E31/C31*1.03</f>
        <v>2.9514007522419061</v>
      </c>
      <c r="E31" s="31">
        <f>SUM(E14:E28)</f>
        <v>156740077</v>
      </c>
      <c r="G31" s="19"/>
      <c r="H31" s="19"/>
      <c r="I31" s="19"/>
      <c r="L31" s="2"/>
    </row>
    <row r="32" spans="1:17" x14ac:dyDescent="0.2">
      <c r="L32" s="2"/>
    </row>
    <row r="33" spans="1:13" x14ac:dyDescent="0.2">
      <c r="A33" s="56" t="s">
        <v>120</v>
      </c>
      <c r="B33" s="57" t="str">
        <f>'[5]7.1'!$B$33</f>
        <v>Inforce-Premium as of 11/30/20 at Present Rates</v>
      </c>
      <c r="C33" s="59"/>
      <c r="D33" s="59"/>
      <c r="E33" s="31">
        <v>310647523</v>
      </c>
      <c r="I33" s="19"/>
      <c r="L33" s="2"/>
      <c r="M33" s="68">
        <f>'10.2'!$L$27</f>
        <v>44196</v>
      </c>
    </row>
    <row r="34" spans="1:13" x14ac:dyDescent="0.2">
      <c r="A34" s="56" t="s">
        <v>124</v>
      </c>
      <c r="B34" t="s">
        <v>149</v>
      </c>
      <c r="E34" s="20">
        <f>ROUND(E31/E33,3)</f>
        <v>0.505</v>
      </c>
      <c r="F34" s="45"/>
      <c r="L34" s="2"/>
    </row>
    <row r="35" spans="1:13" ht="10.5" thickBot="1" x14ac:dyDescent="0.25">
      <c r="A35" s="6"/>
      <c r="B35" s="6"/>
      <c r="C35" s="6"/>
      <c r="D35" s="6"/>
      <c r="E35" s="6"/>
      <c r="L35" s="2"/>
    </row>
    <row r="36" spans="1:13" ht="10.5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"&amp;'7.2'!$J$1&amp;", "&amp;'7.2'!$J$2</f>
        <v>(3) Exhibit 7, Sheet 2</v>
      </c>
      <c r="L39" s="2"/>
    </row>
    <row r="40" spans="1:13" x14ac:dyDescent="0.2">
      <c r="B40" s="22" t="str">
        <f>E12&amp;" = "&amp;C12&amp;" * "&amp;D12</f>
        <v>(4) = (2) * (3)</v>
      </c>
      <c r="F40" s="60"/>
      <c r="G40" s="23"/>
      <c r="L40" s="2"/>
    </row>
    <row r="41" spans="1:13" x14ac:dyDescent="0.2">
      <c r="B41" s="22" t="str">
        <f>A33&amp;" Provided by TWIA"</f>
        <v>(5) Provided by TWIA</v>
      </c>
      <c r="L41" s="2"/>
    </row>
    <row r="42" spans="1:13" x14ac:dyDescent="0.2">
      <c r="B42" s="22" t="str">
        <f>A34&amp;" = "&amp;E12&amp;" Total / "&amp;A33</f>
        <v>(6) = (4) Total / (5)</v>
      </c>
      <c r="L42" s="2"/>
    </row>
    <row r="43" spans="1:13" s="59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59" customFormat="1" x14ac:dyDescent="0.2">
      <c r="A51"/>
      <c r="B51"/>
      <c r="C51"/>
      <c r="D51"/>
      <c r="E51"/>
      <c r="L51" s="2"/>
    </row>
    <row r="52" spans="1:12" s="59" customFormat="1" x14ac:dyDescent="0.2">
      <c r="L52" s="2"/>
    </row>
    <row r="53" spans="1:12" s="59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59" customFormat="1" x14ac:dyDescent="0.2">
      <c r="L54" s="2"/>
    </row>
    <row r="55" spans="1:12" s="59" customFormat="1" x14ac:dyDescent="0.2">
      <c r="A55" s="65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59" customFormat="1" x14ac:dyDescent="0.2">
      <c r="A56" s="65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59" customFormat="1" x14ac:dyDescent="0.2">
      <c r="A57" s="65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59" customFormat="1" x14ac:dyDescent="0.2">
      <c r="A58" s="65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59" customFormat="1" x14ac:dyDescent="0.2">
      <c r="A59" s="65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59" customFormat="1" x14ac:dyDescent="0.2">
      <c r="A60" s="65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59" customFormat="1" x14ac:dyDescent="0.2">
      <c r="A61" s="65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59" customFormat="1" x14ac:dyDescent="0.2">
      <c r="A62" s="65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59" customFormat="1" x14ac:dyDescent="0.2">
      <c r="A63" s="65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0"/>
      <c r="D64" s="60"/>
      <c r="E64" s="60"/>
      <c r="F64" s="60"/>
      <c r="G64" s="23"/>
      <c r="L64" s="2"/>
    </row>
    <row r="65" spans="1:12" x14ac:dyDescent="0.2">
      <c r="B65" s="25"/>
      <c r="C65" s="60"/>
      <c r="D65" s="60"/>
      <c r="E65" s="60"/>
      <c r="F65" s="60"/>
      <c r="G65" s="23"/>
      <c r="L65" s="2"/>
    </row>
    <row r="66" spans="1:12" x14ac:dyDescent="0.2">
      <c r="B66" s="25"/>
      <c r="C66" s="60"/>
      <c r="D66" s="60"/>
      <c r="E66" s="60"/>
      <c r="F66" s="60"/>
      <c r="G66" s="23"/>
      <c r="L66" s="2"/>
    </row>
    <row r="67" spans="1:12" x14ac:dyDescent="0.2">
      <c r="B67" s="25"/>
      <c r="C67" s="60"/>
      <c r="D67" s="60"/>
      <c r="E67" s="60"/>
      <c r="F67" s="60"/>
      <c r="G67" s="23"/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>
    <tabColor rgb="FF92D050"/>
  </sheetPr>
  <dimension ref="A1:N70"/>
  <sheetViews>
    <sheetView showGridLines="0" topLeftCell="A34" workbookViewId="0">
      <selection activeCell="H35" sqref="H35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298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85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170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52" t="s">
        <v>143</v>
      </c>
      <c r="D9" t="s">
        <v>71</v>
      </c>
      <c r="K9" s="2"/>
      <c r="L9" s="27"/>
    </row>
    <row r="10" spans="1:12" x14ac:dyDescent="0.2">
      <c r="C10" t="s">
        <v>144</v>
      </c>
      <c r="D10" t="s">
        <v>166</v>
      </c>
      <c r="E10" t="s">
        <v>145</v>
      </c>
      <c r="K10" s="2"/>
      <c r="L10" s="22" t="s">
        <v>165</v>
      </c>
    </row>
    <row r="11" spans="1:12" x14ac:dyDescent="0.2">
      <c r="A11" s="9" t="s">
        <v>142</v>
      </c>
      <c r="B11" s="9"/>
      <c r="C11" s="9" t="str">
        <f>"as of "&amp;TEXT($L$11,"m/d/yy")</f>
        <v>as of 11/30/20</v>
      </c>
      <c r="D11" s="9" t="s">
        <v>167</v>
      </c>
      <c r="E11" s="9" t="s">
        <v>146</v>
      </c>
      <c r="K11" s="2"/>
      <c r="L11" s="83">
        <f>'8.2'!L11</f>
        <v>44165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150</v>
      </c>
      <c r="C14" s="80">
        <f>ROUND('[4]Hurr Models'!$F30/1000,0)</f>
        <v>1641086</v>
      </c>
      <c r="D14" s="80">
        <f>ROUND('[4]Hurr Models'!$L30,0)</f>
        <v>4150548</v>
      </c>
      <c r="E14" s="39">
        <f>ROUND(D14/C14,3)</f>
        <v>2.5289999999999999</v>
      </c>
      <c r="G14" s="19"/>
      <c r="H14" s="19"/>
      <c r="K14" s="2"/>
      <c r="L14" s="43"/>
    </row>
    <row r="15" spans="1:12" x14ac:dyDescent="0.2">
      <c r="A15" t="s">
        <v>151</v>
      </c>
      <c r="C15" s="80">
        <f>ROUND('[4]Hurr Models'!$F31/1000,0)</f>
        <v>9184245</v>
      </c>
      <c r="D15" s="80">
        <f>ROUND('[4]Hurr Models'!$L31,0)</f>
        <v>16162522</v>
      </c>
      <c r="E15" s="39">
        <f t="shared" ref="E15:E28" si="0">ROUND(D15/C15,3)</f>
        <v>1.76</v>
      </c>
      <c r="G15" s="19"/>
      <c r="H15" s="19"/>
      <c r="K15" s="2"/>
      <c r="L15" s="43"/>
    </row>
    <row r="16" spans="1:12" x14ac:dyDescent="0.2">
      <c r="A16" t="s">
        <v>152</v>
      </c>
      <c r="C16" s="80">
        <f>ROUND('[4]Hurr Models'!$F32/1000,0)</f>
        <v>928096</v>
      </c>
      <c r="D16" s="80">
        <f>ROUND('[4]Hurr Models'!$L32,0)</f>
        <v>2835323</v>
      </c>
      <c r="E16" s="39">
        <f t="shared" si="0"/>
        <v>3.0550000000000002</v>
      </c>
      <c r="G16" s="19"/>
      <c r="H16" s="19"/>
      <c r="K16" s="2"/>
      <c r="L16" s="43"/>
    </row>
    <row r="17" spans="1:14" x14ac:dyDescent="0.2">
      <c r="A17" t="s">
        <v>153</v>
      </c>
      <c r="C17" s="80">
        <f>ROUND('[4]Hurr Models'!$F33/1000,0)</f>
        <v>2026672</v>
      </c>
      <c r="D17" s="80">
        <f>ROUND('[4]Hurr Models'!$L33,0)</f>
        <v>3653867</v>
      </c>
      <c r="E17" s="39">
        <f t="shared" si="0"/>
        <v>1.8029999999999999</v>
      </c>
      <c r="G17" s="19"/>
      <c r="H17" s="19"/>
      <c r="K17" s="2"/>
      <c r="L17" s="43"/>
    </row>
    <row r="18" spans="1:14" x14ac:dyDescent="0.2">
      <c r="A18" t="s">
        <v>154</v>
      </c>
      <c r="C18" s="80">
        <f>ROUND('[4]Hurr Models'!$F34/1000,0)</f>
        <v>1413194</v>
      </c>
      <c r="D18" s="80">
        <f>ROUND('[4]Hurr Models'!$L34,0)</f>
        <v>2285500</v>
      </c>
      <c r="E18" s="39">
        <f t="shared" si="0"/>
        <v>1.617</v>
      </c>
      <c r="G18" s="19"/>
      <c r="H18" s="19"/>
      <c r="K18" s="2"/>
      <c r="L18" s="43"/>
    </row>
    <row r="19" spans="1:14" x14ac:dyDescent="0.2">
      <c r="A19" t="s">
        <v>155</v>
      </c>
      <c r="C19" s="80">
        <f>ROUND('[4]Hurr Models'!$F35/1000,0)</f>
        <v>19194216</v>
      </c>
      <c r="D19" s="80">
        <f>ROUND('[4]Hurr Models'!$L35,0)</f>
        <v>78419240</v>
      </c>
      <c r="E19" s="39">
        <f t="shared" si="0"/>
        <v>4.0860000000000003</v>
      </c>
      <c r="G19" s="19"/>
      <c r="H19" s="19"/>
      <c r="K19" s="2"/>
      <c r="L19" s="43"/>
    </row>
    <row r="20" spans="1:14" x14ac:dyDescent="0.2">
      <c r="A20" t="s">
        <v>156</v>
      </c>
      <c r="C20" s="80">
        <f>ROUND('[4]Hurr Models'!$F36/1000,0)</f>
        <v>1145896</v>
      </c>
      <c r="D20" s="80">
        <f>ROUND('[4]Hurr Models'!$L36,0)</f>
        <v>4498400</v>
      </c>
      <c r="E20" s="39">
        <f t="shared" si="0"/>
        <v>3.9260000000000002</v>
      </c>
      <c r="G20" s="19"/>
      <c r="H20" s="19"/>
      <c r="K20" s="2"/>
      <c r="L20" s="43"/>
    </row>
    <row r="21" spans="1:14" x14ac:dyDescent="0.2">
      <c r="A21" t="s">
        <v>157</v>
      </c>
      <c r="C21" s="80">
        <f>ROUND('[4]Hurr Models'!$F37/1000,0)</f>
        <v>6116468</v>
      </c>
      <c r="D21" s="80">
        <f>ROUND('[4]Hurr Models'!$L37,0)</f>
        <v>12202287</v>
      </c>
      <c r="E21" s="39">
        <f t="shared" si="0"/>
        <v>1.9950000000000001</v>
      </c>
      <c r="G21" s="19"/>
      <c r="H21" s="19"/>
      <c r="K21" s="2"/>
      <c r="L21" s="43"/>
    </row>
    <row r="22" spans="1:14" x14ac:dyDescent="0.2">
      <c r="A22" t="s">
        <v>158</v>
      </c>
      <c r="C22" s="80">
        <f>ROUND('[4]Hurr Models'!$F38/1000,0)</f>
        <v>6205</v>
      </c>
      <c r="D22" s="80">
        <f>ROUND('[4]Hurr Models'!$L38,0)</f>
        <v>4978</v>
      </c>
      <c r="E22" s="39">
        <f t="shared" si="0"/>
        <v>0.80200000000000005</v>
      </c>
      <c r="G22" s="19"/>
      <c r="H22" s="19"/>
      <c r="K22" s="2"/>
      <c r="L22" s="43"/>
    </row>
    <row r="23" spans="1:14" x14ac:dyDescent="0.2">
      <c r="A23" t="s">
        <v>159</v>
      </c>
      <c r="B23" s="22"/>
      <c r="C23" s="80">
        <f>ROUND('[4]Hurr Models'!$F39/1000,0)</f>
        <v>173966</v>
      </c>
      <c r="D23" s="80">
        <f>ROUND('[4]Hurr Models'!$L39,0)</f>
        <v>163864</v>
      </c>
      <c r="E23" s="39">
        <f t="shared" si="0"/>
        <v>0.94199999999999995</v>
      </c>
      <c r="G23" s="19"/>
      <c r="H23" s="19"/>
      <c r="K23" s="2"/>
      <c r="L23" s="43"/>
    </row>
    <row r="24" spans="1:14" x14ac:dyDescent="0.2">
      <c r="A24" t="s">
        <v>160</v>
      </c>
      <c r="B24" s="22"/>
      <c r="C24" s="80">
        <f>ROUND('[4]Hurr Models'!$F40/1000,0)</f>
        <v>1107032</v>
      </c>
      <c r="D24" s="80">
        <f>ROUND('[4]Hurr Models'!$L40,0)</f>
        <v>3010414</v>
      </c>
      <c r="E24" s="39">
        <f t="shared" si="0"/>
        <v>2.7189999999999999</v>
      </c>
      <c r="G24" s="19"/>
      <c r="H24" s="19"/>
      <c r="K24" s="2"/>
      <c r="L24" s="43"/>
    </row>
    <row r="25" spans="1:14" x14ac:dyDescent="0.2">
      <c r="A25" t="s">
        <v>161</v>
      </c>
      <c r="B25" s="22"/>
      <c r="C25" s="80">
        <f>ROUND('[4]Hurr Models'!$F41/1000,0)</f>
        <v>10012218</v>
      </c>
      <c r="D25" s="80">
        <f>ROUND('[4]Hurr Models'!$L41,0)</f>
        <v>26000396</v>
      </c>
      <c r="E25" s="39">
        <f t="shared" si="0"/>
        <v>2.597</v>
      </c>
      <c r="G25" s="19"/>
      <c r="H25" s="19"/>
      <c r="K25" s="2"/>
      <c r="L25" s="43"/>
    </row>
    <row r="26" spans="1:14" x14ac:dyDescent="0.2">
      <c r="A26" t="s">
        <v>162</v>
      </c>
      <c r="C26" s="80">
        <f>ROUND('[4]Hurr Models'!$F42/1000,0)</f>
        <v>78870</v>
      </c>
      <c r="D26" s="80">
        <f>ROUND('[4]Hurr Models'!$L42,0)</f>
        <v>117626</v>
      </c>
      <c r="E26" s="39">
        <f t="shared" si="0"/>
        <v>1.4910000000000001</v>
      </c>
      <c r="G26" s="19"/>
      <c r="H26" s="19"/>
      <c r="K26" s="2"/>
      <c r="L26" s="43"/>
    </row>
    <row r="27" spans="1:14" x14ac:dyDescent="0.2">
      <c r="A27" t="s">
        <v>163</v>
      </c>
      <c r="C27" s="80">
        <f>ROUND('[4]Hurr Models'!$F43/1000,0)</f>
        <v>1593039</v>
      </c>
      <c r="D27" s="80">
        <f>ROUND('[4]Hurr Models'!$L43,0)</f>
        <v>3059625</v>
      </c>
      <c r="E27" s="39">
        <f t="shared" si="0"/>
        <v>1.921</v>
      </c>
      <c r="G27" s="19"/>
      <c r="H27" s="19"/>
      <c r="K27" s="2"/>
      <c r="L27" s="43"/>
    </row>
    <row r="28" spans="1:14" x14ac:dyDescent="0.2">
      <c r="A28" t="s">
        <v>164</v>
      </c>
      <c r="C28" s="80">
        <f>ROUND('[4]Hurr Models'!$F44/1000,0)</f>
        <v>79020</v>
      </c>
      <c r="D28" s="80">
        <f>ROUND('[4]Hurr Models'!$L44,0)</f>
        <v>163797</v>
      </c>
      <c r="E28" s="39">
        <f t="shared" si="0"/>
        <v>2.073</v>
      </c>
      <c r="G28" s="19"/>
      <c r="H28" s="19"/>
      <c r="K28" s="2"/>
      <c r="L28" s="43"/>
    </row>
    <row r="29" spans="1:14" x14ac:dyDescent="0.2">
      <c r="A29" s="9"/>
      <c r="B29" s="26"/>
      <c r="C29" s="81"/>
      <c r="D29" s="81"/>
      <c r="E29" s="40"/>
      <c r="F29" s="45"/>
      <c r="G29" s="45"/>
      <c r="H29" s="45"/>
      <c r="I29" s="45"/>
      <c r="J29" s="59"/>
      <c r="K29" s="2"/>
    </row>
    <row r="30" spans="1:14" x14ac:dyDescent="0.2">
      <c r="C30" s="19"/>
      <c r="D30" s="19"/>
      <c r="E30" s="12"/>
      <c r="K30" s="2"/>
    </row>
    <row r="31" spans="1:14" x14ac:dyDescent="0.2">
      <c r="A31" t="s">
        <v>9</v>
      </c>
      <c r="C31" s="31">
        <f>SUM(C14:C28)</f>
        <v>54700223</v>
      </c>
      <c r="D31" s="31">
        <f>SUM(D14:D28)</f>
        <v>156728387</v>
      </c>
      <c r="E31" s="39">
        <f>ROUND(D31/C31,3)</f>
        <v>2.8650000000000002</v>
      </c>
      <c r="K31" s="2"/>
    </row>
    <row r="32" spans="1:14" ht="10.5" thickBot="1" x14ac:dyDescent="0.25">
      <c r="A32" s="6"/>
      <c r="B32" s="6"/>
      <c r="C32" s="6"/>
      <c r="D32" s="6"/>
      <c r="E32" s="6"/>
      <c r="K32" s="2"/>
      <c r="M32" s="19"/>
      <c r="N32" s="19"/>
    </row>
    <row r="33" spans="1:13" ht="10.5" thickTop="1" x14ac:dyDescent="0.2">
      <c r="K33" s="2"/>
      <c r="M33" s="342"/>
    </row>
    <row r="34" spans="1:13" x14ac:dyDescent="0.2">
      <c r="A34" t="s">
        <v>17</v>
      </c>
      <c r="K34" s="2"/>
    </row>
    <row r="35" spans="1:13" x14ac:dyDescent="0.2">
      <c r="B35" s="22" t="str">
        <f>C12&amp;" Provided by TWIA and Geo-coded by AIR"</f>
        <v>(2) Provided by TWIA and Geo-coded by AIR</v>
      </c>
      <c r="K35" s="2"/>
    </row>
    <row r="36" spans="1:13" x14ac:dyDescent="0.2">
      <c r="B36" s="22" t="str">
        <f>D12&amp;" Provided by AIR"</f>
        <v>(3) Provided by AIR</v>
      </c>
      <c r="K36" s="2"/>
    </row>
    <row r="37" spans="1:13" x14ac:dyDescent="0.2">
      <c r="B37" s="22" t="str">
        <f>E12&amp;" = "&amp;D12&amp;" / "&amp;C12</f>
        <v>(4) = (3) / (2)</v>
      </c>
      <c r="K37" s="2"/>
    </row>
    <row r="38" spans="1:13" x14ac:dyDescent="0.2">
      <c r="K38" s="2"/>
    </row>
    <row r="39" spans="1:13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"/>
    </row>
    <row r="40" spans="1:13" x14ac:dyDescent="0.2">
      <c r="K40" s="2"/>
    </row>
    <row r="41" spans="1:13" s="59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3" s="59" customFormat="1" x14ac:dyDescent="0.2">
      <c r="A42"/>
      <c r="B42"/>
      <c r="C42"/>
      <c r="D42"/>
      <c r="E42" s="45"/>
      <c r="F42"/>
      <c r="G42"/>
      <c r="H42"/>
      <c r="I42"/>
      <c r="J42"/>
      <c r="K42" s="2"/>
    </row>
    <row r="43" spans="1:13" x14ac:dyDescent="0.2">
      <c r="K43" s="2"/>
    </row>
    <row r="44" spans="1:13" x14ac:dyDescent="0.2">
      <c r="K44" s="2"/>
    </row>
    <row r="45" spans="1:13" x14ac:dyDescent="0.2">
      <c r="K45" s="2"/>
    </row>
    <row r="46" spans="1:13" x14ac:dyDescent="0.2">
      <c r="K46" s="2"/>
    </row>
    <row r="47" spans="1:13" x14ac:dyDescent="0.2">
      <c r="K47" s="2"/>
    </row>
    <row r="48" spans="1:13" x14ac:dyDescent="0.2">
      <c r="K48" s="2"/>
    </row>
    <row r="49" spans="1:11" x14ac:dyDescent="0.2">
      <c r="K49" s="2"/>
    </row>
    <row r="50" spans="1:11" s="59" customFormat="1" x14ac:dyDescent="0.2">
      <c r="A50"/>
      <c r="B50"/>
      <c r="C50"/>
      <c r="D50"/>
      <c r="K50" s="2"/>
    </row>
    <row r="51" spans="1:11" s="59" customFormat="1" x14ac:dyDescent="0.2">
      <c r="K51" s="2"/>
    </row>
    <row r="52" spans="1:11" s="59" customFormat="1" x14ac:dyDescent="0.2">
      <c r="A52" s="45"/>
      <c r="B52" s="45"/>
      <c r="C52" s="45"/>
      <c r="D52" s="45"/>
      <c r="E52" s="45"/>
      <c r="F52" s="45"/>
      <c r="G52" s="45"/>
      <c r="H52" s="45"/>
      <c r="I52" s="45"/>
      <c r="K52" s="2"/>
    </row>
    <row r="53" spans="1:11" s="59" customFormat="1" x14ac:dyDescent="0.2">
      <c r="K53" s="2"/>
    </row>
    <row r="54" spans="1:11" s="59" customFormat="1" x14ac:dyDescent="0.2">
      <c r="A54" s="65"/>
      <c r="C54" s="38"/>
      <c r="D54" s="38"/>
      <c r="E54" s="38"/>
      <c r="F54" s="33"/>
      <c r="G54" s="33"/>
      <c r="H54" s="33"/>
      <c r="I54" s="33"/>
      <c r="K54" s="2"/>
    </row>
    <row r="55" spans="1:11" s="59" customFormat="1" x14ac:dyDescent="0.2">
      <c r="A55" s="65"/>
      <c r="C55" s="38"/>
      <c r="D55" s="38"/>
      <c r="E55" s="38"/>
      <c r="F55" s="33"/>
      <c r="G55" s="33"/>
      <c r="H55" s="33"/>
      <c r="I55" s="33"/>
      <c r="K55" s="2"/>
    </row>
    <row r="56" spans="1:11" s="59" customFormat="1" x14ac:dyDescent="0.2">
      <c r="A56" s="65"/>
      <c r="C56" s="38"/>
      <c r="D56" s="38"/>
      <c r="E56" s="38"/>
      <c r="F56" s="33"/>
      <c r="G56" s="33"/>
      <c r="H56" s="33"/>
      <c r="I56" s="33"/>
      <c r="K56" s="2"/>
    </row>
    <row r="57" spans="1:11" s="59" customFormat="1" x14ac:dyDescent="0.2">
      <c r="A57" s="65"/>
      <c r="C57" s="38"/>
      <c r="D57" s="38"/>
      <c r="E57" s="38"/>
      <c r="F57" s="33"/>
      <c r="G57" s="33"/>
      <c r="H57" s="33"/>
      <c r="I57" s="33"/>
      <c r="K57" s="2"/>
    </row>
    <row r="58" spans="1:11" s="59" customFormat="1" x14ac:dyDescent="0.2">
      <c r="A58" s="65"/>
      <c r="C58" s="38"/>
      <c r="D58" s="38"/>
      <c r="E58" s="38"/>
      <c r="F58" s="33"/>
      <c r="G58" s="33"/>
      <c r="H58" s="33"/>
      <c r="I58" s="33"/>
      <c r="K58" s="2"/>
    </row>
    <row r="59" spans="1:11" s="59" customFormat="1" x14ac:dyDescent="0.2">
      <c r="A59" s="65"/>
      <c r="C59" s="38"/>
      <c r="D59" s="38"/>
      <c r="E59" s="38"/>
      <c r="F59" s="33"/>
      <c r="G59" s="33"/>
      <c r="H59" s="33"/>
      <c r="I59" s="33"/>
      <c r="K59" s="2"/>
    </row>
    <row r="60" spans="1:11" s="59" customFormat="1" x14ac:dyDescent="0.2">
      <c r="A60" s="65"/>
      <c r="C60" s="38"/>
      <c r="D60" s="38"/>
      <c r="E60" s="38"/>
      <c r="F60" s="33"/>
      <c r="G60" s="33"/>
      <c r="H60" s="33"/>
      <c r="I60" s="33"/>
      <c r="K60" s="2"/>
    </row>
    <row r="61" spans="1:11" s="59" customFormat="1" x14ac:dyDescent="0.2">
      <c r="A61" s="65"/>
      <c r="C61" s="38"/>
      <c r="D61" s="38"/>
      <c r="E61" s="38"/>
      <c r="F61" s="33"/>
      <c r="G61" s="33"/>
      <c r="H61" s="33"/>
      <c r="I61" s="33"/>
      <c r="K61" s="2"/>
    </row>
    <row r="62" spans="1:11" s="59" customFormat="1" x14ac:dyDescent="0.2">
      <c r="A62" s="65"/>
      <c r="C62" s="29"/>
      <c r="D62" s="29"/>
      <c r="E62" s="29"/>
      <c r="F62" s="29"/>
      <c r="G62" s="29"/>
      <c r="H62" s="29"/>
      <c r="I62" s="29"/>
      <c r="K62" s="2"/>
    </row>
    <row r="63" spans="1:11" x14ac:dyDescent="0.2">
      <c r="B63" s="25"/>
      <c r="C63" s="60"/>
      <c r="D63" s="60"/>
      <c r="E63" s="60"/>
      <c r="F63" s="23"/>
      <c r="K63" s="2"/>
    </row>
    <row r="64" spans="1:11" x14ac:dyDescent="0.2">
      <c r="B64" s="25"/>
      <c r="C64" s="60"/>
      <c r="D64" s="60"/>
      <c r="E64" s="60"/>
      <c r="F64" s="23"/>
      <c r="K64" s="2"/>
    </row>
    <row r="65" spans="1:11" x14ac:dyDescent="0.2">
      <c r="B65" s="25"/>
      <c r="C65" s="60"/>
      <c r="D65" s="60"/>
      <c r="E65" s="60"/>
      <c r="F65" s="23"/>
      <c r="K65" s="2"/>
    </row>
    <row r="66" spans="1:11" x14ac:dyDescent="0.2">
      <c r="B66" s="25"/>
      <c r="C66" s="60"/>
      <c r="D66" s="60"/>
      <c r="E66" s="60"/>
      <c r="F66" s="23"/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  <row r="70" spans="1:11" x14ac:dyDescent="0.2">
      <c r="B70" t="s">
        <v>326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</sheetPr>
  <dimension ref="A1:L69"/>
  <sheetViews>
    <sheetView showGridLines="0" workbookViewId="0">
      <selection activeCell="K18" sqref="K18"/>
    </sheetView>
  </sheetViews>
  <sheetFormatPr defaultColWidth="11.33203125" defaultRowHeight="10" x14ac:dyDescent="0.2"/>
  <cols>
    <col min="1" max="1" width="2.44140625" bestFit="1" customWidth="1"/>
    <col min="2" max="2" width="16.6640625" customWidth="1"/>
    <col min="3" max="5" width="15.33203125" customWidth="1"/>
    <col min="6" max="9" width="11.33203125" customWidth="1"/>
    <col min="10" max="10" width="10.66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21</v>
      </c>
      <c r="K2" s="2"/>
    </row>
    <row r="3" spans="1:12" ht="10.5" x14ac:dyDescent="0.25">
      <c r="A3" s="8" t="str">
        <f>'1'!$A$3</f>
        <v>Rate Level Review</v>
      </c>
      <c r="B3" s="12"/>
      <c r="J3" s="129"/>
      <c r="K3" s="2"/>
    </row>
    <row r="4" spans="1:12" x14ac:dyDescent="0.2">
      <c r="A4" t="s">
        <v>18</v>
      </c>
      <c r="B4" s="12"/>
      <c r="K4" s="2"/>
    </row>
    <row r="5" spans="1:12" x14ac:dyDescent="0.2">
      <c r="A5" t="s">
        <v>19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  <c r="L8" t="s">
        <v>219</v>
      </c>
    </row>
    <row r="9" spans="1:12" x14ac:dyDescent="0.2">
      <c r="C9" s="24" t="str">
        <f>YEAR($L$9)&amp;" Written Premium"</f>
        <v>2020 Written Premium</v>
      </c>
      <c r="E9" t="s">
        <v>13</v>
      </c>
      <c r="K9" s="2"/>
      <c r="L9" s="282">
        <v>44196</v>
      </c>
    </row>
    <row r="10" spans="1:12" x14ac:dyDescent="0.2">
      <c r="E10" t="s">
        <v>8</v>
      </c>
      <c r="K10" s="2"/>
    </row>
    <row r="11" spans="1:12" x14ac:dyDescent="0.2">
      <c r="A11" s="9" t="s">
        <v>22</v>
      </c>
      <c r="B11" s="9"/>
      <c r="C11" s="9" t="s">
        <v>27</v>
      </c>
      <c r="D11" s="9" t="s">
        <v>28</v>
      </c>
      <c r="E11" s="9" t="s">
        <v>29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23</v>
      </c>
      <c r="C14" s="80">
        <f>'[4]TWIA 5'!Y23</f>
        <v>110461812</v>
      </c>
      <c r="D14" s="20">
        <f>C14/C$19</f>
        <v>0.35481608519455077</v>
      </c>
      <c r="E14" s="29">
        <f>'2.2a'!$H$26</f>
        <v>0.121</v>
      </c>
      <c r="G14" s="20"/>
      <c r="H14" s="20"/>
      <c r="K14" s="2"/>
    </row>
    <row r="15" spans="1:12" x14ac:dyDescent="0.2">
      <c r="A15" t="s">
        <v>26</v>
      </c>
      <c r="C15" s="80">
        <f>'[4]TWIA 5'!Y24</f>
        <v>56782746</v>
      </c>
      <c r="D15" s="20">
        <f>C15/C$19</f>
        <v>0.18239273172810652</v>
      </c>
      <c r="E15" s="29">
        <f>'2.2b'!$H$26</f>
        <v>0.153</v>
      </c>
      <c r="G15" s="20"/>
      <c r="H15" s="20"/>
      <c r="K15" s="2"/>
    </row>
    <row r="16" spans="1:12" x14ac:dyDescent="0.2">
      <c r="A16" t="s">
        <v>25</v>
      </c>
      <c r="C16" s="80">
        <f>'[4]TWIA 5'!Y25</f>
        <v>139598381</v>
      </c>
      <c r="D16" s="20">
        <f>C16/C$19</f>
        <v>0.44840610659109376</v>
      </c>
      <c r="E16" s="29">
        <f>'2.2c'!$H$26</f>
        <v>0.17</v>
      </c>
      <c r="G16" s="20"/>
      <c r="H16" s="20"/>
      <c r="K16" s="2"/>
    </row>
    <row r="17" spans="1:11" x14ac:dyDescent="0.2">
      <c r="A17" s="9" t="s">
        <v>24</v>
      </c>
      <c r="B17" s="9"/>
      <c r="C17" s="81">
        <f>'[4]TWIA 5'!Y26</f>
        <v>4478381</v>
      </c>
      <c r="D17" s="21">
        <f>C17/C$19</f>
        <v>1.4385076486248998E-2</v>
      </c>
      <c r="E17" s="30">
        <f>'2.2d'!$H$26</f>
        <v>0.16300000000000001</v>
      </c>
      <c r="G17" s="20"/>
      <c r="H17" s="20"/>
      <c r="K17" s="2"/>
    </row>
    <row r="18" spans="1:11" x14ac:dyDescent="0.2">
      <c r="K18" s="2"/>
    </row>
    <row r="19" spans="1:11" x14ac:dyDescent="0.2">
      <c r="A19" t="s">
        <v>30</v>
      </c>
      <c r="C19" s="19">
        <f>SUM(C14:C17)</f>
        <v>311321320</v>
      </c>
      <c r="D19" s="20">
        <f>SUM(D14:D17)</f>
        <v>1</v>
      </c>
      <c r="E19" s="29">
        <f>ROUND(SUMPRODUCT(D14:D17,E14:E17)/D19,3)</f>
        <v>0.14899999999999999</v>
      </c>
      <c r="K19" s="2"/>
    </row>
    <row r="20" spans="1:11" ht="10.5" thickBot="1" x14ac:dyDescent="0.25">
      <c r="A20" s="6"/>
      <c r="B20" s="6"/>
      <c r="C20" s="6"/>
      <c r="D20" s="6"/>
      <c r="E20" s="6"/>
      <c r="K20" s="2"/>
    </row>
    <row r="21" spans="1:11" ht="10.5" thickTop="1" x14ac:dyDescent="0.2">
      <c r="K21" s="2"/>
    </row>
    <row r="22" spans="1:11" x14ac:dyDescent="0.2">
      <c r="A22" t="s">
        <v>17</v>
      </c>
      <c r="K22" s="2"/>
    </row>
    <row r="23" spans="1:11" x14ac:dyDescent="0.2">
      <c r="B23" s="12" t="str">
        <f>C12&amp;" TWIA data"</f>
        <v>(2) TWIA data</v>
      </c>
      <c r="K23" s="2"/>
    </row>
    <row r="24" spans="1:11" x14ac:dyDescent="0.2">
      <c r="B24" s="12" t="str">
        <f>D12&amp;" = "&amp;C12&amp;" / "&amp;C12&amp;" Total"</f>
        <v>(3) = (2) / (2) Total</v>
      </c>
      <c r="K24" s="2"/>
    </row>
    <row r="25" spans="1:11" x14ac:dyDescent="0.2">
      <c r="B25" s="22" t="str">
        <f>E12&amp;" "&amp;'2.2a'!$J$1&amp;", "&amp;'2.2a'!$J$2&amp;" - "&amp;'2.2d'!$J$2</f>
        <v>(4) Exhibit 2, Sheet 2a - Sheet 2d</v>
      </c>
      <c r="K25" s="2"/>
    </row>
    <row r="26" spans="1:11" x14ac:dyDescent="0.2">
      <c r="B26" s="17"/>
      <c r="K26" s="2"/>
    </row>
    <row r="27" spans="1:11" x14ac:dyDescent="0.2">
      <c r="K27" s="2"/>
    </row>
    <row r="28" spans="1:11" x14ac:dyDescent="0.2">
      <c r="K28" s="2"/>
    </row>
    <row r="29" spans="1:11" x14ac:dyDescent="0.2">
      <c r="K29" s="2"/>
    </row>
    <row r="30" spans="1:11" x14ac:dyDescent="0.2">
      <c r="K30" s="2"/>
    </row>
    <row r="31" spans="1:11" x14ac:dyDescent="0.2">
      <c r="K31" s="2"/>
    </row>
    <row r="32" spans="1:11" x14ac:dyDescent="0.2">
      <c r="K32" s="2"/>
    </row>
    <row r="33" spans="11:11" x14ac:dyDescent="0.2">
      <c r="K33" s="2"/>
    </row>
    <row r="34" spans="11:11" x14ac:dyDescent="0.2">
      <c r="K34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/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>
    <tabColor rgb="FF92D050"/>
  </sheetPr>
  <dimension ref="A1:M69"/>
  <sheetViews>
    <sheetView showGridLines="0" topLeftCell="A31" workbookViewId="0">
      <selection activeCell="E31" sqref="E31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09375" customWidth="1"/>
  </cols>
  <sheetData>
    <row r="1" spans="1:13" ht="10.5" x14ac:dyDescent="0.25">
      <c r="A1" s="8" t="str">
        <f>'1'!$A$1</f>
        <v>Texas Windstorm Insurance Association</v>
      </c>
      <c r="B1" s="12"/>
      <c r="K1" s="7" t="s">
        <v>168</v>
      </c>
      <c r="L1" s="1"/>
    </row>
    <row r="2" spans="1:13" ht="10.5" x14ac:dyDescent="0.25">
      <c r="A2" s="8" t="str">
        <f>'1'!$A$2</f>
        <v>Residential Property - Wind &amp; Hail</v>
      </c>
      <c r="B2" s="12"/>
      <c r="K2" s="7" t="s">
        <v>21</v>
      </c>
      <c r="L2" s="2"/>
    </row>
    <row r="3" spans="1:13" ht="10.5" x14ac:dyDescent="0.25">
      <c r="A3" s="8" t="str">
        <f>'1'!$A$3</f>
        <v>Rate Level Review</v>
      </c>
      <c r="B3" s="12"/>
      <c r="L3" s="2"/>
    </row>
    <row r="4" spans="1:13" x14ac:dyDescent="0.2">
      <c r="A4" t="s">
        <v>172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0.5" thickBot="1" x14ac:dyDescent="0.25">
      <c r="A7" s="6"/>
      <c r="B7" s="6"/>
      <c r="C7" s="6"/>
      <c r="D7" s="6"/>
      <c r="E7" s="6"/>
      <c r="L7" s="2"/>
    </row>
    <row r="8" spans="1:13" ht="10.5" thickTop="1" x14ac:dyDescent="0.2">
      <c r="L8" s="2"/>
    </row>
    <row r="9" spans="1:13" x14ac:dyDescent="0.2">
      <c r="C9" s="52" t="s">
        <v>143</v>
      </c>
      <c r="L9" s="2"/>
      <c r="M9" s="27"/>
    </row>
    <row r="10" spans="1:13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11/30/20</v>
      </c>
      <c r="D11" s="252" t="s">
        <v>146</v>
      </c>
      <c r="E11" s="9" t="s">
        <v>147</v>
      </c>
      <c r="L11" s="2"/>
      <c r="M11" s="52">
        <f>'7.1'!$M$11</f>
        <v>44165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150</v>
      </c>
      <c r="C14" s="31">
        <f>'8.2'!C14</f>
        <v>1641086</v>
      </c>
      <c r="D14" s="271">
        <f>'8.2'!E14</f>
        <v>1.9379999999999999</v>
      </c>
      <c r="E14" s="31">
        <f t="shared" ref="E14:E28" si="0">ROUND(C14*D14,0)</f>
        <v>3180425</v>
      </c>
      <c r="L14" s="2"/>
    </row>
    <row r="15" spans="1:13" x14ac:dyDescent="0.2">
      <c r="A15" t="s">
        <v>151</v>
      </c>
      <c r="C15" s="31">
        <f>'8.2'!C15</f>
        <v>9184245</v>
      </c>
      <c r="D15" s="271">
        <f>'8.2'!E15</f>
        <v>1.6379999999999999</v>
      </c>
      <c r="E15" s="31">
        <f t="shared" si="0"/>
        <v>15043793</v>
      </c>
      <c r="L15" s="2"/>
    </row>
    <row r="16" spans="1:13" x14ac:dyDescent="0.2">
      <c r="A16" t="s">
        <v>152</v>
      </c>
      <c r="C16" s="31">
        <f>'8.2'!C16</f>
        <v>928096</v>
      </c>
      <c r="D16" s="271">
        <f>'8.2'!E16</f>
        <v>3.2120000000000002</v>
      </c>
      <c r="E16" s="31">
        <f t="shared" si="0"/>
        <v>2981044</v>
      </c>
      <c r="L16" s="2"/>
    </row>
    <row r="17" spans="1:12" x14ac:dyDescent="0.2">
      <c r="A17" t="s">
        <v>153</v>
      </c>
      <c r="C17" s="31">
        <f>'8.2'!C17</f>
        <v>2026672</v>
      </c>
      <c r="D17" s="271">
        <f>'8.2'!E17</f>
        <v>2.1139999999999999</v>
      </c>
      <c r="E17" s="31">
        <f t="shared" si="0"/>
        <v>4284385</v>
      </c>
      <c r="L17" s="2"/>
    </row>
    <row r="18" spans="1:12" x14ac:dyDescent="0.2">
      <c r="A18" t="s">
        <v>154</v>
      </c>
      <c r="C18" s="31">
        <f>'8.2'!C18</f>
        <v>1413194</v>
      </c>
      <c r="D18" s="271">
        <f>'8.2'!E18</f>
        <v>1.4830000000000001</v>
      </c>
      <c r="E18" s="31">
        <f t="shared" si="0"/>
        <v>2095767</v>
      </c>
      <c r="L18" s="2"/>
    </row>
    <row r="19" spans="1:12" x14ac:dyDescent="0.2">
      <c r="A19" t="s">
        <v>155</v>
      </c>
      <c r="C19" s="31">
        <f>'8.2'!C19</f>
        <v>19194216</v>
      </c>
      <c r="D19" s="271">
        <f>'8.2'!E19</f>
        <v>2.9670000000000001</v>
      </c>
      <c r="E19" s="31">
        <f t="shared" si="0"/>
        <v>56949239</v>
      </c>
      <c r="L19" s="2"/>
    </row>
    <row r="20" spans="1:12" x14ac:dyDescent="0.2">
      <c r="A20" t="s">
        <v>156</v>
      </c>
      <c r="C20" s="31">
        <f>'8.2'!C20</f>
        <v>1145896</v>
      </c>
      <c r="D20" s="271">
        <f>'8.2'!E20</f>
        <v>2.7320000000000002</v>
      </c>
      <c r="E20" s="31">
        <f t="shared" si="0"/>
        <v>3130588</v>
      </c>
      <c r="L20" s="2"/>
    </row>
    <row r="21" spans="1:12" x14ac:dyDescent="0.2">
      <c r="A21" t="s">
        <v>157</v>
      </c>
      <c r="C21" s="31">
        <f>'8.2'!C21</f>
        <v>6116468</v>
      </c>
      <c r="D21" s="271">
        <f>'8.2'!E21</f>
        <v>1.819</v>
      </c>
      <c r="E21" s="31">
        <f t="shared" si="0"/>
        <v>11125855</v>
      </c>
      <c r="L21" s="2"/>
    </row>
    <row r="22" spans="1:12" x14ac:dyDescent="0.2">
      <c r="A22" t="s">
        <v>158</v>
      </c>
      <c r="C22" s="31">
        <f>'8.2'!C22</f>
        <v>6205</v>
      </c>
      <c r="D22" s="271">
        <f>'8.2'!E22</f>
        <v>1.355</v>
      </c>
      <c r="E22" s="31">
        <f t="shared" si="0"/>
        <v>8408</v>
      </c>
      <c r="L22" s="2"/>
    </row>
    <row r="23" spans="1:12" x14ac:dyDescent="0.2">
      <c r="A23" t="s">
        <v>159</v>
      </c>
      <c r="B23" s="22"/>
      <c r="C23" s="31">
        <f>'8.2'!C23</f>
        <v>173966</v>
      </c>
      <c r="D23" s="271">
        <f>'8.2'!E23</f>
        <v>1.411</v>
      </c>
      <c r="E23" s="31">
        <f t="shared" si="0"/>
        <v>245466</v>
      </c>
      <c r="L23" s="2"/>
    </row>
    <row r="24" spans="1:12" x14ac:dyDescent="0.2">
      <c r="A24" t="s">
        <v>160</v>
      </c>
      <c r="B24" s="22"/>
      <c r="C24" s="31">
        <f>'8.2'!C24</f>
        <v>1107032</v>
      </c>
      <c r="D24" s="271">
        <f>'8.2'!E24</f>
        <v>2.6619999999999999</v>
      </c>
      <c r="E24" s="31">
        <f t="shared" si="0"/>
        <v>2946919</v>
      </c>
      <c r="L24" s="2"/>
    </row>
    <row r="25" spans="1:12" x14ac:dyDescent="0.2">
      <c r="A25" t="s">
        <v>161</v>
      </c>
      <c r="B25" s="22"/>
      <c r="C25" s="31">
        <f>'8.2'!C25</f>
        <v>10012218</v>
      </c>
      <c r="D25" s="271">
        <f>'8.2'!E25</f>
        <v>1.877</v>
      </c>
      <c r="E25" s="31">
        <f t="shared" si="0"/>
        <v>18792933</v>
      </c>
      <c r="L25" s="2"/>
    </row>
    <row r="26" spans="1:12" x14ac:dyDescent="0.2">
      <c r="A26" t="s">
        <v>162</v>
      </c>
      <c r="C26" s="31">
        <f>'8.2'!C26</f>
        <v>78870</v>
      </c>
      <c r="D26" s="271">
        <f>'8.2'!E26</f>
        <v>1.8</v>
      </c>
      <c r="E26" s="31">
        <f t="shared" si="0"/>
        <v>141966</v>
      </c>
      <c r="L26" s="2"/>
    </row>
    <row r="27" spans="1:12" x14ac:dyDescent="0.2">
      <c r="A27" t="s">
        <v>163</v>
      </c>
      <c r="C27" s="31">
        <f>'8.2'!C27</f>
        <v>1593039</v>
      </c>
      <c r="D27" s="271">
        <f>'8.2'!E27</f>
        <v>1.68</v>
      </c>
      <c r="E27" s="31">
        <f t="shared" si="0"/>
        <v>2676306</v>
      </c>
      <c r="L27" s="2"/>
    </row>
    <row r="28" spans="1:12" x14ac:dyDescent="0.2">
      <c r="A28" t="s">
        <v>164</v>
      </c>
      <c r="C28" s="31">
        <f>'8.2'!C28</f>
        <v>79020</v>
      </c>
      <c r="D28" s="271">
        <f>'8.2'!E28</f>
        <v>2.6629999999999998</v>
      </c>
      <c r="E28" s="31">
        <f t="shared" si="0"/>
        <v>210430</v>
      </c>
      <c r="L28" s="2"/>
    </row>
    <row r="29" spans="1:12" s="59" customFormat="1" x14ac:dyDescent="0.2">
      <c r="A29" s="9"/>
      <c r="B29" s="26"/>
      <c r="C29" s="32"/>
      <c r="D29" s="272"/>
      <c r="E29" s="32"/>
      <c r="L29" s="2"/>
    </row>
    <row r="30" spans="1:12" x14ac:dyDescent="0.2">
      <c r="C30" s="19"/>
      <c r="D30" s="273"/>
      <c r="E30" s="12"/>
      <c r="L30" s="2"/>
    </row>
    <row r="31" spans="1:12" x14ac:dyDescent="0.2">
      <c r="A31" t="s">
        <v>9</v>
      </c>
      <c r="C31" s="31">
        <f>SUM(C14:C28)</f>
        <v>54700223</v>
      </c>
      <c r="D31" s="271">
        <f>E31/C31</f>
        <v>2.2634921250686673</v>
      </c>
      <c r="E31" s="31">
        <f>SUM(E14:E28)</f>
        <v>123813524</v>
      </c>
      <c r="L31" s="2"/>
    </row>
    <row r="32" spans="1:12" x14ac:dyDescent="0.2">
      <c r="L32" s="2"/>
    </row>
    <row r="33" spans="1:13" x14ac:dyDescent="0.2">
      <c r="A33" s="56" t="s">
        <v>120</v>
      </c>
      <c r="B33" t="str">
        <f>'7.1'!B33</f>
        <v>Inforce-Premium as of 11/30/20 at Present Rates</v>
      </c>
      <c r="E33" s="31">
        <f>'7.1'!E33</f>
        <v>310647523</v>
      </c>
      <c r="L33" s="2"/>
      <c r="M33" s="68">
        <f>'7.1'!$M$33</f>
        <v>44196</v>
      </c>
    </row>
    <row r="34" spans="1:13" x14ac:dyDescent="0.2">
      <c r="A34" s="56" t="s">
        <v>124</v>
      </c>
      <c r="B34" t="s">
        <v>149</v>
      </c>
      <c r="E34" s="20">
        <f>ROUND(E31/E33,3)</f>
        <v>0.39900000000000002</v>
      </c>
      <c r="F34" s="45"/>
      <c r="L34" s="2"/>
    </row>
    <row r="35" spans="1:13" ht="10.5" thickBot="1" x14ac:dyDescent="0.25">
      <c r="A35" s="6"/>
      <c r="B35" s="6"/>
      <c r="C35" s="6"/>
      <c r="D35" s="6"/>
      <c r="E35" s="6"/>
      <c r="L35" s="2"/>
    </row>
    <row r="36" spans="1:13" ht="10.5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"&amp;'8.2'!$J$1&amp;", "&amp;'8.2'!$J$2</f>
        <v>(3) Exhibit 8, Sheet 2</v>
      </c>
      <c r="L39" s="2"/>
    </row>
    <row r="40" spans="1:13" x14ac:dyDescent="0.2">
      <c r="B40" s="22" t="str">
        <f>E12&amp;" = "&amp;C12&amp;" * "&amp;D12</f>
        <v>(4) = (2) * (3)</v>
      </c>
      <c r="F40" s="60"/>
      <c r="G40" s="23"/>
      <c r="L40" s="2"/>
    </row>
    <row r="41" spans="1:13" x14ac:dyDescent="0.2">
      <c r="B41" s="22" t="str">
        <f>A33&amp;" "&amp;" Provided by TWIA"</f>
        <v>(5)  Provided by TWIA</v>
      </c>
      <c r="L41" s="2"/>
    </row>
    <row r="42" spans="1:13" x14ac:dyDescent="0.2">
      <c r="B42" s="22" t="str">
        <f>A34&amp;" = "&amp;E12&amp;" Total / "&amp;A33&amp;""</f>
        <v>(6) = (4) Total / (5)</v>
      </c>
      <c r="L42" s="2"/>
    </row>
    <row r="43" spans="1:13" s="59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59" customFormat="1" x14ac:dyDescent="0.2">
      <c r="A51"/>
      <c r="B51"/>
      <c r="C51"/>
      <c r="D51"/>
      <c r="E51"/>
      <c r="L51" s="2"/>
    </row>
    <row r="52" spans="1:12" s="59" customFormat="1" x14ac:dyDescent="0.2">
      <c r="L52" s="2"/>
    </row>
    <row r="53" spans="1:12" s="59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59" customFormat="1" x14ac:dyDescent="0.2">
      <c r="L54" s="2"/>
    </row>
    <row r="55" spans="1:12" s="59" customFormat="1" x14ac:dyDescent="0.2">
      <c r="A55" s="65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59" customFormat="1" x14ac:dyDescent="0.2">
      <c r="A56" s="65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59" customFormat="1" x14ac:dyDescent="0.2">
      <c r="A57" s="65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59" customFormat="1" x14ac:dyDescent="0.2">
      <c r="A58" s="65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59" customFormat="1" x14ac:dyDescent="0.2">
      <c r="A59" s="65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59" customFormat="1" x14ac:dyDescent="0.2">
      <c r="A60" s="65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59" customFormat="1" x14ac:dyDescent="0.2">
      <c r="A61" s="65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59" customFormat="1" x14ac:dyDescent="0.2">
      <c r="A62" s="65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59" customFormat="1" x14ac:dyDescent="0.2">
      <c r="A63" s="65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0"/>
      <c r="D64" s="60"/>
      <c r="E64" s="60"/>
      <c r="F64" s="60"/>
      <c r="G64" s="23"/>
      <c r="L64" s="2"/>
    </row>
    <row r="65" spans="1:12" x14ac:dyDescent="0.2">
      <c r="B65" s="25"/>
      <c r="C65" s="60"/>
      <c r="D65" s="60"/>
      <c r="E65" s="60"/>
      <c r="F65" s="60"/>
      <c r="G65" s="23"/>
      <c r="L65" s="2"/>
    </row>
    <row r="66" spans="1:12" x14ac:dyDescent="0.2">
      <c r="B66" s="25"/>
      <c r="C66" s="60"/>
      <c r="D66" s="60"/>
      <c r="E66" s="60"/>
      <c r="F66" s="60"/>
      <c r="G66" s="23"/>
      <c r="L66" s="2"/>
    </row>
    <row r="67" spans="1:12" x14ac:dyDescent="0.2">
      <c r="B67" s="25"/>
      <c r="C67" s="60"/>
      <c r="D67" s="60"/>
      <c r="E67" s="60"/>
      <c r="F67" s="60"/>
      <c r="G67" s="23"/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>
    <tabColor rgb="FF92D050"/>
  </sheetPr>
  <dimension ref="A1:O68"/>
  <sheetViews>
    <sheetView showGridLines="0" topLeftCell="A25" workbookViewId="0">
      <selection activeCell="H40" sqref="H40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3" max="13" width="12.109375" customWidth="1"/>
    <col min="15" max="15" width="14.332031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168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85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173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52" t="s">
        <v>143</v>
      </c>
      <c r="D9" t="s">
        <v>71</v>
      </c>
      <c r="K9" s="2"/>
      <c r="L9" s="27"/>
    </row>
    <row r="10" spans="1:12" x14ac:dyDescent="0.2">
      <c r="C10" t="s">
        <v>144</v>
      </c>
      <c r="D10" t="s">
        <v>166</v>
      </c>
      <c r="E10" t="s">
        <v>145</v>
      </c>
      <c r="K10" s="2"/>
      <c r="L10" s="22" t="s">
        <v>165</v>
      </c>
    </row>
    <row r="11" spans="1:12" x14ac:dyDescent="0.2">
      <c r="A11" s="9" t="s">
        <v>142</v>
      </c>
      <c r="B11" s="9"/>
      <c r="C11" s="9" t="str">
        <f>"as of "&amp;TEXT($L$11,"m/d/yy")</f>
        <v>as of 11/30/20</v>
      </c>
      <c r="D11" s="9" t="s">
        <v>167</v>
      </c>
      <c r="E11" s="9" t="s">
        <v>146</v>
      </c>
      <c r="K11" s="2"/>
      <c r="L11" s="83">
        <f>'[4]Hurr Models'!$C$1</f>
        <v>44165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150</v>
      </c>
      <c r="C14" s="80">
        <f>ROUND('[4]Hurr Models'!$F5/1000,0)</f>
        <v>1641086</v>
      </c>
      <c r="D14" s="80">
        <f>ROUND('[4]Hurr Models'!$L5,0)</f>
        <v>3179890</v>
      </c>
      <c r="E14" s="39">
        <f t="shared" ref="E14:E28" si="0">ROUND(D14/C14,3)</f>
        <v>1.9379999999999999</v>
      </c>
      <c r="K14" s="2"/>
      <c r="L14" s="43"/>
    </row>
    <row r="15" spans="1:12" x14ac:dyDescent="0.2">
      <c r="A15" t="s">
        <v>151</v>
      </c>
      <c r="C15" s="80">
        <f>ROUND('[4]Hurr Models'!$F6/1000,0)</f>
        <v>9184245</v>
      </c>
      <c r="D15" s="80">
        <f>ROUND('[4]Hurr Models'!$L6,0)</f>
        <v>15043622</v>
      </c>
      <c r="E15" s="39">
        <f t="shared" si="0"/>
        <v>1.6379999999999999</v>
      </c>
      <c r="K15" s="2"/>
      <c r="L15" s="43"/>
    </row>
    <row r="16" spans="1:12" x14ac:dyDescent="0.2">
      <c r="A16" t="s">
        <v>152</v>
      </c>
      <c r="C16" s="80">
        <f>ROUND('[4]Hurr Models'!$F7/1000,0)</f>
        <v>928096</v>
      </c>
      <c r="D16" s="80">
        <f>ROUND('[4]Hurr Models'!$L7,0)</f>
        <v>2980955</v>
      </c>
      <c r="E16" s="39">
        <f t="shared" si="0"/>
        <v>3.2120000000000002</v>
      </c>
      <c r="K16" s="2"/>
      <c r="L16" s="43"/>
    </row>
    <row r="17" spans="1:15" x14ac:dyDescent="0.2">
      <c r="A17" t="s">
        <v>153</v>
      </c>
      <c r="C17" s="80">
        <f>ROUND('[4]Hurr Models'!$F8/1000,0)</f>
        <v>2026672</v>
      </c>
      <c r="D17" s="80">
        <f>ROUND('[4]Hurr Models'!$L8,0)</f>
        <v>4284175</v>
      </c>
      <c r="E17" s="39">
        <f t="shared" si="0"/>
        <v>2.1139999999999999</v>
      </c>
      <c r="K17" s="2"/>
      <c r="L17" s="43"/>
    </row>
    <row r="18" spans="1:15" x14ac:dyDescent="0.2">
      <c r="A18" t="s">
        <v>154</v>
      </c>
      <c r="C18" s="80">
        <f>ROUND('[4]Hurr Models'!$F9/1000,0)</f>
        <v>1413194</v>
      </c>
      <c r="D18" s="80">
        <f>ROUND('[4]Hurr Models'!$L9,0)</f>
        <v>2095504</v>
      </c>
      <c r="E18" s="39">
        <f t="shared" si="0"/>
        <v>1.4830000000000001</v>
      </c>
      <c r="K18" s="2"/>
      <c r="L18" s="43"/>
    </row>
    <row r="19" spans="1:15" x14ac:dyDescent="0.2">
      <c r="A19" t="s">
        <v>155</v>
      </c>
      <c r="C19" s="80">
        <f>ROUND('[4]Hurr Models'!$F10/1000,0)</f>
        <v>19194216</v>
      </c>
      <c r="D19" s="80">
        <f>ROUND('[4]Hurr Models'!$L10,0)</f>
        <v>56954328</v>
      </c>
      <c r="E19" s="39">
        <f t="shared" si="0"/>
        <v>2.9670000000000001</v>
      </c>
      <c r="K19" s="2"/>
      <c r="L19" s="43"/>
    </row>
    <row r="20" spans="1:15" x14ac:dyDescent="0.2">
      <c r="A20" t="s">
        <v>156</v>
      </c>
      <c r="C20" s="80">
        <f>ROUND('[4]Hurr Models'!$F11/1000,0)</f>
        <v>1145896</v>
      </c>
      <c r="D20" s="80">
        <f>ROUND('[4]Hurr Models'!$L11,0)</f>
        <v>3130621</v>
      </c>
      <c r="E20" s="39">
        <f t="shared" si="0"/>
        <v>2.7320000000000002</v>
      </c>
      <c r="K20" s="2"/>
      <c r="L20" s="43"/>
    </row>
    <row r="21" spans="1:15" x14ac:dyDescent="0.2">
      <c r="A21" t="s">
        <v>157</v>
      </c>
      <c r="C21" s="80">
        <f>ROUND('[4]Hurr Models'!$F12/1000,0)</f>
        <v>6116468</v>
      </c>
      <c r="D21" s="80">
        <f>ROUND('[4]Hurr Models'!$L12,0)</f>
        <v>11125002</v>
      </c>
      <c r="E21" s="39">
        <f t="shared" si="0"/>
        <v>1.819</v>
      </c>
      <c r="K21" s="2"/>
      <c r="L21" s="43"/>
    </row>
    <row r="22" spans="1:15" x14ac:dyDescent="0.2">
      <c r="A22" t="s">
        <v>158</v>
      </c>
      <c r="C22" s="80">
        <f>ROUND('[4]Hurr Models'!$F13/1000,0)</f>
        <v>6205</v>
      </c>
      <c r="D22" s="80">
        <f>ROUND('[4]Hurr Models'!$L13,0)</f>
        <v>8407</v>
      </c>
      <c r="E22" s="39">
        <f t="shared" si="0"/>
        <v>1.355</v>
      </c>
      <c r="K22" s="2"/>
      <c r="L22" s="43"/>
    </row>
    <row r="23" spans="1:15" x14ac:dyDescent="0.2">
      <c r="A23" t="s">
        <v>159</v>
      </c>
      <c r="B23" s="22"/>
      <c r="C23" s="80">
        <f>ROUND('[4]Hurr Models'!$F14/1000,0)</f>
        <v>173966</v>
      </c>
      <c r="D23" s="80">
        <f>ROUND('[4]Hurr Models'!$L14,0)</f>
        <v>245462</v>
      </c>
      <c r="E23" s="39">
        <f t="shared" si="0"/>
        <v>1.411</v>
      </c>
      <c r="K23" s="2"/>
      <c r="L23" s="43"/>
    </row>
    <row r="24" spans="1:15" x14ac:dyDescent="0.2">
      <c r="A24" t="s">
        <v>160</v>
      </c>
      <c r="B24" s="22"/>
      <c r="C24" s="80">
        <f>ROUND('[4]Hurr Models'!$F15/1000,0)</f>
        <v>1107032</v>
      </c>
      <c r="D24" s="80">
        <f>ROUND('[4]Hurr Models'!$L15,0)</f>
        <v>2947075</v>
      </c>
      <c r="E24" s="39">
        <f t="shared" si="0"/>
        <v>2.6619999999999999</v>
      </c>
      <c r="K24" s="2"/>
      <c r="L24" s="43"/>
    </row>
    <row r="25" spans="1:15" x14ac:dyDescent="0.2">
      <c r="A25" t="s">
        <v>161</v>
      </c>
      <c r="B25" s="22"/>
      <c r="C25" s="80">
        <f>ROUND('[4]Hurr Models'!$F16/1000,0)</f>
        <v>10012218</v>
      </c>
      <c r="D25" s="80">
        <f>ROUND('[4]Hurr Models'!$L16,0)</f>
        <v>18793731</v>
      </c>
      <c r="E25" s="39">
        <f t="shared" si="0"/>
        <v>1.877</v>
      </c>
      <c r="K25" s="2"/>
      <c r="L25" s="43"/>
    </row>
    <row r="26" spans="1:15" x14ac:dyDescent="0.2">
      <c r="A26" t="s">
        <v>162</v>
      </c>
      <c r="C26" s="80">
        <f>ROUND('[4]Hurr Models'!$F17/1000,0)</f>
        <v>78870</v>
      </c>
      <c r="D26" s="80">
        <f>ROUND('[4]Hurr Models'!$L17,0)</f>
        <v>141934</v>
      </c>
      <c r="E26" s="39">
        <f t="shared" si="0"/>
        <v>1.8</v>
      </c>
      <c r="K26" s="2"/>
      <c r="L26" s="43"/>
    </row>
    <row r="27" spans="1:15" x14ac:dyDescent="0.2">
      <c r="A27" t="s">
        <v>163</v>
      </c>
      <c r="C27" s="80">
        <f>ROUND('[4]Hurr Models'!$F18/1000,0)</f>
        <v>1593039</v>
      </c>
      <c r="D27" s="80">
        <f>ROUND('[4]Hurr Models'!$L18,0)</f>
        <v>2676706</v>
      </c>
      <c r="E27" s="39">
        <f t="shared" si="0"/>
        <v>1.68</v>
      </c>
      <c r="K27" s="2"/>
      <c r="L27" s="43"/>
    </row>
    <row r="28" spans="1:15" x14ac:dyDescent="0.2">
      <c r="A28" t="s">
        <v>164</v>
      </c>
      <c r="C28" s="80">
        <f>ROUND('[4]Hurr Models'!$F19/1000,0)</f>
        <v>79020</v>
      </c>
      <c r="D28" s="80">
        <f>ROUND('[4]Hurr Models'!$L19,0)</f>
        <v>210409</v>
      </c>
      <c r="E28" s="39">
        <f t="shared" si="0"/>
        <v>2.6629999999999998</v>
      </c>
      <c r="K28" s="2"/>
      <c r="L28" s="43"/>
    </row>
    <row r="29" spans="1:15" x14ac:dyDescent="0.2">
      <c r="A29" s="9"/>
      <c r="B29" s="26"/>
      <c r="C29" s="81"/>
      <c r="D29" s="81"/>
      <c r="E29" s="40"/>
      <c r="F29" s="45"/>
      <c r="G29" s="45"/>
      <c r="H29" s="45"/>
      <c r="I29" s="45"/>
      <c r="J29" s="59"/>
      <c r="K29" s="2"/>
    </row>
    <row r="30" spans="1:15" x14ac:dyDescent="0.2">
      <c r="C30" s="19"/>
      <c r="D30" s="19"/>
      <c r="E30" s="12"/>
      <c r="K30" s="2"/>
      <c r="M30" s="19"/>
      <c r="N30" s="19"/>
    </row>
    <row r="31" spans="1:15" x14ac:dyDescent="0.2">
      <c r="A31" t="s">
        <v>9</v>
      </c>
      <c r="C31" s="31">
        <f>SUM(C14:C28)</f>
        <v>54700223</v>
      </c>
      <c r="D31" s="31">
        <f>SUM(D14:D28)</f>
        <v>123817821</v>
      </c>
      <c r="E31" s="39">
        <f>ROUND(D31/C31,3)</f>
        <v>2.2639999999999998</v>
      </c>
      <c r="K31" s="2"/>
      <c r="L31" s="50"/>
      <c r="M31" s="58"/>
      <c r="N31" s="58"/>
      <c r="O31" s="50"/>
    </row>
    <row r="32" spans="1:15" ht="10.5" thickBot="1" x14ac:dyDescent="0.25">
      <c r="A32" s="6"/>
      <c r="B32" s="6"/>
      <c r="C32" s="6"/>
      <c r="D32" s="6"/>
      <c r="E32" s="6"/>
      <c r="K32" s="2"/>
      <c r="L32" s="50"/>
      <c r="M32" s="50"/>
      <c r="N32" s="50"/>
      <c r="O32" s="50"/>
    </row>
    <row r="33" spans="1:15" ht="10.5" thickTop="1" x14ac:dyDescent="0.2">
      <c r="K33" s="2"/>
      <c r="L33" s="50"/>
      <c r="M33" s="50"/>
      <c r="N33" s="50"/>
      <c r="O33" s="50"/>
    </row>
    <row r="34" spans="1:15" x14ac:dyDescent="0.2">
      <c r="A34" t="s">
        <v>17</v>
      </c>
      <c r="K34" s="2"/>
      <c r="L34" s="50"/>
      <c r="M34" s="343"/>
      <c r="N34" s="344"/>
      <c r="O34" s="344"/>
    </row>
    <row r="35" spans="1:15" x14ac:dyDescent="0.2">
      <c r="B35" s="22" t="str">
        <f>C12&amp;" Provided by TWIA and Geo-coded by RMS"</f>
        <v>(2) Provided by TWIA and Geo-coded by RMS</v>
      </c>
      <c r="K35" s="2"/>
      <c r="L35" s="50"/>
      <c r="M35" s="50"/>
      <c r="N35" s="50"/>
      <c r="O35" s="50"/>
    </row>
    <row r="36" spans="1:15" x14ac:dyDescent="0.2">
      <c r="B36" s="22" t="str">
        <f>D12&amp;" Provided by RMS"</f>
        <v>(3) Provided by RMS</v>
      </c>
      <c r="K36" s="2"/>
      <c r="L36" s="50"/>
      <c r="M36" s="50"/>
      <c r="N36" s="50"/>
      <c r="O36" s="50"/>
    </row>
    <row r="37" spans="1:15" x14ac:dyDescent="0.2">
      <c r="B37" s="22" t="str">
        <f>E12&amp;" = "&amp;D12&amp;" / "&amp;C12</f>
        <v>(4) = (3) / (2)</v>
      </c>
      <c r="K37" s="2"/>
    </row>
    <row r="38" spans="1:15" x14ac:dyDescent="0.2">
      <c r="K38" s="2"/>
    </row>
    <row r="39" spans="1:15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"/>
    </row>
    <row r="40" spans="1:15" x14ac:dyDescent="0.2">
      <c r="K40" s="2"/>
    </row>
    <row r="41" spans="1:15" s="59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5" s="59" customFormat="1" x14ac:dyDescent="0.2">
      <c r="A42"/>
      <c r="B42"/>
      <c r="C42"/>
      <c r="D42"/>
      <c r="E42" s="45"/>
      <c r="F42"/>
      <c r="G42"/>
      <c r="H42"/>
      <c r="I42"/>
      <c r="J42"/>
      <c r="K42" s="2"/>
    </row>
    <row r="43" spans="1:15" x14ac:dyDescent="0.2">
      <c r="K43" s="2"/>
    </row>
    <row r="44" spans="1:15" x14ac:dyDescent="0.2">
      <c r="K44" s="2"/>
    </row>
    <row r="45" spans="1:15" x14ac:dyDescent="0.2">
      <c r="K45" s="2"/>
    </row>
    <row r="46" spans="1:15" x14ac:dyDescent="0.2">
      <c r="K46" s="2"/>
    </row>
    <row r="47" spans="1:15" x14ac:dyDescent="0.2">
      <c r="K47" s="2"/>
    </row>
    <row r="48" spans="1:15" x14ac:dyDescent="0.2">
      <c r="K48" s="2"/>
    </row>
    <row r="49" spans="1:11" x14ac:dyDescent="0.2">
      <c r="K49" s="2"/>
    </row>
    <row r="50" spans="1:11" s="59" customFormat="1" x14ac:dyDescent="0.2">
      <c r="A50"/>
      <c r="B50"/>
      <c r="C50"/>
      <c r="D50"/>
      <c r="K50" s="2"/>
    </row>
    <row r="51" spans="1:11" s="59" customFormat="1" x14ac:dyDescent="0.2">
      <c r="K51" s="2"/>
    </row>
    <row r="52" spans="1:11" s="59" customFormat="1" x14ac:dyDescent="0.2">
      <c r="A52" s="45"/>
      <c r="B52" s="45"/>
      <c r="C52" s="45"/>
      <c r="D52" s="45"/>
      <c r="E52" s="45"/>
      <c r="F52" s="45"/>
      <c r="G52" s="45"/>
      <c r="H52" s="45"/>
      <c r="I52" s="45"/>
      <c r="K52" s="2"/>
    </row>
    <row r="53" spans="1:11" s="59" customFormat="1" x14ac:dyDescent="0.2">
      <c r="K53" s="2"/>
    </row>
    <row r="54" spans="1:11" s="59" customFormat="1" x14ac:dyDescent="0.2">
      <c r="A54" s="65"/>
      <c r="C54" s="38"/>
      <c r="D54" s="38"/>
      <c r="E54" s="38"/>
      <c r="F54" s="33"/>
      <c r="G54" s="33"/>
      <c r="H54" s="33"/>
      <c r="I54" s="33"/>
      <c r="K54" s="2"/>
    </row>
    <row r="55" spans="1:11" s="59" customFormat="1" x14ac:dyDescent="0.2">
      <c r="A55" s="65"/>
      <c r="C55" s="29"/>
      <c r="D55" s="29"/>
      <c r="E55" s="29"/>
      <c r="F55" s="29"/>
      <c r="G55" s="29"/>
      <c r="H55" s="29"/>
      <c r="I55" s="29"/>
      <c r="K55" s="2"/>
    </row>
    <row r="56" spans="1:11" s="59" customFormat="1" x14ac:dyDescent="0.2">
      <c r="A56" s="65"/>
      <c r="C56" s="29"/>
      <c r="D56" s="29"/>
      <c r="E56" s="29"/>
      <c r="F56" s="29"/>
      <c r="G56" s="29"/>
      <c r="H56" s="29"/>
      <c r="I56" s="29"/>
      <c r="K56" s="2"/>
    </row>
    <row r="57" spans="1:11" s="59" customFormat="1" x14ac:dyDescent="0.2">
      <c r="A57" s="65"/>
      <c r="C57" s="29"/>
      <c r="D57" s="29"/>
      <c r="E57" s="29"/>
      <c r="F57" s="29"/>
      <c r="G57" s="29"/>
      <c r="H57" s="29"/>
      <c r="I57" s="29"/>
      <c r="K57" s="2"/>
    </row>
    <row r="58" spans="1:11" s="59" customFormat="1" x14ac:dyDescent="0.2">
      <c r="A58" s="65"/>
      <c r="C58" s="29"/>
      <c r="D58" s="29"/>
      <c r="E58" s="29"/>
      <c r="F58" s="29"/>
      <c r="G58" s="29"/>
      <c r="H58" s="29"/>
      <c r="I58" s="29"/>
      <c r="K58" s="2"/>
    </row>
    <row r="59" spans="1:11" s="59" customFormat="1" x14ac:dyDescent="0.2">
      <c r="A59" s="65"/>
      <c r="C59" s="29"/>
      <c r="D59" s="29"/>
      <c r="E59" s="29"/>
      <c r="F59" s="29"/>
      <c r="G59" s="29"/>
      <c r="H59" s="29"/>
      <c r="I59" s="29"/>
      <c r="K59" s="2"/>
    </row>
    <row r="60" spans="1:11" s="59" customFormat="1" x14ac:dyDescent="0.2">
      <c r="A60" s="65"/>
      <c r="C60" s="29"/>
      <c r="D60" s="29"/>
      <c r="E60" s="29"/>
      <c r="F60" s="29"/>
      <c r="G60" s="29"/>
      <c r="H60" s="29"/>
      <c r="I60" s="29"/>
      <c r="K60" s="2"/>
    </row>
    <row r="61" spans="1:11" s="59" customFormat="1" x14ac:dyDescent="0.2">
      <c r="A61" s="65"/>
      <c r="C61" s="29"/>
      <c r="D61" s="29"/>
      <c r="E61" s="29"/>
      <c r="F61" s="29"/>
      <c r="G61" s="29"/>
      <c r="H61" s="29"/>
      <c r="I61" s="29"/>
      <c r="K61" s="2"/>
    </row>
    <row r="62" spans="1:11" x14ac:dyDescent="0.2">
      <c r="B62" s="25"/>
      <c r="C62" s="60"/>
      <c r="D62" s="60"/>
      <c r="E62" s="60"/>
      <c r="F62" s="23"/>
      <c r="G62" s="23"/>
      <c r="H62" s="23"/>
      <c r="K62" s="2"/>
    </row>
    <row r="63" spans="1:11" x14ac:dyDescent="0.2">
      <c r="B63" s="25"/>
      <c r="C63" s="60"/>
      <c r="D63" s="60"/>
      <c r="E63" s="60"/>
      <c r="F63" s="23"/>
      <c r="G63" s="23"/>
      <c r="H63" s="23"/>
      <c r="K63" s="2"/>
    </row>
    <row r="64" spans="1:11" x14ac:dyDescent="0.2">
      <c r="B64" s="25"/>
      <c r="C64" s="60"/>
      <c r="D64" s="60"/>
      <c r="E64" s="60"/>
      <c r="F64" s="23"/>
      <c r="G64" s="23"/>
      <c r="H64" s="23"/>
      <c r="K64" s="2"/>
    </row>
    <row r="65" spans="1:11" x14ac:dyDescent="0.2">
      <c r="B65" s="25"/>
      <c r="C65" s="60"/>
      <c r="D65" s="60"/>
      <c r="E65" s="60"/>
      <c r="F65" s="23"/>
      <c r="G65" s="23"/>
      <c r="H65" s="23"/>
      <c r="K65" s="2"/>
    </row>
    <row r="66" spans="1:11" x14ac:dyDescent="0.2"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>
    <tabColor rgb="FF92D050"/>
  </sheetPr>
  <dimension ref="A1:M72"/>
  <sheetViews>
    <sheetView showGridLines="0" topLeftCell="A40" workbookViewId="0">
      <selection activeCell="G54" sqref="G54"/>
    </sheetView>
  </sheetViews>
  <sheetFormatPr defaultColWidth="11.33203125" defaultRowHeight="10" x14ac:dyDescent="0.2"/>
  <cols>
    <col min="1" max="1" width="6.33203125" customWidth="1"/>
    <col min="2" max="2" width="10.109375" customWidth="1"/>
    <col min="3" max="3" width="20.109375" customWidth="1"/>
    <col min="4" max="4" width="11.33203125" customWidth="1"/>
    <col min="5" max="5" width="6.33203125" customWidth="1"/>
    <col min="6" max="6" width="10.109375" customWidth="1"/>
    <col min="7" max="7" width="20.109375" customWidth="1"/>
    <col min="8" max="9" width="11.33203125" customWidth="1"/>
    <col min="10" max="10" width="14" customWidth="1"/>
  </cols>
  <sheetData>
    <row r="1" spans="1:13" ht="10.5" x14ac:dyDescent="0.25">
      <c r="A1" s="8" t="str">
        <f>'1'!$A$1</f>
        <v>Texas Windstorm Insurance Association</v>
      </c>
      <c r="J1" s="7" t="s">
        <v>171</v>
      </c>
      <c r="K1" s="1"/>
    </row>
    <row r="2" spans="1:13" ht="10.5" x14ac:dyDescent="0.25">
      <c r="A2" s="8" t="str">
        <f>'1'!$A$2</f>
        <v>Residential Property - Wind &amp; Hail</v>
      </c>
      <c r="J2" s="7"/>
      <c r="K2" s="2"/>
    </row>
    <row r="3" spans="1:13" ht="10.5" x14ac:dyDescent="0.25">
      <c r="A3" s="8" t="str">
        <f>'1'!$A$3</f>
        <v>Rate Level Review</v>
      </c>
      <c r="K3" s="2"/>
      <c r="L3" t="s">
        <v>115</v>
      </c>
      <c r="M3" t="s">
        <v>116</v>
      </c>
    </row>
    <row r="4" spans="1:13" x14ac:dyDescent="0.2">
      <c r="A4" t="str">
        <f>"Texas Hurricanes "&amp;L4&amp;" - "&amp;YEAR(M4)</f>
        <v>Texas Hurricanes 1850 - 2020</v>
      </c>
      <c r="K4" s="2"/>
      <c r="L4" s="27">
        <v>1850</v>
      </c>
      <c r="M4" s="89">
        <v>44196</v>
      </c>
    </row>
    <row r="5" spans="1:13" x14ac:dyDescent="0.2">
      <c r="K5" s="2"/>
    </row>
    <row r="6" spans="1:13" x14ac:dyDescent="0.2">
      <c r="K6" s="2"/>
    </row>
    <row r="7" spans="1:13" ht="10.5" thickBot="1" x14ac:dyDescent="0.25">
      <c r="A7" s="6"/>
      <c r="B7" s="6"/>
      <c r="C7" s="6"/>
      <c r="D7" s="6"/>
      <c r="E7" s="6"/>
      <c r="F7" s="6"/>
      <c r="G7" s="6"/>
      <c r="K7" s="2"/>
    </row>
    <row r="8" spans="1:13" ht="10.5" thickTop="1" x14ac:dyDescent="0.2">
      <c r="K8" s="2"/>
    </row>
    <row r="9" spans="1:13" x14ac:dyDescent="0.2">
      <c r="B9" s="52"/>
      <c r="K9" s="2"/>
      <c r="L9" s="27"/>
    </row>
    <row r="10" spans="1:13" x14ac:dyDescent="0.2">
      <c r="A10" s="10" t="s">
        <v>295</v>
      </c>
      <c r="E10" s="10" t="s">
        <v>295</v>
      </c>
      <c r="K10" s="2"/>
    </row>
    <row r="11" spans="1:13" x14ac:dyDescent="0.2">
      <c r="A11" s="9" t="s">
        <v>54</v>
      </c>
      <c r="B11" s="9" t="s">
        <v>296</v>
      </c>
      <c r="C11" s="9" t="s">
        <v>175</v>
      </c>
      <c r="E11" s="9" t="s">
        <v>54</v>
      </c>
      <c r="F11" s="9" t="s">
        <v>296</v>
      </c>
      <c r="G11" s="9" t="s">
        <v>175</v>
      </c>
      <c r="K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3" x14ac:dyDescent="0.2">
      <c r="K13" s="2"/>
    </row>
    <row r="14" spans="1:13" x14ac:dyDescent="0.2">
      <c r="A14" s="120">
        <f>IF(LEN('[5]9'!A14),'[5]9'!A14,"")</f>
        <v>1851</v>
      </c>
      <c r="B14" s="120" t="str">
        <f>IF(LEN('[5]9'!B14),'[5]9'!B14,"")</f>
        <v>Jun</v>
      </c>
      <c r="C14" s="120" t="str">
        <f>IF(LEN('[5]9'!C14),'[5]9'!C14,"")</f>
        <v/>
      </c>
      <c r="E14" s="120">
        <f>IF(LEN('[5]9'!E14),'[5]9'!E14,"")</f>
        <v>1933</v>
      </c>
      <c r="F14" s="120" t="str">
        <f>IF(LEN('[5]9'!F14),'[5]9'!F14,"")</f>
        <v>Sep</v>
      </c>
      <c r="G14" s="120" t="str">
        <f>IF(LEN('[5]9'!G14),'[5]9'!G14,"")</f>
        <v/>
      </c>
      <c r="K14" s="2"/>
      <c r="M14" s="68"/>
    </row>
    <row r="15" spans="1:13" x14ac:dyDescent="0.2">
      <c r="A15" s="120">
        <f>IF(LEN('[5]9'!A15),'[5]9'!A15,"")</f>
        <v>1854</v>
      </c>
      <c r="B15" s="120" t="str">
        <f>IF(LEN('[5]9'!B15),'[5]9'!B15,"")</f>
        <v>Jun</v>
      </c>
      <c r="C15" s="120" t="str">
        <f>IF(LEN('[5]9'!C15),'[5]9'!C15,"")</f>
        <v/>
      </c>
      <c r="E15" s="120">
        <f>IF(LEN('[5]9'!E15),'[5]9'!E15,"")</f>
        <v>1934</v>
      </c>
      <c r="F15" s="120" t="str">
        <f>IF(LEN('[5]9'!F15),'[5]9'!F15,"")</f>
        <v>Jul</v>
      </c>
      <c r="G15" s="120" t="str">
        <f>IF(LEN('[5]9'!G15),'[5]9'!G15,"")</f>
        <v/>
      </c>
      <c r="K15" s="2"/>
      <c r="M15" s="68"/>
    </row>
    <row r="16" spans="1:13" x14ac:dyDescent="0.2">
      <c r="A16" s="120">
        <f>IF(LEN('[5]9'!A16),'[5]9'!A16,"")</f>
        <v>1854</v>
      </c>
      <c r="B16" s="120" t="str">
        <f>IF(LEN('[5]9'!B16),'[5]9'!B16,"")</f>
        <v>Sep</v>
      </c>
      <c r="C16" s="120" t="str">
        <f>IF(LEN('[5]9'!C16),'[5]9'!C16,"")</f>
        <v>“Matagorda”</v>
      </c>
      <c r="E16" s="120">
        <f>IF(LEN('[5]9'!E16),'[5]9'!E16,"")</f>
        <v>1936</v>
      </c>
      <c r="F16" s="120" t="str">
        <f>IF(LEN('[5]9'!F16),'[5]9'!F16,"")</f>
        <v>Jun</v>
      </c>
      <c r="G16" s="120" t="str">
        <f>IF(LEN('[5]9'!G16),'[5]9'!G16,"")</f>
        <v/>
      </c>
      <c r="K16" s="2"/>
      <c r="M16" s="68"/>
    </row>
    <row r="17" spans="1:13" x14ac:dyDescent="0.2">
      <c r="A17" s="120">
        <f>IF(LEN('[5]9'!A17),'[5]9'!A17,"")</f>
        <v>1865</v>
      </c>
      <c r="B17" s="120" t="str">
        <f>IF(LEN('[5]9'!B17),'[5]9'!B17,"")</f>
        <v>Sep</v>
      </c>
      <c r="C17" s="120" t="str">
        <f>IF(LEN('[5]9'!C17),'[5]9'!C17,"")</f>
        <v>“Sabine River-Lake Calcasieu”</v>
      </c>
      <c r="E17" s="120">
        <f>IF(LEN('[5]9'!E17),'[5]9'!E17,"")</f>
        <v>1940</v>
      </c>
      <c r="F17" s="120" t="str">
        <f>IF(LEN('[5]9'!F17),'[5]9'!F17,"")</f>
        <v>Aug</v>
      </c>
      <c r="G17" s="120" t="str">
        <f>IF(LEN('[5]9'!G17),'[5]9'!G17,"")</f>
        <v/>
      </c>
      <c r="K17" s="2"/>
      <c r="M17" s="68"/>
    </row>
    <row r="18" spans="1:13" x14ac:dyDescent="0.2">
      <c r="A18" s="120">
        <f>IF(LEN('[5]9'!A18),'[5]9'!A18,"")</f>
        <v>1866</v>
      </c>
      <c r="B18" s="120" t="str">
        <f>IF(LEN('[5]9'!B18),'[5]9'!B18,"")</f>
        <v>Jul</v>
      </c>
      <c r="C18" s="120" t="str">
        <f>IF(LEN('[5]9'!C18),'[5]9'!C18,"")</f>
        <v/>
      </c>
      <c r="E18" s="120">
        <f>IF(LEN('[5]9'!E18),'[5]9'!E18,"")</f>
        <v>1941</v>
      </c>
      <c r="F18" s="120" t="str">
        <f>IF(LEN('[5]9'!F18),'[5]9'!F18,"")</f>
        <v>Sep</v>
      </c>
      <c r="G18" s="120" t="str">
        <f>IF(LEN('[5]9'!G18),'[5]9'!G18,"")</f>
        <v/>
      </c>
      <c r="K18" s="2"/>
      <c r="M18" s="68"/>
    </row>
    <row r="19" spans="1:13" x14ac:dyDescent="0.2">
      <c r="A19" s="120">
        <f>IF(LEN('[5]9'!A19),'[5]9'!A19,"")</f>
        <v>1867</v>
      </c>
      <c r="B19" s="120" t="str">
        <f>IF(LEN('[5]9'!B19),'[5]9'!B19,"")</f>
        <v>Oct</v>
      </c>
      <c r="C19" s="120" t="str">
        <f>IF(LEN('[5]9'!C19),'[5]9'!C19,"")</f>
        <v>“Galveston”</v>
      </c>
      <c r="E19" s="120">
        <f>IF(LEN('[5]9'!E19),'[5]9'!E19,"")</f>
        <v>1942</v>
      </c>
      <c r="F19" s="120" t="str">
        <f>IF(LEN('[5]9'!F19),'[5]9'!F19,"")</f>
        <v>Aug</v>
      </c>
      <c r="G19" s="120" t="str">
        <f>IF(LEN('[5]9'!G19),'[5]9'!G19,"")</f>
        <v/>
      </c>
      <c r="K19" s="2"/>
      <c r="M19" s="68"/>
    </row>
    <row r="20" spans="1:13" x14ac:dyDescent="0.2">
      <c r="A20" s="120">
        <f>IF(LEN('[5]9'!A20),'[5]9'!A20,"")</f>
        <v>1869</v>
      </c>
      <c r="B20" s="120" t="str">
        <f>IF(LEN('[5]9'!B20),'[5]9'!B20,"")</f>
        <v>Aug</v>
      </c>
      <c r="C20" s="120" t="str">
        <f>IF(LEN('[5]9'!C20),'[5]9'!C20,"")</f>
        <v>“Lower Texas Coast"</v>
      </c>
      <c r="E20" s="120">
        <f>IF(LEN('[5]9'!E20),'[5]9'!E20,"")</f>
        <v>1942</v>
      </c>
      <c r="F20" s="120" t="str">
        <f>IF(LEN('[5]9'!F20),'[5]9'!F20,"")</f>
        <v>Aug</v>
      </c>
      <c r="G20" s="120" t="str">
        <f>IF(LEN('[5]9'!G20),'[5]9'!G20,"")</f>
        <v/>
      </c>
      <c r="K20" s="2"/>
      <c r="M20" s="68"/>
    </row>
    <row r="21" spans="1:13" x14ac:dyDescent="0.2">
      <c r="A21" s="120">
        <f>IF(LEN('[5]9'!A21),'[5]9'!A21,"")</f>
        <v>1875</v>
      </c>
      <c r="B21" s="120" t="str">
        <f>IF(LEN('[5]9'!B21),'[5]9'!B21,"")</f>
        <v>Sep</v>
      </c>
      <c r="C21" s="120" t="str">
        <f>IF(LEN('[5]9'!C21),'[5]9'!C21,"")</f>
        <v/>
      </c>
      <c r="E21" s="120">
        <f>IF(LEN('[5]9'!E21),'[5]9'!E21,"")</f>
        <v>1943</v>
      </c>
      <c r="F21" s="120" t="str">
        <f>IF(LEN('[5]9'!F21),'[5]9'!F21,"")</f>
        <v>Jul</v>
      </c>
      <c r="G21" s="120" t="str">
        <f>IF(LEN('[5]9'!G21),'[5]9'!G21,"")</f>
        <v/>
      </c>
      <c r="K21" s="2"/>
      <c r="M21" s="68"/>
    </row>
    <row r="22" spans="1:13" x14ac:dyDescent="0.2">
      <c r="A22" s="120">
        <f>IF(LEN('[5]9'!A22),'[5]9'!A22,"")</f>
        <v>1879</v>
      </c>
      <c r="B22" s="120" t="str">
        <f>IF(LEN('[5]9'!B22),'[5]9'!B22,"")</f>
        <v>Aug</v>
      </c>
      <c r="C22" s="120" t="str">
        <f>IF(LEN('[5]9'!C22),'[5]9'!C22,"")</f>
        <v/>
      </c>
      <c r="E22" s="120">
        <f>IF(LEN('[5]9'!E22),'[5]9'!E22,"")</f>
        <v>1945</v>
      </c>
      <c r="F22" s="120" t="str">
        <f>IF(LEN('[5]9'!F22),'[5]9'!F22,"")</f>
        <v>Aug</v>
      </c>
      <c r="G22" s="120" t="str">
        <f>IF(LEN('[5]9'!G22),'[5]9'!G22,"")</f>
        <v/>
      </c>
      <c r="K22" s="2"/>
      <c r="M22" s="68"/>
    </row>
    <row r="23" spans="1:13" x14ac:dyDescent="0.2">
      <c r="A23" s="120">
        <f>IF(LEN('[5]9'!A23),'[5]9'!A23,"")</f>
        <v>1880</v>
      </c>
      <c r="B23" s="120" t="str">
        <f>IF(LEN('[5]9'!B23),'[5]9'!B23,"")</f>
        <v>Aug</v>
      </c>
      <c r="C23" s="120" t="str">
        <f>IF(LEN('[5]9'!C23),'[5]9'!C23,"")</f>
        <v/>
      </c>
      <c r="E23" s="120">
        <f>IF(LEN('[5]9'!E23),'[5]9'!E23,"")</f>
        <v>1947</v>
      </c>
      <c r="F23" s="120" t="str">
        <f>IF(LEN('[5]9'!F23),'[5]9'!F23,"")</f>
        <v>Aug</v>
      </c>
      <c r="G23" s="120" t="str">
        <f>IF(LEN('[5]9'!G23),'[5]9'!G23,"")</f>
        <v/>
      </c>
      <c r="K23" s="2"/>
      <c r="M23" s="68"/>
    </row>
    <row r="24" spans="1:13" x14ac:dyDescent="0.2">
      <c r="A24" s="120">
        <f>IF(LEN('[5]9'!A24),'[5]9'!A24,"")</f>
        <v>1882</v>
      </c>
      <c r="B24" s="120" t="str">
        <f>IF(LEN('[5]9'!B24),'[5]9'!B24,"")</f>
        <v>Sep</v>
      </c>
      <c r="C24" s="120" t="str">
        <f>IF(LEN('[5]9'!C24),'[5]9'!C24,"")</f>
        <v/>
      </c>
      <c r="E24" s="120">
        <f>IF(LEN('[5]9'!E24),'[5]9'!E24,"")</f>
        <v>1949</v>
      </c>
      <c r="F24" s="120" t="str">
        <f>IF(LEN('[5]9'!F24),'[5]9'!F24,"")</f>
        <v>Oct</v>
      </c>
      <c r="G24" s="120" t="str">
        <f>IF(LEN('[5]9'!G24),'[5]9'!G24,"")</f>
        <v/>
      </c>
      <c r="K24" s="2"/>
      <c r="M24" s="68"/>
    </row>
    <row r="25" spans="1:13" x14ac:dyDescent="0.2">
      <c r="A25" s="120">
        <f>IF(LEN('[5]9'!A25),'[5]9'!A25,"")</f>
        <v>1886</v>
      </c>
      <c r="B25" s="120" t="str">
        <f>IF(LEN('[5]9'!B25),'[5]9'!B25,"")</f>
        <v>Jun</v>
      </c>
      <c r="C25" s="120" t="str">
        <f>IF(LEN('[5]9'!C25),'[5]9'!C25,"")</f>
        <v/>
      </c>
      <c r="E25" s="120">
        <f>IF(LEN('[5]9'!E25),'[5]9'!E25,"")</f>
        <v>1957</v>
      </c>
      <c r="F25" s="120" t="str">
        <f>IF(LEN('[5]9'!F25),'[5]9'!F25,"")</f>
        <v>Jun</v>
      </c>
      <c r="G25" s="120" t="str">
        <f>IF(LEN('[5]9'!G25),'[5]9'!G25,"")</f>
        <v>Audrey</v>
      </c>
      <c r="K25" s="2"/>
      <c r="M25" s="68"/>
    </row>
    <row r="26" spans="1:13" x14ac:dyDescent="0.2">
      <c r="A26" s="120">
        <f>IF(LEN('[5]9'!A26),'[5]9'!A26,"")</f>
        <v>1886</v>
      </c>
      <c r="B26" s="120" t="str">
        <f>IF(LEN('[5]9'!B26),'[5]9'!B26,"")</f>
        <v>Aug</v>
      </c>
      <c r="C26" s="120" t="str">
        <f>IF(LEN('[5]9'!C26),'[5]9'!C26,"")</f>
        <v>“Indianola”</v>
      </c>
      <c r="E26" s="120">
        <f>IF(LEN('[5]9'!E26),'[5]9'!E26,"")</f>
        <v>1959</v>
      </c>
      <c r="F26" s="120" t="str">
        <f>IF(LEN('[5]9'!F26),'[5]9'!F26,"")</f>
        <v>Jul</v>
      </c>
      <c r="G26" s="120" t="str">
        <f>IF(LEN('[5]9'!G26),'[5]9'!G26,"")</f>
        <v>Debra</v>
      </c>
      <c r="K26" s="2"/>
      <c r="M26" s="68"/>
    </row>
    <row r="27" spans="1:13" x14ac:dyDescent="0.2">
      <c r="A27" s="120">
        <f>IF(LEN('[5]9'!A27),'[5]9'!A27,"")</f>
        <v>1886</v>
      </c>
      <c r="B27" s="120" t="str">
        <f>IF(LEN('[5]9'!B27),'[5]9'!B27,"")</f>
        <v>Sep</v>
      </c>
      <c r="C27" s="120" t="str">
        <f>IF(LEN('[5]9'!C27),'[5]9'!C27,"")</f>
        <v/>
      </c>
      <c r="E27" s="120">
        <f>IF(LEN('[5]9'!E27),'[5]9'!E27,"")</f>
        <v>1961</v>
      </c>
      <c r="F27" s="120" t="str">
        <f>IF(LEN('[5]9'!F27),'[5]9'!F27,"")</f>
        <v>Sep</v>
      </c>
      <c r="G27" s="120" t="str">
        <f>IF(LEN('[5]9'!G27),'[5]9'!G27,"")</f>
        <v>Carla</v>
      </c>
      <c r="K27" s="2"/>
      <c r="M27" s="68"/>
    </row>
    <row r="28" spans="1:13" x14ac:dyDescent="0.2">
      <c r="A28" s="120">
        <f>IF(LEN('[5]9'!A28),'[5]9'!A28,"")</f>
        <v>1886</v>
      </c>
      <c r="B28" s="120" t="str">
        <f>IF(LEN('[5]9'!B28),'[5]9'!B28,"")</f>
        <v>Oct</v>
      </c>
      <c r="C28" s="120" t="str">
        <f>IF(LEN('[5]9'!C28),'[5]9'!C28,"")</f>
        <v/>
      </c>
      <c r="E28" s="177">
        <f>IF(LEN('[5]9'!E28),'[5]9'!E28,"")</f>
        <v>1963</v>
      </c>
      <c r="F28" s="177" t="str">
        <f>IF(LEN('[5]9'!F28),'[5]9'!F28,"")</f>
        <v>Sep</v>
      </c>
      <c r="G28" s="177" t="str">
        <f>IF(LEN('[5]9'!G28),'[5]9'!G28,"")</f>
        <v>Cindy</v>
      </c>
      <c r="K28" s="2"/>
      <c r="M28" s="68"/>
    </row>
    <row r="29" spans="1:13" x14ac:dyDescent="0.2">
      <c r="A29" s="120">
        <f>IF(LEN('[5]9'!A29),'[5]9'!A29,"")</f>
        <v>1887</v>
      </c>
      <c r="B29" s="120" t="str">
        <f>IF(LEN('[5]9'!B29),'[5]9'!B29,"")</f>
        <v>Sep</v>
      </c>
      <c r="C29" s="120" t="str">
        <f>IF(LEN('[5]9'!C29),'[5]9'!C29,"")</f>
        <v/>
      </c>
      <c r="E29" s="120">
        <f>IF(LEN('[5]9'!E29),'[5]9'!E29,"")</f>
        <v>1967</v>
      </c>
      <c r="F29" s="120" t="str">
        <f>IF(LEN('[5]9'!F29),'[5]9'!F29,"")</f>
        <v>Sep</v>
      </c>
      <c r="G29" s="120" t="str">
        <f>IF(LEN('[5]9'!G29),'[5]9'!G29,"")</f>
        <v>Beulah</v>
      </c>
      <c r="K29" s="2"/>
      <c r="M29" s="68"/>
    </row>
    <row r="30" spans="1:13" x14ac:dyDescent="0.2">
      <c r="A30" s="120">
        <f>IF(LEN('[5]9'!A30),'[5]9'!A30,"")</f>
        <v>1888</v>
      </c>
      <c r="B30" s="120" t="str">
        <f>IF(LEN('[5]9'!B30),'[5]9'!B30,"")</f>
        <v>Jun</v>
      </c>
      <c r="C30" s="120" t="str">
        <f>IF(LEN('[5]9'!C30),'[5]9'!C30,"")</f>
        <v/>
      </c>
      <c r="E30" s="120">
        <f>IF(LEN('[5]9'!E30),'[5]9'!E30,"")</f>
        <v>1970</v>
      </c>
      <c r="F30" s="120" t="str">
        <f>IF(LEN('[5]9'!F30),'[5]9'!F30,"")</f>
        <v>Aug</v>
      </c>
      <c r="G30" s="120" t="str">
        <f>IF(LEN('[5]9'!G30),'[5]9'!G30,"")</f>
        <v>Celia</v>
      </c>
      <c r="K30" s="2"/>
      <c r="M30" s="68"/>
    </row>
    <row r="31" spans="1:13" x14ac:dyDescent="0.2">
      <c r="A31" s="120">
        <f>IF(LEN('[5]9'!A31),'[5]9'!A31,"")</f>
        <v>1891</v>
      </c>
      <c r="B31" s="120" t="str">
        <f>IF(LEN('[5]9'!B31),'[5]9'!B31,"")</f>
        <v>Jul</v>
      </c>
      <c r="C31" s="120" t="str">
        <f>IF(LEN('[5]9'!C31),'[5]9'!C31,"")</f>
        <v/>
      </c>
      <c r="E31" s="120">
        <f>IF(LEN('[5]9'!E31),'[5]9'!E31,"")</f>
        <v>1971</v>
      </c>
      <c r="F31" s="120" t="str">
        <f>IF(LEN('[5]9'!F31),'[5]9'!F31,"")</f>
        <v>Sep</v>
      </c>
      <c r="G31" s="120" t="str">
        <f>IF(LEN('[5]9'!G31),'[5]9'!G31,"")</f>
        <v>Fern</v>
      </c>
      <c r="K31" s="2"/>
      <c r="M31" s="68"/>
    </row>
    <row r="32" spans="1:13" x14ac:dyDescent="0.2">
      <c r="A32" s="120">
        <f>IF(LEN('[5]9'!A32),'[5]9'!A32,"")</f>
        <v>1895</v>
      </c>
      <c r="B32" s="120" t="str">
        <f>IF(LEN('[5]9'!B32),'[5]9'!B32,"")</f>
        <v>Aug</v>
      </c>
      <c r="C32" s="120" t="str">
        <f>IF(LEN('[5]9'!C32),'[5]9'!C32,"")</f>
        <v/>
      </c>
      <c r="E32" s="120">
        <f>IF(LEN('[5]9'!E32),'[5]9'!E32,"")</f>
        <v>1980</v>
      </c>
      <c r="F32" s="120" t="str">
        <f>IF(LEN('[5]9'!F32),'[5]9'!F32,"")</f>
        <v>Aug</v>
      </c>
      <c r="G32" s="120" t="str">
        <f>IF(LEN('[5]9'!G32),'[5]9'!G32,"")</f>
        <v>Allen</v>
      </c>
      <c r="K32" s="2"/>
      <c r="M32" s="68"/>
    </row>
    <row r="33" spans="1:13" x14ac:dyDescent="0.2">
      <c r="A33" s="120">
        <f>IF(LEN('[5]9'!A33),'[5]9'!A33,"")</f>
        <v>1897</v>
      </c>
      <c r="B33" s="120" t="str">
        <f>IF(LEN('[5]9'!B33),'[5]9'!B33,"")</f>
        <v>Sep</v>
      </c>
      <c r="C33" s="120" t="str">
        <f>IF(LEN('[5]9'!C33),'[5]9'!C33,"")</f>
        <v/>
      </c>
      <c r="E33" s="120">
        <f>IF(LEN('[5]9'!E33),'[5]9'!E33,"")</f>
        <v>1983</v>
      </c>
      <c r="F33" s="120" t="str">
        <f>IF(LEN('[5]9'!F33),'[5]9'!F33,"")</f>
        <v>Aug</v>
      </c>
      <c r="G33" s="120" t="str">
        <f>IF(LEN('[5]9'!G33),'[5]9'!G33,"")</f>
        <v>Alicia</v>
      </c>
      <c r="K33" s="2"/>
      <c r="M33" s="68"/>
    </row>
    <row r="34" spans="1:13" x14ac:dyDescent="0.2">
      <c r="A34" s="120">
        <f>IF(LEN('[5]9'!A34),'[5]9'!A34,"")</f>
        <v>1900</v>
      </c>
      <c r="B34" s="120" t="str">
        <f>IF(LEN('[5]9'!B34),'[5]9'!B34,"")</f>
        <v>Sep</v>
      </c>
      <c r="C34" s="120" t="str">
        <f>IF(LEN('[5]9'!C34),'[5]9'!C34,"")</f>
        <v>“Galveston”</v>
      </c>
      <c r="E34" s="120">
        <f>IF(LEN('[5]9'!E34),'[5]9'!E34,"")</f>
        <v>1986</v>
      </c>
      <c r="F34" s="120" t="str">
        <f>IF(LEN('[5]9'!F34),'[5]9'!F34,"")</f>
        <v>Jun</v>
      </c>
      <c r="G34" s="120" t="str">
        <f>IF(LEN('[5]9'!G34),'[5]9'!G34,"")</f>
        <v>Bonnie</v>
      </c>
      <c r="K34" s="2"/>
      <c r="M34" s="68"/>
    </row>
    <row r="35" spans="1:13" x14ac:dyDescent="0.2">
      <c r="A35" s="120">
        <f>IF(LEN('[5]9'!A35),'[5]9'!A35,"")</f>
        <v>1909</v>
      </c>
      <c r="B35" s="120" t="str">
        <f>IF(LEN('[5]9'!B35),'[5]9'!B35,"")</f>
        <v>Jun</v>
      </c>
      <c r="C35" s="120" t="str">
        <f>IF(LEN('[5]9'!C35),'[5]9'!C35,"")</f>
        <v/>
      </c>
      <c r="E35" s="120">
        <f>IF(LEN('[5]9'!E35),'[5]9'!E35,"")</f>
        <v>1989</v>
      </c>
      <c r="F35" s="120" t="str">
        <f>IF(LEN('[5]9'!F35),'[5]9'!F35,"")</f>
        <v>Aug</v>
      </c>
      <c r="G35" s="120" t="str">
        <f>IF(LEN('[5]9'!G35),'[5]9'!G35,"")</f>
        <v>Chantal</v>
      </c>
      <c r="K35" s="2"/>
      <c r="M35" s="68"/>
    </row>
    <row r="36" spans="1:13" x14ac:dyDescent="0.2">
      <c r="A36" s="120">
        <f>IF(LEN('[5]9'!A36),'[5]9'!A36,"")</f>
        <v>1909</v>
      </c>
      <c r="B36" s="120" t="str">
        <f>IF(LEN('[5]9'!B36),'[5]9'!B36,"")</f>
        <v>Jul</v>
      </c>
      <c r="C36" s="120" t="str">
        <f>IF(LEN('[5]9'!C36),'[5]9'!C36,"")</f>
        <v>“Velasco”</v>
      </c>
      <c r="E36" s="120">
        <f>IF(LEN('[5]9'!E36),'[5]9'!E36,"")</f>
        <v>1989</v>
      </c>
      <c r="F36" s="120" t="str">
        <f>IF(LEN('[5]9'!F36),'[5]9'!F36,"")</f>
        <v>Oct</v>
      </c>
      <c r="G36" s="120" t="str">
        <f>IF(LEN('[5]9'!G36),'[5]9'!G36,"")</f>
        <v>Jerry</v>
      </c>
      <c r="K36" s="2"/>
      <c r="M36" s="68"/>
    </row>
    <row r="37" spans="1:13" x14ac:dyDescent="0.2">
      <c r="A37" s="120">
        <f>IF(LEN('[5]9'!A37),'[5]9'!A37,"")</f>
        <v>1909</v>
      </c>
      <c r="B37" s="120" t="str">
        <f>IF(LEN('[5]9'!B37),'[5]9'!B37,"")</f>
        <v>Aug</v>
      </c>
      <c r="C37" s="120" t="str">
        <f>IF(LEN('[5]9'!C37),'[5]9'!C37,"")</f>
        <v/>
      </c>
      <c r="E37" s="120">
        <f>IF(LEN('[5]9'!E37),'[5]9'!E37,"")</f>
        <v>1999</v>
      </c>
      <c r="F37" s="120" t="str">
        <f>IF(LEN('[5]9'!F37),'[5]9'!F37,"")</f>
        <v>Aug</v>
      </c>
      <c r="G37" s="120" t="str">
        <f>IF(LEN('[5]9'!G37),'[5]9'!G37,"")</f>
        <v>Bret</v>
      </c>
      <c r="K37" s="2"/>
      <c r="M37" s="68"/>
    </row>
    <row r="38" spans="1:13" x14ac:dyDescent="0.2">
      <c r="A38" s="120">
        <f>IF(LEN('[5]9'!A38),'[5]9'!A38,"")</f>
        <v>1910</v>
      </c>
      <c r="B38" s="120" t="str">
        <f>IF(LEN('[5]9'!B38),'[5]9'!B38,"")</f>
        <v>Sep</v>
      </c>
      <c r="C38" s="120" t="str">
        <f>IF(LEN('[5]9'!C38),'[5]9'!C38,"")</f>
        <v/>
      </c>
      <c r="E38" s="120">
        <f>IF(LEN('[5]9'!E38),'[5]9'!E38,"")</f>
        <v>2003</v>
      </c>
      <c r="F38" s="120" t="str">
        <f>IF(LEN('[5]9'!F38),'[5]9'!F38,"")</f>
        <v>Jul</v>
      </c>
      <c r="G38" s="120" t="str">
        <f>IF(LEN('[5]9'!G38),'[5]9'!G38,"")</f>
        <v>Claudette</v>
      </c>
      <c r="K38" s="2"/>
      <c r="M38" s="68"/>
    </row>
    <row r="39" spans="1:13" x14ac:dyDescent="0.2">
      <c r="A39" s="120">
        <f>IF(LEN('[5]9'!A39),'[5]9'!A39,"")</f>
        <v>1912</v>
      </c>
      <c r="B39" s="120" t="str">
        <f>IF(LEN('[5]9'!B39),'[5]9'!B39,"")</f>
        <v>Oct</v>
      </c>
      <c r="C39" s="120" t="str">
        <f>IF(LEN('[5]9'!C39),'[5]9'!C39,"")</f>
        <v/>
      </c>
      <c r="D39" s="45"/>
      <c r="E39" s="120">
        <f>IF(LEN('[5]9'!E39),'[5]9'!E39,"")</f>
        <v>2005</v>
      </c>
      <c r="F39" s="120" t="str">
        <f>IF(LEN('[5]9'!F39),'[5]9'!F39,"")</f>
        <v>Sep</v>
      </c>
      <c r="G39" s="120" t="str">
        <f>IF(LEN('[5]9'!G39),'[5]9'!G39,"")</f>
        <v>Rita</v>
      </c>
      <c r="H39" s="45"/>
      <c r="I39" s="45"/>
      <c r="J39" s="59"/>
      <c r="K39" s="2"/>
      <c r="M39" s="68"/>
    </row>
    <row r="40" spans="1:13" x14ac:dyDescent="0.2">
      <c r="A40" s="120">
        <f>IF(LEN('[5]9'!A40),'[5]9'!A40,"")</f>
        <v>1913</v>
      </c>
      <c r="B40" s="120" t="str">
        <f>IF(LEN('[5]9'!B40),'[5]9'!B40,"")</f>
        <v>Jun</v>
      </c>
      <c r="C40" s="120" t="str">
        <f>IF(LEN('[5]9'!C40),'[5]9'!C40,"")</f>
        <v/>
      </c>
      <c r="D40" s="59"/>
      <c r="E40" s="120">
        <f>IF(LEN('[5]9'!E40),'[5]9'!E40,"")</f>
        <v>2007</v>
      </c>
      <c r="F40" s="120" t="str">
        <f>IF(LEN('[5]9'!F40),'[5]9'!F40,"")</f>
        <v>Sep</v>
      </c>
      <c r="G40" s="120" t="str">
        <f>IF(LEN('[5]9'!G40),'[5]9'!G40,"")</f>
        <v>Humberto</v>
      </c>
      <c r="H40" s="59"/>
      <c r="I40" s="59"/>
      <c r="J40" s="59"/>
      <c r="K40" s="2"/>
      <c r="M40" s="68"/>
    </row>
    <row r="41" spans="1:13" x14ac:dyDescent="0.2">
      <c r="A41" s="120">
        <f>IF(LEN('[5]9'!A41),'[5]9'!A41,"")</f>
        <v>1915</v>
      </c>
      <c r="B41" s="120" t="str">
        <f>IF(LEN('[5]9'!B41),'[5]9'!B41,"")</f>
        <v>Aug</v>
      </c>
      <c r="C41" s="120" t="str">
        <f>IF(LEN('[5]9'!C41),'[5]9'!C41,"")</f>
        <v>“Galveston”</v>
      </c>
      <c r="E41" s="120">
        <f>IF(LEN('[5]9'!E41),'[5]9'!E41,"")</f>
        <v>2008</v>
      </c>
      <c r="F41" s="120" t="str">
        <f>IF(LEN('[5]9'!F41),'[5]9'!F41,"")</f>
        <v>Jul</v>
      </c>
      <c r="G41" s="120" t="str">
        <f>IF(LEN('[5]9'!G41),'[5]9'!G41,"")</f>
        <v>Dolly</v>
      </c>
      <c r="K41" s="2"/>
      <c r="M41" s="68"/>
    </row>
    <row r="42" spans="1:13" s="59" customFormat="1" x14ac:dyDescent="0.2">
      <c r="A42" s="120">
        <f>IF(LEN('[5]9'!A42),'[5]9'!A42,"")</f>
        <v>1916</v>
      </c>
      <c r="B42" s="120" t="str">
        <f>IF(LEN('[5]9'!B42),'[5]9'!B42,"")</f>
        <v>Aug</v>
      </c>
      <c r="C42" s="120" t="str">
        <f>IF(LEN('[5]9'!C42),'[5]9'!C42,"")</f>
        <v/>
      </c>
      <c r="D42"/>
      <c r="E42" s="120">
        <f>IF(LEN('[5]9'!E42),'[5]9'!E42,"")</f>
        <v>2008</v>
      </c>
      <c r="F42" s="120" t="str">
        <f>IF(LEN('[5]9'!F42),'[5]9'!F42,"")</f>
        <v>Sep</v>
      </c>
      <c r="G42" s="120" t="str">
        <f>IF(LEN('[5]9'!G42),'[5]9'!G42,"")</f>
        <v>Ike</v>
      </c>
      <c r="H42"/>
      <c r="I42"/>
      <c r="J42"/>
      <c r="K42" s="2"/>
      <c r="M42" s="74"/>
    </row>
    <row r="43" spans="1:13" s="59" customFormat="1" x14ac:dyDescent="0.2">
      <c r="A43" s="120">
        <f>IF(LEN('[5]9'!A43),'[5]9'!A43,"")</f>
        <v>1919</v>
      </c>
      <c r="B43" s="120" t="str">
        <f>IF(LEN('[5]9'!B43),'[5]9'!B43,"")</f>
        <v>Sep</v>
      </c>
      <c r="C43" s="120" t="str">
        <f>IF(LEN('[5]9'!C43),'[5]9'!C43,"")</f>
        <v/>
      </c>
      <c r="D43"/>
      <c r="E43" s="120">
        <f>IF(LEN('[5]9'!E43),'[5]9'!E43,"")</f>
        <v>2017</v>
      </c>
      <c r="F43" s="120" t="str">
        <f>IF(LEN('[5]9'!F43),'[5]9'!F43,"")</f>
        <v>Aug</v>
      </c>
      <c r="G43" s="120" t="str">
        <f>IF(LEN('[5]9'!G43),'[5]9'!G43,"")</f>
        <v>Harvey</v>
      </c>
      <c r="H43"/>
      <c r="I43"/>
      <c r="J43"/>
      <c r="K43" s="2"/>
      <c r="M43" s="74"/>
    </row>
    <row r="44" spans="1:13" x14ac:dyDescent="0.2">
      <c r="A44" s="120">
        <f>IF(LEN('[5]9'!A44),'[5]9'!A44,"")</f>
        <v>1921</v>
      </c>
      <c r="B44" s="120" t="str">
        <f>IF(LEN('[5]9'!B44),'[5]9'!B44,"")</f>
        <v>Jun</v>
      </c>
      <c r="C44" s="120" t="str">
        <f>IF(LEN('[5]9'!C44),'[5]9'!C44,"")</f>
        <v/>
      </c>
      <c r="E44" s="120">
        <f>IF(LEN('[5]9'!E44),'[5]9'!E44,"")</f>
        <v>2020</v>
      </c>
      <c r="F44" s="120" t="str">
        <f>IF(LEN('[5]9'!F44),'[5]9'!F44,"")</f>
        <v>Jul</v>
      </c>
      <c r="G44" s="120" t="str">
        <f>IF(LEN('[5]9'!G44),'[5]9'!G44,"")</f>
        <v>Hanna</v>
      </c>
      <c r="K44" s="2"/>
      <c r="M44" s="68"/>
    </row>
    <row r="45" spans="1:13" x14ac:dyDescent="0.2">
      <c r="A45" s="120">
        <f>IF(LEN('[5]9'!A45),'[5]9'!A45,"")</f>
        <v>1929</v>
      </c>
      <c r="B45" s="120" t="str">
        <f>IF(LEN('[5]9'!B45),'[5]9'!B45,"")</f>
        <v>Jun</v>
      </c>
      <c r="C45" s="120" t="str">
        <f>IF(LEN('[5]9'!C45),'[5]9'!C45,"")</f>
        <v/>
      </c>
      <c r="E45" s="120">
        <f>IF(LEN('[5]9'!E45),'[5]9'!E45,"")</f>
        <v>2020</v>
      </c>
      <c r="F45" s="120" t="str">
        <f>IF(LEN('[5]9'!F45),'[5]9'!F45,"")</f>
        <v>Aug</v>
      </c>
      <c r="G45" s="120" t="str">
        <f>IF(LEN('[5]9'!G45),'[5]9'!G45,"")</f>
        <v>Laura</v>
      </c>
      <c r="K45" s="2"/>
      <c r="M45" s="68"/>
    </row>
    <row r="46" spans="1:13" x14ac:dyDescent="0.2">
      <c r="A46" s="120">
        <f>IF(LEN('[5]9'!A46),'[5]9'!A46,"")</f>
        <v>1932</v>
      </c>
      <c r="B46" s="120" t="str">
        <f>IF(LEN('[5]9'!B46),'[5]9'!B46,"")</f>
        <v>Aug</v>
      </c>
      <c r="C46" s="120" t="str">
        <f>IF(LEN('[5]9'!C46),'[5]9'!C46,"")</f>
        <v>“Freeport”</v>
      </c>
      <c r="E46" s="120">
        <f>IF(LEN('[5]9'!E46),'[5]9'!E46,"")</f>
        <v>2020</v>
      </c>
      <c r="F46" s="120" t="str">
        <f>IF(LEN('[5]9'!F46),'[5]9'!F46,"")</f>
        <v>Oct</v>
      </c>
      <c r="G46" s="120" t="str">
        <f>IF(LEN('[5]9'!G46),'[5]9'!G46,"")</f>
        <v>Delta</v>
      </c>
      <c r="K46" s="2"/>
      <c r="M46" s="68"/>
    </row>
    <row r="47" spans="1:13" x14ac:dyDescent="0.2">
      <c r="A47" s="120">
        <f>IF(LEN('[5]9'!A47),'[5]9'!A47,"")</f>
        <v>1933</v>
      </c>
      <c r="B47" s="120" t="str">
        <f>IF(LEN('[5]9'!B47),'[5]9'!B47,"")</f>
        <v>Aug</v>
      </c>
      <c r="C47" s="120" t="str">
        <f>IF(LEN('[5]9'!C47),'[5]9'!C47,"")</f>
        <v/>
      </c>
      <c r="E47" s="120" t="str">
        <f>IF(LEN('[5]9'!E47),'[5]9'!E47,"")</f>
        <v/>
      </c>
      <c r="F47" s="120" t="str">
        <f>IF(LEN('[5]9'!F47),'[5]9'!F47,"")</f>
        <v/>
      </c>
      <c r="G47" s="120" t="str">
        <f>IF(LEN('[5]9'!G47),'[5]9'!G47,"")</f>
        <v/>
      </c>
      <c r="K47" s="2"/>
      <c r="M47" s="68"/>
    </row>
    <row r="48" spans="1:13" x14ac:dyDescent="0.2">
      <c r="A48" s="120"/>
      <c r="B48" s="120"/>
      <c r="C48" s="120"/>
      <c r="E48" s="120"/>
      <c r="F48" s="120"/>
      <c r="G48" s="120"/>
      <c r="K48" s="2"/>
      <c r="M48" s="68"/>
    </row>
    <row r="49" spans="1:13" x14ac:dyDescent="0.2">
      <c r="A49" s="9"/>
      <c r="B49" s="9"/>
      <c r="C49" s="9"/>
      <c r="D49" s="9"/>
      <c r="E49" s="177"/>
      <c r="F49" s="177"/>
      <c r="G49" s="177"/>
      <c r="H49" s="50"/>
      <c r="K49" s="2"/>
      <c r="M49" s="68"/>
    </row>
    <row r="50" spans="1:13" x14ac:dyDescent="0.2">
      <c r="B50" s="60"/>
      <c r="C50" s="60"/>
      <c r="D50" s="60"/>
      <c r="E50" s="60"/>
      <c r="F50" s="23"/>
      <c r="K50" s="2"/>
    </row>
    <row r="51" spans="1:13" x14ac:dyDescent="0.2">
      <c r="A51" s="69" t="s">
        <v>176</v>
      </c>
      <c r="B51" s="69"/>
      <c r="C51" s="70" t="s">
        <v>177</v>
      </c>
      <c r="D51" s="70" t="s">
        <v>178</v>
      </c>
      <c r="E51" s="70" t="s">
        <v>233</v>
      </c>
      <c r="F51" s="70" t="s">
        <v>179</v>
      </c>
      <c r="G51" s="70"/>
      <c r="K51" s="2"/>
    </row>
    <row r="52" spans="1:13" x14ac:dyDescent="0.2">
      <c r="A52" s="152"/>
      <c r="C52" s="62"/>
      <c r="D52" s="62"/>
      <c r="E52" s="62"/>
      <c r="F52" s="62"/>
      <c r="K52" s="2"/>
    </row>
    <row r="53" spans="1:13" x14ac:dyDescent="0.2">
      <c r="A53" s="72" t="str">
        <f>E53&amp;"-Year"</f>
        <v>55-Year</v>
      </c>
      <c r="C53" s="60" t="str">
        <f>TEXT(DATE(YEAR(M4)-E53,MONTH(M4)+1,1),"m/d/yyyy")&amp;" - "&amp;TEXT(M4,"m/d/yyyy")</f>
        <v>1/1/1966 - 12/31/2020</v>
      </c>
      <c r="D53" s="71">
        <f>SUM(COUNTIF($A$14:$A$47,"&gt;=1970"),COUNTIF($E$14:$E$46,"&gt;=1966"))</f>
        <v>18</v>
      </c>
      <c r="E53" s="71">
        <f>'6.1'!$O$5</f>
        <v>55</v>
      </c>
      <c r="G53" s="178">
        <f>ROUND(D53/E53,3)</f>
        <v>0.32700000000000001</v>
      </c>
      <c r="K53" s="2"/>
    </row>
    <row r="54" spans="1:13" x14ac:dyDescent="0.2">
      <c r="A54" s="72" t="str">
        <f>E54&amp;"-Year"</f>
        <v>170-Year</v>
      </c>
      <c r="C54" s="12" t="str">
        <f>MONTH(M4+1)&amp;"/1/"&amp;YEAR(M4+1)-E54&amp;" - "&amp;TEXT(M4,"m/d/yyyy")</f>
        <v>1/1/1851 - 12/31/2020</v>
      </c>
      <c r="D54" s="73">
        <f>SUM(COUNTA(A14:A47),COUNTA(E14:E46))</f>
        <v>67</v>
      </c>
      <c r="E54" s="154">
        <f>YEAR($M$4)-$L$4</f>
        <v>170</v>
      </c>
      <c r="G54" s="178">
        <f>ROUND(D54/E54,3)</f>
        <v>0.39400000000000002</v>
      </c>
      <c r="K54" s="2"/>
    </row>
    <row r="55" spans="1:13" ht="10.5" thickBot="1" x14ac:dyDescent="0.25">
      <c r="A55" s="6"/>
      <c r="B55" s="6"/>
      <c r="C55" s="6"/>
      <c r="D55" s="6"/>
      <c r="E55" s="6"/>
      <c r="F55" s="6"/>
      <c r="G55" s="6"/>
      <c r="K55" s="2"/>
    </row>
    <row r="56" spans="1:13" ht="10.5" thickTop="1" x14ac:dyDescent="0.2">
      <c r="A56" s="50"/>
      <c r="B56" s="50"/>
      <c r="C56" s="50"/>
      <c r="D56" s="50"/>
      <c r="E56" s="50"/>
      <c r="K56" s="2"/>
    </row>
    <row r="57" spans="1:13" x14ac:dyDescent="0.2">
      <c r="A57" s="50" t="s">
        <v>17</v>
      </c>
      <c r="B57" s="50"/>
      <c r="K57" s="2"/>
      <c r="M57" s="68"/>
    </row>
    <row r="58" spans="1:13" x14ac:dyDescent="0.2">
      <c r="A58" s="50"/>
      <c r="B58" s="270" t="str">
        <f>'[5]9'!$B$58</f>
        <v>(1), (2) from NOAA Technical Memorandum NWS-NHC-6, updated with actual experience through 2020</v>
      </c>
      <c r="K58" s="2"/>
      <c r="M58" s="68"/>
    </row>
    <row r="59" spans="1:13" x14ac:dyDescent="0.2">
      <c r="K59" s="2"/>
      <c r="M59" s="68"/>
    </row>
    <row r="60" spans="1:13" x14ac:dyDescent="0.2">
      <c r="K60" s="2"/>
      <c r="M60" s="68"/>
    </row>
    <row r="61" spans="1:13" s="59" customFormat="1" x14ac:dyDescent="0.2">
      <c r="A61"/>
      <c r="B61"/>
      <c r="C61"/>
      <c r="D61"/>
      <c r="K61" s="2"/>
      <c r="M61" s="74"/>
    </row>
    <row r="62" spans="1:13" s="59" customFormat="1" x14ac:dyDescent="0.2">
      <c r="A62"/>
      <c r="B62"/>
      <c r="C62"/>
      <c r="K62" s="2"/>
      <c r="M62" s="74"/>
    </row>
    <row r="63" spans="1:13" s="59" customFormat="1" x14ac:dyDescent="0.2">
      <c r="A63"/>
      <c r="B63"/>
      <c r="C63"/>
      <c r="D63" s="45"/>
      <c r="E63" s="45"/>
      <c r="F63" s="45"/>
      <c r="G63" s="45"/>
      <c r="H63" s="45"/>
      <c r="I63" s="45"/>
      <c r="K63" s="2"/>
      <c r="M63" s="74"/>
    </row>
    <row r="64" spans="1:13" s="59" customFormat="1" x14ac:dyDescent="0.2">
      <c r="A64"/>
      <c r="B64"/>
      <c r="C64"/>
      <c r="D64" s="29"/>
      <c r="E64" s="29"/>
      <c r="F64" s="29"/>
      <c r="G64" s="29"/>
      <c r="H64" s="29"/>
      <c r="I64" s="29"/>
      <c r="K64" s="2"/>
    </row>
    <row r="65" spans="1:11" s="59" customFormat="1" x14ac:dyDescent="0.2">
      <c r="A65"/>
      <c r="B65"/>
      <c r="C65"/>
      <c r="F65" s="33"/>
      <c r="G65" s="33"/>
      <c r="H65" s="33"/>
      <c r="I65" s="33"/>
      <c r="K65" s="2"/>
    </row>
    <row r="66" spans="1:11" s="59" customFormat="1" x14ac:dyDescent="0.2">
      <c r="A66"/>
      <c r="B66"/>
      <c r="C66"/>
      <c r="F66" s="33"/>
      <c r="G66" s="33"/>
      <c r="H66" s="33"/>
      <c r="I66" s="33"/>
      <c r="K66" s="2"/>
    </row>
    <row r="67" spans="1:11" x14ac:dyDescent="0.2">
      <c r="C67" s="38"/>
      <c r="D67" s="38"/>
      <c r="E67" s="38"/>
      <c r="F67" s="23"/>
      <c r="K67" s="2"/>
    </row>
    <row r="68" spans="1:11" x14ac:dyDescent="0.2">
      <c r="A68" s="50"/>
      <c r="B68" s="50"/>
      <c r="C68" s="50"/>
      <c r="D68" s="50"/>
      <c r="E68" s="50"/>
      <c r="K68" s="2"/>
    </row>
    <row r="69" spans="1:11" x14ac:dyDescent="0.2">
      <c r="A69" s="50"/>
      <c r="B69" s="50"/>
      <c r="C69" s="50"/>
      <c r="D69" s="50"/>
      <c r="E69" s="50"/>
      <c r="K69" s="2"/>
    </row>
    <row r="70" spans="1:11" x14ac:dyDescent="0.2">
      <c r="A70" s="50"/>
      <c r="B70" s="50"/>
      <c r="C70" s="50"/>
      <c r="D70" s="50"/>
      <c r="E70" s="50"/>
      <c r="K70" s="2"/>
    </row>
    <row r="71" spans="1:11" ht="10.5" thickBot="1" x14ac:dyDescent="0.25">
      <c r="A71" s="50"/>
      <c r="B71" s="50"/>
      <c r="C71" s="50"/>
      <c r="D71" s="50"/>
      <c r="E71" s="50"/>
      <c r="K71" s="2"/>
    </row>
    <row r="72" spans="1:11" ht="10.5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>
    <tabColor rgb="FF92D050"/>
  </sheetPr>
  <dimension ref="A1:L67"/>
  <sheetViews>
    <sheetView showGridLines="0" topLeftCell="A13" workbookViewId="0">
      <selection activeCell="H24" sqref="H24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10937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174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181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186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22"/>
      <c r="D9" t="s">
        <v>37</v>
      </c>
      <c r="E9" t="s">
        <v>44</v>
      </c>
      <c r="K9" s="2"/>
      <c r="L9" s="27"/>
    </row>
    <row r="10" spans="1:12" x14ac:dyDescent="0.2">
      <c r="C10" t="s">
        <v>321</v>
      </c>
      <c r="D10" t="s">
        <v>323</v>
      </c>
      <c r="E10" t="s">
        <v>42</v>
      </c>
      <c r="K10" s="2"/>
    </row>
    <row r="11" spans="1:12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0" si="0">TEXT(A15-1,"#")</f>
        <v>2011</v>
      </c>
      <c r="B14" s="25"/>
      <c r="C14" s="80">
        <f>'[4]TICO 2'!O25</f>
        <v>92287441</v>
      </c>
      <c r="D14" s="208">
        <f>'10.2'!D17</f>
        <v>1.3727166755238378</v>
      </c>
      <c r="E14" s="31">
        <f t="shared" ref="E14:E22" si="1">ROUND(C14*D14,0)</f>
        <v>126684509</v>
      </c>
      <c r="K14" s="2"/>
      <c r="L14" s="35"/>
    </row>
    <row r="15" spans="1:12" x14ac:dyDescent="0.2">
      <c r="A15" t="str">
        <f t="shared" si="0"/>
        <v>2012</v>
      </c>
      <c r="B15" s="25"/>
      <c r="C15" s="80">
        <f>'[4]TICO 2'!O26</f>
        <v>98605959</v>
      </c>
      <c r="D15" s="208">
        <f>'10.2'!D18</f>
        <v>1.3073731976777445</v>
      </c>
      <c r="E15" s="31">
        <f t="shared" si="1"/>
        <v>128914788</v>
      </c>
      <c r="K15" s="2"/>
      <c r="L15" s="35"/>
    </row>
    <row r="16" spans="1:12" x14ac:dyDescent="0.2">
      <c r="A16" t="str">
        <f t="shared" si="0"/>
        <v>2013</v>
      </c>
      <c r="B16" s="25"/>
      <c r="C16" s="80">
        <f>'[4]TICO 2'!O27</f>
        <v>105941027</v>
      </c>
      <c r="D16" s="208">
        <f>'10.2'!D19</f>
        <v>1.2452851041347781</v>
      </c>
      <c r="E16" s="31">
        <f t="shared" si="1"/>
        <v>131926783</v>
      </c>
      <c r="K16" s="2"/>
      <c r="L16" s="35"/>
    </row>
    <row r="17" spans="1:12" x14ac:dyDescent="0.2">
      <c r="A17" t="str">
        <f t="shared" si="0"/>
        <v>2014</v>
      </c>
      <c r="B17" s="25"/>
      <c r="C17" s="80">
        <f>'[4]TICO 2'!O28</f>
        <v>113521698</v>
      </c>
      <c r="D17" s="208">
        <f>'10.2'!D20</f>
        <v>1.1862347753925764</v>
      </c>
      <c r="E17" s="31">
        <f t="shared" si="1"/>
        <v>134663386</v>
      </c>
      <c r="K17" s="2"/>
      <c r="L17" s="35"/>
    </row>
    <row r="18" spans="1:12" x14ac:dyDescent="0.2">
      <c r="A18" t="str">
        <f t="shared" si="0"/>
        <v>2015</v>
      </c>
      <c r="B18" s="25"/>
      <c r="C18" s="80">
        <f>'[4]TICO 2'!O29</f>
        <v>121221015</v>
      </c>
      <c r="D18" s="208">
        <f>'10.2'!D21</f>
        <v>1.1299661810216541</v>
      </c>
      <c r="E18" s="31">
        <f t="shared" si="1"/>
        <v>136975647</v>
      </c>
      <c r="K18" s="2"/>
      <c r="L18" s="35"/>
    </row>
    <row r="19" spans="1:12" x14ac:dyDescent="0.2">
      <c r="A19" t="str">
        <f t="shared" si="0"/>
        <v>2016</v>
      </c>
      <c r="B19" s="25"/>
      <c r="C19" s="80">
        <f>'[4]TICO 2'!O30</f>
        <v>123942872</v>
      </c>
      <c r="D19" s="208">
        <f>'10.2'!D22</f>
        <v>1.0765597532120244</v>
      </c>
      <c r="E19" s="31">
        <f t="shared" si="1"/>
        <v>133431908</v>
      </c>
      <c r="K19" s="2"/>
      <c r="L19" s="35"/>
    </row>
    <row r="20" spans="1:12" x14ac:dyDescent="0.2">
      <c r="A20" t="str">
        <f t="shared" si="0"/>
        <v>2017</v>
      </c>
      <c r="B20" s="25"/>
      <c r="C20" s="80">
        <f>'[4]TICO 2'!O31</f>
        <v>120650271</v>
      </c>
      <c r="D20" s="208">
        <f>'10.2'!D23</f>
        <v>1.0500000000000014</v>
      </c>
      <c r="E20" s="31">
        <f t="shared" si="1"/>
        <v>126682785</v>
      </c>
      <c r="K20" s="2"/>
      <c r="L20" s="35" t="s">
        <v>216</v>
      </c>
    </row>
    <row r="21" spans="1:12" x14ac:dyDescent="0.2">
      <c r="A21" t="str">
        <f>TEXT(A22-1,"#")</f>
        <v>2018</v>
      </c>
      <c r="B21" s="25"/>
      <c r="C21" s="80">
        <f>'[4]TICO 2'!O32</f>
        <v>112717188</v>
      </c>
      <c r="D21" s="208">
        <f>'10.2'!D24</f>
        <v>1.0255439472483592</v>
      </c>
      <c r="E21" s="31">
        <f t="shared" si="1"/>
        <v>115596430</v>
      </c>
      <c r="K21" s="2"/>
      <c r="L21" s="83">
        <f>'[4]TICO 2'!$E$1</f>
        <v>44104</v>
      </c>
    </row>
    <row r="22" spans="1:12" x14ac:dyDescent="0.2">
      <c r="A22" t="str">
        <f>TEXT(A23-1,"#")</f>
        <v>2019</v>
      </c>
      <c r="B22" s="25"/>
      <c r="C22" s="80">
        <f>'[4]TICO 2'!O33</f>
        <v>109182096</v>
      </c>
      <c r="D22" s="208">
        <f>'10.2'!D25</f>
        <v>0.999999999999997</v>
      </c>
      <c r="E22" s="31">
        <f t="shared" si="1"/>
        <v>109182096</v>
      </c>
      <c r="K22" s="2"/>
    </row>
    <row r="23" spans="1:12" x14ac:dyDescent="0.2">
      <c r="A23" s="25" t="str">
        <f>TEXT(YEAR($L$21),"#")</f>
        <v>2020</v>
      </c>
      <c r="B23" s="25"/>
      <c r="C23" s="80">
        <f>'[4]TICO 2'!O34</f>
        <v>108043628</v>
      </c>
      <c r="D23" s="208">
        <f>'10.2'!D26</f>
        <v>1</v>
      </c>
      <c r="E23" s="31">
        <f t="shared" ref="E23" si="2">ROUND(C23*D23,0)</f>
        <v>108043628</v>
      </c>
      <c r="K23" s="2"/>
    </row>
    <row r="24" spans="1:12" x14ac:dyDescent="0.2">
      <c r="A24" s="9"/>
      <c r="B24" s="26"/>
      <c r="C24" s="81"/>
      <c r="D24" s="37"/>
      <c r="E24" s="67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1106113195</v>
      </c>
      <c r="E26" s="19">
        <f>SUM(E14:E24)</f>
        <v>1252101960</v>
      </c>
      <c r="K26" s="2"/>
    </row>
    <row r="27" spans="1:12" ht="10.5" thickBot="1" x14ac:dyDescent="0.25">
      <c r="A27" s="6"/>
      <c r="B27" s="6"/>
      <c r="C27" s="6"/>
      <c r="D27" s="6"/>
      <c r="E27" s="6"/>
      <c r="K27" s="2"/>
    </row>
    <row r="28" spans="1:12" ht="10.5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  <c r="L32" s="83"/>
    </row>
    <row r="33" spans="1:11" x14ac:dyDescent="0.2">
      <c r="A33" s="59"/>
      <c r="B33" s="22"/>
      <c r="K33" s="2"/>
    </row>
    <row r="34" spans="1:11" x14ac:dyDescent="0.2">
      <c r="B34" s="22"/>
      <c r="K34" s="2"/>
    </row>
    <row r="35" spans="1:11" x14ac:dyDescent="0.2">
      <c r="B35" s="25"/>
      <c r="K35" s="2"/>
    </row>
    <row r="36" spans="1:11" x14ac:dyDescent="0.2">
      <c r="B36" s="25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0.5" thickBot="1" x14ac:dyDescent="0.25">
      <c r="K66" s="2"/>
    </row>
    <row r="67" spans="1:11" ht="10.5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>
    <tabColor rgb="FF92D050"/>
  </sheetPr>
  <dimension ref="A1:L63"/>
  <sheetViews>
    <sheetView showGridLines="0" topLeftCell="A13" zoomScaleNormal="100" workbookViewId="0">
      <selection activeCell="C23" sqref="C23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174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183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186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22"/>
      <c r="D9" t="s">
        <v>37</v>
      </c>
      <c r="E9" t="s">
        <v>44</v>
      </c>
      <c r="K9" s="2"/>
      <c r="L9" s="27"/>
    </row>
    <row r="10" spans="1:12" x14ac:dyDescent="0.2">
      <c r="C10" t="s">
        <v>321</v>
      </c>
      <c r="D10" t="s">
        <v>323</v>
      </c>
      <c r="E10" t="s">
        <v>42</v>
      </c>
      <c r="K10" s="2"/>
    </row>
    <row r="11" spans="1:12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2" si="0">TEXT(A15-1,"#")</f>
        <v>2011</v>
      </c>
      <c r="B14" s="25"/>
      <c r="C14" s="80">
        <f>'[4]TICO 2'!P25</f>
        <v>50547302</v>
      </c>
      <c r="D14" s="208">
        <f>'10.2'!D17</f>
        <v>1.3727166755238378</v>
      </c>
      <c r="E14" s="31">
        <f t="shared" ref="E14:E22" si="1">ROUND(C14*D14,0)</f>
        <v>69387124</v>
      </c>
      <c r="K14" s="2"/>
      <c r="L14" s="35"/>
    </row>
    <row r="15" spans="1:12" x14ac:dyDescent="0.2">
      <c r="A15" t="str">
        <f t="shared" si="0"/>
        <v>2012</v>
      </c>
      <c r="B15" s="25"/>
      <c r="C15" s="80">
        <f>'[4]TICO 2'!P26</f>
        <v>53841760</v>
      </c>
      <c r="D15" s="208">
        <f>'10.2'!D18</f>
        <v>1.3073731976777445</v>
      </c>
      <c r="E15" s="31">
        <f t="shared" si="1"/>
        <v>70391274</v>
      </c>
      <c r="K15" s="2"/>
      <c r="L15" s="35"/>
    </row>
    <row r="16" spans="1:12" x14ac:dyDescent="0.2">
      <c r="A16" t="str">
        <f t="shared" si="0"/>
        <v>2013</v>
      </c>
      <c r="B16" s="25"/>
      <c r="C16" s="80">
        <f>'[4]TICO 2'!P27</f>
        <v>57427564</v>
      </c>
      <c r="D16" s="208">
        <f>'10.2'!D19</f>
        <v>1.2452851041347781</v>
      </c>
      <c r="E16" s="31">
        <f t="shared" si="1"/>
        <v>71513690</v>
      </c>
      <c r="K16" s="2"/>
      <c r="L16" s="35"/>
    </row>
    <row r="17" spans="1:12" x14ac:dyDescent="0.2">
      <c r="A17" t="str">
        <f t="shared" si="0"/>
        <v>2014</v>
      </c>
      <c r="B17" s="25"/>
      <c r="C17" s="80">
        <f>'[4]TICO 2'!P28</f>
        <v>62828148</v>
      </c>
      <c r="D17" s="208">
        <f>'10.2'!D20</f>
        <v>1.1862347753925764</v>
      </c>
      <c r="E17" s="31">
        <f t="shared" si="1"/>
        <v>74528934</v>
      </c>
      <c r="K17" s="2"/>
      <c r="L17" s="35"/>
    </row>
    <row r="18" spans="1:12" x14ac:dyDescent="0.2">
      <c r="A18" t="str">
        <f t="shared" si="0"/>
        <v>2015</v>
      </c>
      <c r="B18" s="25"/>
      <c r="C18" s="80">
        <f>'[4]TICO 2'!P29</f>
        <v>68716114</v>
      </c>
      <c r="D18" s="208">
        <f>'10.2'!D21</f>
        <v>1.1299661810216541</v>
      </c>
      <c r="E18" s="31">
        <f t="shared" si="1"/>
        <v>77646885</v>
      </c>
      <c r="K18" s="2"/>
      <c r="L18" s="35"/>
    </row>
    <row r="19" spans="1:12" x14ac:dyDescent="0.2">
      <c r="A19" t="str">
        <f t="shared" si="0"/>
        <v>2016</v>
      </c>
      <c r="B19" s="25"/>
      <c r="C19" s="80">
        <f>'[4]TICO 2'!P30</f>
        <v>71234774</v>
      </c>
      <c r="D19" s="208">
        <f>'10.2'!D22</f>
        <v>1.0765597532120244</v>
      </c>
      <c r="E19" s="31">
        <f t="shared" si="1"/>
        <v>76688491</v>
      </c>
      <c r="K19" s="2"/>
      <c r="L19" s="35"/>
    </row>
    <row r="20" spans="1:12" x14ac:dyDescent="0.2">
      <c r="A20" t="str">
        <f t="shared" si="0"/>
        <v>2017</v>
      </c>
      <c r="B20" s="25"/>
      <c r="C20" s="80">
        <f>'[4]TICO 2'!P31</f>
        <v>69126281</v>
      </c>
      <c r="D20" s="208">
        <f>'10.2'!D23</f>
        <v>1.0500000000000014</v>
      </c>
      <c r="E20" s="31">
        <f t="shared" si="1"/>
        <v>72582595</v>
      </c>
      <c r="K20" s="2"/>
      <c r="L20" s="35" t="s">
        <v>216</v>
      </c>
    </row>
    <row r="21" spans="1:12" x14ac:dyDescent="0.2">
      <c r="A21" t="str">
        <f t="shared" si="0"/>
        <v>2018</v>
      </c>
      <c r="B21" s="25"/>
      <c r="C21" s="80">
        <f>'[4]TICO 2'!P32</f>
        <v>63899693</v>
      </c>
      <c r="D21" s="208">
        <f>'10.2'!D24</f>
        <v>1.0255439472483592</v>
      </c>
      <c r="E21" s="31">
        <f t="shared" si="1"/>
        <v>65531943</v>
      </c>
      <c r="K21" s="2"/>
      <c r="L21" s="52">
        <f>'10.1a'!$L$21</f>
        <v>44104</v>
      </c>
    </row>
    <row r="22" spans="1:12" x14ac:dyDescent="0.2">
      <c r="A22" t="str">
        <f t="shared" si="0"/>
        <v>2019</v>
      </c>
      <c r="B22" s="25"/>
      <c r="C22" s="80">
        <f>'[4]TICO 2'!P33</f>
        <v>59870593</v>
      </c>
      <c r="D22" s="208">
        <f>'10.2'!D25</f>
        <v>0.999999999999997</v>
      </c>
      <c r="E22" s="31">
        <f t="shared" si="1"/>
        <v>59870593</v>
      </c>
      <c r="K22" s="2"/>
      <c r="L22" s="52"/>
    </row>
    <row r="23" spans="1:12" x14ac:dyDescent="0.2">
      <c r="A23" s="25" t="str">
        <f>TEXT(YEAR($L$21),"#")</f>
        <v>2020</v>
      </c>
      <c r="B23" s="25"/>
      <c r="C23" s="80">
        <f>'[4]TICO 2'!P34</f>
        <v>57494711</v>
      </c>
      <c r="D23" s="208">
        <f>'10.2'!D26</f>
        <v>1</v>
      </c>
      <c r="E23" s="31">
        <f t="shared" ref="E23" si="2">ROUND(C23*D23,0)</f>
        <v>57494711</v>
      </c>
      <c r="K23" s="2"/>
      <c r="L23" s="52"/>
    </row>
    <row r="24" spans="1:12" x14ac:dyDescent="0.2">
      <c r="A24" s="9"/>
      <c r="B24" s="26"/>
      <c r="C24" s="81"/>
      <c r="D24" s="37"/>
      <c r="E24" s="67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614986940</v>
      </c>
      <c r="E26" s="19">
        <f>SUM(E14:E24)</f>
        <v>695636240</v>
      </c>
      <c r="K26" s="2"/>
    </row>
    <row r="27" spans="1:12" ht="10.5" thickBot="1" x14ac:dyDescent="0.25">
      <c r="A27" s="6"/>
      <c r="B27" s="6"/>
      <c r="C27" s="6"/>
      <c r="D27" s="6"/>
      <c r="E27" s="6"/>
      <c r="K27" s="2"/>
    </row>
    <row r="28" spans="1:12" ht="10.5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59"/>
      <c r="B31" s="22" t="str">
        <f>D12&amp;" Provided by TWIA"</f>
        <v>(3) Provided by TWIA</v>
      </c>
      <c r="K31" s="2"/>
    </row>
    <row r="32" spans="1:12" x14ac:dyDescent="0.2">
      <c r="A32" s="59"/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ht="10.5" thickBot="1" x14ac:dyDescent="0.25">
      <c r="K62" s="2"/>
    </row>
    <row r="63" spans="1:11" ht="10.5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>
    <tabColor rgb="FF92D050"/>
  </sheetPr>
  <dimension ref="A1:L67"/>
  <sheetViews>
    <sheetView showGridLines="0" topLeftCell="A10" zoomScaleNormal="100" workbookViewId="0">
      <selection activeCell="I15" sqref="I15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174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184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186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D8" s="25"/>
      <c r="K8" s="2"/>
    </row>
    <row r="9" spans="1:12" x14ac:dyDescent="0.2">
      <c r="C9" s="22"/>
      <c r="D9" t="s">
        <v>37</v>
      </c>
      <c r="E9" t="s">
        <v>44</v>
      </c>
      <c r="K9" s="2"/>
      <c r="L9" s="27"/>
    </row>
    <row r="10" spans="1:12" x14ac:dyDescent="0.2">
      <c r="C10" t="s">
        <v>321</v>
      </c>
      <c r="D10" t="s">
        <v>323</v>
      </c>
      <c r="E10" t="s">
        <v>42</v>
      </c>
      <c r="K10" s="2"/>
    </row>
    <row r="11" spans="1:12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2" si="0">TEXT(A15-1,"#")</f>
        <v>2011</v>
      </c>
      <c r="B14" s="25"/>
      <c r="C14" s="80">
        <f>'[4]TICO 2'!Q25</f>
        <v>140621661</v>
      </c>
      <c r="D14" s="208">
        <f>'10.2'!D17</f>
        <v>1.3727166755238378</v>
      </c>
      <c r="E14" s="31">
        <f t="shared" ref="E14:E21" si="1">ROUND(C14*D14,0)</f>
        <v>193033699</v>
      </c>
      <c r="K14" s="2"/>
      <c r="L14" s="35"/>
    </row>
    <row r="15" spans="1:12" x14ac:dyDescent="0.2">
      <c r="A15" t="str">
        <f t="shared" si="0"/>
        <v>2012</v>
      </c>
      <c r="B15" s="25"/>
      <c r="C15" s="80">
        <f>'[4]TICO 2'!Q26</f>
        <v>160031435</v>
      </c>
      <c r="D15" s="208">
        <f>'10.2'!D18</f>
        <v>1.3073731976777445</v>
      </c>
      <c r="E15" s="31">
        <f t="shared" si="1"/>
        <v>209220809</v>
      </c>
      <c r="K15" s="2"/>
      <c r="L15" s="35"/>
    </row>
    <row r="16" spans="1:12" x14ac:dyDescent="0.2">
      <c r="A16" t="str">
        <f t="shared" si="0"/>
        <v>2013</v>
      </c>
      <c r="B16" s="25"/>
      <c r="C16" s="80">
        <f>'[4]TICO 2'!Q27</f>
        <v>173209952</v>
      </c>
      <c r="D16" s="208">
        <f>'10.2'!D19</f>
        <v>1.2452851041347781</v>
      </c>
      <c r="E16" s="31">
        <f t="shared" si="1"/>
        <v>215695773</v>
      </c>
      <c r="K16" s="2"/>
      <c r="L16" s="35"/>
    </row>
    <row r="17" spans="1:12" x14ac:dyDescent="0.2">
      <c r="A17" t="str">
        <f t="shared" si="0"/>
        <v>2014</v>
      </c>
      <c r="B17" s="25"/>
      <c r="C17" s="80">
        <f>'[4]TICO 2'!Q28</f>
        <v>187152484</v>
      </c>
      <c r="D17" s="208">
        <f>'10.2'!D20</f>
        <v>1.1862347753925764</v>
      </c>
      <c r="E17" s="31">
        <f t="shared" si="1"/>
        <v>222006785</v>
      </c>
      <c r="K17" s="2"/>
      <c r="L17" s="35"/>
    </row>
    <row r="18" spans="1:12" x14ac:dyDescent="0.2">
      <c r="A18" t="str">
        <f t="shared" si="0"/>
        <v>2015</v>
      </c>
      <c r="B18" s="25"/>
      <c r="C18" s="80">
        <f>'[4]TICO 2'!Q29</f>
        <v>200595693</v>
      </c>
      <c r="D18" s="208">
        <f>'10.2'!D21</f>
        <v>1.1299661810216541</v>
      </c>
      <c r="E18" s="31">
        <f t="shared" si="1"/>
        <v>226666349</v>
      </c>
      <c r="K18" s="2"/>
      <c r="L18" s="35"/>
    </row>
    <row r="19" spans="1:12" x14ac:dyDescent="0.2">
      <c r="A19" t="str">
        <f t="shared" si="0"/>
        <v>2016</v>
      </c>
      <c r="B19" s="25"/>
      <c r="C19" s="80">
        <f>'[4]TICO 2'!Q30</f>
        <v>200978477</v>
      </c>
      <c r="D19" s="208">
        <f>'10.2'!D22</f>
        <v>1.0765597532120244</v>
      </c>
      <c r="E19" s="31">
        <f t="shared" si="1"/>
        <v>216365340</v>
      </c>
      <c r="K19" s="2"/>
      <c r="L19" s="35"/>
    </row>
    <row r="20" spans="1:12" x14ac:dyDescent="0.2">
      <c r="A20" t="str">
        <f t="shared" si="0"/>
        <v>2017</v>
      </c>
      <c r="B20" s="25"/>
      <c r="C20" s="80">
        <f>'[4]TICO 2'!Q31</f>
        <v>188554673</v>
      </c>
      <c r="D20" s="208">
        <f>'10.2'!D23</f>
        <v>1.0500000000000014</v>
      </c>
      <c r="E20" s="31">
        <f t="shared" si="1"/>
        <v>197982407</v>
      </c>
      <c r="K20" s="2"/>
      <c r="L20" s="35" t="s">
        <v>216</v>
      </c>
    </row>
    <row r="21" spans="1:12" x14ac:dyDescent="0.2">
      <c r="A21" t="str">
        <f t="shared" si="0"/>
        <v>2018</v>
      </c>
      <c r="B21" s="25"/>
      <c r="C21" s="80">
        <f>'[4]TICO 2'!Q32</f>
        <v>166829909</v>
      </c>
      <c r="D21" s="208">
        <f>'10.2'!D24</f>
        <v>1.0255439472483592</v>
      </c>
      <c r="E21" s="31">
        <f t="shared" si="1"/>
        <v>171091403</v>
      </c>
      <c r="K21" s="2"/>
      <c r="L21" s="52">
        <f>'10.1a'!$L$21</f>
        <v>44104</v>
      </c>
    </row>
    <row r="22" spans="1:12" x14ac:dyDescent="0.2">
      <c r="A22" t="str">
        <f t="shared" si="0"/>
        <v>2019</v>
      </c>
      <c r="B22" s="25"/>
      <c r="C22" s="80">
        <f>'[4]TICO 2'!Q33</f>
        <v>151980115</v>
      </c>
      <c r="D22" s="208">
        <f>'10.2'!D25</f>
        <v>0.999999999999997</v>
      </c>
      <c r="E22" s="31">
        <f>ROUND(C22*D22,0)</f>
        <v>151980115</v>
      </c>
      <c r="K22" s="2"/>
      <c r="L22" s="52"/>
    </row>
    <row r="23" spans="1:12" x14ac:dyDescent="0.2">
      <c r="A23" s="25" t="str">
        <f>TEXT(YEAR($L$21),"#")</f>
        <v>2020</v>
      </c>
      <c r="B23" s="25"/>
      <c r="C23" s="80">
        <f>'[4]TICO 2'!Q34</f>
        <v>141633299</v>
      </c>
      <c r="D23" s="208">
        <f>'10.2'!D26</f>
        <v>1</v>
      </c>
      <c r="E23" s="31">
        <f>ROUND(C23*D23,0)</f>
        <v>141633299</v>
      </c>
      <c r="K23" s="2"/>
      <c r="L23" s="52"/>
    </row>
    <row r="24" spans="1:12" x14ac:dyDescent="0.2">
      <c r="A24" s="9"/>
      <c r="B24" s="26"/>
      <c r="C24" s="81"/>
      <c r="D24" s="37"/>
      <c r="E24" s="67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1711587698</v>
      </c>
      <c r="E26" s="19">
        <f>SUM(E14:E24)</f>
        <v>1945675979</v>
      </c>
      <c r="K26" s="2"/>
    </row>
    <row r="27" spans="1:12" ht="10.5" thickBot="1" x14ac:dyDescent="0.25">
      <c r="A27" s="6"/>
      <c r="B27" s="6"/>
      <c r="C27" s="6"/>
      <c r="D27" s="6"/>
      <c r="E27" s="6"/>
      <c r="K27" s="2"/>
    </row>
    <row r="28" spans="1:12" ht="10.5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59"/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</row>
    <row r="33" spans="2:11" x14ac:dyDescent="0.2"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0.5" thickBot="1" x14ac:dyDescent="0.25">
      <c r="K66" s="2"/>
    </row>
    <row r="67" spans="1:11" ht="10.5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>
    <tabColor rgb="FF92D050"/>
  </sheetPr>
  <dimension ref="A1:O67"/>
  <sheetViews>
    <sheetView showGridLines="0" topLeftCell="A7" zoomScaleNormal="100" workbookViewId="0">
      <selection activeCell="C23" sqref="C23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3" ht="10.5" x14ac:dyDescent="0.25">
      <c r="A1" s="8" t="str">
        <f>'1'!$A$1</f>
        <v>Texas Windstorm Insurance Association</v>
      </c>
      <c r="B1" s="12"/>
      <c r="J1" s="7" t="s">
        <v>174</v>
      </c>
      <c r="K1" s="1"/>
      <c r="M1" t="s">
        <v>435</v>
      </c>
    </row>
    <row r="2" spans="1:13" ht="10.5" x14ac:dyDescent="0.25">
      <c r="A2" s="8" t="str">
        <f>'1'!$A$2</f>
        <v>Residential Property - Wind &amp; Hail</v>
      </c>
      <c r="B2" s="12"/>
      <c r="J2" s="7" t="s">
        <v>185</v>
      </c>
      <c r="K2" s="2"/>
    </row>
    <row r="3" spans="1:13" ht="10.5" x14ac:dyDescent="0.25">
      <c r="A3" s="8" t="str">
        <f>'1'!$A$3</f>
        <v>Rate Level Review</v>
      </c>
      <c r="B3" s="12"/>
      <c r="K3" s="2"/>
    </row>
    <row r="4" spans="1:13" x14ac:dyDescent="0.2">
      <c r="A4" t="s">
        <v>186</v>
      </c>
      <c r="B4" s="12"/>
      <c r="K4" s="2"/>
    </row>
    <row r="5" spans="1:13" x14ac:dyDescent="0.2">
      <c r="A5" t="s">
        <v>50</v>
      </c>
      <c r="B5" s="12"/>
      <c r="K5" s="2"/>
    </row>
    <row r="6" spans="1:13" x14ac:dyDescent="0.2">
      <c r="K6" s="2"/>
    </row>
    <row r="7" spans="1:13" ht="10.5" thickBot="1" x14ac:dyDescent="0.25">
      <c r="A7" s="6"/>
      <c r="B7" s="6"/>
      <c r="C7" s="6"/>
      <c r="D7" s="205"/>
      <c r="E7" s="6"/>
      <c r="K7" s="2"/>
    </row>
    <row r="8" spans="1:13" ht="10.5" thickTop="1" x14ac:dyDescent="0.2">
      <c r="D8" s="25"/>
      <c r="K8" s="2"/>
    </row>
    <row r="9" spans="1:13" x14ac:dyDescent="0.2">
      <c r="C9" s="22"/>
      <c r="D9" t="s">
        <v>37</v>
      </c>
      <c r="E9" t="s">
        <v>44</v>
      </c>
      <c r="K9" s="2"/>
      <c r="L9" s="27"/>
    </row>
    <row r="10" spans="1:13" x14ac:dyDescent="0.2">
      <c r="C10" t="s">
        <v>321</v>
      </c>
      <c r="D10" t="s">
        <v>323</v>
      </c>
      <c r="E10" t="s">
        <v>42</v>
      </c>
      <c r="K10" s="2"/>
    </row>
    <row r="11" spans="1:13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3" x14ac:dyDescent="0.2">
      <c r="K13" s="2"/>
    </row>
    <row r="14" spans="1:13" x14ac:dyDescent="0.2">
      <c r="A14" t="str">
        <f t="shared" ref="A14:A22" si="0">TEXT(A15-1,"#")</f>
        <v>2011</v>
      </c>
      <c r="B14" s="25"/>
      <c r="C14" s="80">
        <f>'[4]TICO 2'!R25</f>
        <v>2825372</v>
      </c>
      <c r="D14" s="208">
        <f>'10.2'!D17</f>
        <v>1.3727166755238378</v>
      </c>
      <c r="E14" s="31">
        <f t="shared" ref="E14:E21" si="1">ROUND(C14*D14,0)</f>
        <v>3878435</v>
      </c>
      <c r="K14" s="2"/>
      <c r="L14" s="35"/>
    </row>
    <row r="15" spans="1:13" x14ac:dyDescent="0.2">
      <c r="A15" t="str">
        <f t="shared" si="0"/>
        <v>2012</v>
      </c>
      <c r="B15" s="25"/>
      <c r="C15" s="80">
        <f>'[4]TICO 2'!R26</f>
        <v>3294072</v>
      </c>
      <c r="D15" s="208">
        <f>'10.2'!D18</f>
        <v>1.3073731976777445</v>
      </c>
      <c r="E15" s="31">
        <f t="shared" si="1"/>
        <v>4306581</v>
      </c>
      <c r="K15" s="2"/>
      <c r="L15" s="35"/>
    </row>
    <row r="16" spans="1:13" x14ac:dyDescent="0.2">
      <c r="A16" t="str">
        <f t="shared" si="0"/>
        <v>2013</v>
      </c>
      <c r="B16" s="25"/>
      <c r="C16" s="80">
        <f>'[4]TICO 2'!R27</f>
        <v>3672814</v>
      </c>
      <c r="D16" s="208">
        <f>'10.2'!D19</f>
        <v>1.2452851041347781</v>
      </c>
      <c r="E16" s="31">
        <f t="shared" si="1"/>
        <v>4573701</v>
      </c>
      <c r="K16" s="2"/>
      <c r="L16" s="35"/>
    </row>
    <row r="17" spans="1:15" x14ac:dyDescent="0.2">
      <c r="A17" t="str">
        <f t="shared" si="0"/>
        <v>2014</v>
      </c>
      <c r="B17" s="25"/>
      <c r="C17" s="80">
        <f>'[4]TICO 2'!R28</f>
        <v>3920276</v>
      </c>
      <c r="D17" s="208">
        <f>'10.2'!D20</f>
        <v>1.1862347753925764</v>
      </c>
      <c r="E17" s="31">
        <f t="shared" si="1"/>
        <v>4650368</v>
      </c>
      <c r="K17" s="2"/>
      <c r="L17" s="35"/>
    </row>
    <row r="18" spans="1:15" x14ac:dyDescent="0.2">
      <c r="A18" t="str">
        <f t="shared" si="0"/>
        <v>2015</v>
      </c>
      <c r="B18" s="25"/>
      <c r="C18" s="80">
        <f>'[4]TICO 2'!R29</f>
        <v>4202726</v>
      </c>
      <c r="D18" s="208">
        <f>'10.2'!D21</f>
        <v>1.1299661810216541</v>
      </c>
      <c r="E18" s="31">
        <f t="shared" si="1"/>
        <v>4748938</v>
      </c>
      <c r="K18" s="2"/>
      <c r="L18" s="35"/>
    </row>
    <row r="19" spans="1:15" x14ac:dyDescent="0.2">
      <c r="A19" t="str">
        <f t="shared" si="0"/>
        <v>2016</v>
      </c>
      <c r="B19" s="25"/>
      <c r="C19" s="80">
        <f>'[4]TICO 2'!R30</f>
        <v>4436708</v>
      </c>
      <c r="D19" s="208">
        <f>'10.2'!D22</f>
        <v>1.0765597532120244</v>
      </c>
      <c r="E19" s="31">
        <f t="shared" si="1"/>
        <v>4776381</v>
      </c>
      <c r="K19" s="2"/>
      <c r="L19" s="35"/>
    </row>
    <row r="20" spans="1:15" x14ac:dyDescent="0.2">
      <c r="A20" t="str">
        <f t="shared" si="0"/>
        <v>2017</v>
      </c>
      <c r="B20" s="25"/>
      <c r="C20" s="80">
        <f>'[4]TICO 2'!R31</f>
        <v>4435808</v>
      </c>
      <c r="D20" s="208">
        <f>'10.2'!D23</f>
        <v>1.0500000000000014</v>
      </c>
      <c r="E20" s="31">
        <f t="shared" si="1"/>
        <v>4657598</v>
      </c>
      <c r="K20" s="2"/>
      <c r="L20" s="35" t="s">
        <v>216</v>
      </c>
    </row>
    <row r="21" spans="1:15" x14ac:dyDescent="0.2">
      <c r="A21" t="str">
        <f t="shared" si="0"/>
        <v>2018</v>
      </c>
      <c r="B21" s="25"/>
      <c r="C21" s="80">
        <f>'[4]TICO 2'!R32</f>
        <v>4301050</v>
      </c>
      <c r="D21" s="208">
        <f>'10.2'!D24</f>
        <v>1.0255439472483592</v>
      </c>
      <c r="E21" s="31">
        <f t="shared" si="1"/>
        <v>4410916</v>
      </c>
      <c r="K21" s="2"/>
      <c r="L21" s="52">
        <f>'10.1a'!$L$21</f>
        <v>44104</v>
      </c>
    </row>
    <row r="22" spans="1:15" x14ac:dyDescent="0.2">
      <c r="A22" t="str">
        <f t="shared" si="0"/>
        <v>2019</v>
      </c>
      <c r="B22" s="25"/>
      <c r="C22" s="80">
        <f>'[4]TICO 2'!R33</f>
        <v>4296061</v>
      </c>
      <c r="D22" s="208">
        <f>'10.2'!D25</f>
        <v>0.999999999999997</v>
      </c>
      <c r="E22" s="31">
        <f>ROUND(C22*D22,0)</f>
        <v>4296061</v>
      </c>
      <c r="K22" s="2"/>
      <c r="L22" s="52"/>
      <c r="O22" s="19">
        <f>C22+'10.1c'!C22+'10.1b'!C22+'10.1a'!C22</f>
        <v>325328865</v>
      </c>
    </row>
    <row r="23" spans="1:15" x14ac:dyDescent="0.2">
      <c r="A23" s="25" t="str">
        <f>TEXT(YEAR($L$21),"#")</f>
        <v>2020</v>
      </c>
      <c r="B23" s="25"/>
      <c r="C23" s="80">
        <f>'[4]TICO 2'!R34</f>
        <v>4367811</v>
      </c>
      <c r="D23" s="208">
        <f>'10.2'!D26</f>
        <v>1</v>
      </c>
      <c r="E23" s="31">
        <f>ROUND(C23*D23,0)</f>
        <v>4367811</v>
      </c>
      <c r="K23" s="2"/>
      <c r="L23" s="52"/>
      <c r="O23" s="19"/>
    </row>
    <row r="24" spans="1:15" x14ac:dyDescent="0.2">
      <c r="A24" s="9"/>
      <c r="B24" s="26"/>
      <c r="C24" s="81"/>
      <c r="D24" s="207"/>
      <c r="E24" s="67"/>
      <c r="K24" s="2"/>
    </row>
    <row r="25" spans="1:15" x14ac:dyDescent="0.2">
      <c r="C25" s="19"/>
      <c r="K25" s="2"/>
    </row>
    <row r="26" spans="1:15" x14ac:dyDescent="0.2">
      <c r="A26" t="s">
        <v>9</v>
      </c>
      <c r="C26" s="19">
        <f>SUM(C14:C24)</f>
        <v>39752698</v>
      </c>
      <c r="E26" s="19">
        <f>SUM(E14:E24)</f>
        <v>44666790</v>
      </c>
      <c r="K26" s="2"/>
    </row>
    <row r="27" spans="1:15" ht="10.5" thickBot="1" x14ac:dyDescent="0.25">
      <c r="A27" s="6"/>
      <c r="B27" s="6"/>
      <c r="C27" s="6"/>
      <c r="D27" s="205"/>
      <c r="E27" s="6"/>
      <c r="K27" s="2"/>
    </row>
    <row r="28" spans="1:15" ht="10.5" thickTop="1" x14ac:dyDescent="0.2">
      <c r="K28" s="2"/>
    </row>
    <row r="29" spans="1:15" x14ac:dyDescent="0.2">
      <c r="A29" t="s">
        <v>17</v>
      </c>
      <c r="K29" s="2"/>
    </row>
    <row r="30" spans="1:15" x14ac:dyDescent="0.2">
      <c r="B30" s="22" t="str">
        <f>C12&amp;" Provided by TWIA"</f>
        <v>(2) Provided by TWIA</v>
      </c>
      <c r="K30" s="2"/>
    </row>
    <row r="31" spans="1:15" x14ac:dyDescent="0.2">
      <c r="B31" s="22" t="str">
        <f>D12&amp;" Provided by TWIA"</f>
        <v>(3) Provided by TWIA</v>
      </c>
      <c r="K31" s="2"/>
    </row>
    <row r="32" spans="1:15" x14ac:dyDescent="0.2">
      <c r="B32" s="22" t="str">
        <f>E12&amp;" = "&amp;C12&amp;" * "&amp;D12</f>
        <v>(4) = (2) * (3)</v>
      </c>
      <c r="K32" s="2"/>
    </row>
    <row r="33" spans="1:11" x14ac:dyDescent="0.2">
      <c r="A33" s="59"/>
      <c r="B33" s="25"/>
      <c r="K33" s="2"/>
    </row>
    <row r="34" spans="1:11" x14ac:dyDescent="0.2">
      <c r="B34" s="25"/>
      <c r="K34" s="2"/>
    </row>
    <row r="35" spans="1:11" x14ac:dyDescent="0.2">
      <c r="B35" s="22"/>
      <c r="K35" s="2"/>
    </row>
    <row r="36" spans="1:11" x14ac:dyDescent="0.2">
      <c r="B36" s="22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0.5" thickBot="1" x14ac:dyDescent="0.25">
      <c r="K66" s="2"/>
    </row>
    <row r="67" spans="1:11" ht="10.5" thickBot="1" x14ac:dyDescent="0.25">
      <c r="A67" s="4"/>
      <c r="B67" s="5"/>
      <c r="C67" s="5"/>
      <c r="D67" s="206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>
    <tabColor rgb="FF92D050"/>
  </sheetPr>
  <dimension ref="A1:L71"/>
  <sheetViews>
    <sheetView showGridLines="0" topLeftCell="A13" workbookViewId="0">
      <selection activeCell="G17" sqref="G17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1" ht="10.5" x14ac:dyDescent="0.25">
      <c r="A1" s="8" t="str">
        <f>'1'!$A$1</f>
        <v>Texas Windstorm Insurance Association</v>
      </c>
      <c r="B1" s="12"/>
      <c r="J1" s="7" t="s">
        <v>174</v>
      </c>
      <c r="K1" s="1"/>
    </row>
    <row r="2" spans="1:11" ht="10.5" x14ac:dyDescent="0.25">
      <c r="A2" s="8" t="str">
        <f>'1'!$A$2</f>
        <v>Residential Property - Wind &amp; Hail</v>
      </c>
      <c r="B2" s="12"/>
      <c r="J2" s="7" t="s">
        <v>85</v>
      </c>
      <c r="K2" s="2"/>
    </row>
    <row r="3" spans="1:11" ht="10.5" x14ac:dyDescent="0.25">
      <c r="A3" s="8" t="str">
        <f>'1'!$A$3</f>
        <v>Rate Level Review</v>
      </c>
      <c r="B3" s="12"/>
      <c r="K3" s="2"/>
    </row>
    <row r="4" spans="1:11" x14ac:dyDescent="0.2">
      <c r="A4" t="s">
        <v>186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0.5" thickBot="1" x14ac:dyDescent="0.25">
      <c r="A7" s="6"/>
      <c r="B7" s="6"/>
      <c r="C7" s="6"/>
      <c r="D7" s="205"/>
      <c r="E7" s="6"/>
      <c r="K7" s="2"/>
    </row>
    <row r="8" spans="1:11" ht="10.5" thickTop="1" x14ac:dyDescent="0.2">
      <c r="K8" s="2"/>
    </row>
    <row r="9" spans="1:11" x14ac:dyDescent="0.2">
      <c r="C9" s="22" t="s">
        <v>44</v>
      </c>
      <c r="D9" s="209" t="s">
        <v>37</v>
      </c>
      <c r="E9" t="s">
        <v>44</v>
      </c>
      <c r="K9" s="2"/>
    </row>
    <row r="10" spans="1:11" x14ac:dyDescent="0.2">
      <c r="C10" t="s">
        <v>327</v>
      </c>
      <c r="D10" s="209" t="s">
        <v>323</v>
      </c>
      <c r="E10" t="s">
        <v>42</v>
      </c>
      <c r="K10" s="2"/>
    </row>
    <row r="11" spans="1:11" x14ac:dyDescent="0.2">
      <c r="A11" s="9" t="s">
        <v>54</v>
      </c>
      <c r="B11" s="9"/>
      <c r="C11" s="9" t="s">
        <v>182</v>
      </c>
      <c r="D11" s="210" t="s">
        <v>137</v>
      </c>
      <c r="E11" s="9" t="s">
        <v>137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1" x14ac:dyDescent="0.2">
      <c r="K13" s="2"/>
    </row>
    <row r="14" spans="1:11" x14ac:dyDescent="0.2">
      <c r="A14" s="242">
        <v>2008</v>
      </c>
      <c r="B14" s="25"/>
      <c r="C14" s="101">
        <f>'[4]TWIA 5'!G266</f>
        <v>219412771.41374999</v>
      </c>
      <c r="D14" s="276">
        <f t="shared" ref="D14:D24" si="0">E14/C14</f>
        <v>1.6495345789525933</v>
      </c>
      <c r="E14" s="101">
        <f>'[4]TWIA 5'!O266</f>
        <v>361928953.51080167</v>
      </c>
      <c r="F14" s="296"/>
      <c r="K14" s="2"/>
    </row>
    <row r="15" spans="1:11" x14ac:dyDescent="0.2">
      <c r="A15" s="242">
        <v>2009</v>
      </c>
      <c r="B15" s="25"/>
      <c r="C15" s="101">
        <f>'[4]TWIA 5'!G267</f>
        <v>250693787.58916676</v>
      </c>
      <c r="D15" s="276">
        <f t="shared" si="0"/>
        <v>1.4987056675771686</v>
      </c>
      <c r="E15" s="101">
        <f>'[4]TWIA 5'!O267</f>
        <v>375716200.2862711</v>
      </c>
      <c r="F15" s="296"/>
      <c r="K15" s="2"/>
    </row>
    <row r="16" spans="1:11" x14ac:dyDescent="0.2">
      <c r="A16" s="242">
        <v>2010</v>
      </c>
      <c r="B16" s="25"/>
      <c r="C16" s="101">
        <f>'[4]TWIA 5'!G268</f>
        <v>273154916.13250005</v>
      </c>
      <c r="D16" s="276">
        <f t="shared" si="0"/>
        <v>1.4074808531397425</v>
      </c>
      <c r="E16" s="101">
        <f>'[4]TWIA 5'!O268</f>
        <v>384460314.39748597</v>
      </c>
      <c r="F16" s="296"/>
      <c r="K16" s="2"/>
    </row>
    <row r="17" spans="1:12" x14ac:dyDescent="0.2">
      <c r="A17" s="242">
        <v>2011</v>
      </c>
      <c r="B17" s="25"/>
      <c r="C17" s="101">
        <f>'[4]TWIA 5'!G269</f>
        <v>292239326.51041698</v>
      </c>
      <c r="D17" s="276">
        <f t="shared" si="0"/>
        <v>1.3727166755238378</v>
      </c>
      <c r="E17" s="101">
        <f>'[4]TWIA 5'!O269</f>
        <v>401161796.74470496</v>
      </c>
      <c r="F17" s="296"/>
      <c r="K17" s="2"/>
    </row>
    <row r="18" spans="1:12" x14ac:dyDescent="0.2">
      <c r="A18" s="242">
        <v>2012</v>
      </c>
      <c r="B18" s="25"/>
      <c r="C18" s="101">
        <f>'[4]TWIA 5'!G270</f>
        <v>323323868.9816668</v>
      </c>
      <c r="D18" s="276">
        <f t="shared" si="0"/>
        <v>1.3073731976777445</v>
      </c>
      <c r="E18" s="101">
        <f>'[4]TWIA 5'!O270</f>
        <v>422704960.47610188</v>
      </c>
      <c r="F18" s="296"/>
      <c r="K18" s="2"/>
    </row>
    <row r="19" spans="1:12" x14ac:dyDescent="0.2">
      <c r="A19" s="242">
        <v>2013</v>
      </c>
      <c r="B19" s="25"/>
      <c r="C19" s="101">
        <f>'[4]TWIA 5'!G271</f>
        <v>346955938.10791636</v>
      </c>
      <c r="D19" s="276">
        <f t="shared" si="0"/>
        <v>1.2452851041347781</v>
      </c>
      <c r="E19" s="101">
        <f>'[4]TWIA 5'!O271</f>
        <v>432059061.51689625</v>
      </c>
      <c r="F19" s="296"/>
      <c r="K19" s="2"/>
    </row>
    <row r="20" spans="1:12" x14ac:dyDescent="0.2">
      <c r="A20" s="242">
        <v>2014</v>
      </c>
      <c r="B20" s="25"/>
      <c r="C20" s="101">
        <f>'[4]TWIA 5'!G272</f>
        <v>372022088.97291589</v>
      </c>
      <c r="D20" s="276">
        <f t="shared" si="0"/>
        <v>1.1862347753925764</v>
      </c>
      <c r="E20" s="101">
        <f>'[4]TWIA 5'!O272</f>
        <v>441305539.15386391</v>
      </c>
      <c r="F20" s="296"/>
      <c r="K20" s="2"/>
    </row>
    <row r="21" spans="1:12" x14ac:dyDescent="0.2">
      <c r="A21" s="242">
        <v>2015</v>
      </c>
      <c r="B21" s="25"/>
      <c r="C21" s="101">
        <f>'[4]TWIA 5'!G273</f>
        <v>403803905.31166744</v>
      </c>
      <c r="D21" s="276">
        <f t="shared" si="0"/>
        <v>1.1299661810216541</v>
      </c>
      <c r="E21" s="101">
        <f>'[4]TWIA 5'!O273</f>
        <v>456284756.76665449</v>
      </c>
      <c r="F21" s="296"/>
      <c r="K21" s="2"/>
    </row>
    <row r="22" spans="1:12" x14ac:dyDescent="0.2">
      <c r="A22" s="242">
        <v>2016</v>
      </c>
      <c r="B22" s="25"/>
      <c r="C22" s="101">
        <f>'[4]TWIA 5'!G274</f>
        <v>405934589.57833338</v>
      </c>
      <c r="D22" s="276">
        <f t="shared" si="0"/>
        <v>1.0765597532120244</v>
      </c>
      <c r="E22" s="101">
        <f>'[4]TWIA 5'!O274</f>
        <v>437012841.57667494</v>
      </c>
      <c r="F22" s="296"/>
      <c r="K22" s="2"/>
    </row>
    <row r="23" spans="1:12" x14ac:dyDescent="0.2">
      <c r="A23" s="25">
        <v>2017</v>
      </c>
      <c r="B23" s="25"/>
      <c r="C23" s="101">
        <f>'[4]TWIA 5'!G275</f>
        <v>376421384.29166651</v>
      </c>
      <c r="D23" s="276">
        <f t="shared" si="0"/>
        <v>1.0500000000000014</v>
      </c>
      <c r="E23" s="101">
        <f>'[4]TWIA 5'!O275</f>
        <v>395242453.50625038</v>
      </c>
      <c r="F23" s="296"/>
      <c r="K23" s="2"/>
    </row>
    <row r="24" spans="1:12" x14ac:dyDescent="0.2">
      <c r="A24" s="51">
        <v>2018</v>
      </c>
      <c r="B24" s="51"/>
      <c r="C24" s="101">
        <f>'[4]TWIA 5'!G276</f>
        <v>341468875.45833349</v>
      </c>
      <c r="D24" s="305">
        <f t="shared" si="0"/>
        <v>1.0255439472483592</v>
      </c>
      <c r="E24" s="101">
        <f>'[4]TWIA 5'!O276</f>
        <v>350191338.39999771</v>
      </c>
      <c r="F24" s="296"/>
      <c r="K24" s="2"/>
    </row>
    <row r="25" spans="1:12" x14ac:dyDescent="0.2">
      <c r="A25" s="51">
        <v>2019</v>
      </c>
      <c r="B25" s="51"/>
      <c r="C25" s="101">
        <f>'[4]TWIA 5'!G277</f>
        <v>322259385.91666698</v>
      </c>
      <c r="D25" s="305">
        <f t="shared" ref="D25:D26" si="1">E25/C25</f>
        <v>0.999999999999997</v>
      </c>
      <c r="E25" s="101">
        <f>'[4]TWIA 5'!O277</f>
        <v>322259385.91666603</v>
      </c>
      <c r="F25" s="296"/>
      <c r="K25" s="2"/>
    </row>
    <row r="26" spans="1:12" x14ac:dyDescent="0.2">
      <c r="A26" s="26">
        <v>2020</v>
      </c>
      <c r="B26" s="26"/>
      <c r="C26" s="81">
        <f>'[4]TWIA 5'!G278</f>
        <v>311420426.08333302</v>
      </c>
      <c r="D26" s="281">
        <f t="shared" si="1"/>
        <v>1</v>
      </c>
      <c r="E26" s="81">
        <f>'[4]TWIA 5'!O278</f>
        <v>311420426.08333302</v>
      </c>
      <c r="F26" s="296"/>
      <c r="K26" s="2"/>
    </row>
    <row r="27" spans="1:12" x14ac:dyDescent="0.2">
      <c r="C27" s="19"/>
      <c r="K27" s="2"/>
      <c r="L27" s="79">
        <v>44196</v>
      </c>
    </row>
    <row r="28" spans="1:12" x14ac:dyDescent="0.2">
      <c r="A28" t="s">
        <v>9</v>
      </c>
      <c r="C28" s="19">
        <f>SUM(C14:C26)</f>
        <v>4239111264.3483338</v>
      </c>
      <c r="E28" s="19">
        <f>SUM(E14:E26)</f>
        <v>5091748028.3357019</v>
      </c>
      <c r="K28" s="2"/>
    </row>
    <row r="29" spans="1:12" ht="10.5" thickBot="1" x14ac:dyDescent="0.25">
      <c r="A29" s="6"/>
      <c r="B29" s="6"/>
      <c r="C29" s="6"/>
      <c r="D29" s="205"/>
      <c r="E29" s="6"/>
      <c r="K29" s="2"/>
    </row>
    <row r="30" spans="1:12" ht="10.5" thickTop="1" x14ac:dyDescent="0.2">
      <c r="K30" s="2"/>
    </row>
    <row r="31" spans="1:12" x14ac:dyDescent="0.2">
      <c r="A31" t="s">
        <v>17</v>
      </c>
      <c r="K31" s="2"/>
    </row>
    <row r="32" spans="1:12" x14ac:dyDescent="0.2">
      <c r="B32" s="22" t="str">
        <f>C12&amp;" Provided by TWIA"</f>
        <v>(2) Provided by TWIA</v>
      </c>
      <c r="K32" s="2"/>
    </row>
    <row r="33" spans="2:11" x14ac:dyDescent="0.2">
      <c r="B33" s="22" t="str">
        <f>D12&amp;" Based on historical rate changes"</f>
        <v>(3) Based on historical rate changes</v>
      </c>
      <c r="K33" s="2"/>
    </row>
    <row r="34" spans="2:11" x14ac:dyDescent="0.2">
      <c r="B34" s="22" t="str">
        <f>E12&amp;" = "&amp;C12&amp;" * "&amp;D12</f>
        <v>(4) = (2) * (3)</v>
      </c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2"/>
      <c r="K37" s="2"/>
    </row>
    <row r="38" spans="2:11" x14ac:dyDescent="0.2">
      <c r="B38" s="22"/>
      <c r="K38" s="2"/>
    </row>
    <row r="39" spans="2:11" x14ac:dyDescent="0.2">
      <c r="K39" s="2"/>
    </row>
    <row r="40" spans="2:11" x14ac:dyDescent="0.2">
      <c r="B40" s="25"/>
      <c r="K40" s="2"/>
    </row>
    <row r="41" spans="2:11" x14ac:dyDescent="0.2">
      <c r="B41" s="25"/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0.5" thickBot="1" x14ac:dyDescent="0.25">
      <c r="K70" s="2"/>
    </row>
    <row r="71" spans="1:11" ht="10.5" thickBot="1" x14ac:dyDescent="0.25">
      <c r="A71" s="4"/>
      <c r="B71" s="5"/>
      <c r="C71" s="5"/>
      <c r="D71" s="206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>
    <tabColor rgb="FF92D050"/>
  </sheetPr>
  <dimension ref="A1:L68"/>
  <sheetViews>
    <sheetView showGridLines="0" topLeftCell="A34" workbookViewId="0">
      <selection activeCell="K41" sqref="K41"/>
    </sheetView>
  </sheetViews>
  <sheetFormatPr defaultColWidth="11.33203125" defaultRowHeight="10" x14ac:dyDescent="0.2"/>
  <cols>
    <col min="1" max="1" width="4.44140625" customWidth="1"/>
    <col min="2" max="2" width="3.44140625" customWidth="1"/>
    <col min="3" max="3" width="34.109375" customWidth="1"/>
    <col min="4" max="7" width="12.33203125" customWidth="1"/>
    <col min="8" max="9" width="11.33203125" customWidth="1"/>
    <col min="10" max="10" width="7.109375" customWidth="1"/>
  </cols>
  <sheetData>
    <row r="1" spans="1:12" ht="10.5" x14ac:dyDescent="0.25">
      <c r="A1" s="8" t="str">
        <f>'1'!$A$1</f>
        <v>Texas Windstorm Insurance Association</v>
      </c>
      <c r="B1" s="96"/>
      <c r="J1" s="7" t="s">
        <v>180</v>
      </c>
      <c r="K1" s="1"/>
    </row>
    <row r="2" spans="1:12" ht="10.5" x14ac:dyDescent="0.25">
      <c r="A2" s="8" t="str">
        <f>'1'!$A$2</f>
        <v>Residential Property - Wind &amp; Hail</v>
      </c>
      <c r="B2" s="96"/>
      <c r="J2" s="7" t="s">
        <v>21</v>
      </c>
      <c r="K2" s="2"/>
    </row>
    <row r="3" spans="1:12" ht="10.5" x14ac:dyDescent="0.25">
      <c r="A3" s="8" t="str">
        <f>'1'!$A$3</f>
        <v>Rate Level Review</v>
      </c>
      <c r="B3" s="96"/>
      <c r="J3" s="7"/>
      <c r="K3" s="2"/>
    </row>
    <row r="4" spans="1:12" x14ac:dyDescent="0.2">
      <c r="A4" t="s">
        <v>224</v>
      </c>
      <c r="B4" s="96"/>
      <c r="K4" s="2"/>
    </row>
    <row r="5" spans="1:12" x14ac:dyDescent="0.2">
      <c r="B5" s="96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K7" s="2"/>
    </row>
    <row r="8" spans="1:12" ht="10.5" thickTop="1" x14ac:dyDescent="0.2">
      <c r="K8" s="2"/>
    </row>
    <row r="9" spans="1:12" x14ac:dyDescent="0.2">
      <c r="D9" s="97"/>
      <c r="K9" s="2"/>
      <c r="L9" s="27"/>
    </row>
    <row r="10" spans="1:12" x14ac:dyDescent="0.2">
      <c r="K10" s="2"/>
      <c r="L10" t="s">
        <v>219</v>
      </c>
    </row>
    <row r="11" spans="1:12" x14ac:dyDescent="0.2">
      <c r="A11" s="9" t="s">
        <v>188</v>
      </c>
      <c r="B11" s="9"/>
      <c r="C11" s="9"/>
      <c r="D11" s="181">
        <f>E11-1</f>
        <v>2018</v>
      </c>
      <c r="E11" s="181">
        <f>F11-1</f>
        <v>2019</v>
      </c>
      <c r="F11" s="181">
        <f>YEAR(L11)</f>
        <v>2020</v>
      </c>
      <c r="G11" s="9" t="s">
        <v>73</v>
      </c>
      <c r="K11" s="2"/>
      <c r="L11" s="89">
        <v>44196</v>
      </c>
    </row>
    <row r="12" spans="1:12" x14ac:dyDescent="0.2">
      <c r="A12" s="13"/>
      <c r="B12" s="13"/>
      <c r="C12" s="13"/>
      <c r="D12" s="11"/>
      <c r="E12" s="11"/>
      <c r="F12" s="11"/>
      <c r="G12" s="11"/>
      <c r="K12" s="2"/>
    </row>
    <row r="13" spans="1:12" x14ac:dyDescent="0.2">
      <c r="K13" s="2"/>
    </row>
    <row r="14" spans="1:12" x14ac:dyDescent="0.2">
      <c r="A14" s="56" t="s">
        <v>189</v>
      </c>
      <c r="B14" t="s">
        <v>193</v>
      </c>
      <c r="D14" s="93">
        <f>'[5]11.1'!D14</f>
        <v>395551679</v>
      </c>
      <c r="E14" s="93">
        <f>'[5]11.1'!E14</f>
        <v>372016601</v>
      </c>
      <c r="F14" s="93">
        <f>'[5]11.1'!F14</f>
        <v>369600488</v>
      </c>
      <c r="K14" s="2"/>
      <c r="L14" s="98"/>
    </row>
    <row r="15" spans="1:12" x14ac:dyDescent="0.2">
      <c r="A15" s="56" t="s">
        <v>190</v>
      </c>
      <c r="B15" t="s">
        <v>192</v>
      </c>
      <c r="D15" s="93">
        <f>'[5]11.1'!D15</f>
        <v>409954258</v>
      </c>
      <c r="E15" s="93">
        <f>'[5]11.1'!E15</f>
        <v>381571182</v>
      </c>
      <c r="F15" s="93">
        <f>'[5]11.1'!F15</f>
        <v>369179093</v>
      </c>
      <c r="K15" s="2"/>
      <c r="L15" s="98"/>
    </row>
    <row r="16" spans="1:12" x14ac:dyDescent="0.2">
      <c r="K16" s="2"/>
      <c r="L16" s="98"/>
    </row>
    <row r="17" spans="1:12" x14ac:dyDescent="0.2">
      <c r="A17" s="56" t="s">
        <v>191</v>
      </c>
      <c r="B17" t="s">
        <v>194</v>
      </c>
      <c r="K17" s="2"/>
      <c r="L17" s="98"/>
    </row>
    <row r="18" spans="1:12" x14ac:dyDescent="0.2">
      <c r="C18" t="s">
        <v>195</v>
      </c>
      <c r="D18" s="93">
        <f>'[5]11.1'!D18</f>
        <v>63280811</v>
      </c>
      <c r="E18" s="93">
        <f>'[5]11.1'!E18</f>
        <v>59474929</v>
      </c>
      <c r="F18" s="93">
        <f>'[5]11.1'!F18</f>
        <v>59103153</v>
      </c>
      <c r="K18" s="2"/>
      <c r="L18" s="98"/>
    </row>
    <row r="19" spans="1:12" x14ac:dyDescent="0.2">
      <c r="C19" t="s">
        <v>196</v>
      </c>
      <c r="D19" s="29">
        <f>D18/D$14</f>
        <v>0.1599811462309581</v>
      </c>
      <c r="E19" s="29">
        <f>E18/E$14</f>
        <v>0.15987170690804736</v>
      </c>
      <c r="F19" s="20">
        <f>F18/F$14</f>
        <v>0.15991091710896227</v>
      </c>
      <c r="G19" s="92">
        <f>'[5]11.1'!G19</f>
        <v>0.16</v>
      </c>
      <c r="K19" s="2"/>
      <c r="L19" s="98"/>
    </row>
    <row r="20" spans="1:12" x14ac:dyDescent="0.2">
      <c r="D20" s="59"/>
      <c r="E20" s="59"/>
      <c r="K20" s="2"/>
      <c r="L20" s="98"/>
    </row>
    <row r="21" spans="1:12" x14ac:dyDescent="0.2">
      <c r="A21" s="56" t="s">
        <v>141</v>
      </c>
      <c r="B21" t="s">
        <v>197</v>
      </c>
      <c r="D21" s="59"/>
      <c r="E21" s="59"/>
      <c r="K21" s="2"/>
      <c r="L21" s="98"/>
    </row>
    <row r="22" spans="1:12" x14ac:dyDescent="0.2">
      <c r="C22" t="s">
        <v>195</v>
      </c>
      <c r="D22" s="93">
        <f>'[5]11.1'!D22</f>
        <v>0</v>
      </c>
      <c r="E22" s="93">
        <f>'[5]11.1'!E22</f>
        <v>0</v>
      </c>
      <c r="F22" s="93">
        <f>'[5]11.1'!F22</f>
        <v>0</v>
      </c>
      <c r="K22" s="2"/>
      <c r="L22" s="98"/>
    </row>
    <row r="23" spans="1:12" x14ac:dyDescent="0.2">
      <c r="C23" t="s">
        <v>196</v>
      </c>
      <c r="D23" s="29">
        <f>D22/D$14</f>
        <v>0</v>
      </c>
      <c r="E23" s="29">
        <f>E22/E$14</f>
        <v>0</v>
      </c>
      <c r="F23" s="20">
        <f>F22/F$14</f>
        <v>0</v>
      </c>
      <c r="G23" s="92">
        <f>'[5]11.1'!G23</f>
        <v>0</v>
      </c>
      <c r="K23" s="2"/>
      <c r="L23" s="98"/>
    </row>
    <row r="24" spans="1:12" x14ac:dyDescent="0.2">
      <c r="D24" s="59"/>
      <c r="E24" s="59"/>
      <c r="K24" s="2"/>
    </row>
    <row r="25" spans="1:12" x14ac:dyDescent="0.2">
      <c r="A25" s="56" t="s">
        <v>120</v>
      </c>
      <c r="B25" t="s">
        <v>198</v>
      </c>
      <c r="D25" s="59"/>
      <c r="E25" s="59"/>
      <c r="K25" s="2"/>
    </row>
    <row r="26" spans="1:12" x14ac:dyDescent="0.2">
      <c r="C26" t="s">
        <v>199</v>
      </c>
      <c r="D26" s="93">
        <f>'[5]11.1'!D26</f>
        <v>30687177</v>
      </c>
      <c r="E26" s="93">
        <f>'[5]11.1'!E26</f>
        <v>31461936</v>
      </c>
      <c r="F26" s="93">
        <f>'[5]11.1'!F26</f>
        <v>31624678</v>
      </c>
      <c r="K26" s="2"/>
    </row>
    <row r="27" spans="1:12" x14ac:dyDescent="0.2">
      <c r="D27" s="59"/>
      <c r="E27" s="59"/>
      <c r="K27" s="2"/>
    </row>
    <row r="28" spans="1:12" x14ac:dyDescent="0.2">
      <c r="B28" t="s">
        <v>200</v>
      </c>
      <c r="D28" s="59"/>
      <c r="E28" s="59"/>
      <c r="K28" s="2"/>
    </row>
    <row r="29" spans="1:12" x14ac:dyDescent="0.2">
      <c r="C29" t="s">
        <v>201</v>
      </c>
      <c r="D29" s="93">
        <f>'[5]11.1'!D29</f>
        <v>0</v>
      </c>
      <c r="E29" s="93">
        <f>'[5]11.1'!E29</f>
        <v>0</v>
      </c>
      <c r="F29" s="93">
        <f>'[5]11.1'!F29</f>
        <v>0</v>
      </c>
      <c r="K29" s="2"/>
    </row>
    <row r="30" spans="1:12" x14ac:dyDescent="0.2">
      <c r="D30" s="59"/>
      <c r="E30" s="59"/>
      <c r="K30" s="2"/>
    </row>
    <row r="31" spans="1:12" x14ac:dyDescent="0.2">
      <c r="C31" t="s">
        <v>202</v>
      </c>
      <c r="D31" s="31">
        <f>D26-SUM(D29)</f>
        <v>30687177</v>
      </c>
      <c r="E31" s="31">
        <f>E26-SUM(E29)</f>
        <v>31461936</v>
      </c>
      <c r="F31" s="31">
        <f>F26-SUM(F29)</f>
        <v>31624678</v>
      </c>
      <c r="K31" s="2"/>
    </row>
    <row r="32" spans="1:12" x14ac:dyDescent="0.2">
      <c r="B32" s="97"/>
      <c r="C32" s="22" t="s">
        <v>196</v>
      </c>
      <c r="D32" s="29">
        <f>D31/D$14</f>
        <v>7.7580702166606147E-2</v>
      </c>
      <c r="E32" s="29">
        <f>E31/E$14</f>
        <v>8.4571322665248486E-2</v>
      </c>
      <c r="F32" s="29">
        <f>F31/F$14</f>
        <v>8.5564492003592812E-2</v>
      </c>
      <c r="G32" s="92">
        <f>'[5]11.1'!G32</f>
        <v>8.1000000000000003E-2</v>
      </c>
      <c r="K32" s="2"/>
    </row>
    <row r="33" spans="1:11" x14ac:dyDescent="0.2">
      <c r="B33" s="97"/>
      <c r="C33" s="97"/>
      <c r="D33" s="59"/>
      <c r="E33" s="59"/>
      <c r="K33" s="2"/>
    </row>
    <row r="34" spans="1:11" x14ac:dyDescent="0.2">
      <c r="A34" s="56" t="s">
        <v>124</v>
      </c>
      <c r="B34" t="s">
        <v>203</v>
      </c>
      <c r="D34" s="59"/>
      <c r="E34" s="59"/>
      <c r="K34" s="2"/>
    </row>
    <row r="35" spans="1:11" x14ac:dyDescent="0.2">
      <c r="B35" s="25"/>
      <c r="C35" t="s">
        <v>195</v>
      </c>
      <c r="D35" s="93">
        <f>'[5]11.1'!D35</f>
        <v>7590295</v>
      </c>
      <c r="E35" s="93">
        <f>'[5]11.1'!E35</f>
        <v>7024246</v>
      </c>
      <c r="F35" s="93">
        <f>'[5]11.1'!F35</f>
        <v>6904349</v>
      </c>
      <c r="K35" s="2"/>
    </row>
    <row r="36" spans="1:11" x14ac:dyDescent="0.2">
      <c r="B36" s="25"/>
      <c r="C36" t="s">
        <v>196</v>
      </c>
      <c r="D36" s="20">
        <f>D35/D$14</f>
        <v>1.918913609263178E-2</v>
      </c>
      <c r="E36" s="20">
        <f>E35/E$14</f>
        <v>1.8881539106369073E-2</v>
      </c>
      <c r="F36" s="20">
        <f>F35/F$14</f>
        <v>1.8680573278896752E-2</v>
      </c>
      <c r="G36" s="92">
        <f>'[5]11.1'!G36</f>
        <v>1.9E-2</v>
      </c>
      <c r="K36" s="2"/>
    </row>
    <row r="37" spans="1:11" x14ac:dyDescent="0.2">
      <c r="K37" s="2"/>
    </row>
    <row r="38" spans="1:11" x14ac:dyDescent="0.2">
      <c r="A38" s="56" t="s">
        <v>123</v>
      </c>
      <c r="B38" t="s">
        <v>204</v>
      </c>
      <c r="G38" s="92">
        <f>'[5]11.2'!$E$34</f>
        <v>0.18645396402989783</v>
      </c>
      <c r="H38" s="20"/>
      <c r="K38" s="2"/>
    </row>
    <row r="39" spans="1:11" x14ac:dyDescent="0.2">
      <c r="K39" s="2"/>
    </row>
    <row r="40" spans="1:11" x14ac:dyDescent="0.2">
      <c r="A40" s="268" t="str">
        <f>'[8]11.1'!A40</f>
        <v>(8)</v>
      </c>
      <c r="B40" s="268" t="str">
        <f>'[8]11.1'!B40</f>
        <v>Outstanding Class 1 Public Security Repayment</v>
      </c>
      <c r="C40" s="268"/>
      <c r="D40" s="268"/>
      <c r="E40" s="268"/>
      <c r="F40" s="268"/>
      <c r="G40" s="92">
        <f>'[5]11.1'!G40</f>
        <v>0.186</v>
      </c>
      <c r="K40" s="2"/>
    </row>
    <row r="41" spans="1:11" x14ac:dyDescent="0.2">
      <c r="B41" s="97"/>
      <c r="C41" s="97"/>
      <c r="K41" s="2"/>
    </row>
    <row r="42" spans="1:11" x14ac:dyDescent="0.2">
      <c r="A42" s="268" t="str">
        <f>'[8]11.1'!A42</f>
        <v>(9)</v>
      </c>
      <c r="B42" s="268" t="str">
        <f>'[8]11.1'!B42</f>
        <v>Total Fixed Expenses</v>
      </c>
      <c r="C42" s="268"/>
      <c r="D42" s="268"/>
      <c r="E42" s="268"/>
      <c r="F42" s="268"/>
      <c r="G42" s="92">
        <f>G32+G38+G40</f>
        <v>0.45345396402989785</v>
      </c>
      <c r="H42" s="268"/>
      <c r="K42" s="2"/>
    </row>
    <row r="43" spans="1:11" x14ac:dyDescent="0.2">
      <c r="K43" s="2"/>
    </row>
    <row r="44" spans="1:11" x14ac:dyDescent="0.2">
      <c r="A44" s="268" t="str">
        <f>'[8]11.1'!A$44</f>
        <v>(10)</v>
      </c>
      <c r="B44" s="268" t="str">
        <f>'[8]11.1'!B$44</f>
        <v>Total Variable Expenses</v>
      </c>
      <c r="C44" s="268"/>
      <c r="D44" s="268"/>
      <c r="E44" s="268"/>
      <c r="F44" s="268"/>
      <c r="G44" s="92">
        <f>'[5]11.1'!G44</f>
        <v>0.17899999999999999</v>
      </c>
      <c r="H44" s="268"/>
      <c r="K44" s="2"/>
    </row>
    <row r="45" spans="1:11" x14ac:dyDescent="0.2">
      <c r="G45" s="92"/>
      <c r="K45" s="2"/>
    </row>
    <row r="46" spans="1:11" x14ac:dyDescent="0.2">
      <c r="A46" s="269" t="str">
        <f>'[8]11.1'!A$46</f>
        <v>(11)</v>
      </c>
      <c r="B46" s="269" t="str">
        <f>'[8]11.1'!B$46</f>
        <v>CRTF Contribution &amp; UW Contingency &amp; Uncertainty</v>
      </c>
      <c r="C46" s="269"/>
      <c r="D46" s="269"/>
      <c r="E46" s="269"/>
      <c r="F46" s="269"/>
      <c r="G46" s="92">
        <f>'[5]11.1'!G46</f>
        <v>0.05</v>
      </c>
      <c r="K46" s="2"/>
    </row>
    <row r="47" spans="1:11" x14ac:dyDescent="0.2">
      <c r="B47" s="97"/>
      <c r="C47" s="97"/>
      <c r="K47" s="2"/>
    </row>
    <row r="48" spans="1:11" x14ac:dyDescent="0.2">
      <c r="A48" s="56" t="s">
        <v>273</v>
      </c>
      <c r="B48" t="s">
        <v>349</v>
      </c>
      <c r="G48" s="20">
        <f>1-G44-G46</f>
        <v>0.77099999999999991</v>
      </c>
      <c r="K48" s="2"/>
    </row>
    <row r="49" spans="1:11" ht="10.5" thickBot="1" x14ac:dyDescent="0.25">
      <c r="A49" s="6"/>
      <c r="B49" s="6"/>
      <c r="C49" s="6"/>
      <c r="D49" s="6"/>
      <c r="E49" s="6"/>
      <c r="F49" s="6"/>
      <c r="G49" s="6"/>
      <c r="K49" s="2"/>
    </row>
    <row r="50" spans="1:11" ht="10.5" thickTop="1" x14ac:dyDescent="0.2">
      <c r="K50" s="2"/>
    </row>
    <row r="51" spans="1:11" x14ac:dyDescent="0.2">
      <c r="A51" t="s">
        <v>17</v>
      </c>
      <c r="K51" s="2"/>
    </row>
    <row r="52" spans="1:11" x14ac:dyDescent="0.2">
      <c r="B52" s="269" t="str">
        <f>'[5]11.1'!B54</f>
        <v>(1) - (6) From TWIA's Statutory Annual Statements and Insurance Expense Exhibits</v>
      </c>
      <c r="K52" s="2"/>
    </row>
    <row r="53" spans="1:11" x14ac:dyDescent="0.2">
      <c r="B53" s="269" t="str">
        <f>'[5]11.1'!B55</f>
        <v>(7) Exhibit 11, Sheet 2</v>
      </c>
      <c r="K53" s="2"/>
    </row>
    <row r="54" spans="1:11" x14ac:dyDescent="0.2">
      <c r="B54" s="269" t="str">
        <f>'[5]11.1'!B56</f>
        <v xml:space="preserve">(8) Outstanding Class 1 Public Security issued in 2014, Security depleted due to Hurricane Harvey; </v>
      </c>
      <c r="K54" s="2"/>
    </row>
    <row r="55" spans="1:11" x14ac:dyDescent="0.2">
      <c r="B55" s="269" t="str">
        <f>'[5]11.1'!B57</f>
        <v>0.186= Annual principal and interest payment $68.9M/Prospective written premium at present rate$373.3M</v>
      </c>
      <c r="K55" s="2"/>
    </row>
    <row r="56" spans="1:11" x14ac:dyDescent="0.2">
      <c r="B56" s="269" t="str">
        <f>'[5]11.1'!B58</f>
        <v>$373.3M = TWIA 2020 written premium $369.6M*(1+0.5%)^2; 0.5% from Exhibit 11, sheet 2, (3)</v>
      </c>
      <c r="K56" s="2"/>
    </row>
    <row r="57" spans="1:11" x14ac:dyDescent="0.2">
      <c r="B57" s="269" t="str">
        <f>'[5]11.1'!B59</f>
        <v>(9) = (5) + (7) + (8)</v>
      </c>
      <c r="K57" s="2"/>
    </row>
    <row r="58" spans="1:11" x14ac:dyDescent="0.2">
      <c r="B58" s="269" t="str">
        <f>'[5]11.1'!B60</f>
        <v>(10) = (3) + (4) + (6)</v>
      </c>
      <c r="K58" s="2"/>
    </row>
    <row r="59" spans="1:11" x14ac:dyDescent="0.2">
      <c r="B59" s="269" t="str">
        <f>'[5]11.1'!B61</f>
        <v xml:space="preserve">(11) CRTF contribution selected judgmentally </v>
      </c>
      <c r="K59" s="2"/>
    </row>
    <row r="60" spans="1:11" x14ac:dyDescent="0.2">
      <c r="B60" s="269" t="str">
        <f>'[5]11.1'!B62</f>
        <v>(12) = 100% - (10) - (11)</v>
      </c>
      <c r="K60" s="2"/>
    </row>
    <row r="61" spans="1:11" x14ac:dyDescent="0.2">
      <c r="K61" s="2"/>
    </row>
    <row r="62" spans="1:11" x14ac:dyDescent="0.2">
      <c r="K62" s="2"/>
    </row>
    <row r="63" spans="1:11" x14ac:dyDescent="0.2">
      <c r="D63" s="38"/>
      <c r="E63" s="38"/>
      <c r="F63" s="38"/>
      <c r="K63" s="2"/>
    </row>
    <row r="64" spans="1:11" x14ac:dyDescent="0.2">
      <c r="G64" s="20"/>
      <c r="K64" s="2"/>
    </row>
    <row r="65" spans="1:11" x14ac:dyDescent="0.2">
      <c r="A65" s="50"/>
      <c r="B65" s="50"/>
      <c r="C65" s="50"/>
      <c r="D65" s="50"/>
      <c r="E65" s="50"/>
      <c r="F65" s="50"/>
      <c r="G65" s="50"/>
      <c r="K65" s="2"/>
    </row>
    <row r="66" spans="1:11" x14ac:dyDescent="0.2">
      <c r="B66" s="97"/>
      <c r="C66" s="97"/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O69"/>
  <sheetViews>
    <sheetView showGridLines="0" topLeftCell="A22" workbookViewId="0">
      <selection activeCell="F34" sqref="F34"/>
    </sheetView>
  </sheetViews>
  <sheetFormatPr defaultColWidth="11.33203125" defaultRowHeight="10" x14ac:dyDescent="0.2"/>
  <cols>
    <col min="1" max="2" width="4.44140625" customWidth="1"/>
    <col min="3" max="3" width="54.44140625" customWidth="1"/>
    <col min="4" max="4" width="13.33203125" customWidth="1"/>
    <col min="5" max="7" width="11.33203125" style="50" customWidth="1"/>
    <col min="8" max="8" width="10.44140625" customWidth="1"/>
  </cols>
  <sheetData>
    <row r="1" spans="1:15" ht="10.5" x14ac:dyDescent="0.25">
      <c r="A1" s="8" t="str">
        <f>'1'!$A$1</f>
        <v>Texas Windstorm Insurance Association</v>
      </c>
      <c r="C1" s="12"/>
      <c r="H1" s="193" t="s">
        <v>180</v>
      </c>
      <c r="I1" s="1"/>
    </row>
    <row r="2" spans="1:15" ht="10.5" x14ac:dyDescent="0.25">
      <c r="A2" s="8" t="str">
        <f>'1'!$A$2</f>
        <v>Residential Property - Wind &amp; Hail</v>
      </c>
      <c r="C2" s="12"/>
      <c r="H2" s="193" t="s">
        <v>85</v>
      </c>
      <c r="I2" s="2"/>
    </row>
    <row r="3" spans="1:15" ht="10.5" x14ac:dyDescent="0.25">
      <c r="A3" s="8" t="str">
        <f>'1'!$A$3</f>
        <v>Rate Level Review</v>
      </c>
      <c r="C3" s="12"/>
      <c r="H3" s="7"/>
      <c r="I3" s="2"/>
    </row>
    <row r="4" spans="1:15" x14ac:dyDescent="0.2">
      <c r="A4" t="s">
        <v>303</v>
      </c>
      <c r="C4" s="12"/>
      <c r="I4" s="2"/>
    </row>
    <row r="5" spans="1:15" x14ac:dyDescent="0.2">
      <c r="A5" s="59" t="s">
        <v>304</v>
      </c>
      <c r="C5" s="12"/>
      <c r="I5" s="2"/>
    </row>
    <row r="6" spans="1:15" x14ac:dyDescent="0.2">
      <c r="I6" s="2"/>
    </row>
    <row r="7" spans="1:15" ht="10.5" thickBot="1" x14ac:dyDescent="0.25">
      <c r="A7" s="6"/>
      <c r="B7" s="6"/>
      <c r="C7" s="6"/>
      <c r="D7" s="6" t="str">
        <f>'[5]11.2'!D$7</f>
        <v>Combined</v>
      </c>
      <c r="E7" s="6" t="str">
        <f>'[5]11.2'!E$7</f>
        <v>Residential</v>
      </c>
      <c r="F7" s="6" t="str">
        <f>'[5]11.2'!F$7</f>
        <v>Commercial</v>
      </c>
      <c r="I7" s="2"/>
    </row>
    <row r="8" spans="1:15" ht="10.5" thickTop="1" x14ac:dyDescent="0.2">
      <c r="I8" s="2"/>
      <c r="J8" t="s">
        <v>305</v>
      </c>
    </row>
    <row r="9" spans="1:15" x14ac:dyDescent="0.2">
      <c r="I9" s="2"/>
      <c r="J9" t="s">
        <v>306</v>
      </c>
      <c r="K9" t="s">
        <v>307</v>
      </c>
      <c r="L9" t="s">
        <v>308</v>
      </c>
    </row>
    <row r="10" spans="1:15" x14ac:dyDescent="0.2">
      <c r="A10" s="56" t="s">
        <v>189</v>
      </c>
      <c r="B10" t="str">
        <f>YEAR($J$10)&amp;" - "&amp;YEAR($K$10)&amp;" Reinsurance Premium"</f>
        <v>2021 - 2022 Reinsurance Premium</v>
      </c>
      <c r="D10" s="90">
        <f>'[5]11.2'!D$10</f>
        <v>97899030</v>
      </c>
      <c r="E10" s="90">
        <f>'[5]11.2'!E$10</f>
        <v>81437711.815379858</v>
      </c>
      <c r="F10" s="90">
        <f>'[5]11.2'!F$10</f>
        <v>16461318.184620142</v>
      </c>
      <c r="I10" s="2"/>
      <c r="J10" s="82">
        <f>'[5]11.2'!$J$10</f>
        <v>44348</v>
      </c>
      <c r="K10" s="82">
        <f>'[5]11.2'!$K$10</f>
        <v>44712</v>
      </c>
      <c r="L10" s="186">
        <f>DATE(YEAR(K10+1),MONTH(K10+1)-6,1)</f>
        <v>44531</v>
      </c>
    </row>
    <row r="11" spans="1:15" x14ac:dyDescent="0.2">
      <c r="I11" s="2"/>
    </row>
    <row r="12" spans="1:15" x14ac:dyDescent="0.2">
      <c r="A12" s="56" t="s">
        <v>309</v>
      </c>
      <c r="B12" t="s">
        <v>310</v>
      </c>
      <c r="I12" s="2"/>
      <c r="J12" t="s">
        <v>311</v>
      </c>
    </row>
    <row r="13" spans="1:15" x14ac:dyDescent="0.2">
      <c r="C13" s="90" t="str">
        <f>'[5]11.2'!$C$13</f>
        <v>100% of $1930M XS $2100M</v>
      </c>
      <c r="D13" s="90">
        <f>'[5]11.2'!D$13</f>
        <v>31044471.0926589</v>
      </c>
      <c r="E13" s="90">
        <f>'[5]11.2'!E$13</f>
        <v>25927581.262397397</v>
      </c>
      <c r="F13" s="90">
        <f>'[5]11.2'!F$13</f>
        <v>5116889.8302614661</v>
      </c>
      <c r="I13" s="2"/>
      <c r="J13" t="s">
        <v>221</v>
      </c>
      <c r="L13" t="s">
        <v>308</v>
      </c>
    </row>
    <row r="14" spans="1:15" x14ac:dyDescent="0.2">
      <c r="B14" s="22"/>
      <c r="C14" s="22"/>
      <c r="D14" s="59"/>
      <c r="E14" s="45"/>
      <c r="F14" s="45"/>
      <c r="I14" s="2"/>
      <c r="J14" s="84">
        <f>'[5]11.2'!$J$14</f>
        <v>44165</v>
      </c>
      <c r="L14" s="186">
        <f>J14+1</f>
        <v>44166</v>
      </c>
      <c r="O14" s="212"/>
    </row>
    <row r="15" spans="1:15" x14ac:dyDescent="0.2">
      <c r="B15" s="59"/>
      <c r="C15" s="22" t="s">
        <v>9</v>
      </c>
      <c r="D15" s="33">
        <f>SUM(D13:D13)</f>
        <v>31044471.0926589</v>
      </c>
      <c r="E15" s="33">
        <f t="shared" ref="E15:F15" si="0">SUM(E13:E13)</f>
        <v>25927581.262397397</v>
      </c>
      <c r="F15" s="33">
        <f t="shared" si="0"/>
        <v>5116889.8302614661</v>
      </c>
      <c r="I15" s="2"/>
      <c r="J15" s="94"/>
      <c r="O15" s="212"/>
    </row>
    <row r="16" spans="1:15" x14ac:dyDescent="0.2">
      <c r="B16" s="59"/>
      <c r="C16" s="59"/>
      <c r="D16" s="59"/>
      <c r="E16" s="45"/>
      <c r="F16" s="45"/>
      <c r="I16" s="2"/>
      <c r="O16" s="212"/>
    </row>
    <row r="17" spans="1:15" x14ac:dyDescent="0.2">
      <c r="A17" s="56" t="s">
        <v>313</v>
      </c>
      <c r="B17" t="s">
        <v>314</v>
      </c>
      <c r="I17" s="2"/>
      <c r="J17" t="s">
        <v>312</v>
      </c>
      <c r="O17" s="212"/>
    </row>
    <row r="18" spans="1:15" x14ac:dyDescent="0.2">
      <c r="C18" s="22" t="str">
        <f>'[5]11.2'!$C$18</f>
        <v>100% of $1930M XS $2100M</v>
      </c>
      <c r="D18" s="90">
        <f>'[5]11.2'!D$18</f>
        <v>16660779.102458199</v>
      </c>
      <c r="E18" s="90">
        <f>'[5]11.2'!E$18</f>
        <v>13804742.118772745</v>
      </c>
      <c r="F18" s="90">
        <f>'[5]11.2'!F$18</f>
        <v>2914357.6447952264</v>
      </c>
      <c r="I18" s="2"/>
      <c r="J18" s="194">
        <f>'[5]11.2'!$J$18</f>
        <v>1.0049999999999999</v>
      </c>
      <c r="O18" s="212"/>
    </row>
    <row r="19" spans="1:15" x14ac:dyDescent="0.2">
      <c r="A19" s="56"/>
      <c r="D19" s="31"/>
      <c r="I19" s="2"/>
      <c r="J19" t="s">
        <v>222</v>
      </c>
      <c r="O19" s="212"/>
    </row>
    <row r="20" spans="1:15" x14ac:dyDescent="0.2">
      <c r="B20" s="59"/>
      <c r="C20" s="22" t="s">
        <v>9</v>
      </c>
      <c r="D20" s="33">
        <f>SUM(D18:D18)</f>
        <v>16660779.102458199</v>
      </c>
      <c r="E20" s="33">
        <f t="shared" ref="E20:F20" si="1">SUM(E18:E18)</f>
        <v>13804742.118772745</v>
      </c>
      <c r="F20" s="33">
        <f t="shared" si="1"/>
        <v>2914357.6447952264</v>
      </c>
      <c r="G20" s="45"/>
      <c r="H20" s="59"/>
      <c r="I20" s="2"/>
      <c r="J20" s="95">
        <f>ROUND(YEAR(L10)-YEAR(L14)+(MONTH(L10)-MONTH(L14))/12,3)</f>
        <v>1</v>
      </c>
      <c r="O20" s="212"/>
    </row>
    <row r="21" spans="1:15" x14ac:dyDescent="0.2">
      <c r="B21" s="59"/>
      <c r="C21" s="59"/>
      <c r="D21" s="195"/>
      <c r="E21" s="45"/>
      <c r="F21" s="45"/>
      <c r="G21" s="45"/>
      <c r="H21" s="59"/>
      <c r="I21" s="2"/>
    </row>
    <row r="22" spans="1:15" x14ac:dyDescent="0.2">
      <c r="A22" s="56" t="s">
        <v>315</v>
      </c>
      <c r="B22" t="s">
        <v>316</v>
      </c>
      <c r="C22" s="59"/>
      <c r="D22" s="90">
        <f>'[5]11.2'!D$22</f>
        <v>23852625.097558551</v>
      </c>
      <c r="E22" s="90">
        <f>'[5]11.2'!E$22</f>
        <v>19866161.690585069</v>
      </c>
      <c r="F22" s="90">
        <f>'[5]11.2'!F$22</f>
        <v>4015623.7375283465</v>
      </c>
      <c r="I22" s="2"/>
    </row>
    <row r="23" spans="1:15" x14ac:dyDescent="0.2">
      <c r="I23" s="2"/>
    </row>
    <row r="24" spans="1:15" x14ac:dyDescent="0.2">
      <c r="A24" s="56" t="s">
        <v>191</v>
      </c>
      <c r="B24" t="s">
        <v>317</v>
      </c>
      <c r="D24" s="76">
        <f>J18-1</f>
        <v>4.9999999999998934E-3</v>
      </c>
      <c r="E24" s="166">
        <f>D24</f>
        <v>4.9999999999998934E-3</v>
      </c>
      <c r="F24" s="166">
        <f>E24</f>
        <v>4.9999999999998934E-3</v>
      </c>
      <c r="I24" s="2"/>
      <c r="J24" s="243"/>
      <c r="K24" s="31"/>
      <c r="L24" s="90"/>
    </row>
    <row r="25" spans="1:15" x14ac:dyDescent="0.2">
      <c r="A25" s="59"/>
      <c r="I25" s="2"/>
      <c r="J25" s="56"/>
      <c r="K25" s="80"/>
      <c r="L25" s="80"/>
      <c r="N25" s="19"/>
    </row>
    <row r="26" spans="1:15" x14ac:dyDescent="0.2">
      <c r="A26" s="56" t="s">
        <v>141</v>
      </c>
      <c r="B26" s="45" t="s">
        <v>318</v>
      </c>
      <c r="D26" s="19">
        <f>'[5]11.2'!D$26</f>
        <v>23971888</v>
      </c>
      <c r="E26" s="19">
        <f>'[5]11.2'!E$26</f>
        <v>19965492</v>
      </c>
      <c r="F26" s="19">
        <f>'[5]11.2'!F$26</f>
        <v>4035702</v>
      </c>
      <c r="I26" s="2"/>
      <c r="K26" s="33"/>
      <c r="L26" s="80"/>
    </row>
    <row r="27" spans="1:15" x14ac:dyDescent="0.2">
      <c r="B27" s="59"/>
      <c r="C27" s="59"/>
      <c r="D27" s="59"/>
      <c r="I27" s="2"/>
    </row>
    <row r="28" spans="1:15" x14ac:dyDescent="0.2">
      <c r="A28" s="65" t="s">
        <v>120</v>
      </c>
      <c r="B28" s="59" t="s">
        <v>319</v>
      </c>
      <c r="C28" s="59"/>
      <c r="D28" s="33">
        <f>D10-D26*$J$35</f>
        <v>70331358.799999997</v>
      </c>
      <c r="E28" s="33">
        <f t="shared" ref="E28:F28" si="2">E10-E26*$J$35</f>
        <v>58477396.015379861</v>
      </c>
      <c r="F28" s="33">
        <f t="shared" si="2"/>
        <v>11820260.884620141</v>
      </c>
      <c r="I28" s="2"/>
      <c r="J28" t="s">
        <v>215</v>
      </c>
      <c r="L28" t="s">
        <v>308</v>
      </c>
    </row>
    <row r="29" spans="1:15" x14ac:dyDescent="0.2">
      <c r="I29" s="2"/>
      <c r="J29" s="89">
        <f>'[5]11.2'!$J$29</f>
        <v>44196</v>
      </c>
      <c r="L29" s="186">
        <f>DATE(YEAR(J29+1),MONTH(J29+1)-6,1)</f>
        <v>44013</v>
      </c>
    </row>
    <row r="30" spans="1:15" x14ac:dyDescent="0.2">
      <c r="A30" s="56" t="s">
        <v>124</v>
      </c>
      <c r="B30" s="22" t="str">
        <f>"TWIA "&amp;TEXT(YEAR($J$29),"#")&amp;" Earned Premium at Present Rates"</f>
        <v>TWIA 2020 Earned Premium at Present Rates</v>
      </c>
      <c r="C30" s="59"/>
      <c r="D30" s="244">
        <f>'[5]11.2'!D$30</f>
        <v>371145817.08333302</v>
      </c>
      <c r="E30" s="244">
        <f>'[5]11.2'!E$30</f>
        <v>311420426.08333302</v>
      </c>
      <c r="F30" s="244">
        <f>'[5]11.2'!F$30</f>
        <v>59725391</v>
      </c>
      <c r="I30" s="2"/>
      <c r="J30" s="59"/>
    </row>
    <row r="31" spans="1:15" x14ac:dyDescent="0.2">
      <c r="A31" s="59"/>
      <c r="B31" s="59"/>
      <c r="C31" s="59"/>
      <c r="D31" s="59"/>
      <c r="E31" s="45"/>
      <c r="F31" s="45"/>
      <c r="G31" s="45"/>
      <c r="H31" s="59"/>
      <c r="I31" s="2"/>
      <c r="J31" s="35"/>
    </row>
    <row r="32" spans="1:15" x14ac:dyDescent="0.2">
      <c r="A32" s="56" t="s">
        <v>123</v>
      </c>
      <c r="B32" t="str">
        <f>YEAR($J$10)&amp;" - "&amp;YEAR($K$10)&amp;" TWIA Prospective Earned Premium at Present Rates"</f>
        <v>2021 - 2022 TWIA Prospective Earned Premium at Present Rates</v>
      </c>
      <c r="C32" s="45"/>
      <c r="D32" s="244">
        <f>'[5]11.2'!D$32</f>
        <v>373778124</v>
      </c>
      <c r="E32" s="244">
        <f>'[5]11.2'!E$32</f>
        <v>313629138</v>
      </c>
      <c r="F32" s="244">
        <f>'[5]11.2'!F$32</f>
        <v>60148986</v>
      </c>
      <c r="G32" s="45"/>
      <c r="H32" s="59"/>
      <c r="I32" s="2"/>
      <c r="J32" t="s">
        <v>222</v>
      </c>
    </row>
    <row r="33" spans="1:12" x14ac:dyDescent="0.2">
      <c r="I33" s="2"/>
      <c r="J33" s="95">
        <f>ROUND(YEAR(L10)-YEAR(L29)+(MONTH(L10)-MONTH(L29))/12,3)</f>
        <v>1.417</v>
      </c>
      <c r="L33" s="84"/>
    </row>
    <row r="34" spans="1:12" x14ac:dyDescent="0.2">
      <c r="A34" s="56" t="s">
        <v>122</v>
      </c>
      <c r="B34" t="s">
        <v>320</v>
      </c>
      <c r="D34" s="337">
        <f>'[5]11.2'!D$34</f>
        <v>0.18816338967980908</v>
      </c>
      <c r="E34" s="337">
        <f>'[5]11.2'!E$34</f>
        <v>0.18645396402989783</v>
      </c>
      <c r="F34" s="337">
        <f>'[5]11.2'!F$34</f>
        <v>0.19651637825814955</v>
      </c>
      <c r="I34" s="2"/>
    </row>
    <row r="35" spans="1:12" ht="10.5" thickBot="1" x14ac:dyDescent="0.25">
      <c r="A35" s="6"/>
      <c r="B35" s="6"/>
      <c r="C35" s="6"/>
      <c r="D35" s="6"/>
      <c r="I35" s="2"/>
      <c r="J35" s="59">
        <f>1.15</f>
        <v>1.1499999999999999</v>
      </c>
    </row>
    <row r="36" spans="1:12" ht="10.5" thickTop="1" x14ac:dyDescent="0.2">
      <c r="I36" s="2"/>
    </row>
    <row r="37" spans="1:12" x14ac:dyDescent="0.2">
      <c r="A37" t="s">
        <v>17</v>
      </c>
      <c r="D37" s="45"/>
      <c r="I37" s="2"/>
    </row>
    <row r="38" spans="1:12" x14ac:dyDescent="0.2">
      <c r="B38" s="269" t="str">
        <f>'[5]11.2'!$B38</f>
        <v>(1) From TWIA reinsurance contract effective 6/1/2021 through 5/31/2022</v>
      </c>
      <c r="C38" s="297"/>
      <c r="D38" s="269"/>
      <c r="E38" s="270"/>
      <c r="F38" s="270"/>
      <c r="I38" s="2"/>
    </row>
    <row r="39" spans="1:12" x14ac:dyDescent="0.2">
      <c r="B39" s="269" t="str">
        <f>'[5]11.2'!$B39</f>
        <v>(2a) Provided by Guy Carpenter, based on AIR model using TWIA exposures as of 11/30/2020</v>
      </c>
      <c r="C39" s="297"/>
      <c r="D39" s="269"/>
      <c r="E39" s="270"/>
      <c r="F39" s="270"/>
      <c r="I39" s="2"/>
    </row>
    <row r="40" spans="1:12" x14ac:dyDescent="0.2">
      <c r="B40" s="269" t="str">
        <f>'[5]11.2'!$B40</f>
        <v>(2b) Provided by Guy Carpenter, based on RMS model using TWIA exposures as of 11/30/2020</v>
      </c>
      <c r="C40" s="297"/>
      <c r="D40" s="269"/>
      <c r="E40" s="270"/>
      <c r="F40" s="270"/>
      <c r="I40" s="2"/>
    </row>
    <row r="41" spans="1:12" x14ac:dyDescent="0.2">
      <c r="B41" s="269" t="str">
        <f>'[5]11.2'!$B41</f>
        <v>(2c) Selected equal to the average of the modeled average annual losses</v>
      </c>
      <c r="C41" s="269"/>
      <c r="D41" s="269"/>
      <c r="E41" s="270"/>
      <c r="F41" s="270"/>
      <c r="I41" s="2"/>
    </row>
    <row r="42" spans="1:12" x14ac:dyDescent="0.2">
      <c r="B42" s="269" t="str">
        <f>'[5]11.2'!$B42</f>
        <v>(3) Selected based on projections communicated to reinsurers</v>
      </c>
      <c r="C42" s="269"/>
      <c r="D42" s="269"/>
      <c r="E42" s="270"/>
      <c r="F42" s="270"/>
      <c r="I42" s="2"/>
    </row>
    <row r="43" spans="1:12" x14ac:dyDescent="0.2">
      <c r="B43" s="269" t="str">
        <f>'[5]11.2'!$B43</f>
        <v>(4) = (2c) * [(1+ (3)) ^ 1.000](projected exposure growth from 11/30/2020 to 12/1/2021)</v>
      </c>
      <c r="C43" s="297"/>
      <c r="D43" s="269"/>
      <c r="E43" s="270"/>
      <c r="F43" s="270"/>
      <c r="I43" s="2"/>
    </row>
    <row r="44" spans="1:12" x14ac:dyDescent="0.2">
      <c r="B44" s="269" t="str">
        <f>'[5]11.2'!$B44</f>
        <v>(5) = (1) - (4)*1.15,1.15 is the loading for loss adjustment factor</v>
      </c>
      <c r="C44" s="297"/>
      <c r="D44" s="269"/>
      <c r="E44" s="270"/>
      <c r="F44" s="270"/>
      <c r="I44" s="2"/>
    </row>
    <row r="45" spans="1:12" x14ac:dyDescent="0.2">
      <c r="B45" s="269" t="str">
        <f>'[5]11.2'!$B45</f>
        <v>(6) = Commercial Exhibit 10, Sheet 1 + Residential Exhibit 10, Sheet 2, calendar year ending 12/31/2020</v>
      </c>
      <c r="C45" s="297"/>
      <c r="D45" s="269"/>
      <c r="E45" s="270"/>
      <c r="F45" s="270"/>
      <c r="I45" s="2"/>
    </row>
    <row r="46" spans="1:12" x14ac:dyDescent="0.2">
      <c r="A46" s="56"/>
      <c r="B46" s="269" t="str">
        <f>'[5]11.2'!$B46</f>
        <v>(7) = (6) adjusted for exposure growth trend * [(1+ (3)) ^ 1.417] (projected exposure growth from 7/1/2020 to 12/1/2021)</v>
      </c>
      <c r="C46" s="297"/>
      <c r="D46" s="297"/>
      <c r="E46" s="338"/>
      <c r="F46" s="338"/>
      <c r="G46" s="45"/>
      <c r="H46" s="59"/>
      <c r="I46" s="2"/>
    </row>
    <row r="47" spans="1:12" x14ac:dyDescent="0.2">
      <c r="A47" s="56"/>
      <c r="B47" s="269" t="str">
        <f>'[5]11.2'!$B47</f>
        <v>(8) = (5) / (7)</v>
      </c>
      <c r="C47" s="269"/>
      <c r="D47" s="269"/>
      <c r="E47" s="270"/>
      <c r="F47" s="270"/>
      <c r="I47" s="2"/>
    </row>
    <row r="48" spans="1:12" x14ac:dyDescent="0.2">
      <c r="A48" s="50"/>
      <c r="B48" s="50"/>
      <c r="C48" s="50"/>
      <c r="D48" s="50"/>
      <c r="I48" s="2"/>
    </row>
    <row r="49" spans="1:9" x14ac:dyDescent="0.2">
      <c r="A49" s="45"/>
      <c r="C49" s="22"/>
      <c r="D49" s="45"/>
      <c r="E49" s="45"/>
      <c r="F49" s="45"/>
      <c r="G49" s="45"/>
      <c r="H49" s="59"/>
      <c r="I49" s="2"/>
    </row>
    <row r="50" spans="1:9" x14ac:dyDescent="0.2">
      <c r="A50" s="59"/>
      <c r="B50" s="59"/>
      <c r="C50" s="22"/>
      <c r="D50" s="90"/>
      <c r="E50" s="45"/>
      <c r="F50" s="45"/>
      <c r="G50" s="45"/>
      <c r="H50" s="59"/>
      <c r="I50" s="2"/>
    </row>
    <row r="51" spans="1:9" x14ac:dyDescent="0.2">
      <c r="C51" s="90"/>
      <c r="D51" s="90"/>
      <c r="E51" s="45"/>
      <c r="F51" s="45"/>
      <c r="I51" s="2"/>
    </row>
    <row r="52" spans="1:9" x14ac:dyDescent="0.2">
      <c r="C52" s="90"/>
      <c r="D52" s="90"/>
      <c r="I52" s="2"/>
    </row>
    <row r="53" spans="1:9" s="59" customFormat="1" x14ac:dyDescent="0.2">
      <c r="A53"/>
      <c r="B53"/>
      <c r="C53" s="22"/>
      <c r="D53" s="90"/>
      <c r="E53" s="50"/>
      <c r="F53" s="50"/>
      <c r="G53" s="50"/>
      <c r="H53"/>
      <c r="I53" s="2"/>
    </row>
    <row r="54" spans="1:9" s="59" customFormat="1" x14ac:dyDescent="0.2">
      <c r="A54" s="56"/>
      <c r="B54"/>
      <c r="C54"/>
      <c r="D54" s="60"/>
      <c r="E54" s="50"/>
      <c r="F54" s="50"/>
      <c r="G54" s="50"/>
      <c r="H54"/>
      <c r="I54" s="2"/>
    </row>
    <row r="55" spans="1:9" s="59" customFormat="1" x14ac:dyDescent="0.2">
      <c r="A55"/>
      <c r="B55"/>
      <c r="C55"/>
      <c r="D55"/>
      <c r="E55" s="50"/>
      <c r="F55" s="50"/>
      <c r="G55" s="50"/>
      <c r="H55"/>
      <c r="I55" s="2"/>
    </row>
    <row r="56" spans="1:9" s="59" customFormat="1" x14ac:dyDescent="0.2">
      <c r="A56" s="56"/>
      <c r="B56"/>
      <c r="C56"/>
      <c r="D56" s="19"/>
      <c r="E56" s="19"/>
      <c r="F56" s="19"/>
      <c r="G56" s="50"/>
      <c r="H56"/>
      <c r="I56" s="2"/>
    </row>
    <row r="57" spans="1:9" s="59" customFormat="1" x14ac:dyDescent="0.2">
      <c r="A57" s="50"/>
      <c r="B57" s="50"/>
      <c r="C57" s="50"/>
      <c r="D57" s="50"/>
      <c r="E57" s="50"/>
      <c r="F57" s="50"/>
      <c r="G57" s="50"/>
      <c r="H57"/>
      <c r="I57" s="2"/>
    </row>
    <row r="58" spans="1:9" s="59" customFormat="1" x14ac:dyDescent="0.2">
      <c r="A58"/>
      <c r="B58"/>
      <c r="C58"/>
      <c r="D58"/>
      <c r="E58" s="50"/>
      <c r="F58" s="50"/>
      <c r="G58" s="50"/>
      <c r="H58"/>
      <c r="I58" s="2"/>
    </row>
    <row r="59" spans="1:9" s="59" customFormat="1" x14ac:dyDescent="0.2">
      <c r="A59" s="65"/>
      <c r="B59" s="65"/>
      <c r="D59" s="38"/>
      <c r="E59" s="49"/>
      <c r="F59" s="49"/>
      <c r="G59" s="49"/>
      <c r="I59" s="2"/>
    </row>
    <row r="60" spans="1:9" s="59" customFormat="1" x14ac:dyDescent="0.2">
      <c r="A60" s="65"/>
      <c r="B60" s="65"/>
      <c r="D60" s="38"/>
      <c r="E60" s="49"/>
      <c r="F60" s="49"/>
      <c r="G60" s="49"/>
      <c r="I60" s="2"/>
    </row>
    <row r="61" spans="1:9" s="59" customFormat="1" x14ac:dyDescent="0.2">
      <c r="A61" s="65"/>
      <c r="B61" s="65"/>
      <c r="D61" s="38"/>
      <c r="E61" s="49"/>
      <c r="F61" s="49"/>
      <c r="G61" s="49"/>
      <c r="I61" s="2"/>
    </row>
    <row r="62" spans="1:9" s="59" customFormat="1" x14ac:dyDescent="0.2">
      <c r="A62" s="65"/>
      <c r="B62" s="65"/>
      <c r="D62" s="38"/>
      <c r="E62" s="49"/>
      <c r="F62" s="49"/>
      <c r="G62" s="49"/>
      <c r="I62" s="2"/>
    </row>
    <row r="63" spans="1:9" s="59" customFormat="1" x14ac:dyDescent="0.2">
      <c r="A63" s="65"/>
      <c r="B63" s="65"/>
      <c r="D63" s="38"/>
      <c r="E63" s="49"/>
      <c r="F63" s="49"/>
      <c r="G63" s="49"/>
      <c r="I63" s="2"/>
    </row>
    <row r="64" spans="1:9" s="59" customFormat="1" x14ac:dyDescent="0.2">
      <c r="A64" s="65"/>
      <c r="B64" s="65"/>
      <c r="D64" s="38"/>
      <c r="E64" s="49"/>
      <c r="F64" s="49"/>
      <c r="G64" s="49"/>
      <c r="I64" s="2"/>
    </row>
    <row r="65" spans="1:9" s="59" customFormat="1" x14ac:dyDescent="0.2">
      <c r="A65" s="65"/>
      <c r="B65" s="65"/>
      <c r="D65" s="29"/>
      <c r="E65" s="63"/>
      <c r="F65" s="63"/>
      <c r="G65" s="63"/>
      <c r="I65" s="2"/>
    </row>
    <row r="66" spans="1:9" x14ac:dyDescent="0.2">
      <c r="C66" s="25"/>
      <c r="D66" s="60"/>
      <c r="E66" s="53"/>
      <c r="F66" s="53"/>
      <c r="G66" s="53"/>
      <c r="I66" s="2"/>
    </row>
    <row r="67" spans="1:9" x14ac:dyDescent="0.2">
      <c r="C67" s="25"/>
      <c r="D67" s="60"/>
      <c r="E67" s="53"/>
      <c r="F67" s="53"/>
      <c r="G67" s="53"/>
      <c r="I67" s="2"/>
    </row>
    <row r="68" spans="1:9" ht="10.5" thickBot="1" x14ac:dyDescent="0.25">
      <c r="C68" s="25"/>
      <c r="D68" s="60"/>
      <c r="E68" s="53"/>
      <c r="F68" s="53"/>
      <c r="G68" s="53"/>
      <c r="I68" s="2"/>
    </row>
    <row r="69" spans="1:9" ht="10.5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L69"/>
  <sheetViews>
    <sheetView showGridLines="0" topLeftCell="A10" workbookViewId="0">
      <selection activeCell="H25" sqref="H25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2" ht="10.5" x14ac:dyDescent="0.25">
      <c r="A1" s="8" t="str">
        <f>'1'!$A$1</f>
        <v>Texas Windstorm Insurance Association</v>
      </c>
      <c r="B1" s="12"/>
      <c r="I1" s="50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32</v>
      </c>
      <c r="K2" s="2"/>
    </row>
    <row r="3" spans="1:12" ht="10.5" x14ac:dyDescent="0.25">
      <c r="A3" s="8" t="str">
        <f>'1'!$A$3</f>
        <v>Rate Level Review</v>
      </c>
      <c r="B3" s="12"/>
      <c r="I3" s="50"/>
      <c r="J3" s="129"/>
      <c r="K3" s="2"/>
    </row>
    <row r="4" spans="1:12" x14ac:dyDescent="0.2">
      <c r="A4" t="s">
        <v>322</v>
      </c>
      <c r="B4" s="12"/>
      <c r="I4" s="50"/>
      <c r="K4" s="2"/>
    </row>
    <row r="5" spans="1:12" x14ac:dyDescent="0.2">
      <c r="A5" t="s">
        <v>31</v>
      </c>
      <c r="B5" s="12"/>
      <c r="I5" s="50"/>
      <c r="K5" s="2"/>
    </row>
    <row r="6" spans="1:12" x14ac:dyDescent="0.2">
      <c r="I6" s="50"/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  <c r="L7" t="s">
        <v>217</v>
      </c>
    </row>
    <row r="8" spans="1:12" ht="10.5" thickTop="1" x14ac:dyDescent="0.2">
      <c r="I8" s="50"/>
      <c r="K8" s="2"/>
      <c r="L8" s="84">
        <f>'2.4a'!L$22</f>
        <v>44104</v>
      </c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</row>
    <row r="11" spans="1:12" x14ac:dyDescent="0.2">
      <c r="A11" s="9" t="str">
        <f>TEXT($L$8,"m/d/xx")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5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2011</v>
      </c>
      <c r="B14" s="25"/>
      <c r="C14" s="33">
        <f>'2.3a'!E14</f>
        <v>1277401</v>
      </c>
      <c r="D14" s="36">
        <f>'4.1'!$E$62</f>
        <v>0.27800000000000002</v>
      </c>
      <c r="E14" s="35">
        <f>'trend 2.5'!$G30</f>
        <v>1.1220000000000001</v>
      </c>
      <c r="F14" s="19">
        <f>ROUND(C14*(1+D14)*E14,0)</f>
        <v>1831686</v>
      </c>
      <c r="G14" s="49">
        <f>'10.1a'!E14</f>
        <v>126684509</v>
      </c>
      <c r="H14" s="20">
        <f>ROUND(F14/G14,3)</f>
        <v>1.4E-2</v>
      </c>
      <c r="I14" s="166"/>
      <c r="K14" s="2"/>
    </row>
    <row r="15" spans="1:12" x14ac:dyDescent="0.2">
      <c r="A15" t="str">
        <f t="shared" si="1"/>
        <v>2012</v>
      </c>
      <c r="B15" s="25"/>
      <c r="C15" s="33">
        <f>'2.3a'!E15</f>
        <v>10634874</v>
      </c>
      <c r="D15" s="36">
        <f t="shared" ref="D15:D23" si="2">D$14</f>
        <v>0.27800000000000002</v>
      </c>
      <c r="E15" s="35">
        <f>'trend 2.5'!$G31</f>
        <v>1.1000000000000001</v>
      </c>
      <c r="F15" s="19">
        <f t="shared" ref="F15:F22" si="3">ROUND(C15*(1+D15)*E15,0)</f>
        <v>14950506</v>
      </c>
      <c r="G15" s="49">
        <f>'10.1a'!E15</f>
        <v>128914788</v>
      </c>
      <c r="H15" s="20">
        <f t="shared" ref="H15:H20" si="4">ROUND(F15/G15,3)</f>
        <v>0.11600000000000001</v>
      </c>
      <c r="I15" s="166"/>
      <c r="K15" s="2"/>
    </row>
    <row r="16" spans="1:12" x14ac:dyDescent="0.2">
      <c r="A16" t="str">
        <f t="shared" si="1"/>
        <v>2013</v>
      </c>
      <c r="B16" s="25"/>
      <c r="C16" s="33">
        <f>'2.3a'!E16</f>
        <v>54064828</v>
      </c>
      <c r="D16" s="36">
        <f t="shared" si="2"/>
        <v>0.27800000000000002</v>
      </c>
      <c r="E16" s="35">
        <f>'trend 2.5'!$G32</f>
        <v>1.0920000000000001</v>
      </c>
      <c r="F16" s="19">
        <f t="shared" si="3"/>
        <v>75451576</v>
      </c>
      <c r="G16" s="49">
        <f>'10.1a'!E16</f>
        <v>131926783</v>
      </c>
      <c r="H16" s="20">
        <f t="shared" si="4"/>
        <v>0.57199999999999995</v>
      </c>
      <c r="I16" s="166"/>
      <c r="K16" s="2"/>
    </row>
    <row r="17" spans="1:11" x14ac:dyDescent="0.2">
      <c r="A17" t="str">
        <f t="shared" si="1"/>
        <v>2014</v>
      </c>
      <c r="B17" s="25"/>
      <c r="C17" s="33">
        <f>'2.3a'!E17</f>
        <v>520624</v>
      </c>
      <c r="D17" s="36">
        <f t="shared" si="2"/>
        <v>0.27800000000000002</v>
      </c>
      <c r="E17" s="35">
        <f>'trend 2.5'!$G33</f>
        <v>1.07</v>
      </c>
      <c r="F17" s="19">
        <f t="shared" si="3"/>
        <v>711932</v>
      </c>
      <c r="G17" s="49">
        <f>'10.1a'!E17</f>
        <v>134663386</v>
      </c>
      <c r="H17" s="20">
        <f t="shared" si="4"/>
        <v>5.0000000000000001E-3</v>
      </c>
      <c r="I17" s="166"/>
      <c r="K17" s="2"/>
    </row>
    <row r="18" spans="1:11" x14ac:dyDescent="0.2">
      <c r="A18" t="str">
        <f t="shared" si="1"/>
        <v>2015</v>
      </c>
      <c r="B18" s="25"/>
      <c r="C18" s="33">
        <f>'2.3a'!E18</f>
        <v>17450030</v>
      </c>
      <c r="D18" s="36">
        <f t="shared" si="2"/>
        <v>0.27800000000000002</v>
      </c>
      <c r="E18" s="35">
        <f>'trend 2.5'!$G34</f>
        <v>1.0569999999999999</v>
      </c>
      <c r="F18" s="19">
        <f t="shared" si="3"/>
        <v>23572303</v>
      </c>
      <c r="G18" s="49">
        <f>'10.1a'!E18</f>
        <v>136975647</v>
      </c>
      <c r="H18" s="20">
        <f t="shared" si="4"/>
        <v>0.17199999999999999</v>
      </c>
      <c r="I18" s="166"/>
      <c r="K18" s="2"/>
    </row>
    <row r="19" spans="1:11" x14ac:dyDescent="0.2">
      <c r="A19" t="str">
        <f t="shared" si="1"/>
        <v>2016</v>
      </c>
      <c r="B19" s="25"/>
      <c r="C19" s="33">
        <f>'2.3a'!E19</f>
        <v>11024805</v>
      </c>
      <c r="D19" s="36">
        <f t="shared" si="2"/>
        <v>0.27800000000000002</v>
      </c>
      <c r="E19" s="35">
        <f>'trend 2.5'!$G35</f>
        <v>1.0609999999999999</v>
      </c>
      <c r="F19" s="19">
        <f>ROUND(C19*(1+D19)*E19,0)</f>
        <v>14949173</v>
      </c>
      <c r="G19" s="49">
        <f>'10.1a'!E19</f>
        <v>133431908</v>
      </c>
      <c r="H19" s="20">
        <f t="shared" si="4"/>
        <v>0.112</v>
      </c>
      <c r="I19" s="166"/>
      <c r="K19" s="2"/>
    </row>
    <row r="20" spans="1:11" x14ac:dyDescent="0.2">
      <c r="A20" t="str">
        <f t="shared" si="1"/>
        <v>2017</v>
      </c>
      <c r="B20" s="25"/>
      <c r="C20" s="33">
        <f>'2.3a'!E20</f>
        <v>2726914</v>
      </c>
      <c r="D20" s="36">
        <f t="shared" si="2"/>
        <v>0.27800000000000002</v>
      </c>
      <c r="E20" s="35">
        <f>'trend 2.5'!$G36</f>
        <v>1.042</v>
      </c>
      <c r="F20" s="19">
        <f t="shared" si="3"/>
        <v>3631366</v>
      </c>
      <c r="G20" s="49">
        <f>'10.1a'!E20</f>
        <v>126682785</v>
      </c>
      <c r="H20" s="20">
        <f t="shared" si="4"/>
        <v>2.9000000000000001E-2</v>
      </c>
      <c r="I20" s="166"/>
      <c r="K20" s="2"/>
    </row>
    <row r="21" spans="1:11" x14ac:dyDescent="0.2">
      <c r="A21" t="str">
        <f t="shared" si="1"/>
        <v>2018</v>
      </c>
      <c r="B21" s="25"/>
      <c r="C21" s="33">
        <f>'2.3a'!E21</f>
        <v>2579888</v>
      </c>
      <c r="D21" s="36">
        <f t="shared" si="2"/>
        <v>0.27800000000000002</v>
      </c>
      <c r="E21" s="35">
        <f>'trend 2.5'!$G37</f>
        <v>1.012</v>
      </c>
      <c r="F21" s="19">
        <f t="shared" si="3"/>
        <v>3336662</v>
      </c>
      <c r="G21" s="49">
        <f>'10.1a'!E21</f>
        <v>115596430</v>
      </c>
      <c r="H21" s="20">
        <f>ROUND(F21/G21,3)</f>
        <v>2.9000000000000001E-2</v>
      </c>
      <c r="I21" s="166"/>
      <c r="K21" s="2"/>
    </row>
    <row r="22" spans="1:11" x14ac:dyDescent="0.2">
      <c r="A22" t="str">
        <f t="shared" si="1"/>
        <v>2019</v>
      </c>
      <c r="B22" s="51"/>
      <c r="C22" s="49">
        <f>'2.3a'!E22</f>
        <v>4957914</v>
      </c>
      <c r="D22" s="75">
        <f t="shared" si="2"/>
        <v>0.27800000000000002</v>
      </c>
      <c r="E22" s="102">
        <f>'trend 2.5'!$G38</f>
        <v>0.999</v>
      </c>
      <c r="F22" s="58">
        <f t="shared" si="3"/>
        <v>6329878</v>
      </c>
      <c r="G22" s="49">
        <f>'10.1a'!E22</f>
        <v>109182096</v>
      </c>
      <c r="H22" s="166">
        <f>ROUND(F22/G22,3)</f>
        <v>5.8000000000000003E-2</v>
      </c>
      <c r="I22" s="166"/>
      <c r="K22" s="2"/>
    </row>
    <row r="23" spans="1:11" x14ac:dyDescent="0.2">
      <c r="A23" t="str">
        <f>TEXT(YEAR($L$8),"#")</f>
        <v>2020</v>
      </c>
      <c r="B23" s="51"/>
      <c r="C23" s="49">
        <f>'2.3a'!E23</f>
        <v>4916077</v>
      </c>
      <c r="D23" s="75">
        <f t="shared" si="2"/>
        <v>0.27800000000000002</v>
      </c>
      <c r="E23" s="102">
        <f>'trend 2.5'!$G39</f>
        <v>1.01</v>
      </c>
      <c r="F23" s="58">
        <f>ROUND(C23*(1+D23)*E23,0)</f>
        <v>6345574</v>
      </c>
      <c r="G23" s="49">
        <f>'10.1a'!E23</f>
        <v>108043628</v>
      </c>
      <c r="H23" s="166">
        <f>ROUND(F23/G23,3)</f>
        <v>5.8999999999999997E-2</v>
      </c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6"/>
      <c r="J25" s="20"/>
      <c r="K25" s="2"/>
    </row>
    <row r="26" spans="1:11" x14ac:dyDescent="0.2">
      <c r="A26" t="s">
        <v>9</v>
      </c>
      <c r="C26" s="19">
        <f>SUM(C14:C24)</f>
        <v>110153355</v>
      </c>
      <c r="F26" s="19">
        <f>SUM(F14:F24)</f>
        <v>151110656</v>
      </c>
      <c r="G26" s="19">
        <f>SUM(G14:G24)</f>
        <v>1252101960</v>
      </c>
      <c r="H26" s="20">
        <f>ROUND(F26/G26,3)</f>
        <v>0.121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"&amp;'2.3a'!$J$1&amp;", "&amp;'2.3a'!$J$2</f>
        <v>(2) Exhibit 2, Sheet 3a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"&amp;'10.1a'!$J$1&amp;", "&amp;'10.1a'!$J$2</f>
        <v>(6) Exhibit 10, Sheet 1a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B37" s="25"/>
      <c r="I37" s="50"/>
      <c r="K37" s="2"/>
    </row>
    <row r="38" spans="1:11" x14ac:dyDescent="0.2">
      <c r="A38" s="59"/>
      <c r="B38" s="25"/>
      <c r="I38" s="50"/>
      <c r="K38" s="2"/>
    </row>
    <row r="39" spans="1:11" x14ac:dyDescent="0.2">
      <c r="I39" s="50"/>
      <c r="K39" s="2"/>
    </row>
    <row r="40" spans="1:11" x14ac:dyDescent="0.2"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>
    <tabColor rgb="FF92D050"/>
  </sheetPr>
  <dimension ref="A1:L75"/>
  <sheetViews>
    <sheetView showGridLines="0" topLeftCell="A18" workbookViewId="0">
      <selection activeCell="I30" sqref="I30"/>
    </sheetView>
  </sheetViews>
  <sheetFormatPr defaultColWidth="11.33203125" defaultRowHeight="10" x14ac:dyDescent="0.2"/>
  <cols>
    <col min="1" max="1" width="5.109375" bestFit="1" customWidth="1"/>
    <col min="2" max="2" width="10" customWidth="1"/>
    <col min="3" max="8" width="14.6640625" customWidth="1"/>
    <col min="9" max="9" width="11.33203125" customWidth="1"/>
    <col min="10" max="10" width="5.66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187</v>
      </c>
      <c r="K1" s="1"/>
    </row>
    <row r="2" spans="1:12" ht="10.5" x14ac:dyDescent="0.25">
      <c r="A2" s="8" t="str">
        <f>'1'!$A$2</f>
        <v>Residential Property - Wind &amp; Hail</v>
      </c>
      <c r="B2" s="12"/>
      <c r="J2" s="7"/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207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I7" s="50"/>
      <c r="K7" s="2"/>
    </row>
    <row r="8" spans="1:12" ht="10.5" thickTop="1" x14ac:dyDescent="0.2">
      <c r="K8" s="2"/>
    </row>
    <row r="9" spans="1:12" x14ac:dyDescent="0.2">
      <c r="C9" s="24" t="s">
        <v>209</v>
      </c>
      <c r="F9" t="s">
        <v>166</v>
      </c>
      <c r="K9" s="2"/>
      <c r="L9" s="27"/>
    </row>
    <row r="10" spans="1:12" x14ac:dyDescent="0.2">
      <c r="A10" t="s">
        <v>208</v>
      </c>
      <c r="F10" t="s">
        <v>213</v>
      </c>
      <c r="K10" s="2"/>
      <c r="L10" s="22"/>
    </row>
    <row r="11" spans="1:12" x14ac:dyDescent="0.2">
      <c r="A11" s="9" t="s">
        <v>54</v>
      </c>
      <c r="B11" s="9"/>
      <c r="C11" s="9" t="s">
        <v>210</v>
      </c>
      <c r="D11" s="9" t="s">
        <v>211</v>
      </c>
      <c r="E11" s="9" t="s">
        <v>9</v>
      </c>
      <c r="F11" s="9" t="s">
        <v>212</v>
      </c>
      <c r="G11" s="9" t="s">
        <v>214</v>
      </c>
      <c r="I11" s="50"/>
      <c r="K11" s="2"/>
      <c r="L11" s="5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I12" s="11"/>
      <c r="K12" s="2"/>
    </row>
    <row r="13" spans="1:12" x14ac:dyDescent="0.2">
      <c r="K13" s="2"/>
    </row>
    <row r="14" spans="1:12" x14ac:dyDescent="0.2">
      <c r="A14" s="187">
        <v>1994</v>
      </c>
      <c r="B14" s="22"/>
      <c r="C14" s="80">
        <f>'[5]12.2'!C14</f>
        <v>10672677</v>
      </c>
      <c r="D14" s="80">
        <f>'[5]12.2'!D14</f>
        <v>15758330</v>
      </c>
      <c r="E14" s="31">
        <f>SUM(C14:D14)</f>
        <v>26431007</v>
      </c>
      <c r="F14" s="80">
        <f>'[5]12.2'!F14</f>
        <v>26510501</v>
      </c>
      <c r="G14" s="77">
        <f t="shared" ref="G14:G30" si="0">E14-F14</f>
        <v>-79494</v>
      </c>
      <c r="I14" s="23">
        <f>G14/F14</f>
        <v>-2.9985853530267118E-3</v>
      </c>
      <c r="K14" s="2"/>
      <c r="L14" s="20"/>
    </row>
    <row r="15" spans="1:12" x14ac:dyDescent="0.2">
      <c r="A15" t="str">
        <f>TEXT(A14+1,"#")</f>
        <v>1995</v>
      </c>
      <c r="B15" s="22"/>
      <c r="C15" s="80">
        <f>'[5]12.2'!C15</f>
        <v>12865905</v>
      </c>
      <c r="D15" s="80">
        <f>'[5]12.2'!D15</f>
        <v>19259265</v>
      </c>
      <c r="E15" s="31">
        <f t="shared" ref="E15:E30" si="1">SUM(C15:D15)</f>
        <v>32125170</v>
      </c>
      <c r="F15" s="80">
        <f>'[5]12.2'!F15</f>
        <v>32419287</v>
      </c>
      <c r="G15" s="77">
        <f t="shared" si="0"/>
        <v>-294117</v>
      </c>
      <c r="I15" s="23">
        <f t="shared" ref="I15:I40" si="2">G15/F15</f>
        <v>-9.0722846557359516E-3</v>
      </c>
      <c r="K15" s="2"/>
      <c r="L15" s="20"/>
    </row>
    <row r="16" spans="1:12" x14ac:dyDescent="0.2">
      <c r="A16" t="str">
        <f t="shared" ref="A16:A30" si="3">TEXT(A15+1,"#")</f>
        <v>1996</v>
      </c>
      <c r="C16" s="80">
        <f>'[5]12.2'!C16</f>
        <v>15640660</v>
      </c>
      <c r="D16" s="80">
        <f>'[5]12.2'!D16</f>
        <v>24504127</v>
      </c>
      <c r="E16" s="31">
        <f t="shared" si="1"/>
        <v>40144787</v>
      </c>
      <c r="F16" s="80">
        <f>'[5]12.2'!F16</f>
        <v>40358575</v>
      </c>
      <c r="G16" s="77">
        <f t="shared" si="0"/>
        <v>-213788</v>
      </c>
      <c r="I16" s="23">
        <f t="shared" si="2"/>
        <v>-5.2972137891389871E-3</v>
      </c>
      <c r="K16" s="2"/>
      <c r="L16" s="20"/>
    </row>
    <row r="17" spans="1:12" x14ac:dyDescent="0.2">
      <c r="A17" t="str">
        <f t="shared" si="3"/>
        <v>1997</v>
      </c>
      <c r="C17" s="80">
        <f>'[5]12.2'!C17</f>
        <v>16536186</v>
      </c>
      <c r="D17" s="80">
        <f>'[5]12.2'!D17</f>
        <v>25783455</v>
      </c>
      <c r="E17" s="31">
        <f t="shared" si="1"/>
        <v>42319641</v>
      </c>
      <c r="F17" s="80">
        <f>'[5]12.2'!F17</f>
        <v>42462844</v>
      </c>
      <c r="G17" s="77">
        <f t="shared" si="0"/>
        <v>-143203</v>
      </c>
      <c r="I17" s="23">
        <f t="shared" si="2"/>
        <v>-3.3724307302638512E-3</v>
      </c>
      <c r="K17" s="2"/>
      <c r="L17" s="20"/>
    </row>
    <row r="18" spans="1:12" x14ac:dyDescent="0.2">
      <c r="A18" t="str">
        <f t="shared" si="3"/>
        <v>1998</v>
      </c>
      <c r="C18" s="80">
        <f>'[5]12.2'!C18</f>
        <v>16558977</v>
      </c>
      <c r="D18" s="80">
        <f>'[5]12.2'!D18</f>
        <v>27833800</v>
      </c>
      <c r="E18" s="31">
        <f t="shared" si="1"/>
        <v>44392777</v>
      </c>
      <c r="F18" s="80">
        <f>'[5]12.2'!F18</f>
        <v>44410914</v>
      </c>
      <c r="G18" s="77">
        <f t="shared" si="0"/>
        <v>-18137</v>
      </c>
      <c r="I18" s="23">
        <f t="shared" si="2"/>
        <v>-4.0839060416545357E-4</v>
      </c>
      <c r="K18" s="2"/>
      <c r="L18" s="20"/>
    </row>
    <row r="19" spans="1:12" x14ac:dyDescent="0.2">
      <c r="A19" t="str">
        <f t="shared" si="3"/>
        <v>1999</v>
      </c>
      <c r="C19" s="80">
        <f>'[5]12.2'!C19</f>
        <v>17394142.049999997</v>
      </c>
      <c r="D19" s="80">
        <f>'[5]12.2'!D19</f>
        <v>27168992</v>
      </c>
      <c r="E19" s="31">
        <f t="shared" si="1"/>
        <v>44563134.049999997</v>
      </c>
      <c r="F19" s="80">
        <f>'[5]12.2'!F19</f>
        <v>44581218</v>
      </c>
      <c r="G19" s="77">
        <f t="shared" si="0"/>
        <v>-18083.95000000298</v>
      </c>
      <c r="I19" s="23">
        <f t="shared" si="2"/>
        <v>-4.0564055472874203E-4</v>
      </c>
      <c r="K19" s="2"/>
      <c r="L19" s="20"/>
    </row>
    <row r="20" spans="1:12" x14ac:dyDescent="0.2">
      <c r="A20" t="str">
        <f t="shared" si="3"/>
        <v>2000</v>
      </c>
      <c r="C20" s="80">
        <f>'[5]12.2'!C20</f>
        <v>17332561</v>
      </c>
      <c r="D20" s="80">
        <f>'[5]12.2'!D20</f>
        <v>29762296</v>
      </c>
      <c r="E20" s="31">
        <f t="shared" si="1"/>
        <v>47094857</v>
      </c>
      <c r="F20" s="80">
        <f>'[5]12.2'!F20</f>
        <v>48012426</v>
      </c>
      <c r="G20" s="77">
        <f t="shared" si="0"/>
        <v>-917569</v>
      </c>
      <c r="I20" s="23">
        <f t="shared" si="2"/>
        <v>-1.911107345419288E-2</v>
      </c>
      <c r="K20" s="2"/>
      <c r="L20" s="20"/>
    </row>
    <row r="21" spans="1:12" x14ac:dyDescent="0.2">
      <c r="A21" t="str">
        <f t="shared" si="3"/>
        <v>2001</v>
      </c>
      <c r="C21" s="80">
        <f>'[5]12.2'!C21</f>
        <v>17544251</v>
      </c>
      <c r="D21" s="80">
        <f>'[5]12.2'!D21</f>
        <v>36220622.519999996</v>
      </c>
      <c r="E21" s="31">
        <f t="shared" si="1"/>
        <v>53764873.519999996</v>
      </c>
      <c r="F21" s="80">
        <f>'[5]12.2'!F21</f>
        <v>54630727</v>
      </c>
      <c r="G21" s="77">
        <f t="shared" si="0"/>
        <v>-865853.48000000417</v>
      </c>
      <c r="I21" s="23">
        <f t="shared" si="2"/>
        <v>-1.584920295862078E-2</v>
      </c>
      <c r="K21" s="2"/>
      <c r="L21" s="20"/>
    </row>
    <row r="22" spans="1:12" x14ac:dyDescent="0.2">
      <c r="A22" t="str">
        <f t="shared" si="3"/>
        <v>2002</v>
      </c>
      <c r="C22" s="80">
        <f>'[5]12.2'!C22</f>
        <v>24013525</v>
      </c>
      <c r="D22" s="80">
        <f>'[5]12.2'!D22</f>
        <v>48856422.25</v>
      </c>
      <c r="E22" s="31">
        <f t="shared" si="1"/>
        <v>72869947.25</v>
      </c>
      <c r="F22" s="80">
        <f>'[5]12.2'!F22</f>
        <v>72967831</v>
      </c>
      <c r="G22" s="77">
        <f t="shared" si="0"/>
        <v>-97883.75</v>
      </c>
      <c r="I22" s="23">
        <f t="shared" si="2"/>
        <v>-1.3414644324565438E-3</v>
      </c>
      <c r="K22" s="2"/>
      <c r="L22" s="20"/>
    </row>
    <row r="23" spans="1:12" x14ac:dyDescent="0.2">
      <c r="A23" t="str">
        <f t="shared" si="3"/>
        <v>2003</v>
      </c>
      <c r="C23" s="80">
        <f>'[5]12.2'!C23</f>
        <v>29220514</v>
      </c>
      <c r="D23" s="80">
        <f>'[5]12.2'!D23</f>
        <v>58573191</v>
      </c>
      <c r="E23" s="31">
        <f t="shared" si="1"/>
        <v>87793705</v>
      </c>
      <c r="F23" s="80">
        <f>'[5]12.2'!F23</f>
        <v>87987279</v>
      </c>
      <c r="G23" s="77">
        <f t="shared" si="0"/>
        <v>-193574</v>
      </c>
      <c r="I23" s="23">
        <f t="shared" si="2"/>
        <v>-2.2000225737177303E-3</v>
      </c>
      <c r="K23" s="2"/>
      <c r="L23" s="20"/>
    </row>
    <row r="24" spans="1:12" x14ac:dyDescent="0.2">
      <c r="A24" t="str">
        <f t="shared" si="3"/>
        <v>2004</v>
      </c>
      <c r="C24" s="80">
        <f>'[5]12.2'!C24</f>
        <v>31009323</v>
      </c>
      <c r="D24" s="80">
        <f>'[5]12.2'!D24</f>
        <v>71292702</v>
      </c>
      <c r="E24" s="31">
        <f t="shared" si="1"/>
        <v>102302025</v>
      </c>
      <c r="F24" s="80">
        <f>'[5]12.2'!F24</f>
        <v>102384351</v>
      </c>
      <c r="G24" s="77">
        <f t="shared" si="0"/>
        <v>-82326</v>
      </c>
      <c r="I24" s="23">
        <f t="shared" si="2"/>
        <v>-8.0408772625808805E-4</v>
      </c>
      <c r="K24" s="2"/>
      <c r="L24" s="20"/>
    </row>
    <row r="25" spans="1:12" x14ac:dyDescent="0.2">
      <c r="A25" t="str">
        <f t="shared" si="3"/>
        <v>2005</v>
      </c>
      <c r="B25" s="25"/>
      <c r="C25" s="80">
        <f>'[5]12.2'!C25</f>
        <v>35740174</v>
      </c>
      <c r="D25" s="80">
        <f>'[5]12.2'!D25</f>
        <v>78094458</v>
      </c>
      <c r="E25" s="31">
        <f t="shared" si="1"/>
        <v>113834632</v>
      </c>
      <c r="F25" s="80">
        <f>'[5]12.2'!F25</f>
        <v>113927701</v>
      </c>
      <c r="G25" s="77">
        <f t="shared" si="0"/>
        <v>-93069</v>
      </c>
      <c r="I25" s="23">
        <f t="shared" si="2"/>
        <v>-8.169128243885129E-4</v>
      </c>
      <c r="K25" s="2"/>
      <c r="L25" s="20"/>
    </row>
    <row r="26" spans="1:12" x14ac:dyDescent="0.2">
      <c r="A26" t="str">
        <f t="shared" si="3"/>
        <v>2006</v>
      </c>
      <c r="C26" s="80">
        <f>'[5]12.2'!C26</f>
        <v>76847840</v>
      </c>
      <c r="D26" s="80">
        <f>'[5]12.2'!D26</f>
        <v>119658576</v>
      </c>
      <c r="E26" s="31">
        <f t="shared" si="1"/>
        <v>196506416</v>
      </c>
      <c r="F26" s="80">
        <f>'[5]12.2'!F26</f>
        <v>196833235</v>
      </c>
      <c r="G26" s="77">
        <f t="shared" si="0"/>
        <v>-326819</v>
      </c>
      <c r="I26" s="23">
        <f t="shared" si="2"/>
        <v>-1.6603852494727325E-3</v>
      </c>
      <c r="K26" s="2"/>
      <c r="L26" s="20"/>
    </row>
    <row r="27" spans="1:12" s="59" customFormat="1" x14ac:dyDescent="0.2">
      <c r="A27" t="str">
        <f t="shared" si="3"/>
        <v>2007</v>
      </c>
      <c r="B27"/>
      <c r="C27" s="80">
        <f>'[5]12.2'!C27</f>
        <v>110951718</v>
      </c>
      <c r="D27" s="80">
        <f>'[5]12.2'!D27</f>
        <v>203561196</v>
      </c>
      <c r="E27" s="31">
        <f t="shared" si="1"/>
        <v>314512914</v>
      </c>
      <c r="F27" s="80">
        <f>'[5]12.2'!F27</f>
        <v>315139307</v>
      </c>
      <c r="G27" s="77">
        <f t="shared" si="0"/>
        <v>-626393</v>
      </c>
      <c r="H27"/>
      <c r="I27" s="23">
        <f t="shared" si="2"/>
        <v>-1.9876701702590213E-3</v>
      </c>
      <c r="K27" s="2"/>
      <c r="L27" s="20"/>
    </row>
    <row r="28" spans="1:12" x14ac:dyDescent="0.2">
      <c r="A28" s="50" t="str">
        <f t="shared" si="3"/>
        <v>2008</v>
      </c>
      <c r="B28" s="51"/>
      <c r="C28" s="80">
        <f>'[5]12.2'!C28</f>
        <v>98036118.420000017</v>
      </c>
      <c r="D28" s="80">
        <f>'[5]12.2'!D28</f>
        <v>232925989.76999998</v>
      </c>
      <c r="E28" s="31">
        <f t="shared" si="1"/>
        <v>330962108.19</v>
      </c>
      <c r="F28" s="80">
        <f>'[5]12.2'!F28</f>
        <v>331057645</v>
      </c>
      <c r="G28" s="77">
        <f t="shared" si="0"/>
        <v>-95536.810000002384</v>
      </c>
      <c r="I28" s="23">
        <f t="shared" si="2"/>
        <v>-2.8858058843499109E-4</v>
      </c>
      <c r="K28" s="2"/>
      <c r="L28" s="20"/>
    </row>
    <row r="29" spans="1:12" x14ac:dyDescent="0.2">
      <c r="A29" s="50" t="str">
        <f t="shared" si="3"/>
        <v>2009</v>
      </c>
      <c r="C29" s="80">
        <f>'[5]12.2'!C29</f>
        <v>111269572.63</v>
      </c>
      <c r="D29" s="80">
        <f>'[5]12.2'!D29</f>
        <v>269535059.02999997</v>
      </c>
      <c r="E29" s="31">
        <f t="shared" si="1"/>
        <v>380804631.65999997</v>
      </c>
      <c r="F29" s="80">
        <f>'[5]12.2'!F29</f>
        <v>382342402</v>
      </c>
      <c r="G29" s="77">
        <f t="shared" si="0"/>
        <v>-1537770.3400000334</v>
      </c>
      <c r="I29" s="23">
        <f t="shared" si="2"/>
        <v>-4.021971750860197E-3</v>
      </c>
      <c r="K29" s="2"/>
      <c r="L29" s="20"/>
    </row>
    <row r="30" spans="1:12" x14ac:dyDescent="0.2">
      <c r="A30" s="50" t="str">
        <f t="shared" si="3"/>
        <v>2010</v>
      </c>
      <c r="B30" s="25"/>
      <c r="C30" s="80">
        <f>'[5]12.2'!C30</f>
        <v>102174679.52999991</v>
      </c>
      <c r="D30" s="80">
        <f>'[5]12.2'!D30</f>
        <v>278116922.00999999</v>
      </c>
      <c r="E30" s="31">
        <f t="shared" si="1"/>
        <v>380291601.5399999</v>
      </c>
      <c r="F30" s="80">
        <f>'[5]12.2'!F30</f>
        <v>385549582</v>
      </c>
      <c r="G30" s="77">
        <f t="shared" si="0"/>
        <v>-5257980.4600000978</v>
      </c>
      <c r="I30" s="23">
        <f t="shared" si="2"/>
        <v>-1.3637624589617887E-2</v>
      </c>
      <c r="K30" s="2"/>
      <c r="L30" s="20"/>
    </row>
    <row r="31" spans="1:12" x14ac:dyDescent="0.2">
      <c r="A31" s="50" t="str">
        <f t="shared" ref="A31:A37" si="4">TEXT(A30+1,"#")</f>
        <v>2011</v>
      </c>
      <c r="B31" s="25"/>
      <c r="C31" s="80">
        <f>'[5]12.2'!C31</f>
        <v>100017021</v>
      </c>
      <c r="D31" s="80">
        <f>'[5]12.2'!D31</f>
        <v>307494236.20000005</v>
      </c>
      <c r="E31" s="31">
        <f t="shared" ref="E31:E37" si="5">SUM(C31:D31)</f>
        <v>407511257.20000005</v>
      </c>
      <c r="F31" s="80">
        <f>'[5]12.2'!F31</f>
        <v>403748164</v>
      </c>
      <c r="G31" s="77">
        <f t="shared" ref="G31:G37" si="6">E31-F31</f>
        <v>3763093.2000000477</v>
      </c>
      <c r="I31" s="23">
        <f t="shared" si="2"/>
        <v>9.3203970582019721E-3</v>
      </c>
      <c r="K31" s="2"/>
      <c r="L31" s="20"/>
    </row>
    <row r="32" spans="1:12" x14ac:dyDescent="0.2">
      <c r="A32" s="50" t="str">
        <f t="shared" si="4"/>
        <v>2012</v>
      </c>
      <c r="B32" s="25"/>
      <c r="C32" s="80">
        <f>'[5]12.2'!C32</f>
        <v>110524396.51999998</v>
      </c>
      <c r="D32" s="80">
        <f>'[5]12.2'!D32</f>
        <v>335795725.19999981</v>
      </c>
      <c r="E32" s="31">
        <f>SUM(C32:D32)</f>
        <v>446320121.71999979</v>
      </c>
      <c r="F32" s="80">
        <f>'[5]12.2'!F32</f>
        <v>443479701</v>
      </c>
      <c r="G32" s="77">
        <f t="shared" si="6"/>
        <v>2840420.7199997902</v>
      </c>
      <c r="I32" s="23">
        <f t="shared" si="2"/>
        <v>6.4048494521732127E-3</v>
      </c>
      <c r="K32" s="2"/>
      <c r="L32" s="20"/>
    </row>
    <row r="33" spans="1:12" x14ac:dyDescent="0.2">
      <c r="A33" s="170" t="str">
        <f t="shared" si="4"/>
        <v>2013</v>
      </c>
      <c r="B33" s="198"/>
      <c r="C33" s="80">
        <f>'[5]12.2'!C33</f>
        <v>112904624</v>
      </c>
      <c r="D33" s="80">
        <f>'[5]12.2'!D33</f>
        <v>360838080.7099998</v>
      </c>
      <c r="E33" s="199">
        <f t="shared" si="5"/>
        <v>473742704.7099998</v>
      </c>
      <c r="F33" s="80">
        <f>'[5]12.2'!F33</f>
        <v>472739474</v>
      </c>
      <c r="G33" s="200">
        <f>E33-F33</f>
        <v>1003230.7099997997</v>
      </c>
      <c r="I33" s="23">
        <f t="shared" si="2"/>
        <v>2.1221640357449814E-3</v>
      </c>
      <c r="K33" s="2"/>
      <c r="L33" s="20"/>
    </row>
    <row r="34" spans="1:12" x14ac:dyDescent="0.2">
      <c r="A34" s="50" t="str">
        <f t="shared" si="4"/>
        <v>2014</v>
      </c>
      <c r="B34" s="51"/>
      <c r="C34" s="80">
        <f>'[5]12.2'!C34</f>
        <v>104642688</v>
      </c>
      <c r="D34" s="80">
        <f>'[5]12.2'!D34</f>
        <v>389333918.13999987</v>
      </c>
      <c r="E34" s="123">
        <f t="shared" si="5"/>
        <v>493976606.13999987</v>
      </c>
      <c r="F34" s="80">
        <f>'[5]12.2'!F34</f>
        <v>494036010</v>
      </c>
      <c r="G34" s="159">
        <f t="shared" si="6"/>
        <v>-59403.860000133514</v>
      </c>
      <c r="I34" s="23">
        <f t="shared" si="2"/>
        <v>-1.2024196373890541E-4</v>
      </c>
      <c r="K34" s="2"/>
      <c r="L34" s="20"/>
    </row>
    <row r="35" spans="1:12" x14ac:dyDescent="0.2">
      <c r="A35" s="50" t="str">
        <f t="shared" si="4"/>
        <v>2015</v>
      </c>
      <c r="B35" s="51"/>
      <c r="C35" s="80">
        <f>'[5]12.2'!C35</f>
        <v>98715934</v>
      </c>
      <c r="D35" s="80">
        <f>'[5]12.2'!D35</f>
        <v>407969846.0800004</v>
      </c>
      <c r="E35" s="123">
        <f t="shared" si="5"/>
        <v>506685780.0800004</v>
      </c>
      <c r="F35" s="80">
        <f>'[5]12.2'!F35</f>
        <v>503824316</v>
      </c>
      <c r="G35" s="159">
        <f t="shared" si="6"/>
        <v>2861464.0800004005</v>
      </c>
      <c r="I35" s="23">
        <f t="shared" si="2"/>
        <v>5.6794878475067501E-3</v>
      </c>
      <c r="K35" s="2"/>
      <c r="L35" s="20"/>
    </row>
    <row r="36" spans="1:12" x14ac:dyDescent="0.2">
      <c r="A36" s="50" t="str">
        <f t="shared" si="4"/>
        <v>2016</v>
      </c>
      <c r="B36" s="51"/>
      <c r="C36" s="80">
        <f>'[5]12.2'!C36</f>
        <v>88278690</v>
      </c>
      <c r="D36" s="80">
        <f>'[5]12.2'!D36</f>
        <v>399074847</v>
      </c>
      <c r="E36" s="123">
        <f t="shared" si="5"/>
        <v>487353537</v>
      </c>
      <c r="F36" s="80">
        <f>'[5]12.2'!F36</f>
        <v>487353537</v>
      </c>
      <c r="G36" s="159">
        <f t="shared" si="6"/>
        <v>0</v>
      </c>
      <c r="H36" s="50"/>
      <c r="I36" s="23">
        <f t="shared" si="2"/>
        <v>0</v>
      </c>
      <c r="K36" s="2"/>
      <c r="L36" s="20"/>
    </row>
    <row r="37" spans="1:12" x14ac:dyDescent="0.2">
      <c r="A37" s="50" t="str">
        <f t="shared" si="4"/>
        <v>2017</v>
      </c>
      <c r="B37" s="51"/>
      <c r="C37" s="80">
        <f>'[5]12.2'!C37</f>
        <v>70749081</v>
      </c>
      <c r="D37" s="80">
        <f>'[5]12.2'!D37</f>
        <v>352368052</v>
      </c>
      <c r="E37" s="123">
        <f t="shared" si="5"/>
        <v>423117133</v>
      </c>
      <c r="F37" s="80">
        <f>'[5]12.2'!F37</f>
        <v>423074138</v>
      </c>
      <c r="G37" s="159">
        <f t="shared" si="6"/>
        <v>42995</v>
      </c>
      <c r="H37" s="50"/>
      <c r="I37" s="23">
        <f>G37/F37</f>
        <v>1.0162521444409348E-4</v>
      </c>
      <c r="K37" s="2"/>
      <c r="L37" s="20"/>
    </row>
    <row r="38" spans="1:12" x14ac:dyDescent="0.2">
      <c r="A38" s="50">
        <v>2018</v>
      </c>
      <c r="B38" s="51"/>
      <c r="C38" s="80">
        <f>'[5]12.2'!C38</f>
        <v>65696833</v>
      </c>
      <c r="D38" s="80">
        <f>'[5]12.2'!D38</f>
        <v>331676957</v>
      </c>
      <c r="E38" s="123">
        <f>SUM(C38:D38)</f>
        <v>397373790</v>
      </c>
      <c r="F38" s="80">
        <f>'[5]12.2'!F38</f>
        <v>395551679</v>
      </c>
      <c r="G38" s="159">
        <f>E38-F38</f>
        <v>1822111</v>
      </c>
      <c r="I38" s="23">
        <f t="shared" si="2"/>
        <v>4.6065055383066643E-3</v>
      </c>
      <c r="K38" s="2"/>
    </row>
    <row r="39" spans="1:12" x14ac:dyDescent="0.2">
      <c r="A39" s="50">
        <v>2019</v>
      </c>
      <c r="B39" s="51"/>
      <c r="C39" s="80">
        <f>'[5]12.2'!C39</f>
        <v>59123729</v>
      </c>
      <c r="D39" s="80">
        <f>'[5]12.2'!D39</f>
        <v>314907158.99999952</v>
      </c>
      <c r="E39" s="123">
        <f>SUM(C39:D39)</f>
        <v>374030887.99999952</v>
      </c>
      <c r="F39" s="80">
        <f>'[5]12.2'!F39</f>
        <v>372016601</v>
      </c>
      <c r="G39" s="159">
        <f>E39-F39</f>
        <v>2014286.9999995232</v>
      </c>
      <c r="I39" s="23">
        <f t="shared" si="2"/>
        <v>5.4145083702851291E-3</v>
      </c>
      <c r="K39" s="2"/>
    </row>
    <row r="40" spans="1:12" x14ac:dyDescent="0.2">
      <c r="A40" s="9">
        <v>2020</v>
      </c>
      <c r="B40" s="26"/>
      <c r="C40" s="81">
        <f>'[5]12.2'!C40</f>
        <v>60327052</v>
      </c>
      <c r="D40" s="81">
        <f>'[5]12.2'!D40</f>
        <v>310312753</v>
      </c>
      <c r="E40" s="32">
        <f>SUM(C40:D40)</f>
        <v>370639805</v>
      </c>
      <c r="F40" s="81">
        <f>'[5]12.2'!F40</f>
        <v>369600488</v>
      </c>
      <c r="G40" s="180">
        <f>E40-F40</f>
        <v>1039317</v>
      </c>
      <c r="I40" s="23">
        <f t="shared" si="2"/>
        <v>2.8120011573144893E-3</v>
      </c>
      <c r="K40" s="2"/>
    </row>
    <row r="41" spans="1:12" x14ac:dyDescent="0.2">
      <c r="K41" s="2"/>
    </row>
    <row r="42" spans="1:12" x14ac:dyDescent="0.2">
      <c r="C42" s="19"/>
      <c r="D42" s="80"/>
      <c r="E42" s="12"/>
      <c r="F42" s="19"/>
      <c r="G42" s="19"/>
      <c r="I42" s="50"/>
      <c r="K42" s="2"/>
    </row>
    <row r="43" spans="1:12" x14ac:dyDescent="0.2">
      <c r="A43" t="s">
        <v>9</v>
      </c>
      <c r="C43" s="77">
        <f>SUM(C14:C40)</f>
        <v>1614788872.1499999</v>
      </c>
      <c r="D43" s="77">
        <f t="shared" ref="D43:G43" si="7">SUM(D14:D40)</f>
        <v>5076676977.9099998</v>
      </c>
      <c r="E43" s="77">
        <f t="shared" si="7"/>
        <v>6691465850.0599995</v>
      </c>
      <c r="F43" s="77">
        <f t="shared" si="7"/>
        <v>6686999933</v>
      </c>
      <c r="G43" s="77">
        <f t="shared" si="7"/>
        <v>4465917.0599992871</v>
      </c>
      <c r="K43" s="2"/>
    </row>
    <row r="44" spans="1:12" ht="10.5" thickBot="1" x14ac:dyDescent="0.25">
      <c r="A44" s="6"/>
      <c r="B44" s="6"/>
      <c r="C44" s="6"/>
      <c r="D44" s="6"/>
      <c r="E44" s="6"/>
      <c r="F44" s="6"/>
      <c r="G44" s="6"/>
      <c r="K44" s="2"/>
    </row>
    <row r="45" spans="1:12" ht="10.5" thickTop="1" x14ac:dyDescent="0.2">
      <c r="K45" s="2"/>
      <c r="L45" s="94"/>
    </row>
    <row r="46" spans="1:12" x14ac:dyDescent="0.2">
      <c r="A46" t="s">
        <v>17</v>
      </c>
      <c r="F46" s="45"/>
      <c r="K46" s="2"/>
    </row>
    <row r="47" spans="1:12" x14ac:dyDescent="0.2">
      <c r="B47" s="22" t="str">
        <f>'[5]12.2'!$B$46</f>
        <v>(2), (3) Provided by TWIA, as of 12/31/2020</v>
      </c>
      <c r="K47" s="2"/>
    </row>
    <row r="48" spans="1:12" x14ac:dyDescent="0.2">
      <c r="B48" s="22" t="str">
        <f>E12&amp;" = "&amp;C12&amp;" + "&amp;D12</f>
        <v>(4) = (2) + (3)</v>
      </c>
      <c r="K48" s="2"/>
    </row>
    <row r="49" spans="1:11" x14ac:dyDescent="0.2">
      <c r="B49" s="22" t="str">
        <f>F12&amp;" Based on TWIA Annual Statements"</f>
        <v>(5) Based on TWIA Annual Statements</v>
      </c>
      <c r="C49" s="59"/>
      <c r="D49" s="59"/>
      <c r="E49" s="59"/>
      <c r="F49" s="59"/>
      <c r="G49" s="59"/>
      <c r="K49" s="2"/>
    </row>
    <row r="50" spans="1:11" x14ac:dyDescent="0.2">
      <c r="B50" s="22" t="str">
        <f>G12&amp;" = "&amp;E12&amp;" - "&amp;F12</f>
        <v>(6) = (4) - (5)</v>
      </c>
      <c r="H50" s="45"/>
      <c r="I50" s="45"/>
      <c r="K50" s="2"/>
    </row>
    <row r="51" spans="1:11" x14ac:dyDescent="0.2">
      <c r="B51" s="22"/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s="59" customFormat="1" x14ac:dyDescent="0.2">
      <c r="A56"/>
      <c r="B56"/>
      <c r="C56"/>
      <c r="D56"/>
      <c r="E56"/>
      <c r="F56"/>
      <c r="G56"/>
      <c r="H56"/>
      <c r="I56"/>
      <c r="K56" s="2"/>
    </row>
    <row r="57" spans="1:11" s="59" customFormat="1" x14ac:dyDescent="0.2">
      <c r="A57"/>
      <c r="B57"/>
      <c r="C57"/>
      <c r="D57"/>
      <c r="E57"/>
      <c r="F57"/>
      <c r="G57"/>
      <c r="K57" s="2"/>
    </row>
    <row r="58" spans="1:11" s="59" customFormat="1" x14ac:dyDescent="0.2">
      <c r="K58" s="2"/>
    </row>
    <row r="59" spans="1:11" s="59" customFormat="1" x14ac:dyDescent="0.2">
      <c r="C59" s="22"/>
      <c r="K59" s="2"/>
    </row>
    <row r="60" spans="1:11" s="59" customFormat="1" x14ac:dyDescent="0.2">
      <c r="H60" s="45"/>
      <c r="I60" s="45"/>
      <c r="K60" s="2"/>
    </row>
    <row r="61" spans="1:11" s="59" customFormat="1" x14ac:dyDescent="0.2">
      <c r="A61" s="45"/>
      <c r="B61" s="45"/>
      <c r="C61" s="45"/>
      <c r="D61" s="45"/>
      <c r="E61" s="45"/>
      <c r="F61" s="45"/>
      <c r="G61" s="45"/>
      <c r="K61" s="2"/>
    </row>
    <row r="62" spans="1:11" s="59" customFormat="1" x14ac:dyDescent="0.2">
      <c r="H62" s="33"/>
      <c r="I62" s="33"/>
      <c r="K62" s="2"/>
    </row>
    <row r="63" spans="1:11" s="59" customFormat="1" x14ac:dyDescent="0.2">
      <c r="A63" s="65"/>
      <c r="C63" s="38"/>
      <c r="D63" s="38"/>
      <c r="E63" s="38"/>
      <c r="F63" s="38"/>
      <c r="G63" s="33"/>
      <c r="H63" s="33"/>
      <c r="I63" s="33"/>
      <c r="K63" s="2"/>
    </row>
    <row r="64" spans="1:11" s="59" customFormat="1" x14ac:dyDescent="0.2">
      <c r="A64" s="65"/>
      <c r="C64" s="38"/>
      <c r="D64" s="38"/>
      <c r="E64" s="38"/>
      <c r="F64" s="38"/>
      <c r="G64" s="33"/>
      <c r="H64" s="33"/>
      <c r="I64" s="33"/>
      <c r="K64" s="2"/>
    </row>
    <row r="65" spans="1:11" s="59" customFormat="1" x14ac:dyDescent="0.2">
      <c r="A65" s="65"/>
      <c r="C65" s="38"/>
      <c r="D65" s="38"/>
      <c r="E65" s="38"/>
      <c r="F65" s="38"/>
      <c r="G65" s="33"/>
      <c r="H65" s="33"/>
      <c r="I65" s="33"/>
      <c r="K65" s="2"/>
    </row>
    <row r="66" spans="1:11" s="59" customFormat="1" x14ac:dyDescent="0.2">
      <c r="A66" s="65"/>
      <c r="C66" s="38"/>
      <c r="D66" s="38"/>
      <c r="E66" s="38"/>
      <c r="F66" s="38"/>
      <c r="G66" s="33"/>
      <c r="H66" s="33"/>
      <c r="I66" s="33"/>
      <c r="K66" s="2"/>
    </row>
    <row r="67" spans="1:11" s="59" customFormat="1" x14ac:dyDescent="0.2">
      <c r="A67" s="65"/>
      <c r="C67" s="38"/>
      <c r="D67" s="38"/>
      <c r="E67" s="38"/>
      <c r="F67" s="38"/>
      <c r="G67" s="33"/>
      <c r="H67" s="33"/>
      <c r="I67" s="33"/>
      <c r="K67" s="2"/>
    </row>
    <row r="68" spans="1:11" s="59" customFormat="1" x14ac:dyDescent="0.2">
      <c r="A68" s="65"/>
      <c r="C68" s="38"/>
      <c r="D68" s="38"/>
      <c r="E68" s="38"/>
      <c r="F68" s="38"/>
      <c r="G68" s="33"/>
      <c r="H68" s="33"/>
      <c r="I68" s="33"/>
      <c r="K68" s="2"/>
    </row>
    <row r="69" spans="1:11" x14ac:dyDescent="0.2">
      <c r="A69" s="65"/>
      <c r="B69" s="59"/>
      <c r="C69" s="38"/>
      <c r="D69" s="38"/>
      <c r="E69" s="38"/>
      <c r="F69" s="38"/>
      <c r="G69" s="33"/>
      <c r="H69" s="29"/>
      <c r="I69" s="29"/>
      <c r="K69" s="2"/>
    </row>
    <row r="70" spans="1:11" x14ac:dyDescent="0.2">
      <c r="A70" s="65"/>
      <c r="B70" s="59"/>
      <c r="C70" s="29"/>
      <c r="D70" s="29"/>
      <c r="E70" s="29"/>
      <c r="F70" s="29"/>
      <c r="G70" s="29"/>
      <c r="K70" s="2"/>
    </row>
    <row r="71" spans="1:11" ht="10.5" thickBot="1" x14ac:dyDescent="0.25">
      <c r="B71" s="25"/>
      <c r="C71" s="60"/>
      <c r="D71" s="60"/>
      <c r="E71" s="60"/>
      <c r="F71" s="60"/>
      <c r="G71" s="23"/>
      <c r="K71" s="2"/>
    </row>
    <row r="72" spans="1:11" ht="10.5" hidden="1" thickBot="1" x14ac:dyDescent="0.25">
      <c r="B72" s="25"/>
      <c r="C72" s="60"/>
      <c r="D72" s="60"/>
      <c r="E72" s="60"/>
      <c r="F72" s="60"/>
      <c r="G72" s="23"/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  <row r="75" spans="1:11" x14ac:dyDescent="0.2">
      <c r="B75" s="25"/>
      <c r="C75" s="60"/>
      <c r="D75" s="60"/>
      <c r="E75" s="60"/>
      <c r="F75" s="60"/>
      <c r="G75" s="2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</sheetPr>
  <dimension ref="A1:M69"/>
  <sheetViews>
    <sheetView showGridLines="0" topLeftCell="C16" zoomScaleNormal="100" workbookViewId="0">
      <selection activeCell="I23" sqref="I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3" ht="10.5" x14ac:dyDescent="0.25">
      <c r="A1" s="8" t="str">
        <f>'1'!$A$1</f>
        <v>Texas Windstorm Insurance Association</v>
      </c>
      <c r="B1" s="12"/>
      <c r="I1" s="50"/>
      <c r="J1" s="7" t="s">
        <v>20</v>
      </c>
      <c r="K1" s="1"/>
      <c r="M1" t="s">
        <v>350</v>
      </c>
    </row>
    <row r="2" spans="1:13" ht="10.5" x14ac:dyDescent="0.25">
      <c r="A2" s="8" t="str">
        <f>'1'!$A$2</f>
        <v>Residential Property - Wind &amp; Hail</v>
      </c>
      <c r="B2" s="12"/>
      <c r="I2" s="50"/>
      <c r="J2" s="7" t="s">
        <v>46</v>
      </c>
      <c r="K2" s="2"/>
    </row>
    <row r="3" spans="1:13" ht="10.5" x14ac:dyDescent="0.25">
      <c r="A3" s="8" t="str">
        <f>'1'!$A$3</f>
        <v>Rate Level Review</v>
      </c>
      <c r="B3" s="12"/>
      <c r="I3" s="50"/>
      <c r="J3" s="129"/>
      <c r="K3" s="2"/>
    </row>
    <row r="4" spans="1:13" x14ac:dyDescent="0.2">
      <c r="A4" t="s">
        <v>322</v>
      </c>
      <c r="B4" s="12"/>
      <c r="I4" s="50"/>
      <c r="K4" s="2"/>
    </row>
    <row r="5" spans="1:13" x14ac:dyDescent="0.2">
      <c r="A5" t="s">
        <v>45</v>
      </c>
      <c r="B5" s="12"/>
      <c r="I5" s="50"/>
      <c r="K5" s="2"/>
    </row>
    <row r="6" spans="1:13" x14ac:dyDescent="0.2">
      <c r="I6" s="50"/>
      <c r="K6" s="2"/>
    </row>
    <row r="7" spans="1:13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3" ht="10.5" thickTop="1" x14ac:dyDescent="0.2">
      <c r="I8" s="50"/>
      <c r="K8" s="2"/>
    </row>
    <row r="9" spans="1:13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3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3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84">
        <f>'2.4a'!L$22</f>
        <v>44104</v>
      </c>
    </row>
    <row r="12" spans="1:13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5"/>
      <c r="K12" s="2"/>
    </row>
    <row r="13" spans="1:13" x14ac:dyDescent="0.2">
      <c r="I13" s="50"/>
      <c r="K13" s="2"/>
    </row>
    <row r="14" spans="1:13" x14ac:dyDescent="0.2">
      <c r="A14" t="str">
        <f t="shared" ref="A14:A22" si="1">TEXT(A15-1,"#")</f>
        <v>2011</v>
      </c>
      <c r="B14" s="25"/>
      <c r="C14" s="33">
        <f>'2.3b'!E14</f>
        <v>19201295</v>
      </c>
      <c r="D14" s="36">
        <f>'4.1'!$E$62</f>
        <v>0.27800000000000002</v>
      </c>
      <c r="E14" s="35">
        <f>'2.2a'!E14</f>
        <v>1.1220000000000001</v>
      </c>
      <c r="F14" s="19">
        <f t="shared" ref="F14:F23" si="2">ROUND(C14*(1+D14)*E14,0)</f>
        <v>27533044</v>
      </c>
      <c r="G14" s="49">
        <f>'10.1b'!E14</f>
        <v>69387124</v>
      </c>
      <c r="H14" s="20">
        <f t="shared" ref="H14:H23" si="3">ROUND(F14/G14,3)</f>
        <v>0.39700000000000002</v>
      </c>
      <c r="I14" s="166"/>
      <c r="K14" s="2"/>
    </row>
    <row r="15" spans="1:13" x14ac:dyDescent="0.2">
      <c r="A15" t="str">
        <f t="shared" si="1"/>
        <v>2012</v>
      </c>
      <c r="B15" s="25"/>
      <c r="C15" s="33">
        <f>'2.3b'!E15</f>
        <v>20630853</v>
      </c>
      <c r="D15" s="36">
        <f t="shared" ref="D15:D23" si="4">D$14</f>
        <v>0.27800000000000002</v>
      </c>
      <c r="E15" s="35">
        <f>'2.2a'!E15</f>
        <v>1.1000000000000001</v>
      </c>
      <c r="F15" s="19">
        <f t="shared" si="2"/>
        <v>29002853</v>
      </c>
      <c r="G15" s="49">
        <f>'10.1b'!E15</f>
        <v>70391274</v>
      </c>
      <c r="H15" s="20">
        <f t="shared" si="3"/>
        <v>0.41199999999999998</v>
      </c>
      <c r="I15" s="166"/>
      <c r="K15" s="2"/>
    </row>
    <row r="16" spans="1:13" x14ac:dyDescent="0.2">
      <c r="A16" t="str">
        <f t="shared" si="1"/>
        <v>2013</v>
      </c>
      <c r="B16" s="25"/>
      <c r="C16" s="33">
        <f>'2.3b'!E16</f>
        <v>6175709</v>
      </c>
      <c r="D16" s="36">
        <f t="shared" si="4"/>
        <v>0.27800000000000002</v>
      </c>
      <c r="E16" s="35">
        <f>'2.2a'!E16</f>
        <v>1.0920000000000001</v>
      </c>
      <c r="F16" s="19">
        <f t="shared" si="2"/>
        <v>8618671</v>
      </c>
      <c r="G16" s="49">
        <f>'10.1b'!E16</f>
        <v>71513690</v>
      </c>
      <c r="H16" s="20">
        <f t="shared" si="3"/>
        <v>0.121</v>
      </c>
      <c r="I16" s="166"/>
      <c r="K16" s="2"/>
    </row>
    <row r="17" spans="1:11" x14ac:dyDescent="0.2">
      <c r="A17" t="str">
        <f t="shared" si="1"/>
        <v>2014</v>
      </c>
      <c r="B17" s="25"/>
      <c r="C17" s="33">
        <f>'2.3b'!E17</f>
        <v>1618066</v>
      </c>
      <c r="D17" s="36">
        <f t="shared" si="4"/>
        <v>0.27800000000000002</v>
      </c>
      <c r="E17" s="35">
        <f>'2.2a'!E17</f>
        <v>1.07</v>
      </c>
      <c r="F17" s="19">
        <f t="shared" si="2"/>
        <v>2212641</v>
      </c>
      <c r="G17" s="49">
        <f>'10.1b'!E17</f>
        <v>74528934</v>
      </c>
      <c r="H17" s="20">
        <f t="shared" si="3"/>
        <v>0.03</v>
      </c>
      <c r="I17" s="166"/>
      <c r="K17" s="2"/>
    </row>
    <row r="18" spans="1:11" x14ac:dyDescent="0.2">
      <c r="A18" t="str">
        <f t="shared" si="1"/>
        <v>2015</v>
      </c>
      <c r="B18" s="25"/>
      <c r="C18" s="33">
        <f>'2.3b'!E18</f>
        <v>9470740</v>
      </c>
      <c r="D18" s="36">
        <f t="shared" si="4"/>
        <v>0.27800000000000002</v>
      </c>
      <c r="E18" s="35">
        <f>'2.2a'!E18</f>
        <v>1.0569999999999999</v>
      </c>
      <c r="F18" s="19">
        <f t="shared" si="2"/>
        <v>12793511</v>
      </c>
      <c r="G18" s="49">
        <f>'10.1b'!E18</f>
        <v>77646885</v>
      </c>
      <c r="H18" s="20">
        <f t="shared" si="3"/>
        <v>0.16500000000000001</v>
      </c>
      <c r="I18" s="166"/>
      <c r="K18" s="2"/>
    </row>
    <row r="19" spans="1:11" x14ac:dyDescent="0.2">
      <c r="A19" t="str">
        <f t="shared" si="1"/>
        <v>2016</v>
      </c>
      <c r="B19" s="25"/>
      <c r="C19" s="33">
        <f>'2.3b'!E19</f>
        <v>9569319</v>
      </c>
      <c r="D19" s="36">
        <f t="shared" si="4"/>
        <v>0.27800000000000002</v>
      </c>
      <c r="E19" s="35">
        <f>'2.2a'!E19</f>
        <v>1.0609999999999999</v>
      </c>
      <c r="F19" s="19">
        <f t="shared" si="2"/>
        <v>12975595</v>
      </c>
      <c r="G19" s="49">
        <f>'10.1b'!E19</f>
        <v>76688491</v>
      </c>
      <c r="H19" s="20">
        <f t="shared" si="3"/>
        <v>0.16900000000000001</v>
      </c>
      <c r="I19" s="166"/>
      <c r="K19" s="2"/>
    </row>
    <row r="20" spans="1:11" x14ac:dyDescent="0.2">
      <c r="A20" t="str">
        <f t="shared" si="1"/>
        <v>2017</v>
      </c>
      <c r="B20" s="25"/>
      <c r="C20" s="33">
        <f>'2.3b'!E20</f>
        <v>7740629</v>
      </c>
      <c r="D20" s="36">
        <f t="shared" si="4"/>
        <v>0.27800000000000002</v>
      </c>
      <c r="E20" s="35">
        <f>'2.2a'!E20</f>
        <v>1.042</v>
      </c>
      <c r="F20" s="19">
        <f t="shared" si="2"/>
        <v>10308010</v>
      </c>
      <c r="G20" s="49">
        <f>'10.1b'!E20</f>
        <v>72582595</v>
      </c>
      <c r="H20" s="20">
        <f t="shared" si="3"/>
        <v>0.14199999999999999</v>
      </c>
      <c r="I20" s="166"/>
      <c r="K20" s="2"/>
    </row>
    <row r="21" spans="1:11" x14ac:dyDescent="0.2">
      <c r="A21" t="str">
        <f t="shared" si="1"/>
        <v>2018</v>
      </c>
      <c r="B21" s="25"/>
      <c r="C21" s="33">
        <f>'2.3b'!E21</f>
        <v>1174440</v>
      </c>
      <c r="D21" s="36">
        <f t="shared" si="4"/>
        <v>0.27800000000000002</v>
      </c>
      <c r="E21" s="35">
        <f>'2.2a'!E21</f>
        <v>1.012</v>
      </c>
      <c r="F21" s="19">
        <f>ROUND(C21*(1+D21)*E21,0)</f>
        <v>1518946</v>
      </c>
      <c r="G21" s="49">
        <f>'10.1b'!E21</f>
        <v>65531943</v>
      </c>
      <c r="H21" s="20">
        <f t="shared" si="3"/>
        <v>2.3E-2</v>
      </c>
      <c r="I21" s="166"/>
      <c r="K21" s="2"/>
    </row>
    <row r="22" spans="1:11" x14ac:dyDescent="0.2">
      <c r="A22" t="str">
        <f t="shared" si="1"/>
        <v>2019</v>
      </c>
      <c r="B22" s="51"/>
      <c r="C22" s="49">
        <f>'2.3b'!E22</f>
        <v>893361</v>
      </c>
      <c r="D22" s="75">
        <f t="shared" si="4"/>
        <v>0.27800000000000002</v>
      </c>
      <c r="E22" s="102">
        <f>'2.2a'!E22</f>
        <v>0.999</v>
      </c>
      <c r="F22" s="58">
        <f t="shared" si="2"/>
        <v>1140574</v>
      </c>
      <c r="G22" s="49">
        <f>'10.1b'!E22</f>
        <v>59870593</v>
      </c>
      <c r="H22" s="166">
        <f t="shared" si="3"/>
        <v>1.9E-2</v>
      </c>
      <c r="I22" s="166"/>
      <c r="K22" s="2"/>
    </row>
    <row r="23" spans="1:11" x14ac:dyDescent="0.2">
      <c r="A23" t="str">
        <f>TEXT(YEAR($L$11),"#")</f>
        <v>2020</v>
      </c>
      <c r="B23" s="51"/>
      <c r="C23" s="49">
        <f>'2.3b'!E23</f>
        <v>455628</v>
      </c>
      <c r="D23" s="75">
        <f t="shared" si="4"/>
        <v>0.27800000000000002</v>
      </c>
      <c r="E23" s="102">
        <f>'2.2a'!E23</f>
        <v>1.01</v>
      </c>
      <c r="F23" s="58">
        <f t="shared" si="2"/>
        <v>588116</v>
      </c>
      <c r="G23" s="49">
        <f>'10.1b'!E23</f>
        <v>57494711</v>
      </c>
      <c r="H23" s="166">
        <f t="shared" si="3"/>
        <v>0.01</v>
      </c>
      <c r="I23" s="166"/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6"/>
      <c r="J25" s="20"/>
      <c r="K25" s="2"/>
    </row>
    <row r="26" spans="1:11" x14ac:dyDescent="0.2">
      <c r="A26" t="s">
        <v>9</v>
      </c>
      <c r="C26" s="19">
        <f>SUM(C14:C24)</f>
        <v>76930040</v>
      </c>
      <c r="F26" s="19">
        <f>SUM(F14:F24)</f>
        <v>106691961</v>
      </c>
      <c r="G26" s="19">
        <f>SUM(G14:G24)</f>
        <v>695636240</v>
      </c>
      <c r="H26" s="20">
        <f>ROUND(F26/G26,3)</f>
        <v>0.153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"&amp;'2.3b'!$J$1&amp;", "&amp;'2.3b'!$J$2</f>
        <v>(2) Exhibit 2, Sheet 3b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"&amp;'10.1b'!$J$1&amp;", "&amp;'10.1b'!$J$2</f>
        <v>(6) Exhibit 10, Sheet 1b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59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</sheetPr>
  <dimension ref="A1:L69"/>
  <sheetViews>
    <sheetView showGridLines="0" zoomScaleNormal="100" workbookViewId="0">
      <selection activeCell="H24" sqref="H24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48</v>
      </c>
      <c r="K2" s="2"/>
    </row>
    <row r="3" spans="1:12" ht="10.5" x14ac:dyDescent="0.25">
      <c r="A3" s="8" t="str">
        <f>'1'!$A$3</f>
        <v>Rate Level Review</v>
      </c>
      <c r="B3" s="12"/>
      <c r="I3" s="50"/>
      <c r="J3" s="129"/>
      <c r="K3" s="2"/>
    </row>
    <row r="4" spans="1:12" x14ac:dyDescent="0.2">
      <c r="A4" t="s">
        <v>322</v>
      </c>
      <c r="B4" s="12"/>
      <c r="I4" s="50"/>
      <c r="K4" s="2"/>
    </row>
    <row r="5" spans="1:12" x14ac:dyDescent="0.2">
      <c r="A5" t="s">
        <v>47</v>
      </c>
      <c r="B5" s="12"/>
      <c r="I5" s="50"/>
      <c r="K5" s="2"/>
    </row>
    <row r="6" spans="1:12" x14ac:dyDescent="0.2">
      <c r="I6" s="50"/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0.5" thickTop="1" x14ac:dyDescent="0.2">
      <c r="I8" s="50"/>
      <c r="K8" s="2"/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84">
        <f>'2.4a'!L$22</f>
        <v>44104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5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2011</v>
      </c>
      <c r="B14" s="25"/>
      <c r="C14" s="33">
        <f>'2.3c'!E14</f>
        <v>56124736</v>
      </c>
      <c r="D14" s="36">
        <f>'4.1'!$E$62</f>
        <v>0.27800000000000002</v>
      </c>
      <c r="E14" s="35">
        <f>'2.2a'!E14</f>
        <v>1.1220000000000001</v>
      </c>
      <c r="F14" s="19">
        <f t="shared" ref="F14:F22" si="2">ROUND(C14*(1+D14)*E14,0)</f>
        <v>80478157</v>
      </c>
      <c r="G14" s="49">
        <f>'10.1c'!E14</f>
        <v>193033699</v>
      </c>
      <c r="H14" s="20">
        <f>ROUND(F14/G14,3)</f>
        <v>0.41699999999999998</v>
      </c>
      <c r="I14" s="166"/>
      <c r="K14" s="2"/>
    </row>
    <row r="15" spans="1:12" x14ac:dyDescent="0.2">
      <c r="A15" t="str">
        <f t="shared" si="1"/>
        <v>2012</v>
      </c>
      <c r="B15" s="25"/>
      <c r="C15" s="33">
        <f>'2.3c'!E15</f>
        <v>18946421</v>
      </c>
      <c r="D15" s="36">
        <f t="shared" ref="D15:D23" si="3">D$14</f>
        <v>0.27800000000000002</v>
      </c>
      <c r="E15" s="35">
        <f>'2.2a'!E15</f>
        <v>1.1000000000000001</v>
      </c>
      <c r="F15" s="19">
        <f t="shared" si="2"/>
        <v>26634879</v>
      </c>
      <c r="G15" s="49">
        <f>'10.1c'!E15</f>
        <v>209220809</v>
      </c>
      <c r="H15" s="20">
        <f t="shared" ref="H15:H22" si="4">ROUND(F15/G15,3)</f>
        <v>0.127</v>
      </c>
      <c r="I15" s="166"/>
      <c r="K15" s="2"/>
    </row>
    <row r="16" spans="1:12" x14ac:dyDescent="0.2">
      <c r="A16" t="str">
        <f t="shared" si="1"/>
        <v>2013</v>
      </c>
      <c r="B16" s="25"/>
      <c r="C16" s="33">
        <f>'2.3c'!E16</f>
        <v>4828270</v>
      </c>
      <c r="D16" s="36">
        <f t="shared" si="3"/>
        <v>0.27800000000000002</v>
      </c>
      <c r="E16" s="35">
        <f>'2.2a'!E16</f>
        <v>1.0920000000000001</v>
      </c>
      <c r="F16" s="19">
        <f t="shared" si="2"/>
        <v>6738218</v>
      </c>
      <c r="G16" s="49">
        <f>'10.1c'!E16</f>
        <v>215695773</v>
      </c>
      <c r="H16" s="20">
        <f t="shared" si="4"/>
        <v>3.1E-2</v>
      </c>
      <c r="I16" s="166"/>
      <c r="K16" s="2"/>
    </row>
    <row r="17" spans="1:11" x14ac:dyDescent="0.2">
      <c r="A17" t="str">
        <f t="shared" si="1"/>
        <v>2014</v>
      </c>
      <c r="B17" s="25"/>
      <c r="C17" s="33">
        <f>'2.3c'!E17</f>
        <v>2844673</v>
      </c>
      <c r="D17" s="36">
        <f t="shared" si="3"/>
        <v>0.27800000000000002</v>
      </c>
      <c r="E17" s="35">
        <f>'2.2a'!E17</f>
        <v>1.07</v>
      </c>
      <c r="F17" s="19">
        <f t="shared" si="2"/>
        <v>3889977</v>
      </c>
      <c r="G17" s="49">
        <f>'10.1c'!E17</f>
        <v>222006785</v>
      </c>
      <c r="H17" s="20">
        <f t="shared" si="4"/>
        <v>1.7999999999999999E-2</v>
      </c>
      <c r="I17" s="166"/>
      <c r="K17" s="2"/>
    </row>
    <row r="18" spans="1:11" x14ac:dyDescent="0.2">
      <c r="A18" t="str">
        <f t="shared" si="1"/>
        <v>2015</v>
      </c>
      <c r="B18" s="25"/>
      <c r="C18" s="33">
        <f>'2.3c'!E18</f>
        <v>86493247</v>
      </c>
      <c r="D18" s="36">
        <f t="shared" si="3"/>
        <v>0.27800000000000002</v>
      </c>
      <c r="E18" s="35">
        <f>'2.2a'!E18</f>
        <v>1.0569999999999999</v>
      </c>
      <c r="F18" s="19">
        <f t="shared" si="2"/>
        <v>116839057</v>
      </c>
      <c r="G18" s="49">
        <f>'10.1c'!E18</f>
        <v>226666349</v>
      </c>
      <c r="H18" s="20">
        <f t="shared" si="4"/>
        <v>0.51500000000000001</v>
      </c>
      <c r="I18" s="166"/>
      <c r="K18" s="2"/>
    </row>
    <row r="19" spans="1:11" x14ac:dyDescent="0.2">
      <c r="A19" t="str">
        <f t="shared" si="1"/>
        <v>2016</v>
      </c>
      <c r="B19" s="25"/>
      <c r="C19" s="33">
        <f>'2.3c'!E19</f>
        <v>12216562</v>
      </c>
      <c r="D19" s="36">
        <f t="shared" si="3"/>
        <v>0.27800000000000002</v>
      </c>
      <c r="E19" s="35">
        <f>'2.2a'!E19</f>
        <v>1.0609999999999999</v>
      </c>
      <c r="F19" s="19">
        <f t="shared" si="2"/>
        <v>16565145</v>
      </c>
      <c r="G19" s="49">
        <f>'10.1c'!E19</f>
        <v>216365340</v>
      </c>
      <c r="H19" s="20">
        <f t="shared" si="4"/>
        <v>7.6999999999999999E-2</v>
      </c>
      <c r="I19" s="166"/>
      <c r="K19" s="2"/>
    </row>
    <row r="20" spans="1:11" x14ac:dyDescent="0.2">
      <c r="A20" t="str">
        <f t="shared" si="1"/>
        <v>2017</v>
      </c>
      <c r="B20" s="25"/>
      <c r="C20" s="33">
        <f>'2.3c'!E20</f>
        <v>22074500</v>
      </c>
      <c r="D20" s="36">
        <f t="shared" si="3"/>
        <v>0.27800000000000002</v>
      </c>
      <c r="E20" s="35">
        <f>'2.2a'!E20</f>
        <v>1.042</v>
      </c>
      <c r="F20" s="19">
        <f t="shared" si="2"/>
        <v>29396082</v>
      </c>
      <c r="G20" s="49">
        <f>'10.1c'!E20</f>
        <v>197982407</v>
      </c>
      <c r="H20" s="20">
        <f t="shared" si="4"/>
        <v>0.14799999999999999</v>
      </c>
      <c r="I20" s="166"/>
      <c r="K20" s="2"/>
    </row>
    <row r="21" spans="1:11" x14ac:dyDescent="0.2">
      <c r="A21" t="str">
        <f t="shared" si="1"/>
        <v>2018</v>
      </c>
      <c r="B21" s="25"/>
      <c r="C21" s="33">
        <f>'2.3c'!E21</f>
        <v>6969592</v>
      </c>
      <c r="D21" s="36">
        <f t="shared" si="3"/>
        <v>0.27800000000000002</v>
      </c>
      <c r="E21" s="35">
        <f>'2.2a'!E21</f>
        <v>1.012</v>
      </c>
      <c r="F21" s="19">
        <f t="shared" si="2"/>
        <v>9014024</v>
      </c>
      <c r="G21" s="49">
        <f>'10.1c'!E21</f>
        <v>171091403</v>
      </c>
      <c r="H21" s="20">
        <f t="shared" si="4"/>
        <v>5.2999999999999999E-2</v>
      </c>
      <c r="I21" s="166"/>
      <c r="K21" s="2"/>
    </row>
    <row r="22" spans="1:11" x14ac:dyDescent="0.2">
      <c r="A22" t="str">
        <f t="shared" si="1"/>
        <v>2019</v>
      </c>
      <c r="B22" s="51"/>
      <c r="C22" s="49">
        <f>'2.3c'!E22</f>
        <v>10714984</v>
      </c>
      <c r="D22" s="75">
        <f t="shared" si="3"/>
        <v>0.27800000000000002</v>
      </c>
      <c r="E22" s="102">
        <f>'2.2a'!E22</f>
        <v>0.999</v>
      </c>
      <c r="F22" s="58">
        <f t="shared" si="2"/>
        <v>13680056</v>
      </c>
      <c r="G22" s="49">
        <f>'10.1c'!E22</f>
        <v>151980115</v>
      </c>
      <c r="H22" s="166">
        <f t="shared" si="4"/>
        <v>0.09</v>
      </c>
      <c r="I22" s="166"/>
      <c r="K22" s="2"/>
    </row>
    <row r="23" spans="1:11" x14ac:dyDescent="0.2">
      <c r="A23" t="str">
        <f>TEXT(YEAR($L$11),"#")</f>
        <v>2020</v>
      </c>
      <c r="B23" s="51"/>
      <c r="C23" s="49">
        <f>'2.3c'!E23</f>
        <v>21508366</v>
      </c>
      <c r="D23" s="75">
        <f t="shared" si="3"/>
        <v>0.27800000000000002</v>
      </c>
      <c r="E23" s="102">
        <f>'2.2a'!E23</f>
        <v>1.01</v>
      </c>
      <c r="F23" s="58">
        <f>ROUND(C23*(1+D23)*E23,0)</f>
        <v>27762569</v>
      </c>
      <c r="G23" s="49">
        <f>'10.1c'!E23</f>
        <v>141633299</v>
      </c>
      <c r="H23" s="166">
        <f>ROUND(F23/G23,3)</f>
        <v>0.19600000000000001</v>
      </c>
      <c r="I23" s="166"/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6"/>
      <c r="J25" s="20"/>
      <c r="K25" s="2"/>
    </row>
    <row r="26" spans="1:11" x14ac:dyDescent="0.2">
      <c r="A26" t="s">
        <v>9</v>
      </c>
      <c r="C26" s="19">
        <f>SUM(C14:C24)</f>
        <v>242721351</v>
      </c>
      <c r="F26" s="19">
        <f>SUM(F14:F24)</f>
        <v>330998164</v>
      </c>
      <c r="G26" s="19">
        <f>SUM(G14:G24)</f>
        <v>1945675979</v>
      </c>
      <c r="H26" s="20">
        <f>ROUND(F26/G26,3)</f>
        <v>0.17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"&amp;'2.3c'!$J$1&amp;", "&amp;'2.3c'!$J$2</f>
        <v>(2) Exhibit 2, Sheet 3c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"&amp;'10.1c'!$J$1&amp;", "&amp;'10.1c'!$J$2</f>
        <v>(6) Exhibit 10, Sheet 1c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59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I57" s="50"/>
      <c r="K57" s="2"/>
    </row>
    <row r="58" spans="9:11" x14ac:dyDescent="0.2">
      <c r="I58" s="50"/>
      <c r="K58" s="2"/>
    </row>
    <row r="59" spans="9:11" x14ac:dyDescent="0.2">
      <c r="I59" s="50"/>
      <c r="K59" s="2"/>
    </row>
    <row r="60" spans="9:11" x14ac:dyDescent="0.2">
      <c r="I60" s="50"/>
      <c r="K60" s="2"/>
    </row>
    <row r="61" spans="9:11" x14ac:dyDescent="0.2">
      <c r="I61" s="50"/>
      <c r="K61" s="2"/>
    </row>
    <row r="62" spans="9:11" x14ac:dyDescent="0.2">
      <c r="I62" s="50"/>
      <c r="K62" s="2"/>
    </row>
    <row r="63" spans="9:11" x14ac:dyDescent="0.2">
      <c r="I63" s="50"/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</sheetPr>
  <dimension ref="A1:L69"/>
  <sheetViews>
    <sheetView showGridLines="0" topLeftCell="A10" zoomScaleNormal="100" workbookViewId="0">
      <selection activeCell="C20" sqref="C20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2" ht="10.5" x14ac:dyDescent="0.25">
      <c r="A1" s="8" t="str">
        <f>'1'!$A$1</f>
        <v>Texas Windstorm Insurance Association</v>
      </c>
      <c r="B1" s="12"/>
      <c r="I1" s="50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49</v>
      </c>
      <c r="K2" s="2"/>
    </row>
    <row r="3" spans="1:12" ht="10.5" x14ac:dyDescent="0.25">
      <c r="A3" s="8" t="str">
        <f>'1'!$A$3</f>
        <v>Rate Level Review</v>
      </c>
      <c r="B3" s="12"/>
      <c r="I3" s="50"/>
      <c r="J3" s="129"/>
      <c r="K3" s="2"/>
    </row>
    <row r="4" spans="1:12" x14ac:dyDescent="0.2">
      <c r="A4" t="s">
        <v>322</v>
      </c>
      <c r="B4" s="12"/>
      <c r="I4" s="50"/>
      <c r="K4" s="2"/>
    </row>
    <row r="5" spans="1:12" x14ac:dyDescent="0.2">
      <c r="A5" t="s">
        <v>332</v>
      </c>
      <c r="B5" s="12"/>
      <c r="I5" s="50"/>
      <c r="K5" s="2"/>
    </row>
    <row r="6" spans="1:12" x14ac:dyDescent="0.2">
      <c r="I6" s="50"/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0.5" thickTop="1" x14ac:dyDescent="0.2">
      <c r="I8" s="50"/>
      <c r="K8" s="2"/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233">
        <f>'2.4a'!L$22</f>
        <v>44104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5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2011</v>
      </c>
      <c r="B14" s="25"/>
      <c r="C14" s="33">
        <f>'2.3d'!E14</f>
        <v>54382</v>
      </c>
      <c r="D14" s="36">
        <f>'4.1'!$E$62</f>
        <v>0.27800000000000002</v>
      </c>
      <c r="E14" s="35">
        <f>'2.2a'!E14</f>
        <v>1.1220000000000001</v>
      </c>
      <c r="F14" s="19">
        <f>ROUND(C14*(1+D14)*E14,0)</f>
        <v>77979</v>
      </c>
      <c r="G14" s="49">
        <f>'10.1d'!E14</f>
        <v>3878435</v>
      </c>
      <c r="H14" s="20">
        <f>ROUND(F14/G14,3)</f>
        <v>0.02</v>
      </c>
      <c r="I14" s="166"/>
      <c r="K14" s="2"/>
    </row>
    <row r="15" spans="1:12" x14ac:dyDescent="0.2">
      <c r="A15" t="str">
        <f t="shared" si="1"/>
        <v>2012</v>
      </c>
      <c r="B15" s="25"/>
      <c r="C15" s="33">
        <f>'2.3d'!E15</f>
        <v>259290</v>
      </c>
      <c r="D15" s="36">
        <f t="shared" ref="D15:D23" si="2">D$14</f>
        <v>0.27800000000000002</v>
      </c>
      <c r="E15" s="35">
        <f>'2.2a'!E15</f>
        <v>1.1000000000000001</v>
      </c>
      <c r="F15" s="19">
        <f t="shared" ref="F15:F22" si="3">ROUND(C15*(1+D15)*E15,0)</f>
        <v>364510</v>
      </c>
      <c r="G15" s="49">
        <f>'10.1d'!E15</f>
        <v>4306581</v>
      </c>
      <c r="H15" s="20">
        <f t="shared" ref="H15:H22" si="4">ROUND(F15/G15,3)</f>
        <v>8.5000000000000006E-2</v>
      </c>
      <c r="I15" s="166"/>
      <c r="K15" s="2"/>
    </row>
    <row r="16" spans="1:12" x14ac:dyDescent="0.2">
      <c r="A16" t="str">
        <f t="shared" si="1"/>
        <v>2013</v>
      </c>
      <c r="B16" s="25"/>
      <c r="C16" s="33">
        <f>'2.3d'!E16</f>
        <v>502759</v>
      </c>
      <c r="D16" s="36">
        <f t="shared" si="2"/>
        <v>0.27800000000000002</v>
      </c>
      <c r="E16" s="35">
        <f>'2.2a'!E16</f>
        <v>1.0920000000000001</v>
      </c>
      <c r="F16" s="19">
        <f t="shared" si="3"/>
        <v>701638</v>
      </c>
      <c r="G16" s="49">
        <f>'10.1d'!E16</f>
        <v>4573701</v>
      </c>
      <c r="H16" s="20">
        <f t="shared" si="4"/>
        <v>0.153</v>
      </c>
      <c r="I16" s="166"/>
      <c r="K16" s="2"/>
    </row>
    <row r="17" spans="1:11" x14ac:dyDescent="0.2">
      <c r="A17" t="str">
        <f t="shared" si="1"/>
        <v>2014</v>
      </c>
      <c r="B17" s="25"/>
      <c r="C17" s="33">
        <f>'2.3d'!E17</f>
        <v>30748</v>
      </c>
      <c r="D17" s="36">
        <f t="shared" si="2"/>
        <v>0.27800000000000002</v>
      </c>
      <c r="E17" s="35">
        <f>'2.2a'!E17</f>
        <v>1.07</v>
      </c>
      <c r="F17" s="19">
        <f t="shared" si="3"/>
        <v>42047</v>
      </c>
      <c r="G17" s="49">
        <f>'10.1d'!E17</f>
        <v>4650368</v>
      </c>
      <c r="H17" s="20">
        <f t="shared" si="4"/>
        <v>8.9999999999999993E-3</v>
      </c>
      <c r="I17" s="166"/>
      <c r="K17" s="2"/>
    </row>
    <row r="18" spans="1:11" x14ac:dyDescent="0.2">
      <c r="A18" t="str">
        <f t="shared" si="1"/>
        <v>2015</v>
      </c>
      <c r="B18" s="25"/>
      <c r="C18" s="33">
        <f>'2.3d'!E18</f>
        <v>339691</v>
      </c>
      <c r="D18" s="36">
        <f t="shared" si="2"/>
        <v>0.27800000000000002</v>
      </c>
      <c r="E18" s="35">
        <f>'2.2a'!E18</f>
        <v>1.0569999999999999</v>
      </c>
      <c r="F18" s="19">
        <f t="shared" si="3"/>
        <v>458870</v>
      </c>
      <c r="G18" s="49">
        <f>'10.1d'!E18</f>
        <v>4748938</v>
      </c>
      <c r="H18" s="20">
        <f t="shared" si="4"/>
        <v>9.7000000000000003E-2</v>
      </c>
      <c r="I18" s="166"/>
      <c r="K18" s="2"/>
    </row>
    <row r="19" spans="1:11" x14ac:dyDescent="0.2">
      <c r="A19" t="str">
        <f t="shared" si="1"/>
        <v>2016</v>
      </c>
      <c r="B19" s="25"/>
      <c r="C19" s="33">
        <f>'2.3d'!E19</f>
        <v>448235</v>
      </c>
      <c r="D19" s="36">
        <f t="shared" si="2"/>
        <v>0.27800000000000002</v>
      </c>
      <c r="E19" s="35">
        <f>'2.2a'!E19</f>
        <v>1.0609999999999999</v>
      </c>
      <c r="F19" s="19">
        <f t="shared" si="3"/>
        <v>607788</v>
      </c>
      <c r="G19" s="49">
        <f>'10.1d'!E19</f>
        <v>4776381</v>
      </c>
      <c r="H19" s="20">
        <f t="shared" si="4"/>
        <v>0.127</v>
      </c>
      <c r="I19" s="166"/>
      <c r="K19" s="2"/>
    </row>
    <row r="20" spans="1:11" x14ac:dyDescent="0.2">
      <c r="A20" t="str">
        <f t="shared" si="1"/>
        <v>2017</v>
      </c>
      <c r="B20" s="25"/>
      <c r="C20" s="33">
        <f>'2.3d'!E20</f>
        <v>487376</v>
      </c>
      <c r="D20" s="36">
        <f t="shared" si="2"/>
        <v>0.27800000000000002</v>
      </c>
      <c r="E20" s="35">
        <f>'2.2a'!E20</f>
        <v>1.042</v>
      </c>
      <c r="F20" s="19">
        <f t="shared" si="3"/>
        <v>649027</v>
      </c>
      <c r="G20" s="49">
        <f>'10.1d'!E20</f>
        <v>4657598</v>
      </c>
      <c r="H20" s="20">
        <f t="shared" si="4"/>
        <v>0.13900000000000001</v>
      </c>
      <c r="I20" s="166"/>
      <c r="K20" s="2"/>
    </row>
    <row r="21" spans="1:11" x14ac:dyDescent="0.2">
      <c r="A21" t="str">
        <f t="shared" si="1"/>
        <v>2018</v>
      </c>
      <c r="B21" s="25"/>
      <c r="C21" s="33">
        <f>'2.3d'!E21</f>
        <v>291225</v>
      </c>
      <c r="D21" s="36">
        <f t="shared" si="2"/>
        <v>0.27800000000000002</v>
      </c>
      <c r="E21" s="35">
        <f>'2.2a'!E21</f>
        <v>1.012</v>
      </c>
      <c r="F21" s="19">
        <f t="shared" si="3"/>
        <v>376652</v>
      </c>
      <c r="G21" s="49">
        <f>'10.1d'!E21</f>
        <v>4410916</v>
      </c>
      <c r="H21" s="20">
        <f>ROUND(F21/G21,3)</f>
        <v>8.5000000000000006E-2</v>
      </c>
      <c r="I21" s="166"/>
      <c r="K21" s="2"/>
    </row>
    <row r="22" spans="1:11" x14ac:dyDescent="0.2">
      <c r="A22" t="str">
        <f t="shared" si="1"/>
        <v>2019</v>
      </c>
      <c r="B22" s="51"/>
      <c r="C22" s="49">
        <f>'2.3d'!E22</f>
        <v>2766639</v>
      </c>
      <c r="D22" s="75">
        <f t="shared" si="2"/>
        <v>0.27800000000000002</v>
      </c>
      <c r="E22" s="102">
        <f>'2.2a'!E22</f>
        <v>0.999</v>
      </c>
      <c r="F22" s="58">
        <f t="shared" si="3"/>
        <v>3532229</v>
      </c>
      <c r="G22" s="49">
        <f>'10.1d'!E22</f>
        <v>4296061</v>
      </c>
      <c r="H22" s="166">
        <f t="shared" si="4"/>
        <v>0.82199999999999995</v>
      </c>
      <c r="I22" s="166"/>
      <c r="K22" s="2"/>
    </row>
    <row r="23" spans="1:11" x14ac:dyDescent="0.2">
      <c r="A23" t="str">
        <f>TEXT(YEAR($L$11),"#")</f>
        <v>2020</v>
      </c>
      <c r="B23" s="51"/>
      <c r="C23" s="49">
        <f>'2.3d'!E23</f>
        <v>354799</v>
      </c>
      <c r="D23" s="75">
        <f t="shared" si="2"/>
        <v>0.27800000000000002</v>
      </c>
      <c r="E23" s="102">
        <f>'2.2a'!E23</f>
        <v>1.01</v>
      </c>
      <c r="F23" s="58">
        <f>ROUND(C23*(1+D23)*E23,0)</f>
        <v>457967</v>
      </c>
      <c r="G23" s="49">
        <f>'10.1d'!E23</f>
        <v>4367811</v>
      </c>
      <c r="H23" s="166">
        <f>ROUND(F23/G23,3)</f>
        <v>0.105</v>
      </c>
      <c r="I23" s="166"/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6"/>
      <c r="J25" s="20"/>
      <c r="K25" s="2"/>
    </row>
    <row r="26" spans="1:11" x14ac:dyDescent="0.2">
      <c r="A26" t="s">
        <v>9</v>
      </c>
      <c r="C26" s="19">
        <f>SUM(C14:C24)</f>
        <v>5535144</v>
      </c>
      <c r="F26" s="19">
        <f>SUM(F14:F24)</f>
        <v>7268707</v>
      </c>
      <c r="G26" s="19">
        <f>SUM(G14:G24)</f>
        <v>44666790</v>
      </c>
      <c r="H26" s="20">
        <f>ROUND(F26/G26,3)</f>
        <v>0.16300000000000001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"&amp;'2.3d'!$J$1&amp;", "&amp;'2.3d'!$J$2</f>
        <v>(2) Exhibit 2, Sheet 3d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"&amp;'10.1d'!$J$1&amp;", "&amp;'10.1d'!$J$2</f>
        <v>(6) Exhibit 10, Sheet 1d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A39" s="59"/>
      <c r="B39" s="25"/>
      <c r="I39" s="50"/>
      <c r="K39" s="2"/>
    </row>
    <row r="40" spans="1:11" x14ac:dyDescent="0.2">
      <c r="B40" s="25"/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</sheetPr>
  <dimension ref="A1:M69"/>
  <sheetViews>
    <sheetView showGridLines="0" workbookViewId="0">
      <selection activeCell="C18" sqref="C18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51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7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2011</v>
      </c>
      <c r="B14" s="25"/>
      <c r="C14" s="33">
        <f>'2.4a'!C14</f>
        <v>1277401</v>
      </c>
      <c r="D14" s="44">
        <v>1</v>
      </c>
      <c r="E14" s="31">
        <f t="shared" ref="E14:E21" si="1">ROUND(C14*D14,0)</f>
        <v>1277401</v>
      </c>
      <c r="K14" s="2"/>
      <c r="L14" s="35"/>
    </row>
    <row r="15" spans="1:12" x14ac:dyDescent="0.2">
      <c r="A15" t="str">
        <f t="shared" si="0"/>
        <v>2012</v>
      </c>
      <c r="B15" s="25"/>
      <c r="C15" s="33">
        <f>'2.4a'!C15</f>
        <v>10634874</v>
      </c>
      <c r="D15" s="36">
        <f>INDEX('ldf 3.1a'!$C$46:$K$46,11-MATCH(A15,A$14:A$23))</f>
        <v>1</v>
      </c>
      <c r="E15" s="31">
        <f t="shared" si="1"/>
        <v>10634874</v>
      </c>
      <c r="K15" s="2"/>
      <c r="L15" s="35"/>
    </row>
    <row r="16" spans="1:12" x14ac:dyDescent="0.2">
      <c r="A16" t="str">
        <f t="shared" si="0"/>
        <v>2013</v>
      </c>
      <c r="B16" s="25"/>
      <c r="C16" s="33">
        <f>'2.4a'!C16</f>
        <v>54064828</v>
      </c>
      <c r="D16" s="36">
        <f>INDEX('ldf 3.1a'!$C$46:$K$46,11-MATCH(A16,A$14:A$23))</f>
        <v>1</v>
      </c>
      <c r="E16" s="31">
        <f t="shared" si="1"/>
        <v>54064828</v>
      </c>
      <c r="K16" s="2"/>
      <c r="L16" s="35"/>
    </row>
    <row r="17" spans="1:13" x14ac:dyDescent="0.2">
      <c r="A17" t="str">
        <f t="shared" si="0"/>
        <v>2014</v>
      </c>
      <c r="B17" s="25"/>
      <c r="C17" s="33">
        <f>'2.4a'!C17</f>
        <v>520624</v>
      </c>
      <c r="D17" s="36">
        <f>INDEX('ldf 3.1a'!$C$46:$K$46,11-MATCH(A17,A$14:A$23))</f>
        <v>1</v>
      </c>
      <c r="E17" s="31">
        <f t="shared" si="1"/>
        <v>520624</v>
      </c>
      <c r="K17" s="2"/>
      <c r="L17" s="35"/>
    </row>
    <row r="18" spans="1:13" x14ac:dyDescent="0.2">
      <c r="A18" t="str">
        <f t="shared" si="0"/>
        <v>2015</v>
      </c>
      <c r="B18" s="25"/>
      <c r="C18" s="33">
        <f>'2.4a'!C18</f>
        <v>17432597</v>
      </c>
      <c r="D18" s="36">
        <f>INDEX('ldf 3.1a'!$C$46:$K$46,11-MATCH(A18,A$14:A$23))</f>
        <v>1.0009999999999999</v>
      </c>
      <c r="E18" s="31">
        <f t="shared" si="1"/>
        <v>17450030</v>
      </c>
      <c r="K18" s="2"/>
      <c r="L18" s="35"/>
    </row>
    <row r="19" spans="1:13" x14ac:dyDescent="0.2">
      <c r="A19" t="str">
        <f t="shared" si="0"/>
        <v>2016</v>
      </c>
      <c r="B19" s="25"/>
      <c r="C19" s="33">
        <f>'2.4a'!C19</f>
        <v>10980881</v>
      </c>
      <c r="D19" s="36">
        <f>INDEX('ldf 3.1a'!$C$46:$K$46,11-MATCH(A19,A$14:A$23))</f>
        <v>1.004</v>
      </c>
      <c r="E19" s="31">
        <f t="shared" si="1"/>
        <v>11024805</v>
      </c>
      <c r="K19" s="2"/>
      <c r="L19" s="35"/>
    </row>
    <row r="20" spans="1:13" x14ac:dyDescent="0.2">
      <c r="A20" t="str">
        <f t="shared" si="0"/>
        <v>2017</v>
      </c>
      <c r="B20" s="25"/>
      <c r="C20" s="33">
        <f>'2.4a'!C20</f>
        <v>2691919</v>
      </c>
      <c r="D20" s="36">
        <f>INDEX('ldf 3.1a'!$C$46:$K$46,11-MATCH(A20,A$14:A$23))</f>
        <v>1.0129999999999999</v>
      </c>
      <c r="E20" s="31">
        <f t="shared" si="1"/>
        <v>2726914</v>
      </c>
      <c r="K20" s="2"/>
      <c r="L20" s="35"/>
    </row>
    <row r="21" spans="1:13" x14ac:dyDescent="0.2">
      <c r="A21" t="str">
        <f t="shared" si="0"/>
        <v>2018</v>
      </c>
      <c r="B21" s="25"/>
      <c r="C21" s="33">
        <f>'2.4a'!C21</f>
        <v>2499891</v>
      </c>
      <c r="D21" s="36">
        <f>INDEX('ldf 3.1a'!$C$46:$K$46,11-MATCH(A21,A$14:A$23))</f>
        <v>1.032</v>
      </c>
      <c r="E21" s="31">
        <f t="shared" si="1"/>
        <v>2579888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2019</v>
      </c>
      <c r="B22" s="51"/>
      <c r="C22" s="49">
        <f>'2.4a'!C22</f>
        <v>4565298</v>
      </c>
      <c r="D22" s="36">
        <f>INDEX('ldf 3.1a'!$C$46:$K$46,11-MATCH(A22,A$14:A$23))</f>
        <v>1.0860000000000001</v>
      </c>
      <c r="E22" s="123">
        <f>ROUND(C22*D22,0)</f>
        <v>4957914</v>
      </c>
      <c r="K22" s="2"/>
      <c r="L22" s="84">
        <f>'2.4a'!L$22</f>
        <v>44104</v>
      </c>
      <c r="M22" s="84">
        <f>'2.4a'!M$22</f>
        <v>44196</v>
      </c>
    </row>
    <row r="23" spans="1:13" x14ac:dyDescent="0.2">
      <c r="A23" t="str">
        <f>TEXT(YEAR($L$22),"#")</f>
        <v>2020</v>
      </c>
      <c r="B23" s="51"/>
      <c r="C23" s="49">
        <f>'2.4a'!C23</f>
        <v>3883157</v>
      </c>
      <c r="D23" s="36">
        <f>INDEX('ldf 3.1a'!$C$46:$K$46,11-MATCH(A23,A$14:A$23))</f>
        <v>1.266</v>
      </c>
      <c r="E23" s="123">
        <f>ROUND(C23*D23,0)</f>
        <v>4916077</v>
      </c>
      <c r="K23" s="2"/>
      <c r="L23" s="84"/>
      <c r="M23" s="84"/>
    </row>
    <row r="24" spans="1:13" x14ac:dyDescent="0.2">
      <c r="A24" s="9"/>
      <c r="B24" s="26"/>
      <c r="C24" s="34"/>
      <c r="D24" s="19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108551470</v>
      </c>
      <c r="E26" s="19">
        <f>SUM(E14:E24)</f>
        <v>110153355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"&amp;'2.4a'!$J$1&amp;", "&amp;'2.4a'!$J$2&amp;", as of "&amp;TEXT($M$22,"m/d/yy")</f>
        <v>(2) Exhibit 2, Sheet 4a, as of 12/31/20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1:11" x14ac:dyDescent="0.2">
      <c r="B33" s="22"/>
      <c r="K33" s="2"/>
    </row>
    <row r="34" spans="1:11" x14ac:dyDescent="0.2">
      <c r="B34" s="25"/>
      <c r="K34" s="2"/>
    </row>
    <row r="35" spans="1:11" x14ac:dyDescent="0.2">
      <c r="A35" s="59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Cover Page</vt:lpstr>
      <vt:lpstr>Table of Contents</vt:lpstr>
      <vt:lpstr>1</vt:lpstr>
      <vt:lpstr>2.1</vt:lpstr>
      <vt:lpstr>2.2a</vt:lpstr>
      <vt:lpstr>2.2b</vt:lpstr>
      <vt:lpstr>2.2c</vt:lpstr>
      <vt:lpstr>2.2d</vt:lpstr>
      <vt:lpstr>2.3a</vt:lpstr>
      <vt:lpstr>2.3b</vt:lpstr>
      <vt:lpstr>2.3c</vt:lpstr>
      <vt:lpstr>2.3d</vt:lpstr>
      <vt:lpstr>2.4a</vt:lpstr>
      <vt:lpstr>2.4b</vt:lpstr>
      <vt:lpstr>2.4c</vt:lpstr>
      <vt:lpstr>2.4d</vt:lpstr>
      <vt:lpstr>trend 2.5</vt:lpstr>
      <vt:lpstr>ldf 3.1a</vt:lpstr>
      <vt:lpstr>ldf 3.1b</vt:lpstr>
      <vt:lpstr>3.2 premium trend</vt:lpstr>
      <vt:lpstr>3.3a</vt:lpstr>
      <vt:lpstr>3.3b</vt:lpstr>
      <vt:lpstr>3.3c</vt:lpstr>
      <vt:lpstr>3.3d</vt:lpstr>
      <vt:lpstr>4.1</vt:lpstr>
      <vt:lpstr>4.2</vt:lpstr>
      <vt:lpstr>4.3AS loss Dev</vt:lpstr>
      <vt:lpstr>4.4</vt:lpstr>
      <vt:lpstr>4.5AS LAE Dev</vt:lpstr>
      <vt:lpstr>5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8.1</vt:lpstr>
      <vt:lpstr>8.2</vt:lpstr>
      <vt:lpstr>9</vt:lpstr>
      <vt:lpstr>10.1a</vt:lpstr>
      <vt:lpstr>10.1b</vt:lpstr>
      <vt:lpstr>10.1c</vt:lpstr>
      <vt:lpstr>10.1d</vt:lpstr>
      <vt:lpstr>10.2</vt:lpstr>
      <vt:lpstr>11.1</vt:lpstr>
      <vt:lpstr>11.2</vt:lpstr>
      <vt:lpstr>12</vt:lpstr>
      <vt:lpstr>'1'!Print_Area</vt:lpstr>
      <vt:lpstr>'10.1a'!Print_Area</vt:lpstr>
      <vt:lpstr>'10.1b'!Print_Area</vt:lpstr>
      <vt:lpstr>'10.1c'!Print_Area</vt:lpstr>
      <vt:lpstr>'10.1d'!Print_Area</vt:lpstr>
      <vt:lpstr>'10.2'!Print_Area</vt:lpstr>
      <vt:lpstr>'11.1'!Print_Area</vt:lpstr>
      <vt:lpstr>'11.2'!Print_Area</vt:lpstr>
      <vt:lpstr>'12'!Print_Area</vt:lpstr>
      <vt:lpstr>'2.1'!Print_Area</vt:lpstr>
      <vt:lpstr>'2.2a'!Print_Area</vt:lpstr>
      <vt:lpstr>'2.2b'!Print_Area</vt:lpstr>
      <vt:lpstr>'2.2c'!Print_Area</vt:lpstr>
      <vt:lpstr>'2.2d'!Print_Area</vt:lpstr>
      <vt:lpstr>'2.3a'!Print_Area</vt:lpstr>
      <vt:lpstr>'2.3b'!Print_Area</vt:lpstr>
      <vt:lpstr>'2.3c'!Print_Area</vt:lpstr>
      <vt:lpstr>'2.3d'!Print_Area</vt:lpstr>
      <vt:lpstr>'2.4a'!Print_Area</vt:lpstr>
      <vt:lpstr>'2.4b'!Print_Area</vt:lpstr>
      <vt:lpstr>'2.4c'!Print_Area</vt:lpstr>
      <vt:lpstr>'2.4d'!Print_Area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'4.3AS loss Dev'!Print_Area</vt:lpstr>
      <vt:lpstr>'4.4'!Print_Area</vt:lpstr>
      <vt:lpstr>'4.5AS LAE Dev'!Print_Area</vt:lpstr>
      <vt:lpstr>'5'!Print_Area</vt:lpstr>
      <vt:lpstr>'6.1'!Print_Area</vt:lpstr>
      <vt:lpstr>'6.2'!Print_Area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'8.1'!Print_Area</vt:lpstr>
      <vt:lpstr>'8.2'!Print_Area</vt:lpstr>
      <vt:lpstr>'9'!Print_Area</vt:lpstr>
      <vt:lpstr>'ldf 3.1a'!Print_Area</vt:lpstr>
      <vt:lpstr>'ldf 3.1b'!Print_Area</vt:lpstr>
      <vt:lpstr>'Table of Contents'!Print_Area</vt:lpstr>
      <vt:lpstr>'trend 2.5'!Print_Area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Xiuyu Li</cp:lastModifiedBy>
  <cp:lastPrinted>2020-07-20T19:24:13Z</cp:lastPrinted>
  <dcterms:created xsi:type="dcterms:W3CDTF">2001-12-17T21:49:07Z</dcterms:created>
  <dcterms:modified xsi:type="dcterms:W3CDTF">2021-07-01T20:26:39Z</dcterms:modified>
</cp:coreProperties>
</file>