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0 Rate Review\Webpage Publication\"/>
    </mc:Choice>
  </mc:AlternateContent>
  <xr:revisionPtr revIDLastSave="0" documentId="13_ncr:1_{AEB9E81A-5C4A-45FF-ADDD-05B48FDA1EEA}" xr6:coauthVersionLast="44" xr6:coauthVersionMax="44" xr10:uidLastSave="{00000000-0000-0000-0000-000000000000}"/>
  <bookViews>
    <workbookView xWindow="-120" yWindow="-120" windowWidth="29040" windowHeight="15840" tabRatio="973" activeTab="1" xr2:uid="{00000000-000D-0000-FFFF-FFFF00000000}"/>
  </bookViews>
  <sheets>
    <sheet name="Cover Page" sheetId="44" r:id="rId1"/>
    <sheet name="Table of Contents" sheetId="45" r:id="rId2"/>
    <sheet name="1" sheetId="1" r:id="rId3"/>
    <sheet name="2.1" sheetId="2" r:id="rId4"/>
    <sheet name="2.2" sheetId="3" r:id="rId5"/>
    <sheet name="2.3" sheetId="4" r:id="rId6"/>
    <sheet name="2.4" sheetId="5" r:id="rId7"/>
    <sheet name="3.1" sheetId="6" r:id="rId8"/>
    <sheet name="3.2 premium trend" sheetId="7" r:id="rId9"/>
    <sheet name="3.3a" sheetId="8" r:id="rId10"/>
    <sheet name="3.3b" sheetId="9" r:id="rId11"/>
    <sheet name="3.3c" sheetId="10" r:id="rId12"/>
    <sheet name="3.3d" sheetId="11" r:id="rId13"/>
    <sheet name="4.1" sheetId="13" r:id="rId14"/>
    <sheet name="4.2" sheetId="14" r:id="rId15"/>
    <sheet name="4.3" sheetId="15" r:id="rId16"/>
    <sheet name="4.4" sheetId="16" r:id="rId17"/>
    <sheet name="4.5" sheetId="17" r:id="rId18"/>
    <sheet name="5" sheetId="18" r:id="rId19"/>
    <sheet name="6.1" sheetId="19" r:id="rId20"/>
    <sheet name="6.2 - industry" sheetId="20" r:id="rId21"/>
    <sheet name="6.3" sheetId="21" r:id="rId22"/>
    <sheet name="6.4" sheetId="22" r:id="rId23"/>
    <sheet name="6.5" sheetId="23" r:id="rId24"/>
    <sheet name="6.6" sheetId="24" r:id="rId25"/>
    <sheet name="6.7" sheetId="25" r:id="rId26"/>
    <sheet name="7.1" sheetId="26" r:id="rId27"/>
    <sheet name="7.2" sheetId="27" r:id="rId28"/>
    <sheet name="8.1" sheetId="28" r:id="rId29"/>
    <sheet name="8.2" sheetId="29" r:id="rId30"/>
    <sheet name="9" sheetId="30" r:id="rId31"/>
    <sheet name="10.1" sheetId="31" r:id="rId32"/>
    <sheet name="10.2" sheetId="32" r:id="rId33"/>
    <sheet name="10.3" sheetId="33" r:id="rId34"/>
    <sheet name="11.1" sheetId="34" r:id="rId35"/>
    <sheet name="11.2" sheetId="43" r:id="rId36"/>
    <sheet name="12.1" sheetId="36" r:id="rId37"/>
    <sheet name="12.2" sheetId="37" r:id="rId38"/>
  </sheets>
  <externalReferences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xlnm.Print_Area" localSheetId="2">'1'!$A$1:$K$70</definedName>
    <definedName name="_xlnm.Print_Area" localSheetId="31">'10.1'!$A$1:$J$72</definedName>
    <definedName name="_xlnm.Print_Area" localSheetId="32">'10.2'!$A$1:$O$71</definedName>
    <definedName name="_xlnm.Print_Area" localSheetId="33">'10.3'!$A$1:$K$60</definedName>
    <definedName name="_xlnm.Print_Area" localSheetId="34">'11.1'!$A$1:$J$69</definedName>
    <definedName name="_xlnm.Print_Area" localSheetId="35">'11.2'!$A$1:$H$68</definedName>
    <definedName name="_xlnm.Print_Area" localSheetId="36">'12.1'!$A$1:$I$70</definedName>
    <definedName name="_xlnm.Print_Area" localSheetId="37">'12.2'!$A$1:$J$71</definedName>
    <definedName name="_xlnm.Print_Area" localSheetId="3">'2.1'!$A$1:$J$68</definedName>
    <definedName name="_xlnm.Print_Area" localSheetId="4">'2.2'!$A$1:$K$68</definedName>
    <definedName name="_xlnm.Print_Area" localSheetId="5">'2.3'!$A$1:$K$68</definedName>
    <definedName name="_xlnm.Print_Area" localSheetId="6">'2.4'!$A$1:$L$62</definedName>
    <definedName name="_xlnm.Print_Area" localSheetId="7">'3.1'!$A$1:$K$68</definedName>
    <definedName name="_xlnm.Print_Area" localSheetId="8">'3.2 premium trend'!$A$1:$L$72</definedName>
    <definedName name="_xlnm.Print_Area" localSheetId="9">'3.3a'!$A$1:$L$68</definedName>
    <definedName name="_xlnm.Print_Area" localSheetId="10">'3.3b'!$A$1:$L$68</definedName>
    <definedName name="_xlnm.Print_Area" localSheetId="11">'3.3c'!$A$1:$L$70</definedName>
    <definedName name="_xlnm.Print_Area" localSheetId="12">'3.3d'!$A$1:$L$68</definedName>
    <definedName name="_xlnm.Print_Area" localSheetId="13">'4.1'!$A$1:$J$71</definedName>
    <definedName name="_xlnm.Print_Area" localSheetId="14">'4.2'!$A$1:$K$70</definedName>
    <definedName name="_xlnm.Print_Area" localSheetId="15">'4.3'!$A$1:$K$68</definedName>
    <definedName name="_xlnm.Print_Area" localSheetId="16">'4.4'!$A$1:$J$71</definedName>
    <definedName name="_xlnm.Print_Area" localSheetId="17">'4.5'!$A$1:$J$70</definedName>
    <definedName name="_xlnm.Print_Area" localSheetId="18">'5'!$A$1:$H$32</definedName>
    <definedName name="_xlnm.Print_Area" localSheetId="19">'6.1'!$A$1:$J$53</definedName>
    <definedName name="_xlnm.Print_Area" localSheetId="20">'6.2 - industry'!$A$1:$J$76</definedName>
    <definedName name="_xlnm.Print_Area" localSheetId="21">'6.3'!$A$1:$I$72</definedName>
    <definedName name="_xlnm.Print_Area" localSheetId="22">'6.4'!$A$1:$J$71</definedName>
    <definedName name="_xlnm.Print_Area" localSheetId="23">'6.5'!$A$1:$J$71</definedName>
    <definedName name="_xlnm.Print_Area" localSheetId="24">'6.6'!$A$1:$J$71</definedName>
    <definedName name="_xlnm.Print_Area" localSheetId="25">'6.7'!$A$1:$J$70</definedName>
    <definedName name="_xlnm.Print_Area" localSheetId="26">'7.1'!$A$1:$J$68</definedName>
    <definedName name="_xlnm.Print_Area" localSheetId="27">'7.2'!$A$1:$K$68</definedName>
    <definedName name="_xlnm.Print_Area" localSheetId="28">'8.1'!$A$1:$J$68</definedName>
    <definedName name="_xlnm.Print_Area" localSheetId="29">'8.2'!$A$1:$K$68</definedName>
    <definedName name="_xlnm.Print_Area" localSheetId="30">'9'!$A$1:$J$67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3" i="20" l="1"/>
  <c r="G25" i="1" l="1"/>
  <c r="E25" i="1"/>
  <c r="D42" i="45" l="1"/>
  <c r="D39" i="45"/>
  <c r="D33" i="45"/>
  <c r="D32" i="45"/>
  <c r="D31" i="45"/>
  <c r="D30" i="45"/>
  <c r="D20" i="45"/>
  <c r="D19" i="45"/>
  <c r="D18" i="45"/>
  <c r="D17" i="45"/>
  <c r="D16" i="45"/>
  <c r="D11" i="45"/>
  <c r="D10" i="45"/>
  <c r="B62" i="22" l="1"/>
  <c r="B60" i="22"/>
  <c r="F24" i="22"/>
  <c r="B58" i="22"/>
  <c r="B74" i="20"/>
  <c r="B44" i="19"/>
  <c r="B58" i="14"/>
  <c r="C64" i="7"/>
  <c r="E51" i="30" l="1"/>
  <c r="D50" i="30"/>
  <c r="C50" i="30"/>
  <c r="E50" i="30" l="1"/>
  <c r="G50" i="30" s="1"/>
  <c r="N5" i="19"/>
  <c r="A5" i="20" l="1"/>
  <c r="C61" i="13"/>
  <c r="D61" i="13"/>
  <c r="D55" i="13"/>
  <c r="D60" i="13" s="1"/>
  <c r="G40" i="34" l="1"/>
  <c r="E15" i="25" l="1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14" i="25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14" i="24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4" i="25" s="1"/>
  <c r="E35" i="22"/>
  <c r="E35" i="24" s="1"/>
  <c r="E36" i="22"/>
  <c r="E36" i="25" s="1"/>
  <c r="E37" i="22"/>
  <c r="E37" i="23" s="1"/>
  <c r="E38" i="22"/>
  <c r="E38" i="25" s="1"/>
  <c r="E39" i="22"/>
  <c r="E39" i="24" s="1"/>
  <c r="E40" i="22"/>
  <c r="E40" i="25" s="1"/>
  <c r="E41" i="22"/>
  <c r="E41" i="23" s="1"/>
  <c r="E42" i="22"/>
  <c r="E42" i="25" s="1"/>
  <c r="E43" i="22"/>
  <c r="E43" i="24" s="1"/>
  <c r="E44" i="22"/>
  <c r="E44" i="25" s="1"/>
  <c r="E45" i="22"/>
  <c r="E45" i="23" s="1"/>
  <c r="E46" i="22"/>
  <c r="E46" i="25" s="1"/>
  <c r="E47" i="22"/>
  <c r="E47" i="24" s="1"/>
  <c r="E48" i="22"/>
  <c r="E48" i="25" s="1"/>
  <c r="E49" i="22"/>
  <c r="E49" i="23" s="1"/>
  <c r="E50" i="22"/>
  <c r="E50" i="25" s="1"/>
  <c r="E44" i="23" l="1"/>
  <c r="E50" i="24"/>
  <c r="E34" i="24"/>
  <c r="E38" i="23"/>
  <c r="E48" i="24"/>
  <c r="E36" i="23"/>
  <c r="E42" i="24"/>
  <c r="E46" i="23"/>
  <c r="E40" i="24"/>
  <c r="E50" i="23"/>
  <c r="E42" i="23"/>
  <c r="E34" i="23"/>
  <c r="E46" i="24"/>
  <c r="E38" i="24"/>
  <c r="E48" i="23"/>
  <c r="E40" i="23"/>
  <c r="E44" i="24"/>
  <c r="E36" i="24"/>
  <c r="E47" i="25"/>
  <c r="E43" i="25"/>
  <c r="E39" i="25"/>
  <c r="E35" i="25"/>
  <c r="E47" i="23"/>
  <c r="E43" i="23"/>
  <c r="E39" i="23"/>
  <c r="E35" i="23"/>
  <c r="E49" i="24"/>
  <c r="E45" i="24"/>
  <c r="E41" i="24"/>
  <c r="E37" i="24"/>
  <c r="E49" i="25"/>
  <c r="E45" i="25"/>
  <c r="E41" i="25"/>
  <c r="E37" i="25"/>
  <c r="O16" i="25" l="1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17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17" i="23"/>
  <c r="O18" i="23"/>
  <c r="O19" i="23"/>
  <c r="O20" i="23"/>
  <c r="O21" i="23"/>
  <c r="O22" i="23"/>
  <c r="O23" i="23"/>
  <c r="O24" i="23"/>
  <c r="O25" i="23"/>
  <c r="O26" i="23"/>
  <c r="O27" i="23"/>
  <c r="O28" i="23"/>
  <c r="O29" i="23"/>
  <c r="O30" i="23"/>
  <c r="O31" i="23"/>
  <c r="AU29" i="22" l="1"/>
  <c r="AU28" i="22"/>
  <c r="Y13" i="22"/>
  <c r="X10" i="22"/>
  <c r="O32" i="25" l="1"/>
  <c r="O33" i="25"/>
  <c r="O34" i="25"/>
  <c r="O35" i="25"/>
  <c r="O36" i="25"/>
  <c r="O37" i="25"/>
  <c r="O38" i="25"/>
  <c r="O39" i="25"/>
  <c r="O40" i="25"/>
  <c r="O41" i="25"/>
  <c r="O42" i="25"/>
  <c r="O43" i="25"/>
  <c r="O44" i="25"/>
  <c r="O45" i="25"/>
  <c r="O46" i="25"/>
  <c r="O47" i="25"/>
  <c r="O48" i="25"/>
  <c r="O49" i="25"/>
  <c r="O50" i="25"/>
  <c r="O51" i="25"/>
  <c r="O52" i="25"/>
  <c r="O31" i="25"/>
  <c r="O33" i="24"/>
  <c r="O34" i="24"/>
  <c r="O35" i="24"/>
  <c r="O36" i="24"/>
  <c r="O37" i="24"/>
  <c r="O38" i="24"/>
  <c r="O39" i="24"/>
  <c r="O40" i="24"/>
  <c r="O41" i="24"/>
  <c r="O42" i="24"/>
  <c r="O43" i="24"/>
  <c r="O44" i="24"/>
  <c r="O45" i="24"/>
  <c r="O46" i="24"/>
  <c r="O47" i="24"/>
  <c r="O48" i="24"/>
  <c r="O49" i="24"/>
  <c r="O50" i="24"/>
  <c r="O51" i="24"/>
  <c r="O52" i="24"/>
  <c r="O53" i="24"/>
  <c r="O32" i="24"/>
  <c r="O33" i="23"/>
  <c r="O34" i="23"/>
  <c r="O35" i="23"/>
  <c r="O36" i="23"/>
  <c r="O37" i="23"/>
  <c r="O38" i="23"/>
  <c r="O39" i="23"/>
  <c r="O40" i="23"/>
  <c r="O41" i="23"/>
  <c r="O42" i="23"/>
  <c r="O43" i="23"/>
  <c r="O44" i="23"/>
  <c r="O45" i="23"/>
  <c r="O46" i="23"/>
  <c r="O47" i="23"/>
  <c r="O48" i="23"/>
  <c r="O49" i="23"/>
  <c r="O50" i="23"/>
  <c r="O51" i="23"/>
  <c r="O52" i="23"/>
  <c r="O53" i="23"/>
  <c r="O32" i="23"/>
  <c r="BX50" i="22" l="1"/>
  <c r="CB50" i="22" s="1"/>
  <c r="CF50" i="22" s="1"/>
  <c r="CJ50" i="22" s="1"/>
  <c r="CN50" i="22" s="1"/>
  <c r="CR50" i="22" s="1"/>
  <c r="CV50" i="22" s="1"/>
  <c r="CZ50" i="22" s="1"/>
  <c r="DD50" i="22" s="1"/>
  <c r="DH50" i="22" s="1"/>
  <c r="DL50" i="22" s="1"/>
  <c r="DP50" i="22" s="1"/>
  <c r="DT50" i="22" s="1"/>
  <c r="DX50" i="22" s="1"/>
  <c r="EB50" i="22" s="1"/>
  <c r="EF50" i="22" s="1"/>
  <c r="EJ50" i="22" s="1"/>
  <c r="EN50" i="22" s="1"/>
  <c r="ER50" i="22" s="1"/>
  <c r="EV50" i="22" s="1"/>
  <c r="EZ50" i="22" s="1"/>
  <c r="FD50" i="22" s="1"/>
  <c r="FH50" i="22" s="1"/>
  <c r="FL50" i="22" s="1"/>
  <c r="FP50" i="22" s="1"/>
  <c r="FT50" i="22" s="1"/>
  <c r="FX50" i="22" s="1"/>
  <c r="GB50" i="22" s="1"/>
  <c r="GF50" i="22" s="1"/>
  <c r="GJ50" i="22" s="1"/>
  <c r="GN50" i="22" s="1"/>
  <c r="GR50" i="22" s="1"/>
  <c r="GV50" i="22" s="1"/>
  <c r="GZ50" i="22" s="1"/>
  <c r="HD50" i="22" s="1"/>
  <c r="HH50" i="22" s="1"/>
  <c r="BT50" i="22"/>
  <c r="BP50" i="22"/>
  <c r="BL50" i="22"/>
  <c r="AW32" i="22"/>
  <c r="AX31" i="22"/>
  <c r="AX32" i="22" s="1"/>
  <c r="AV31" i="22"/>
  <c r="AW30" i="22"/>
  <c r="AV30" i="22"/>
  <c r="AU30" i="22"/>
  <c r="AT29" i="22"/>
  <c r="AT28" i="22" s="1"/>
  <c r="AH20" i="22"/>
  <c r="AG19" i="22"/>
  <c r="AF18" i="22"/>
  <c r="AE17" i="22"/>
  <c r="AD17" i="22"/>
  <c r="AE16" i="22"/>
  <c r="AD16" i="22"/>
  <c r="AB16" i="22"/>
  <c r="AC15" i="22"/>
  <c r="AC16" i="22" s="1"/>
  <c r="AB15" i="22"/>
  <c r="AA14" i="22"/>
  <c r="Y14" i="22"/>
  <c r="Y12" i="22" s="1"/>
  <c r="Y11" i="22" s="1"/>
  <c r="Z11" i="22"/>
  <c r="W11" i="22"/>
  <c r="X11" i="22"/>
  <c r="V10" i="22"/>
  <c r="W9" i="22"/>
  <c r="W10" i="22" s="1"/>
  <c r="V9" i="22"/>
  <c r="U9" i="22"/>
  <c r="U8" i="22" s="1"/>
  <c r="V8" i="22"/>
  <c r="T8" i="22"/>
  <c r="T7" i="22" s="1"/>
  <c r="U7" i="22"/>
  <c r="U6" i="22"/>
  <c r="V6" i="22" s="1"/>
  <c r="W6" i="22" s="1"/>
  <c r="X6" i="22" s="1"/>
  <c r="Y6" i="22" s="1"/>
  <c r="Z6" i="22" s="1"/>
  <c r="AA6" i="22" s="1"/>
  <c r="AB6" i="22" s="1"/>
  <c r="AC6" i="22" s="1"/>
  <c r="AD6" i="22" s="1"/>
  <c r="AE6" i="22" s="1"/>
  <c r="AF6" i="22" s="1"/>
  <c r="AG6" i="22" s="1"/>
  <c r="AH6" i="22" s="1"/>
  <c r="AI6" i="22" s="1"/>
  <c r="AJ6" i="22" s="1"/>
  <c r="AK6" i="22" s="1"/>
  <c r="AL6" i="22" s="1"/>
  <c r="AM6" i="22" s="1"/>
  <c r="AN6" i="22" s="1"/>
  <c r="AO6" i="22" s="1"/>
  <c r="AP6" i="22" s="1"/>
  <c r="AQ6" i="22" s="1"/>
  <c r="AR6" i="22" s="1"/>
  <c r="AS6" i="22" s="1"/>
  <c r="AT6" i="22" s="1"/>
  <c r="AU6" i="22" s="1"/>
  <c r="AV6" i="22" s="1"/>
  <c r="AW6" i="22" s="1"/>
  <c r="AX6" i="22" s="1"/>
  <c r="AY6" i="22" s="1"/>
  <c r="AZ6" i="22" s="1"/>
  <c r="BA6" i="22" s="1"/>
  <c r="BB6" i="22" s="1"/>
  <c r="BC6" i="22" s="1"/>
  <c r="BD6" i="22" s="1"/>
  <c r="BE6" i="22" s="1"/>
  <c r="BF6" i="22" s="1"/>
  <c r="BG6" i="22" s="1"/>
  <c r="Z14" i="22" l="1"/>
  <c r="Z12" i="22"/>
  <c r="Z13" i="22" s="1"/>
  <c r="AW31" i="22"/>
  <c r="S7" i="22"/>
  <c r="Q9" i="22"/>
  <c r="R9" i="22" s="1"/>
  <c r="Q10" i="22"/>
  <c r="R10" i="22" s="1"/>
  <c r="Q11" i="22"/>
  <c r="R11" i="22" s="1"/>
  <c r="Q12" i="22"/>
  <c r="R12" i="22" s="1"/>
  <c r="Q13" i="22"/>
  <c r="R13" i="22" s="1"/>
  <c r="Q14" i="22"/>
  <c r="R14" i="22" s="1"/>
  <c r="Q15" i="22"/>
  <c r="R15" i="22" s="1"/>
  <c r="Q16" i="22"/>
  <c r="R16" i="22" s="1"/>
  <c r="Q17" i="22"/>
  <c r="R17" i="22" s="1"/>
  <c r="Q18" i="22"/>
  <c r="R18" i="22" s="1"/>
  <c r="Q19" i="22"/>
  <c r="R19" i="22" s="1"/>
  <c r="Q20" i="22"/>
  <c r="R20" i="22" s="1"/>
  <c r="Q21" i="22"/>
  <c r="R21" i="22" s="1"/>
  <c r="Q22" i="22"/>
  <c r="R22" i="22" s="1"/>
  <c r="Q23" i="22"/>
  <c r="R23" i="22" s="1"/>
  <c r="Q24" i="22"/>
  <c r="R24" i="22" s="1"/>
  <c r="Q25" i="22"/>
  <c r="R25" i="22" s="1"/>
  <c r="Q26" i="22"/>
  <c r="R26" i="22" s="1"/>
  <c r="Q27" i="22"/>
  <c r="R27" i="22" s="1"/>
  <c r="Q28" i="22"/>
  <c r="R28" i="22" s="1"/>
  <c r="Q29" i="22"/>
  <c r="R29" i="22" s="1"/>
  <c r="Q30" i="22"/>
  <c r="R30" i="22" s="1"/>
  <c r="Q31" i="22"/>
  <c r="R31" i="22" s="1"/>
  <c r="Q32" i="22"/>
  <c r="R32" i="22" s="1"/>
  <c r="Q33" i="22"/>
  <c r="R33" i="22" s="1"/>
  <c r="Q34" i="22"/>
  <c r="R34" i="22" s="1"/>
  <c r="Q35" i="22"/>
  <c r="R35" i="22" s="1"/>
  <c r="Q37" i="22"/>
  <c r="R37" i="22" s="1"/>
  <c r="Q38" i="22"/>
  <c r="R38" i="22" s="1"/>
  <c r="Q39" i="22"/>
  <c r="R39" i="22" s="1"/>
  <c r="Q40" i="22"/>
  <c r="R40" i="22" s="1"/>
  <c r="Q41" i="22"/>
  <c r="R41" i="22" s="1"/>
  <c r="Q8" i="22"/>
  <c r="R8" i="22" s="1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7" i="22"/>
  <c r="G50" i="34" l="1"/>
  <c r="D13" i="7"/>
  <c r="C13" i="7"/>
  <c r="O13" i="7"/>
  <c r="N13" i="7"/>
  <c r="A13" i="7" s="1"/>
  <c r="A45" i="5"/>
  <c r="B37" i="8"/>
  <c r="O32" i="8" l="1"/>
  <c r="B36" i="8"/>
  <c r="F28" i="8"/>
  <c r="E28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N55" i="11" l="1"/>
  <c r="E61" i="13"/>
  <c r="D57" i="13"/>
  <c r="C48" i="15"/>
  <c r="C47" i="15"/>
  <c r="D47" i="15"/>
  <c r="C39" i="15"/>
  <c r="P26" i="15"/>
  <c r="S14" i="15"/>
  <c r="G19" i="16"/>
  <c r="B59" i="16"/>
  <c r="E41" i="16"/>
  <c r="B57" i="16"/>
  <c r="D44" i="17"/>
  <c r="E48" i="17"/>
  <c r="C44" i="17"/>
  <c r="C43" i="17"/>
  <c r="C41" i="17"/>
  <c r="C40" i="17"/>
  <c r="I17" i="17"/>
  <c r="B49" i="19"/>
  <c r="D10" i="20"/>
  <c r="B71" i="20"/>
  <c r="G41" i="25"/>
  <c r="F12" i="19"/>
  <c r="B48" i="19" s="1"/>
  <c r="D12" i="19"/>
  <c r="C12" i="19"/>
  <c r="A20" i="2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15" i="21"/>
  <c r="A16" i="21" s="1"/>
  <c r="A17" i="21" s="1"/>
  <c r="A18" i="21" s="1"/>
  <c r="A19" i="21" s="1"/>
  <c r="B30" i="3" l="1"/>
  <c r="A31" i="6"/>
  <c r="A32" i="6"/>
  <c r="A33" i="6"/>
  <c r="A34" i="6"/>
  <c r="A35" i="6"/>
  <c r="A36" i="6"/>
  <c r="A37" i="6"/>
  <c r="A38" i="6"/>
  <c r="A39" i="6"/>
  <c r="C38" i="6"/>
  <c r="E13" i="7" l="1"/>
  <c r="F13" i="7" s="1"/>
  <c r="G13" i="7" l="1"/>
  <c r="M23" i="6" l="1"/>
  <c r="A23" i="6" s="1"/>
  <c r="D15" i="4"/>
  <c r="D16" i="4"/>
  <c r="D17" i="4"/>
  <c r="D18" i="4"/>
  <c r="D19" i="4"/>
  <c r="D20" i="4"/>
  <c r="D21" i="4"/>
  <c r="D22" i="4"/>
  <c r="D23" i="4"/>
  <c r="D14" i="4"/>
  <c r="C15" i="4"/>
  <c r="C16" i="4"/>
  <c r="C17" i="4"/>
  <c r="C18" i="4"/>
  <c r="C19" i="4"/>
  <c r="C20" i="4"/>
  <c r="F20" i="6" s="1"/>
  <c r="C21" i="4"/>
  <c r="E21" i="6" s="1"/>
  <c r="C22" i="4"/>
  <c r="D22" i="6" s="1"/>
  <c r="C39" i="6" s="1"/>
  <c r="C23" i="4"/>
  <c r="C14" i="4"/>
  <c r="K25" i="43"/>
  <c r="B45" i="43"/>
  <c r="C45" i="6" l="1"/>
  <c r="C43" i="6"/>
  <c r="C42" i="6"/>
  <c r="C44" i="6"/>
  <c r="L32" i="24" l="1"/>
  <c r="L32" i="22"/>
  <c r="L32" i="23"/>
  <c r="B62" i="23"/>
  <c r="L32" i="25"/>
  <c r="F23" i="22" l="1"/>
  <c r="F14" i="22"/>
  <c r="B57" i="34"/>
  <c r="M47" i="34"/>
  <c r="L39" i="34" s="1"/>
  <c r="L49" i="34"/>
  <c r="C15" i="36"/>
  <c r="D15" i="36"/>
  <c r="C16" i="36"/>
  <c r="D16" i="36"/>
  <c r="C17" i="36"/>
  <c r="D17" i="36"/>
  <c r="C18" i="36"/>
  <c r="D18" i="36"/>
  <c r="C19" i="36"/>
  <c r="D19" i="36"/>
  <c r="C20" i="36"/>
  <c r="D20" i="36"/>
  <c r="C21" i="36"/>
  <c r="D21" i="36"/>
  <c r="C22" i="36"/>
  <c r="D22" i="36"/>
  <c r="C23" i="36"/>
  <c r="D23" i="36"/>
  <c r="C24" i="36"/>
  <c r="D24" i="36"/>
  <c r="C25" i="36"/>
  <c r="D25" i="36"/>
  <c r="D14" i="36"/>
  <c r="C14" i="36"/>
  <c r="C15" i="9" l="1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14" i="9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E64" i="10" s="1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14" i="11"/>
  <c r="E51" i="14"/>
  <c r="D55" i="11" l="1"/>
  <c r="E56" i="9"/>
  <c r="K58" i="11"/>
  <c r="K55" i="11"/>
  <c r="P24" i="16"/>
  <c r="O24" i="16"/>
  <c r="F52" i="16"/>
  <c r="C52" i="16" l="1"/>
  <c r="C42" i="16"/>
  <c r="C43" i="16"/>
  <c r="C44" i="16"/>
  <c r="C45" i="16"/>
  <c r="C46" i="16"/>
  <c r="C47" i="16"/>
  <c r="C48" i="16"/>
  <c r="C49" i="16"/>
  <c r="C50" i="16"/>
  <c r="C51" i="16"/>
  <c r="C41" i="16"/>
  <c r="I14" i="17"/>
  <c r="I15" i="17"/>
  <c r="I16" i="17"/>
  <c r="I18" i="17"/>
  <c r="H19" i="17"/>
  <c r="G20" i="17"/>
  <c r="F21" i="17"/>
  <c r="E22" i="17"/>
  <c r="N24" i="17"/>
  <c r="P26" i="17" l="1"/>
  <c r="Q26" i="17"/>
  <c r="O26" i="17"/>
  <c r="B75" i="20" l="1"/>
  <c r="F58" i="21"/>
  <c r="E58" i="21"/>
  <c r="D58" i="21"/>
  <c r="C58" i="21"/>
  <c r="M50" i="22"/>
  <c r="L50" i="22"/>
  <c r="B61" i="22" l="1"/>
  <c r="B56" i="22"/>
  <c r="G58" i="21"/>
  <c r="M39" i="34"/>
  <c r="G32" i="34"/>
  <c r="F32" i="34"/>
  <c r="L35" i="34"/>
  <c r="F26" i="34"/>
  <c r="D24" i="43"/>
  <c r="J18" i="43"/>
  <c r="D15" i="43" l="1"/>
  <c r="F27" i="36" l="1"/>
  <c r="E25" i="36"/>
  <c r="G25" i="36" s="1"/>
  <c r="F41" i="37"/>
  <c r="C39" i="37"/>
  <c r="D39" i="37"/>
  <c r="C24" i="37"/>
  <c r="D24" i="37"/>
  <c r="C25" i="37"/>
  <c r="D25" i="37"/>
  <c r="C26" i="37"/>
  <c r="D26" i="37"/>
  <c r="C27" i="37"/>
  <c r="D27" i="37"/>
  <c r="C28" i="37"/>
  <c r="D28" i="37"/>
  <c r="C29" i="37"/>
  <c r="D29" i="37"/>
  <c r="C30" i="37"/>
  <c r="D30" i="37"/>
  <c r="C31" i="37"/>
  <c r="D31" i="37"/>
  <c r="C32" i="37"/>
  <c r="D32" i="37"/>
  <c r="C33" i="37"/>
  <c r="D33" i="37"/>
  <c r="C34" i="37"/>
  <c r="D34" i="37"/>
  <c r="C35" i="37"/>
  <c r="D35" i="37"/>
  <c r="C36" i="37"/>
  <c r="D36" i="37"/>
  <c r="C37" i="37"/>
  <c r="D37" i="37"/>
  <c r="C38" i="37"/>
  <c r="D38" i="37"/>
  <c r="D23" i="37"/>
  <c r="C23" i="37"/>
  <c r="D41" i="37" l="1"/>
  <c r="E24" i="36"/>
  <c r="E39" i="37"/>
  <c r="G39" i="37" s="1"/>
  <c r="L39" i="37" s="1"/>
  <c r="C39" i="31"/>
  <c r="C41" i="3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14" i="27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14" i="29"/>
  <c r="D15" i="27" l="1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14" i="27"/>
  <c r="C31" i="27"/>
  <c r="M11" i="27"/>
  <c r="E14" i="29"/>
  <c r="M11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14" i="29"/>
  <c r="D31" i="27" l="1"/>
  <c r="N29" i="27" l="1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F52" i="7" s="1"/>
  <c r="D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14" i="7"/>
  <c r="B51" i="19" l="1"/>
  <c r="B50" i="19"/>
  <c r="D51" i="30" l="1"/>
  <c r="G51" i="30" s="1"/>
  <c r="A5" i="19"/>
  <c r="G12" i="7" l="1"/>
  <c r="M47" i="23" l="1"/>
  <c r="B62" i="24"/>
  <c r="B62" i="25" l="1"/>
  <c r="M48" i="23"/>
  <c r="B44" i="43" l="1"/>
  <c r="F49" i="16"/>
  <c r="F50" i="16"/>
  <c r="R25" i="17" l="1"/>
  <c r="C24" i="17" s="1"/>
  <c r="C51" i="20"/>
  <c r="F36" i="34"/>
  <c r="I16" i="5"/>
  <c r="C14" i="3"/>
  <c r="E19" i="4"/>
  <c r="C20" i="3"/>
  <c r="C22" i="3"/>
  <c r="C23" i="6"/>
  <c r="G17" i="8"/>
  <c r="D15" i="13"/>
  <c r="D16" i="13"/>
  <c r="D17" i="13"/>
  <c r="D18" i="13"/>
  <c r="D19" i="13"/>
  <c r="D21" i="13"/>
  <c r="D14" i="13"/>
  <c r="Q26" i="15"/>
  <c r="G31" i="15"/>
  <c r="F32" i="15"/>
  <c r="F31" i="15"/>
  <c r="E33" i="15"/>
  <c r="E32" i="15"/>
  <c r="E31" i="15"/>
  <c r="D31" i="15"/>
  <c r="C31" i="15"/>
  <c r="F43" i="16"/>
  <c r="F44" i="16"/>
  <c r="F45" i="16"/>
  <c r="F46" i="16"/>
  <c r="F47" i="16"/>
  <c r="F48" i="16"/>
  <c r="F51" i="16"/>
  <c r="F42" i="16"/>
  <c r="O31" i="16"/>
  <c r="O30" i="16"/>
  <c r="N31" i="16"/>
  <c r="N30" i="16"/>
  <c r="D20" i="13"/>
  <c r="G20" i="16"/>
  <c r="C32" i="17"/>
  <c r="O22" i="15"/>
  <c r="O21" i="15" s="1"/>
  <c r="O20" i="15" s="1"/>
  <c r="O19" i="15" s="1"/>
  <c r="O18" i="15" s="1"/>
  <c r="O17" i="15" s="1"/>
  <c r="O16" i="15" s="1"/>
  <c r="O15" i="15" s="1"/>
  <c r="O14" i="15" s="1"/>
  <c r="R26" i="15"/>
  <c r="E38" i="37"/>
  <c r="G38" i="37" s="1"/>
  <c r="L38" i="37" s="1"/>
  <c r="E33" i="28"/>
  <c r="L10" i="43"/>
  <c r="C28" i="28"/>
  <c r="C27" i="28"/>
  <c r="C26" i="28"/>
  <c r="C25" i="28"/>
  <c r="C22" i="28"/>
  <c r="C21" i="28"/>
  <c r="C19" i="28"/>
  <c r="C17" i="28"/>
  <c r="C16" i="28"/>
  <c r="M48" i="25"/>
  <c r="L48" i="23"/>
  <c r="C28" i="26"/>
  <c r="C27" i="26"/>
  <c r="C25" i="26"/>
  <c r="C24" i="26"/>
  <c r="C22" i="26"/>
  <c r="C21" i="26"/>
  <c r="C20" i="26"/>
  <c r="C17" i="26"/>
  <c r="C16" i="26"/>
  <c r="C11" i="27"/>
  <c r="F31" i="34"/>
  <c r="F11" i="34"/>
  <c r="E36" i="34"/>
  <c r="D36" i="34"/>
  <c r="E31" i="34"/>
  <c r="E32" i="34" s="1"/>
  <c r="D31" i="34"/>
  <c r="D32" i="34" s="1"/>
  <c r="E23" i="34"/>
  <c r="D23" i="34"/>
  <c r="E19" i="34"/>
  <c r="D19" i="34"/>
  <c r="B41" i="28"/>
  <c r="B41" i="26"/>
  <c r="I17" i="5"/>
  <c r="C15" i="13"/>
  <c r="E15" i="13" s="1"/>
  <c r="C16" i="13"/>
  <c r="C17" i="13"/>
  <c r="C18" i="13"/>
  <c r="E18" i="13" s="1"/>
  <c r="C19" i="13"/>
  <c r="E19" i="13" s="1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14" i="13"/>
  <c r="R14" i="17"/>
  <c r="A15" i="25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G46" i="34"/>
  <c r="B60" i="34"/>
  <c r="F19" i="34"/>
  <c r="U4" i="43"/>
  <c r="D20" i="43"/>
  <c r="D22" i="43" s="1"/>
  <c r="S23" i="15"/>
  <c r="C23" i="15" s="1"/>
  <c r="C53" i="14" s="1"/>
  <c r="L17" i="22"/>
  <c r="L17" i="24"/>
  <c r="C68" i="7"/>
  <c r="O52" i="7"/>
  <c r="F39" i="15"/>
  <c r="G40" i="16"/>
  <c r="D41" i="13" s="1"/>
  <c r="G21" i="16"/>
  <c r="D22" i="13" s="1"/>
  <c r="E22" i="13" s="1"/>
  <c r="R24" i="17"/>
  <c r="D23" i="17" s="1"/>
  <c r="R23" i="17"/>
  <c r="C18" i="43"/>
  <c r="G33" i="16"/>
  <c r="D34" i="13" s="1"/>
  <c r="G22" i="16"/>
  <c r="D23" i="13" s="1"/>
  <c r="C36" i="17"/>
  <c r="A1" i="37"/>
  <c r="A2" i="37"/>
  <c r="A3" i="37"/>
  <c r="A12" i="37"/>
  <c r="C12" i="37"/>
  <c r="D12" i="37"/>
  <c r="E12" i="37"/>
  <c r="F12" i="37"/>
  <c r="B47" i="37" s="1"/>
  <c r="G12" i="37"/>
  <c r="E14" i="37"/>
  <c r="G14" i="37" s="1"/>
  <c r="L14" i="37" s="1"/>
  <c r="A15" i="37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E15" i="37"/>
  <c r="G15" i="37" s="1"/>
  <c r="L15" i="37" s="1"/>
  <c r="E16" i="37"/>
  <c r="G16" i="37" s="1"/>
  <c r="L16" i="37" s="1"/>
  <c r="E17" i="37"/>
  <c r="G17" i="37" s="1"/>
  <c r="L17" i="37" s="1"/>
  <c r="E18" i="37"/>
  <c r="G18" i="37" s="1"/>
  <c r="L18" i="37" s="1"/>
  <c r="E19" i="37"/>
  <c r="G19" i="37" s="1"/>
  <c r="L19" i="37" s="1"/>
  <c r="E20" i="37"/>
  <c r="G20" i="37" s="1"/>
  <c r="L20" i="37" s="1"/>
  <c r="E21" i="37"/>
  <c r="G21" i="37" s="1"/>
  <c r="L21" i="37" s="1"/>
  <c r="A1" i="36"/>
  <c r="A2" i="36"/>
  <c r="A3" i="36"/>
  <c r="A12" i="36"/>
  <c r="C12" i="36"/>
  <c r="D12" i="36"/>
  <c r="E12" i="36"/>
  <c r="B32" i="36" s="1"/>
  <c r="F12" i="36"/>
  <c r="B33" i="36" s="1"/>
  <c r="G12" i="36"/>
  <c r="A1" i="43"/>
  <c r="A2" i="43"/>
  <c r="A3" i="43"/>
  <c r="B10" i="43"/>
  <c r="B32" i="43"/>
  <c r="B38" i="43"/>
  <c r="B41" i="43"/>
  <c r="B42" i="43"/>
  <c r="B47" i="43"/>
  <c r="A1" i="34"/>
  <c r="A2" i="34"/>
  <c r="A3" i="34"/>
  <c r="F23" i="34"/>
  <c r="B54" i="34"/>
  <c r="B55" i="34"/>
  <c r="B61" i="34"/>
  <c r="B62" i="34"/>
  <c r="A1" i="33"/>
  <c r="A2" i="33"/>
  <c r="A3" i="33"/>
  <c r="A12" i="33"/>
  <c r="C12" i="33"/>
  <c r="B51" i="33" s="1"/>
  <c r="D12" i="33"/>
  <c r="D15" i="33"/>
  <c r="S8" i="22" s="1"/>
  <c r="I14" i="32"/>
  <c r="C43" i="33"/>
  <c r="Q36" i="22" s="1"/>
  <c r="R36" i="22" s="1"/>
  <c r="A1" i="32"/>
  <c r="A2" i="32"/>
  <c r="A3" i="32"/>
  <c r="A12" i="32"/>
  <c r="B12" i="32"/>
  <c r="C12" i="32"/>
  <c r="D12" i="32"/>
  <c r="E12" i="32"/>
  <c r="F12" i="32"/>
  <c r="G12" i="32"/>
  <c r="H12" i="32"/>
  <c r="I12" i="32"/>
  <c r="J12" i="32"/>
  <c r="K12" i="32"/>
  <c r="L12" i="32"/>
  <c r="M12" i="32"/>
  <c r="N12" i="32"/>
  <c r="O12" i="32"/>
  <c r="B67" i="32" s="1"/>
  <c r="F14" i="32"/>
  <c r="J14" i="32"/>
  <c r="M14" i="32"/>
  <c r="J15" i="32"/>
  <c r="M15" i="32" s="1"/>
  <c r="J16" i="32"/>
  <c r="M16" i="32" s="1"/>
  <c r="J17" i="32"/>
  <c r="M17" i="32" s="1"/>
  <c r="J18" i="32"/>
  <c r="M18" i="32" s="1"/>
  <c r="J19" i="32"/>
  <c r="J20" i="32"/>
  <c r="M20" i="32" s="1"/>
  <c r="J21" i="32"/>
  <c r="M21" i="32" s="1"/>
  <c r="J22" i="32"/>
  <c r="M22" i="32" s="1"/>
  <c r="J23" i="32"/>
  <c r="M23" i="32" s="1"/>
  <c r="J24" i="32"/>
  <c r="M24" i="32" s="1"/>
  <c r="J25" i="32"/>
  <c r="M25" i="32" s="1"/>
  <c r="J26" i="32"/>
  <c r="M26" i="32" s="1"/>
  <c r="J27" i="32"/>
  <c r="M27" i="32" s="1"/>
  <c r="J28" i="32"/>
  <c r="M28" i="32" s="1"/>
  <c r="J29" i="32"/>
  <c r="M29" i="32" s="1"/>
  <c r="J30" i="32"/>
  <c r="M30" i="32" s="1"/>
  <c r="J31" i="32"/>
  <c r="M31" i="32" s="1"/>
  <c r="J32" i="32"/>
  <c r="M32" i="32"/>
  <c r="J33" i="32"/>
  <c r="M33" i="32" s="1"/>
  <c r="J34" i="32"/>
  <c r="M34" i="32" s="1"/>
  <c r="J35" i="32"/>
  <c r="M35" i="32" s="1"/>
  <c r="J36" i="32"/>
  <c r="M36" i="32" s="1"/>
  <c r="J37" i="32"/>
  <c r="M37" i="32" s="1"/>
  <c r="J38" i="32"/>
  <c r="M38" i="32" s="1"/>
  <c r="J39" i="32"/>
  <c r="M39" i="32" s="1"/>
  <c r="J40" i="32"/>
  <c r="M40" i="32" s="1"/>
  <c r="J41" i="32"/>
  <c r="M41" i="32" s="1"/>
  <c r="J42" i="32"/>
  <c r="M42" i="32" s="1"/>
  <c r="J43" i="32"/>
  <c r="M43" i="32" s="1"/>
  <c r="J44" i="32"/>
  <c r="M44" i="32" s="1"/>
  <c r="J45" i="32"/>
  <c r="M46" i="32"/>
  <c r="J47" i="32"/>
  <c r="J48" i="32"/>
  <c r="A1" i="31"/>
  <c r="A2" i="31"/>
  <c r="A3" i="31"/>
  <c r="A12" i="31"/>
  <c r="C12" i="31"/>
  <c r="B45" i="31" s="1"/>
  <c r="D12" i="31"/>
  <c r="B46" i="31" s="1"/>
  <c r="E12" i="31"/>
  <c r="F12" i="31"/>
  <c r="C14" i="31"/>
  <c r="A15" i="3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C15" i="31"/>
  <c r="C16" i="31"/>
  <c r="C17" i="31"/>
  <c r="C18" i="31"/>
  <c r="C19" i="31"/>
  <c r="C20" i="31"/>
  <c r="C21" i="31"/>
  <c r="L25" i="31"/>
  <c r="J29" i="43" s="1"/>
  <c r="L29" i="43" s="1"/>
  <c r="J33" i="43" s="1"/>
  <c r="A1" i="30"/>
  <c r="A2" i="30"/>
  <c r="A3" i="30"/>
  <c r="A4" i="30"/>
  <c r="A12" i="30"/>
  <c r="C12" i="30"/>
  <c r="G12" i="30" s="1"/>
  <c r="A1" i="29"/>
  <c r="A2" i="29"/>
  <c r="A3" i="29"/>
  <c r="A12" i="29"/>
  <c r="C12" i="29"/>
  <c r="B35" i="29" s="1"/>
  <c r="D12" i="29"/>
  <c r="E12" i="29"/>
  <c r="B37" i="29" s="1"/>
  <c r="F12" i="29"/>
  <c r="E15" i="29"/>
  <c r="E16" i="29"/>
  <c r="E17" i="29"/>
  <c r="E18" i="29"/>
  <c r="E19" i="29"/>
  <c r="E20" i="29"/>
  <c r="E21" i="29"/>
  <c r="E22" i="29"/>
  <c r="E23" i="29"/>
  <c r="F23" i="29" s="1"/>
  <c r="D23" i="28" s="1"/>
  <c r="E24" i="29"/>
  <c r="E25" i="29"/>
  <c r="E26" i="29"/>
  <c r="E27" i="29"/>
  <c r="E28" i="29"/>
  <c r="E31" i="29"/>
  <c r="A1" i="28"/>
  <c r="A2" i="28"/>
  <c r="A3" i="28"/>
  <c r="A12" i="28"/>
  <c r="C12" i="28"/>
  <c r="B38" i="28"/>
  <c r="D12" i="28"/>
  <c r="B39" i="28" s="1"/>
  <c r="E12" i="28"/>
  <c r="B42" i="28"/>
  <c r="A1" i="27"/>
  <c r="A2" i="27"/>
  <c r="A3" i="27"/>
  <c r="A12" i="27"/>
  <c r="C12" i="27"/>
  <c r="B35" i="27" s="1"/>
  <c r="D12" i="27"/>
  <c r="B36" i="27"/>
  <c r="E12" i="27"/>
  <c r="B38" i="27" s="1"/>
  <c r="F12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31" i="27"/>
  <c r="A1" i="26"/>
  <c r="A2" i="26"/>
  <c r="A3" i="26"/>
  <c r="A12" i="26"/>
  <c r="C12" i="26"/>
  <c r="B38" i="26" s="1"/>
  <c r="D12" i="26"/>
  <c r="B39" i="26" s="1"/>
  <c r="E12" i="26"/>
  <c r="B42" i="26" s="1"/>
  <c r="A1" i="25"/>
  <c r="A2" i="25"/>
  <c r="A3" i="25"/>
  <c r="A12" i="25"/>
  <c r="C12" i="25"/>
  <c r="D12" i="25"/>
  <c r="B57" i="25" s="1"/>
  <c r="E12" i="25"/>
  <c r="F12" i="25"/>
  <c r="G12" i="25"/>
  <c r="H12" i="25"/>
  <c r="L47" i="25"/>
  <c r="M47" i="25"/>
  <c r="A1" i="24"/>
  <c r="A2" i="24"/>
  <c r="A3" i="24"/>
  <c r="A12" i="24"/>
  <c r="C12" i="24"/>
  <c r="D12" i="24"/>
  <c r="B57" i="24" s="1"/>
  <c r="E12" i="24"/>
  <c r="F12" i="24"/>
  <c r="G12" i="24"/>
  <c r="H12" i="24"/>
  <c r="L45" i="24"/>
  <c r="M45" i="24"/>
  <c r="A1" i="23"/>
  <c r="A2" i="23"/>
  <c r="A3" i="23"/>
  <c r="A12" i="23"/>
  <c r="C12" i="23"/>
  <c r="D12" i="23"/>
  <c r="B57" i="23" s="1"/>
  <c r="E12" i="23"/>
  <c r="F12" i="23"/>
  <c r="G12" i="23"/>
  <c r="H12" i="23"/>
  <c r="L46" i="23"/>
  <c r="M46" i="23"/>
  <c r="A1" i="22"/>
  <c r="A2" i="22"/>
  <c r="A3" i="22"/>
  <c r="A12" i="22"/>
  <c r="C12" i="22"/>
  <c r="D12" i="22"/>
  <c r="B57" i="22" s="1"/>
  <c r="E12" i="22"/>
  <c r="F12" i="22"/>
  <c r="G12" i="22"/>
  <c r="H12" i="22"/>
  <c r="A1" i="21"/>
  <c r="A2" i="21"/>
  <c r="A3" i="21"/>
  <c r="A12" i="21"/>
  <c r="C12" i="21"/>
  <c r="B63" i="21" s="1"/>
  <c r="D12" i="21"/>
  <c r="B64" i="21" s="1"/>
  <c r="E12" i="21"/>
  <c r="B65" i="21" s="1"/>
  <c r="F12" i="21"/>
  <c r="B66" i="21" s="1"/>
  <c r="G12" i="21"/>
  <c r="C54" i="21"/>
  <c r="B69" i="21"/>
  <c r="B70" i="21"/>
  <c r="A1" i="20"/>
  <c r="A2" i="20"/>
  <c r="A3" i="20"/>
  <c r="A10" i="20"/>
  <c r="C10" i="20"/>
  <c r="E10" i="20"/>
  <c r="F10" i="20"/>
  <c r="G10" i="20"/>
  <c r="H10" i="20"/>
  <c r="B76" i="20" s="1"/>
  <c r="B72" i="20"/>
  <c r="A1" i="19"/>
  <c r="A2" i="19"/>
  <c r="A3" i="19"/>
  <c r="E12" i="19"/>
  <c r="B45" i="19" s="1"/>
  <c r="B47" i="19"/>
  <c r="A1" i="18"/>
  <c r="A2" i="18"/>
  <c r="A3" i="18"/>
  <c r="A12" i="18"/>
  <c r="C12" i="18"/>
  <c r="B24" i="18"/>
  <c r="D12" i="18"/>
  <c r="B25" i="18" s="1"/>
  <c r="E12" i="18"/>
  <c r="B26" i="18"/>
  <c r="A1" i="17"/>
  <c r="A2" i="17"/>
  <c r="A3" i="17"/>
  <c r="C11" i="17"/>
  <c r="D11" i="17" s="1"/>
  <c r="A12" i="17"/>
  <c r="C12" i="17"/>
  <c r="D12" i="17"/>
  <c r="E12" i="17"/>
  <c r="F12" i="17"/>
  <c r="G12" i="17"/>
  <c r="H12" i="17"/>
  <c r="I12" i="17"/>
  <c r="R15" i="17"/>
  <c r="R16" i="17"/>
  <c r="R17" i="17"/>
  <c r="R18" i="17"/>
  <c r="R19" i="17"/>
  <c r="R20" i="17"/>
  <c r="R21" i="17"/>
  <c r="R22" i="17"/>
  <c r="N23" i="17"/>
  <c r="N22" i="17" s="1"/>
  <c r="N21" i="17" s="1"/>
  <c r="N20" i="17" s="1"/>
  <c r="N19" i="17" s="1"/>
  <c r="N18" i="17" s="1"/>
  <c r="N17" i="17" s="1"/>
  <c r="N16" i="17" s="1"/>
  <c r="N15" i="17" s="1"/>
  <c r="N14" i="17" s="1"/>
  <c r="A24" i="17"/>
  <c r="A23" i="17" s="1"/>
  <c r="A30" i="17"/>
  <c r="C30" i="17"/>
  <c r="D30" i="17"/>
  <c r="E30" i="17"/>
  <c r="F30" i="17"/>
  <c r="G30" i="17"/>
  <c r="H30" i="17"/>
  <c r="I30" i="17"/>
  <c r="D32" i="17"/>
  <c r="E32" i="17"/>
  <c r="F32" i="17"/>
  <c r="G32" i="17"/>
  <c r="C33" i="17"/>
  <c r="D33" i="17"/>
  <c r="E33" i="17"/>
  <c r="F33" i="17"/>
  <c r="G33" i="17"/>
  <c r="C34" i="17"/>
  <c r="D34" i="17"/>
  <c r="E34" i="17"/>
  <c r="F34" i="17"/>
  <c r="G34" i="17"/>
  <c r="C35" i="17"/>
  <c r="D35" i="17"/>
  <c r="E35" i="17"/>
  <c r="F35" i="17"/>
  <c r="G35" i="17"/>
  <c r="D36" i="17"/>
  <c r="E36" i="17"/>
  <c r="F36" i="17"/>
  <c r="G36" i="17"/>
  <c r="C37" i="17"/>
  <c r="D37" i="17"/>
  <c r="E37" i="17"/>
  <c r="F37" i="17"/>
  <c r="H37" i="17"/>
  <c r="C38" i="17"/>
  <c r="D38" i="17"/>
  <c r="E38" i="17"/>
  <c r="G38" i="17"/>
  <c r="H38" i="17"/>
  <c r="C39" i="17"/>
  <c r="D39" i="17"/>
  <c r="F39" i="17"/>
  <c r="G39" i="17"/>
  <c r="H39" i="17"/>
  <c r="E40" i="17"/>
  <c r="F40" i="17"/>
  <c r="G40" i="17"/>
  <c r="H40" i="17"/>
  <c r="I48" i="17"/>
  <c r="I49" i="17" s="1"/>
  <c r="A1" i="16"/>
  <c r="A2" i="16"/>
  <c r="A3" i="16"/>
  <c r="A12" i="16"/>
  <c r="C12" i="16"/>
  <c r="B55" i="16" s="1"/>
  <c r="D12" i="16"/>
  <c r="B56" i="16" s="1"/>
  <c r="E12" i="16"/>
  <c r="F12" i="16"/>
  <c r="G12" i="16"/>
  <c r="A15" i="16"/>
  <c r="A16" i="16" s="1"/>
  <c r="A17" i="16" s="1"/>
  <c r="A18" i="16" s="1"/>
  <c r="A19" i="16" s="1"/>
  <c r="A20" i="16" s="1"/>
  <c r="G23" i="16"/>
  <c r="D24" i="13" s="1"/>
  <c r="E24" i="13" s="1"/>
  <c r="G24" i="16"/>
  <c r="D25" i="13" s="1"/>
  <c r="G25" i="16"/>
  <c r="D26" i="13" s="1"/>
  <c r="G26" i="16"/>
  <c r="D27" i="13" s="1"/>
  <c r="G27" i="16"/>
  <c r="D28" i="13" s="1"/>
  <c r="E28" i="13" s="1"/>
  <c r="G28" i="16"/>
  <c r="D29" i="13" s="1"/>
  <c r="E29" i="13" s="1"/>
  <c r="G29" i="16"/>
  <c r="D30" i="13" s="1"/>
  <c r="E30" i="13" s="1"/>
  <c r="G30" i="16"/>
  <c r="D31" i="13" s="1"/>
  <c r="E31" i="13" s="1"/>
  <c r="G31" i="16"/>
  <c r="D32" i="13" s="1"/>
  <c r="E32" i="13" s="1"/>
  <c r="G32" i="16"/>
  <c r="D33" i="13" s="1"/>
  <c r="G34" i="16"/>
  <c r="D35" i="13" s="1"/>
  <c r="E35" i="13" s="1"/>
  <c r="G35" i="16"/>
  <c r="D36" i="13" s="1"/>
  <c r="E36" i="13" s="1"/>
  <c r="G36" i="16"/>
  <c r="D37" i="13" s="1"/>
  <c r="E37" i="13" s="1"/>
  <c r="G37" i="16"/>
  <c r="D38" i="13" s="1"/>
  <c r="E38" i="13" s="1"/>
  <c r="G38" i="16"/>
  <c r="D39" i="13" s="1"/>
  <c r="E39" i="13" s="1"/>
  <c r="G39" i="16"/>
  <c r="D40" i="13" s="1"/>
  <c r="L39" i="16"/>
  <c r="B58" i="16"/>
  <c r="A1" i="15"/>
  <c r="A2" i="15"/>
  <c r="A3" i="15"/>
  <c r="C11" i="15"/>
  <c r="D11" i="15" s="1"/>
  <c r="A12" i="15"/>
  <c r="C12" i="15"/>
  <c r="D12" i="15"/>
  <c r="E12" i="15"/>
  <c r="F12" i="15"/>
  <c r="G12" i="15"/>
  <c r="H12" i="15"/>
  <c r="I12" i="15"/>
  <c r="I14" i="15"/>
  <c r="S15" i="15"/>
  <c r="I15" i="15" s="1"/>
  <c r="H32" i="15" s="1"/>
  <c r="S16" i="15"/>
  <c r="I16" i="15" s="1"/>
  <c r="S17" i="15"/>
  <c r="I17" i="15" s="1"/>
  <c r="H34" i="15" s="1"/>
  <c r="S18" i="15"/>
  <c r="H18" i="15" s="1"/>
  <c r="C48" i="14" s="1"/>
  <c r="S19" i="15"/>
  <c r="G19" i="15" s="1"/>
  <c r="S20" i="15"/>
  <c r="F20" i="15"/>
  <c r="C50" i="14" s="1"/>
  <c r="S21" i="15"/>
  <c r="E21" i="15" s="1"/>
  <c r="S22" i="15"/>
  <c r="A23" i="15"/>
  <c r="A22" i="15" s="1"/>
  <c r="A39" i="15" s="1"/>
  <c r="A29" i="15"/>
  <c r="C29" i="15"/>
  <c r="D29" i="15"/>
  <c r="E29" i="15"/>
  <c r="F29" i="15"/>
  <c r="G29" i="15"/>
  <c r="H29" i="15"/>
  <c r="I29" i="15"/>
  <c r="C32" i="15"/>
  <c r="D32" i="15"/>
  <c r="G32" i="15"/>
  <c r="C33" i="15"/>
  <c r="D33" i="15"/>
  <c r="F33" i="15"/>
  <c r="G33" i="15"/>
  <c r="C34" i="15"/>
  <c r="D34" i="15"/>
  <c r="E34" i="15"/>
  <c r="F34" i="15"/>
  <c r="G34" i="15"/>
  <c r="C35" i="15"/>
  <c r="D35" i="15"/>
  <c r="E35" i="15"/>
  <c r="F35" i="15"/>
  <c r="H35" i="15"/>
  <c r="C36" i="15"/>
  <c r="D36" i="15"/>
  <c r="E36" i="15"/>
  <c r="G36" i="15"/>
  <c r="H36" i="15"/>
  <c r="C37" i="15"/>
  <c r="D37" i="15"/>
  <c r="F37" i="15"/>
  <c r="G37" i="15"/>
  <c r="H37" i="15"/>
  <c r="C38" i="15"/>
  <c r="E38" i="15"/>
  <c r="F38" i="15"/>
  <c r="G38" i="15"/>
  <c r="H38" i="15"/>
  <c r="D39" i="15"/>
  <c r="E39" i="15"/>
  <c r="G39" i="15"/>
  <c r="H39" i="15"/>
  <c r="I47" i="15"/>
  <c r="I48" i="15" s="1"/>
  <c r="A1" i="14"/>
  <c r="A2" i="14"/>
  <c r="A3" i="14"/>
  <c r="M11" i="14"/>
  <c r="C11" i="14" s="1"/>
  <c r="A12" i="14"/>
  <c r="C12" i="14"/>
  <c r="B56" i="14" s="1"/>
  <c r="D12" i="14"/>
  <c r="B57" i="14" s="1"/>
  <c r="E12" i="14"/>
  <c r="A15" i="14"/>
  <c r="A16" i="14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1" i="13"/>
  <c r="A2" i="13"/>
  <c r="A3" i="13"/>
  <c r="A12" i="13"/>
  <c r="C12" i="13"/>
  <c r="B65" i="13" s="1"/>
  <c r="D12" i="13"/>
  <c r="B66" i="13" s="1"/>
  <c r="E12" i="13"/>
  <c r="F12" i="13"/>
  <c r="B68" i="13" s="1"/>
  <c r="A15" i="13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1" i="11"/>
  <c r="A2" i="11"/>
  <c r="A3" i="11"/>
  <c r="A12" i="11"/>
  <c r="C12" i="11"/>
  <c r="B63" i="11" s="1"/>
  <c r="D12" i="11"/>
  <c r="E12" i="11"/>
  <c r="F12" i="11"/>
  <c r="G12" i="11"/>
  <c r="H12" i="11"/>
  <c r="I12" i="11"/>
  <c r="J12" i="11"/>
  <c r="K12" i="11"/>
  <c r="A55" i="11"/>
  <c r="A1" i="10"/>
  <c r="A2" i="10"/>
  <c r="A3" i="10"/>
  <c r="N9" i="10"/>
  <c r="A61" i="10" s="1"/>
  <c r="N61" i="10" s="1"/>
  <c r="A12" i="10"/>
  <c r="C12" i="10"/>
  <c r="B69" i="10"/>
  <c r="D12" i="10"/>
  <c r="E12" i="10"/>
  <c r="A1" i="9"/>
  <c r="A2" i="9"/>
  <c r="A3" i="9"/>
  <c r="A12" i="9"/>
  <c r="C12" i="9"/>
  <c r="B61" i="9"/>
  <c r="D12" i="9"/>
  <c r="E12" i="9"/>
  <c r="A53" i="9"/>
  <c r="N53" i="9" s="1"/>
  <c r="A1" i="8"/>
  <c r="A2" i="8"/>
  <c r="A3" i="8"/>
  <c r="A11" i="8"/>
  <c r="A12" i="8"/>
  <c r="C12" i="8"/>
  <c r="D12" i="8"/>
  <c r="B35" i="8"/>
  <c r="E12" i="8"/>
  <c r="F12" i="8"/>
  <c r="G12" i="8"/>
  <c r="B38" i="8"/>
  <c r="H12" i="8"/>
  <c r="B39" i="8" s="1"/>
  <c r="A23" i="8"/>
  <c r="A22" i="8" s="1"/>
  <c r="P32" i="8"/>
  <c r="N32" i="8" s="1"/>
  <c r="A1" i="7"/>
  <c r="A2" i="7"/>
  <c r="A3" i="7"/>
  <c r="A12" i="7"/>
  <c r="C12" i="7"/>
  <c r="D12" i="7"/>
  <c r="E12" i="7"/>
  <c r="C63" i="7" s="1"/>
  <c r="F12" i="7"/>
  <c r="B49" i="5"/>
  <c r="I12" i="7"/>
  <c r="J12" i="7"/>
  <c r="K12" i="7"/>
  <c r="L12" i="7"/>
  <c r="N51" i="7"/>
  <c r="O51" i="7" s="1"/>
  <c r="A52" i="7"/>
  <c r="C69" i="7"/>
  <c r="C70" i="7"/>
  <c r="A1" i="6"/>
  <c r="A2" i="6"/>
  <c r="A3" i="6"/>
  <c r="A12" i="6"/>
  <c r="C12" i="6"/>
  <c r="D12" i="6"/>
  <c r="E12" i="6"/>
  <c r="F12" i="6"/>
  <c r="G12" i="6"/>
  <c r="H12" i="6"/>
  <c r="I12" i="6"/>
  <c r="N23" i="6"/>
  <c r="M11" i="6" s="1"/>
  <c r="C11" i="6" s="1"/>
  <c r="D11" i="6" s="1"/>
  <c r="E11" i="6" s="1"/>
  <c r="A29" i="6"/>
  <c r="C29" i="6"/>
  <c r="D29" i="6"/>
  <c r="E29" i="6"/>
  <c r="F29" i="6"/>
  <c r="G29" i="6"/>
  <c r="H29" i="6"/>
  <c r="I29" i="6"/>
  <c r="C31" i="6"/>
  <c r="D31" i="6"/>
  <c r="E31" i="6"/>
  <c r="F31" i="6"/>
  <c r="G31" i="6"/>
  <c r="I31" i="6"/>
  <c r="C32" i="6"/>
  <c r="D32" i="6"/>
  <c r="E32" i="6"/>
  <c r="F32" i="6"/>
  <c r="G32" i="6"/>
  <c r="I32" i="6"/>
  <c r="C33" i="6"/>
  <c r="D33" i="6"/>
  <c r="E33" i="6"/>
  <c r="F33" i="6"/>
  <c r="G33" i="6"/>
  <c r="I33" i="6"/>
  <c r="C34" i="6"/>
  <c r="D34" i="6"/>
  <c r="E34" i="6"/>
  <c r="F34" i="6"/>
  <c r="G34" i="6"/>
  <c r="I34" i="6"/>
  <c r="C35" i="6"/>
  <c r="D35" i="6"/>
  <c r="E35" i="6"/>
  <c r="F35" i="6"/>
  <c r="H35" i="6"/>
  <c r="I35" i="6"/>
  <c r="C36" i="6"/>
  <c r="D36" i="6"/>
  <c r="E36" i="6"/>
  <c r="G36" i="6"/>
  <c r="H36" i="6"/>
  <c r="I36" i="6"/>
  <c r="C37" i="6"/>
  <c r="D37" i="6"/>
  <c r="F37" i="6"/>
  <c r="G37" i="6"/>
  <c r="H37" i="6"/>
  <c r="I37" i="6"/>
  <c r="E38" i="6"/>
  <c r="F38" i="6"/>
  <c r="G38" i="6"/>
  <c r="H38" i="6"/>
  <c r="I38" i="6"/>
  <c r="D39" i="6"/>
  <c r="E39" i="6"/>
  <c r="F39" i="6"/>
  <c r="G39" i="6"/>
  <c r="H39" i="6"/>
  <c r="I39" i="6"/>
  <c r="I47" i="6"/>
  <c r="I48" i="6" s="1"/>
  <c r="A1" i="5"/>
  <c r="A2" i="5"/>
  <c r="A3" i="5"/>
  <c r="A44" i="5"/>
  <c r="A43" i="5" s="1"/>
  <c r="A42" i="5" s="1"/>
  <c r="A41" i="5" s="1"/>
  <c r="A40" i="5" s="1"/>
  <c r="A39" i="5" s="1"/>
  <c r="A38" i="5" s="1"/>
  <c r="A37" i="5" s="1"/>
  <c r="A36" i="5" s="1"/>
  <c r="B50" i="5"/>
  <c r="B51" i="5"/>
  <c r="B52" i="5"/>
  <c r="B53" i="5"/>
  <c r="B54" i="5"/>
  <c r="B55" i="5"/>
  <c r="B56" i="5"/>
  <c r="B57" i="5"/>
  <c r="B58" i="5"/>
  <c r="B59" i="5"/>
  <c r="B60" i="5"/>
  <c r="B61" i="5"/>
  <c r="A1" i="4"/>
  <c r="A2" i="4"/>
  <c r="A3" i="4"/>
  <c r="A4" i="4"/>
  <c r="A12" i="4"/>
  <c r="C12" i="4"/>
  <c r="D12" i="4"/>
  <c r="E12" i="4"/>
  <c r="A23" i="4"/>
  <c r="A22" i="4" s="1"/>
  <c r="A21" i="4" s="1"/>
  <c r="A20" i="4" s="1"/>
  <c r="A19" i="4" s="1"/>
  <c r="A18" i="4" s="1"/>
  <c r="A17" i="4" s="1"/>
  <c r="A16" i="4" s="1"/>
  <c r="A15" i="4" s="1"/>
  <c r="A14" i="4" s="1"/>
  <c r="A1" i="3"/>
  <c r="A2" i="3"/>
  <c r="A3" i="3"/>
  <c r="A12" i="3"/>
  <c r="C12" i="3"/>
  <c r="D12" i="3"/>
  <c r="B31" i="3" s="1"/>
  <c r="E12" i="3"/>
  <c r="D15" i="3"/>
  <c r="D16" i="3"/>
  <c r="D17" i="3"/>
  <c r="A22" i="3"/>
  <c r="A21" i="3" s="1"/>
  <c r="A20" i="3" s="1"/>
  <c r="A19" i="3" s="1"/>
  <c r="A18" i="3" s="1"/>
  <c r="A17" i="3" s="1"/>
  <c r="A16" i="3" s="1"/>
  <c r="A15" i="3" s="1"/>
  <c r="A14" i="3" s="1"/>
  <c r="A1" i="2"/>
  <c r="A2" i="2"/>
  <c r="A3" i="2"/>
  <c r="A12" i="2"/>
  <c r="C12" i="2"/>
  <c r="B30" i="2" s="1"/>
  <c r="D12" i="2"/>
  <c r="B31" i="2"/>
  <c r="E12" i="2"/>
  <c r="B32" i="2" s="1"/>
  <c r="F12" i="2"/>
  <c r="G12" i="2"/>
  <c r="H12" i="2"/>
  <c r="A23" i="2"/>
  <c r="A22" i="2" s="1"/>
  <c r="A21" i="2" s="1"/>
  <c r="A20" i="2" s="1"/>
  <c r="A19" i="2" s="1"/>
  <c r="A18" i="2" s="1"/>
  <c r="A17" i="2" s="1"/>
  <c r="A16" i="2" s="1"/>
  <c r="A15" i="2" s="1"/>
  <c r="A14" i="2" s="1"/>
  <c r="A12" i="1"/>
  <c r="C12" i="1"/>
  <c r="B28" i="1" s="1"/>
  <c r="D12" i="1"/>
  <c r="B29" i="1" s="1"/>
  <c r="E12" i="1"/>
  <c r="B30" i="1" s="1"/>
  <c r="F12" i="1"/>
  <c r="G12" i="1"/>
  <c r="B32" i="1" s="1"/>
  <c r="H12" i="1"/>
  <c r="B33" i="1" s="1"/>
  <c r="B34" i="1"/>
  <c r="E11" i="17"/>
  <c r="D29" i="17" s="1"/>
  <c r="F11" i="17"/>
  <c r="E29" i="17" s="1"/>
  <c r="B32" i="3"/>
  <c r="D16" i="33"/>
  <c r="F15" i="32"/>
  <c r="L17" i="23"/>
  <c r="E22" i="37"/>
  <c r="G22" i="37" s="1"/>
  <c r="L22" i="37" s="1"/>
  <c r="C22" i="31"/>
  <c r="B64" i="11"/>
  <c r="A51" i="30"/>
  <c r="C49" i="20"/>
  <c r="A22" i="6"/>
  <c r="A21" i="6" s="1"/>
  <c r="K19" i="32"/>
  <c r="L19" i="32" s="1"/>
  <c r="B40" i="28"/>
  <c r="B40" i="26"/>
  <c r="C62" i="7"/>
  <c r="C28" i="15"/>
  <c r="E11" i="15"/>
  <c r="D28" i="15" s="1"/>
  <c r="C42" i="13"/>
  <c r="D22" i="15"/>
  <c r="B36" i="29"/>
  <c r="B38" i="29"/>
  <c r="B35" i="2"/>
  <c r="B34" i="2"/>
  <c r="B34" i="8"/>
  <c r="B40" i="8"/>
  <c r="B62" i="9"/>
  <c r="B70" i="10"/>
  <c r="I15" i="32"/>
  <c r="F16" i="32"/>
  <c r="B31" i="1"/>
  <c r="B33" i="2"/>
  <c r="C29" i="17"/>
  <c r="B64" i="32"/>
  <c r="B31" i="36"/>
  <c r="E36" i="19"/>
  <c r="E38" i="19" s="1"/>
  <c r="E15" i="36"/>
  <c r="G15" i="36" s="1"/>
  <c r="E19" i="36"/>
  <c r="G19" i="36" s="1"/>
  <c r="E18" i="36"/>
  <c r="G18" i="36" s="1"/>
  <c r="C24" i="31"/>
  <c r="H32" i="17"/>
  <c r="C11" i="16"/>
  <c r="A21" i="16"/>
  <c r="A22" i="16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C23" i="3"/>
  <c r="C15" i="28"/>
  <c r="C21" i="3"/>
  <c r="D20" i="8"/>
  <c r="C27" i="31"/>
  <c r="F22" i="29"/>
  <c r="D22" i="28" s="1"/>
  <c r="D22" i="8"/>
  <c r="D19" i="8"/>
  <c r="D21" i="8"/>
  <c r="D18" i="8"/>
  <c r="D16" i="8"/>
  <c r="C25" i="31"/>
  <c r="E25" i="37"/>
  <c r="G25" i="37" s="1"/>
  <c r="L25" i="37" s="1"/>
  <c r="L46" i="24"/>
  <c r="C50" i="20"/>
  <c r="I17" i="6"/>
  <c r="H34" i="6" s="1"/>
  <c r="C17" i="3"/>
  <c r="E17" i="3" s="1"/>
  <c r="C17" i="2" s="1"/>
  <c r="F18" i="27"/>
  <c r="D18" i="26" s="1"/>
  <c r="E23" i="4"/>
  <c r="C18" i="26"/>
  <c r="B59" i="22"/>
  <c r="C26" i="26"/>
  <c r="F26" i="27"/>
  <c r="D26" i="26" s="1"/>
  <c r="F16" i="29"/>
  <c r="D16" i="28" s="1"/>
  <c r="C24" i="28"/>
  <c r="F24" i="29"/>
  <c r="D24" i="28" s="1"/>
  <c r="G24" i="36"/>
  <c r="I15" i="6"/>
  <c r="H32" i="6" s="1"/>
  <c r="D23" i="8"/>
  <c r="D17" i="8"/>
  <c r="D15" i="8"/>
  <c r="D14" i="8"/>
  <c r="F27" i="29"/>
  <c r="D27" i="28" s="1"/>
  <c r="G21" i="8"/>
  <c r="G23" i="8"/>
  <c r="C19" i="3"/>
  <c r="G19" i="6"/>
  <c r="F36" i="6" s="1"/>
  <c r="D38" i="6"/>
  <c r="G22" i="8"/>
  <c r="G16" i="8"/>
  <c r="G18" i="8"/>
  <c r="G15" i="8"/>
  <c r="G14" i="8"/>
  <c r="G19" i="8"/>
  <c r="C34" i="31"/>
  <c r="C28" i="31"/>
  <c r="B59" i="24"/>
  <c r="C19" i="26"/>
  <c r="E37" i="6"/>
  <c r="F22" i="27"/>
  <c r="D22" i="26" s="1"/>
  <c r="E28" i="37"/>
  <c r="G28" i="37" s="1"/>
  <c r="L28" i="37" s="1"/>
  <c r="G20" i="8"/>
  <c r="L48" i="25"/>
  <c r="K34" i="21"/>
  <c r="I14" i="6"/>
  <c r="H31" i="6" s="1"/>
  <c r="C33" i="31"/>
  <c r="E27" i="37"/>
  <c r="G27" i="37" s="1"/>
  <c r="F16" i="27"/>
  <c r="D16" i="26" s="1"/>
  <c r="B55" i="30" l="1"/>
  <c r="E12" i="30"/>
  <c r="A50" i="30"/>
  <c r="B35" i="19" s="1"/>
  <c r="D17" i="33"/>
  <c r="S10" i="22" s="1"/>
  <c r="S9" i="22"/>
  <c r="F42" i="6"/>
  <c r="F47" i="6" s="1"/>
  <c r="E42" i="6"/>
  <c r="E47" i="6" s="1"/>
  <c r="E14" i="3"/>
  <c r="D44" i="6"/>
  <c r="D42" i="6"/>
  <c r="D47" i="6" s="1"/>
  <c r="D45" i="6"/>
  <c r="B41" i="8"/>
  <c r="D45" i="16"/>
  <c r="D46" i="16"/>
  <c r="B56" i="23"/>
  <c r="B58" i="25"/>
  <c r="B63" i="22"/>
  <c r="B60" i="24"/>
  <c r="B60" i="23"/>
  <c r="B61" i="23"/>
  <c r="B61" i="24" s="1"/>
  <c r="N22" i="8"/>
  <c r="A21" i="8"/>
  <c r="N23" i="8"/>
  <c r="F30" i="8"/>
  <c r="E30" i="8"/>
  <c r="A52" i="9"/>
  <c r="A60" i="10"/>
  <c r="A54" i="11"/>
  <c r="E26" i="13"/>
  <c r="E20" i="13"/>
  <c r="C51" i="13"/>
  <c r="C57" i="13" s="1"/>
  <c r="E57" i="13" s="1"/>
  <c r="D51" i="14"/>
  <c r="E33" i="13"/>
  <c r="E25" i="13"/>
  <c r="E41" i="13"/>
  <c r="E34" i="13"/>
  <c r="E21" i="13"/>
  <c r="E17" i="13"/>
  <c r="E27" i="13"/>
  <c r="E23" i="13"/>
  <c r="E16" i="13"/>
  <c r="A21" i="15"/>
  <c r="S26" i="15"/>
  <c r="E14" i="13"/>
  <c r="H36" i="17"/>
  <c r="H35" i="17"/>
  <c r="D40" i="17"/>
  <c r="E39" i="17"/>
  <c r="H33" i="17"/>
  <c r="R26" i="17"/>
  <c r="F38" i="17"/>
  <c r="F45" i="17" s="1"/>
  <c r="G37" i="17"/>
  <c r="G43" i="17" s="1"/>
  <c r="D46" i="17"/>
  <c r="D43" i="17"/>
  <c r="D42" i="16"/>
  <c r="D44" i="16"/>
  <c r="D43" i="16"/>
  <c r="A22" i="17"/>
  <c r="A41" i="17"/>
  <c r="N14" i="32"/>
  <c r="B67" i="21"/>
  <c r="B63" i="23"/>
  <c r="B63" i="25" s="1"/>
  <c r="F36" i="19"/>
  <c r="B59" i="32"/>
  <c r="B66" i="32"/>
  <c r="B65" i="32"/>
  <c r="N15" i="32"/>
  <c r="D18" i="33"/>
  <c r="F17" i="32"/>
  <c r="I16" i="32"/>
  <c r="N16" i="32" s="1"/>
  <c r="B52" i="33"/>
  <c r="G19" i="34"/>
  <c r="G36" i="34"/>
  <c r="G23" i="34"/>
  <c r="B34" i="36"/>
  <c r="B45" i="37"/>
  <c r="B48" i="37"/>
  <c r="B46" i="37"/>
  <c r="B30" i="43"/>
  <c r="E16" i="26"/>
  <c r="N50" i="7"/>
  <c r="N49" i="7" s="1"/>
  <c r="O49" i="7" s="1"/>
  <c r="A51" i="7"/>
  <c r="E24" i="28"/>
  <c r="E35" i="19"/>
  <c r="F35" i="19" s="1"/>
  <c r="A20" i="6"/>
  <c r="D28" i="6"/>
  <c r="F11" i="6"/>
  <c r="E28" i="6"/>
  <c r="C28" i="6"/>
  <c r="O50" i="7"/>
  <c r="I18" i="32"/>
  <c r="F11" i="15"/>
  <c r="C52" i="14"/>
  <c r="C44" i="15"/>
  <c r="B30" i="4"/>
  <c r="D47" i="14"/>
  <c r="E47" i="14" s="1"/>
  <c r="D46" i="14"/>
  <c r="C47" i="14"/>
  <c r="E46" i="14"/>
  <c r="C46" i="13" s="1"/>
  <c r="M19" i="32"/>
  <c r="G11" i="17"/>
  <c r="B48" i="31"/>
  <c r="B31" i="4"/>
  <c r="B67" i="13"/>
  <c r="C46" i="14"/>
  <c r="H33" i="15"/>
  <c r="H44" i="15" s="1"/>
  <c r="E45" i="14"/>
  <c r="C45" i="13" s="1"/>
  <c r="E43" i="14"/>
  <c r="C43" i="13" s="1"/>
  <c r="H31" i="15"/>
  <c r="F36" i="15"/>
  <c r="F43" i="15" s="1"/>
  <c r="C49" i="14"/>
  <c r="C51" i="14"/>
  <c r="D38" i="15"/>
  <c r="E40" i="13"/>
  <c r="B63" i="24"/>
  <c r="B47" i="31"/>
  <c r="E37" i="15"/>
  <c r="E43" i="15" s="1"/>
  <c r="G35" i="15"/>
  <c r="G45" i="15" s="1"/>
  <c r="D45" i="17"/>
  <c r="B37" i="27"/>
  <c r="H34" i="17"/>
  <c r="E44" i="14"/>
  <c r="C44" i="13" s="1"/>
  <c r="C67" i="7"/>
  <c r="C51" i="30"/>
  <c r="B36" i="19" s="1"/>
  <c r="D43" i="6"/>
  <c r="F44" i="6"/>
  <c r="F38" i="19"/>
  <c r="A49" i="7"/>
  <c r="A50" i="7"/>
  <c r="C61" i="7"/>
  <c r="C29" i="31"/>
  <c r="F25" i="29"/>
  <c r="D25" i="28" s="1"/>
  <c r="E25" i="28" s="1"/>
  <c r="E33" i="37"/>
  <c r="G33" i="37" s="1"/>
  <c r="L33" i="37" s="1"/>
  <c r="F19" i="27"/>
  <c r="D19" i="26" s="1"/>
  <c r="E19" i="26" s="1"/>
  <c r="E22" i="36"/>
  <c r="G22" i="36" s="1"/>
  <c r="E31" i="37"/>
  <c r="G31" i="37" s="1"/>
  <c r="L31" i="37" s="1"/>
  <c r="C32" i="31"/>
  <c r="E24" i="37"/>
  <c r="G24" i="37" s="1"/>
  <c r="L24" i="37" s="1"/>
  <c r="E23" i="37"/>
  <c r="F17" i="27"/>
  <c r="D17" i="26" s="1"/>
  <c r="E17" i="26" s="1"/>
  <c r="F27" i="27"/>
  <c r="D27" i="26" s="1"/>
  <c r="E27" i="26" s="1"/>
  <c r="C31" i="31"/>
  <c r="C30" i="31"/>
  <c r="E30" i="37"/>
  <c r="G30" i="37" s="1"/>
  <c r="L30" i="37" s="1"/>
  <c r="E20" i="36"/>
  <c r="G20" i="36" s="1"/>
  <c r="C38" i="31"/>
  <c r="C35" i="31"/>
  <c r="F17" i="29"/>
  <c r="D17" i="28" s="1"/>
  <c r="E17" i="28" s="1"/>
  <c r="F19" i="29"/>
  <c r="D19" i="28" s="1"/>
  <c r="E19" i="28" s="1"/>
  <c r="F21" i="29"/>
  <c r="D21" i="28" s="1"/>
  <c r="E21" i="28" s="1"/>
  <c r="E43" i="6"/>
  <c r="E44" i="6"/>
  <c r="E45" i="6"/>
  <c r="F26" i="29"/>
  <c r="D26" i="28" s="1"/>
  <c r="E26" i="28" s="1"/>
  <c r="F21" i="27"/>
  <c r="D21" i="26" s="1"/>
  <c r="E21" i="26" s="1"/>
  <c r="E34" i="37"/>
  <c r="G34" i="37" s="1"/>
  <c r="L34" i="37" s="1"/>
  <c r="C23" i="31"/>
  <c r="E29" i="37"/>
  <c r="G29" i="37" s="1"/>
  <c r="L29" i="37" s="1"/>
  <c r="E59" i="21"/>
  <c r="E20" i="4"/>
  <c r="F20" i="27"/>
  <c r="D20" i="26" s="1"/>
  <c r="E20" i="26" s="1"/>
  <c r="F24" i="27"/>
  <c r="D24" i="26" s="1"/>
  <c r="E24" i="26" s="1"/>
  <c r="E22" i="28"/>
  <c r="C11" i="29"/>
  <c r="L11" i="28"/>
  <c r="J14" i="43"/>
  <c r="C23" i="28"/>
  <c r="E23" i="28" s="1"/>
  <c r="C31" i="29"/>
  <c r="H18" i="6"/>
  <c r="G35" i="6" s="1"/>
  <c r="G42" i="6" s="1"/>
  <c r="E18" i="4"/>
  <c r="C18" i="3"/>
  <c r="F49" i="7"/>
  <c r="E37" i="37"/>
  <c r="G37" i="37" s="1"/>
  <c r="L37" i="37" s="1"/>
  <c r="C37" i="31"/>
  <c r="C15" i="26"/>
  <c r="F15" i="27"/>
  <c r="D15" i="26" s="1"/>
  <c r="B59" i="23"/>
  <c r="E32" i="37"/>
  <c r="G32" i="37" s="1"/>
  <c r="L32" i="37" s="1"/>
  <c r="E17" i="36"/>
  <c r="G17" i="36" s="1"/>
  <c r="E21" i="4"/>
  <c r="L27" i="37"/>
  <c r="F14" i="27"/>
  <c r="D14" i="26" s="1"/>
  <c r="C14" i="26"/>
  <c r="F31" i="27"/>
  <c r="C15" i="3"/>
  <c r="E15" i="3" s="1"/>
  <c r="C15" i="2" s="1"/>
  <c r="E15" i="4"/>
  <c r="F15" i="29"/>
  <c r="D15" i="28" s="1"/>
  <c r="E15" i="28" s="1"/>
  <c r="D31" i="29"/>
  <c r="N35" i="29" s="1"/>
  <c r="C15" i="8"/>
  <c r="H15" i="8" s="1"/>
  <c r="D37" i="5" s="1"/>
  <c r="C14" i="8"/>
  <c r="H14" i="8" s="1"/>
  <c r="D36" i="5" s="1"/>
  <c r="C16" i="8"/>
  <c r="H16" i="8" s="1"/>
  <c r="D38" i="5" s="1"/>
  <c r="C19" i="8"/>
  <c r="H19" i="8" s="1"/>
  <c r="D41" i="5" s="1"/>
  <c r="E22" i="4"/>
  <c r="D27" i="36"/>
  <c r="F43" i="6"/>
  <c r="F45" i="6"/>
  <c r="F23" i="27"/>
  <c r="D23" i="26" s="1"/>
  <c r="C23" i="26"/>
  <c r="C14" i="28"/>
  <c r="F14" i="29"/>
  <c r="D14" i="28" s="1"/>
  <c r="E21" i="36"/>
  <c r="G21" i="36" s="1"/>
  <c r="E16" i="36"/>
  <c r="G16" i="36" s="1"/>
  <c r="C27" i="36"/>
  <c r="E16" i="28"/>
  <c r="C18" i="28"/>
  <c r="F18" i="29"/>
  <c r="D18" i="28" s="1"/>
  <c r="C20" i="28"/>
  <c r="F20" i="29"/>
  <c r="D20" i="28" s="1"/>
  <c r="C26" i="4"/>
  <c r="E14" i="4"/>
  <c r="D26" i="4"/>
  <c r="C36" i="31"/>
  <c r="E36" i="37"/>
  <c r="G36" i="37" s="1"/>
  <c r="L36" i="37" s="1"/>
  <c r="F28" i="27"/>
  <c r="D28" i="26" s="1"/>
  <c r="E28" i="26" s="1"/>
  <c r="M46" i="24"/>
  <c r="B56" i="24" s="1"/>
  <c r="E27" i="28"/>
  <c r="E18" i="26"/>
  <c r="E35" i="37"/>
  <c r="G35" i="37" s="1"/>
  <c r="L35" i="37" s="1"/>
  <c r="E23" i="36"/>
  <c r="G23" i="36" s="1"/>
  <c r="E14" i="36"/>
  <c r="G14" i="36" s="1"/>
  <c r="F25" i="27"/>
  <c r="D25" i="26" s="1"/>
  <c r="E25" i="26" s="1"/>
  <c r="E17" i="4"/>
  <c r="E26" i="37"/>
  <c r="G26" i="37" s="1"/>
  <c r="L26" i="37" s="1"/>
  <c r="E22" i="26"/>
  <c r="E16" i="4"/>
  <c r="F51" i="7"/>
  <c r="G51" i="7" s="1"/>
  <c r="G52" i="7"/>
  <c r="E26" i="26"/>
  <c r="C20" i="8"/>
  <c r="H20" i="8" s="1"/>
  <c r="D42" i="5" s="1"/>
  <c r="F50" i="7"/>
  <c r="G50" i="7" s="1"/>
  <c r="C21" i="8"/>
  <c r="H21" i="8" s="1"/>
  <c r="D43" i="5" s="1"/>
  <c r="C18" i="8"/>
  <c r="H18" i="8" s="1"/>
  <c r="D40" i="5" s="1"/>
  <c r="I16" i="6"/>
  <c r="H33" i="6" s="1"/>
  <c r="H44" i="6" s="1"/>
  <c r="C16" i="3"/>
  <c r="C22" i="8"/>
  <c r="H22" i="8" s="1"/>
  <c r="D44" i="5" s="1"/>
  <c r="C17" i="8"/>
  <c r="H17" i="8" s="1"/>
  <c r="D39" i="5" s="1"/>
  <c r="C26" i="31"/>
  <c r="F28" i="29"/>
  <c r="D28" i="28" s="1"/>
  <c r="E28" i="28" s="1"/>
  <c r="C23" i="8"/>
  <c r="H23" i="8" s="1"/>
  <c r="D45" i="5" s="1"/>
  <c r="D19" i="33" l="1"/>
  <c r="S12" i="22" s="1"/>
  <c r="S11" i="22"/>
  <c r="B58" i="24"/>
  <c r="C55" i="13"/>
  <c r="C26" i="3"/>
  <c r="C14" i="2"/>
  <c r="H42" i="6"/>
  <c r="H47" i="6" s="1"/>
  <c r="H48" i="6" s="1"/>
  <c r="B58" i="23"/>
  <c r="B60" i="25"/>
  <c r="N21" i="8"/>
  <c r="A20" i="8"/>
  <c r="A51" i="9"/>
  <c r="N52" i="9"/>
  <c r="N60" i="10"/>
  <c r="A59" i="10"/>
  <c r="N54" i="11"/>
  <c r="A53" i="11"/>
  <c r="A20" i="15"/>
  <c r="A38" i="15"/>
  <c r="C43" i="15"/>
  <c r="C45" i="15"/>
  <c r="G46" i="17"/>
  <c r="F46" i="17"/>
  <c r="F44" i="17"/>
  <c r="H46" i="17"/>
  <c r="F43" i="17"/>
  <c r="F48" i="17" s="1"/>
  <c r="E46" i="17"/>
  <c r="E44" i="17"/>
  <c r="E45" i="17"/>
  <c r="E43" i="17"/>
  <c r="G45" i="17"/>
  <c r="E45" i="16"/>
  <c r="G45" i="16" s="1"/>
  <c r="D46" i="13" s="1"/>
  <c r="E46" i="13" s="1"/>
  <c r="E43" i="16"/>
  <c r="G43" i="16" s="1"/>
  <c r="D44" i="13" s="1"/>
  <c r="E44" i="13" s="1"/>
  <c r="G44" i="17"/>
  <c r="A40" i="17"/>
  <c r="A21" i="17"/>
  <c r="E44" i="16"/>
  <c r="G44" i="16" s="1"/>
  <c r="D45" i="13" s="1"/>
  <c r="E45" i="13" s="1"/>
  <c r="D41" i="16"/>
  <c r="G41" i="16" s="1"/>
  <c r="D42" i="13" s="1"/>
  <c r="E42" i="16"/>
  <c r="G42" i="16" s="1"/>
  <c r="D43" i="13" s="1"/>
  <c r="C46" i="17"/>
  <c r="C45" i="17"/>
  <c r="C41" i="31"/>
  <c r="I17" i="32"/>
  <c r="N17" i="32" s="1"/>
  <c r="F19" i="32"/>
  <c r="F18" i="32"/>
  <c r="N18" i="32" s="1"/>
  <c r="B46" i="43"/>
  <c r="G23" i="37"/>
  <c r="E41" i="37"/>
  <c r="G44" i="34"/>
  <c r="F31" i="29"/>
  <c r="H52" i="7"/>
  <c r="C23" i="5" s="1"/>
  <c r="N48" i="7"/>
  <c r="A48" i="7" s="1"/>
  <c r="D59" i="21"/>
  <c r="H45" i="6"/>
  <c r="E42" i="15"/>
  <c r="D44" i="15"/>
  <c r="D43" i="15"/>
  <c r="D42" i="15"/>
  <c r="D20" i="33"/>
  <c r="S13" i="22" s="1"/>
  <c r="G19" i="32"/>
  <c r="B61" i="25"/>
  <c r="N47" i="7"/>
  <c r="O47" i="7" s="1"/>
  <c r="D45" i="15"/>
  <c r="E44" i="15"/>
  <c r="F44" i="15"/>
  <c r="C42" i="15"/>
  <c r="H11" i="17"/>
  <c r="G29" i="17" s="1"/>
  <c r="G11" i="15"/>
  <c r="F28" i="15"/>
  <c r="E28" i="15"/>
  <c r="G11" i="6"/>
  <c r="F28" i="6" s="1"/>
  <c r="F59" i="21"/>
  <c r="E45" i="15"/>
  <c r="G43" i="15"/>
  <c r="G44" i="15"/>
  <c r="G42" i="15"/>
  <c r="H45" i="15"/>
  <c r="H42" i="15"/>
  <c r="H43" i="15"/>
  <c r="F29" i="17"/>
  <c r="A19" i="6"/>
  <c r="H45" i="17"/>
  <c r="H43" i="17"/>
  <c r="H44" i="17"/>
  <c r="F42" i="15"/>
  <c r="F45" i="15"/>
  <c r="G49" i="7"/>
  <c r="C59" i="21"/>
  <c r="N46" i="7"/>
  <c r="E18" i="28"/>
  <c r="B39" i="43"/>
  <c r="B40" i="43"/>
  <c r="E26" i="4"/>
  <c r="L14" i="43"/>
  <c r="J20" i="43" s="1"/>
  <c r="L11" i="26"/>
  <c r="C11" i="28"/>
  <c r="G27" i="36"/>
  <c r="C31" i="26"/>
  <c r="E15" i="26"/>
  <c r="G44" i="6"/>
  <c r="G43" i="6"/>
  <c r="G47" i="6"/>
  <c r="G45" i="6"/>
  <c r="E23" i="26"/>
  <c r="C31" i="28"/>
  <c r="E27" i="36"/>
  <c r="E20" i="28"/>
  <c r="E14" i="28"/>
  <c r="E14" i="26"/>
  <c r="E16" i="3"/>
  <c r="H43" i="6"/>
  <c r="C60" i="13" l="1"/>
  <c r="E60" i="13" s="1"/>
  <c r="E55" i="13"/>
  <c r="C45" i="5"/>
  <c r="E43" i="13"/>
  <c r="E42" i="13"/>
  <c r="G59" i="21"/>
  <c r="A35" i="25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B56" i="25"/>
  <c r="A19" i="8"/>
  <c r="N20" i="8"/>
  <c r="N59" i="10"/>
  <c r="A58" i="10"/>
  <c r="A50" i="9"/>
  <c r="N51" i="9"/>
  <c r="A52" i="11"/>
  <c r="N53" i="11"/>
  <c r="A37" i="15"/>
  <c r="A19" i="15"/>
  <c r="F47" i="15"/>
  <c r="G48" i="17"/>
  <c r="A20" i="17"/>
  <c r="A39" i="17"/>
  <c r="C11" i="26"/>
  <c r="B33" i="26"/>
  <c r="B43" i="43"/>
  <c r="D26" i="43"/>
  <c r="D28" i="43" s="1"/>
  <c r="L23" i="37"/>
  <c r="G41" i="37"/>
  <c r="G19" i="1"/>
  <c r="G23" i="1" s="1"/>
  <c r="E31" i="26"/>
  <c r="D31" i="26" s="1"/>
  <c r="A47" i="7"/>
  <c r="O48" i="7"/>
  <c r="E31" i="28"/>
  <c r="A18" i="6"/>
  <c r="H11" i="6"/>
  <c r="G28" i="6" s="1"/>
  <c r="H19" i="32"/>
  <c r="D21" i="33"/>
  <c r="S14" i="22" s="1"/>
  <c r="E47" i="15"/>
  <c r="I11" i="17"/>
  <c r="I29" i="17" s="1"/>
  <c r="H48" i="17"/>
  <c r="H49" i="17" s="1"/>
  <c r="D47" i="16" s="1"/>
  <c r="H47" i="15"/>
  <c r="H48" i="15" s="1"/>
  <c r="D48" i="14" s="1"/>
  <c r="G47" i="15"/>
  <c r="H11" i="15"/>
  <c r="A46" i="7"/>
  <c r="O46" i="7"/>
  <c r="N45" i="7"/>
  <c r="D18" i="3"/>
  <c r="G48" i="6"/>
  <c r="C16" i="2"/>
  <c r="G15" i="1" l="1"/>
  <c r="B33" i="28"/>
  <c r="G21" i="1"/>
  <c r="C47" i="13"/>
  <c r="E48" i="14"/>
  <c r="E34" i="28"/>
  <c r="C18" i="18" s="1"/>
  <c r="A18" i="8"/>
  <c r="N19" i="8"/>
  <c r="N50" i="9"/>
  <c r="A49" i="9"/>
  <c r="A57" i="10"/>
  <c r="N58" i="10"/>
  <c r="N52" i="11"/>
  <c r="A51" i="11"/>
  <c r="A18" i="15"/>
  <c r="A36" i="15"/>
  <c r="G48" i="15"/>
  <c r="D49" i="14" s="1"/>
  <c r="A19" i="17"/>
  <c r="A38" i="17"/>
  <c r="D31" i="28"/>
  <c r="E34" i="26"/>
  <c r="C17" i="18" s="1"/>
  <c r="A17" i="6"/>
  <c r="H29" i="17"/>
  <c r="F20" i="32"/>
  <c r="D22" i="33"/>
  <c r="S15" i="22" s="1"/>
  <c r="F21" i="32"/>
  <c r="I20" i="32"/>
  <c r="I19" i="32"/>
  <c r="N19" i="32" s="1"/>
  <c r="I11" i="15"/>
  <c r="I28" i="15" s="1"/>
  <c r="E46" i="16"/>
  <c r="G46" i="16" s="1"/>
  <c r="D47" i="13" s="1"/>
  <c r="G49" i="17"/>
  <c r="D48" i="16" s="1"/>
  <c r="I11" i="6"/>
  <c r="I28" i="6" s="1"/>
  <c r="G28" i="15"/>
  <c r="O45" i="7"/>
  <c r="N44" i="7"/>
  <c r="A45" i="7"/>
  <c r="E18" i="3"/>
  <c r="F48" i="6"/>
  <c r="D19" i="3"/>
  <c r="F48" i="15" l="1"/>
  <c r="D50" i="14" s="1"/>
  <c r="C48" i="13"/>
  <c r="E49" i="14"/>
  <c r="C20" i="18"/>
  <c r="A17" i="8"/>
  <c r="N18" i="8"/>
  <c r="N57" i="10"/>
  <c r="A56" i="10"/>
  <c r="N49" i="9"/>
  <c r="A48" i="9"/>
  <c r="A50" i="11"/>
  <c r="N51" i="11"/>
  <c r="A17" i="15"/>
  <c r="A35" i="15"/>
  <c r="A37" i="17"/>
  <c r="A18" i="17"/>
  <c r="N20" i="32"/>
  <c r="A16" i="6"/>
  <c r="H28" i="15"/>
  <c r="E48" i="15"/>
  <c r="E47" i="16"/>
  <c r="G47" i="16" s="1"/>
  <c r="D48" i="13" s="1"/>
  <c r="F49" i="17"/>
  <c r="D49" i="16" s="1"/>
  <c r="H28" i="6"/>
  <c r="E47" i="13"/>
  <c r="I21" i="32"/>
  <c r="N21" i="32" s="1"/>
  <c r="F22" i="32"/>
  <c r="D23" i="33"/>
  <c r="S16" i="22" s="1"/>
  <c r="N43" i="7"/>
  <c r="O44" i="7"/>
  <c r="A44" i="7"/>
  <c r="D20" i="3"/>
  <c r="E48" i="6"/>
  <c r="E19" i="3"/>
  <c r="C19" i="2" s="1"/>
  <c r="C18" i="2"/>
  <c r="E48" i="13" l="1"/>
  <c r="C49" i="13"/>
  <c r="E50" i="14"/>
  <c r="C50" i="13" s="1"/>
  <c r="A16" i="8"/>
  <c r="N17" i="8"/>
  <c r="N48" i="9"/>
  <c r="A47" i="9"/>
  <c r="A55" i="10"/>
  <c r="N56" i="10"/>
  <c r="N50" i="11"/>
  <c r="A49" i="11"/>
  <c r="A34" i="15"/>
  <c r="A16" i="15"/>
  <c r="A36" i="17"/>
  <c r="A17" i="17"/>
  <c r="E48" i="16"/>
  <c r="G48" i="16" s="1"/>
  <c r="D49" i="13" s="1"/>
  <c r="E49" i="17"/>
  <c r="D50" i="16" s="1"/>
  <c r="A15" i="6"/>
  <c r="F24" i="32"/>
  <c r="I23" i="32"/>
  <c r="I22" i="32"/>
  <c r="N22" i="32" s="1"/>
  <c r="D24" i="33"/>
  <c r="S17" i="22" s="1"/>
  <c r="F23" i="32"/>
  <c r="D48" i="15"/>
  <c r="O43" i="7"/>
  <c r="N42" i="7"/>
  <c r="A43" i="7"/>
  <c r="D21" i="3"/>
  <c r="E21" i="3" s="1"/>
  <c r="D48" i="6"/>
  <c r="C48" i="6" s="1"/>
  <c r="E20" i="3"/>
  <c r="C20" i="2" s="1"/>
  <c r="D53" i="14" l="1"/>
  <c r="D52" i="14"/>
  <c r="E52" i="14" s="1"/>
  <c r="A15" i="8"/>
  <c r="N16" i="8"/>
  <c r="A54" i="10"/>
  <c r="N55" i="10"/>
  <c r="N47" i="9"/>
  <c r="A46" i="9"/>
  <c r="A48" i="11"/>
  <c r="N49" i="11"/>
  <c r="A15" i="15"/>
  <c r="A33" i="15"/>
  <c r="A16" i="17"/>
  <c r="A35" i="17"/>
  <c r="N23" i="32"/>
  <c r="D25" i="33"/>
  <c r="S18" i="22" s="1"/>
  <c r="I24" i="32"/>
  <c r="N24" i="32" s="1"/>
  <c r="F25" i="32"/>
  <c r="A14" i="6"/>
  <c r="E49" i="16"/>
  <c r="G49" i="16" s="1"/>
  <c r="D50" i="13" s="1"/>
  <c r="E50" i="13" s="1"/>
  <c r="D49" i="17"/>
  <c r="D51" i="16" s="1"/>
  <c r="E49" i="13"/>
  <c r="N41" i="7"/>
  <c r="O42" i="7"/>
  <c r="A42" i="7"/>
  <c r="C21" i="2"/>
  <c r="D23" i="3"/>
  <c r="E23" i="3" s="1"/>
  <c r="D22" i="3"/>
  <c r="E22" i="3" s="1"/>
  <c r="C22" i="2" s="1"/>
  <c r="E26" i="3" l="1"/>
  <c r="C52" i="13"/>
  <c r="E53" i="14"/>
  <c r="C53" i="13" s="1"/>
  <c r="N15" i="8"/>
  <c r="A14" i="8"/>
  <c r="N14" i="8" s="1"/>
  <c r="N46" i="9"/>
  <c r="A45" i="9"/>
  <c r="N54" i="10"/>
  <c r="A53" i="10"/>
  <c r="N48" i="11"/>
  <c r="A47" i="11"/>
  <c r="A14" i="15"/>
  <c r="A31" i="15" s="1"/>
  <c r="A32" i="15"/>
  <c r="A34" i="17"/>
  <c r="A15" i="17"/>
  <c r="I25" i="32"/>
  <c r="N25" i="32" s="1"/>
  <c r="D26" i="33"/>
  <c r="S19" i="22" s="1"/>
  <c r="E50" i="16"/>
  <c r="G50" i="16" s="1"/>
  <c r="D51" i="13" s="1"/>
  <c r="C49" i="17"/>
  <c r="A41" i="7"/>
  <c r="O41" i="7"/>
  <c r="N40" i="7"/>
  <c r="C23" i="2"/>
  <c r="C26" i="2" s="1"/>
  <c r="E51" i="16" l="1"/>
  <c r="G51" i="16" s="1"/>
  <c r="D52" i="13" s="1"/>
  <c r="E52" i="13" s="1"/>
  <c r="D52" i="16"/>
  <c r="E52" i="16" s="1"/>
  <c r="G52" i="16" s="1"/>
  <c r="D53" i="13" s="1"/>
  <c r="N53" i="10"/>
  <c r="A52" i="10"/>
  <c r="A44" i="9"/>
  <c r="N45" i="9"/>
  <c r="N47" i="11"/>
  <c r="A46" i="11"/>
  <c r="A33" i="17"/>
  <c r="A14" i="17"/>
  <c r="A32" i="17" s="1"/>
  <c r="E51" i="13"/>
  <c r="I26" i="32"/>
  <c r="D27" i="33"/>
  <c r="S20" i="22" s="1"/>
  <c r="F26" i="32"/>
  <c r="F27" i="32"/>
  <c r="A40" i="7"/>
  <c r="N39" i="7"/>
  <c r="O40" i="7"/>
  <c r="D14" i="2" l="1"/>
  <c r="D22" i="2" s="1"/>
  <c r="E53" i="13"/>
  <c r="N44" i="9"/>
  <c r="A43" i="9"/>
  <c r="A51" i="10"/>
  <c r="N52" i="10"/>
  <c r="N46" i="11"/>
  <c r="A45" i="11"/>
  <c r="D14" i="18"/>
  <c r="N26" i="32"/>
  <c r="I29" i="32"/>
  <c r="F30" i="32"/>
  <c r="I28" i="32"/>
  <c r="I31" i="32"/>
  <c r="F28" i="32"/>
  <c r="I30" i="32"/>
  <c r="D28" i="33"/>
  <c r="S21" i="22" s="1"/>
  <c r="F29" i="32"/>
  <c r="I27" i="32"/>
  <c r="N27" i="32" s="1"/>
  <c r="F31" i="32"/>
  <c r="N38" i="7"/>
  <c r="A39" i="7"/>
  <c r="O39" i="7"/>
  <c r="D16" i="2" l="1"/>
  <c r="D23" i="2"/>
  <c r="D20" i="2"/>
  <c r="D17" i="2"/>
  <c r="D19" i="2"/>
  <c r="D21" i="2"/>
  <c r="D15" i="2"/>
  <c r="D18" i="2"/>
  <c r="N51" i="10"/>
  <c r="A50" i="10"/>
  <c r="N43" i="9"/>
  <c r="A42" i="9"/>
  <c r="N45" i="11"/>
  <c r="A44" i="11"/>
  <c r="D17" i="18"/>
  <c r="E17" i="18" s="1"/>
  <c r="C21" i="1" s="1"/>
  <c r="C25" i="1" s="1"/>
  <c r="D18" i="18"/>
  <c r="E18" i="18" s="1"/>
  <c r="C23" i="1" s="1"/>
  <c r="D20" i="18"/>
  <c r="E20" i="18" s="1"/>
  <c r="N31" i="32"/>
  <c r="N29" i="32"/>
  <c r="D29" i="33"/>
  <c r="S22" i="22" s="1"/>
  <c r="I32" i="32"/>
  <c r="I33" i="32"/>
  <c r="F33" i="32"/>
  <c r="F32" i="32"/>
  <c r="N30" i="32"/>
  <c r="N28" i="32"/>
  <c r="N37" i="7"/>
  <c r="A38" i="7"/>
  <c r="O38" i="7"/>
  <c r="A41" i="9" l="1"/>
  <c r="N42" i="9"/>
  <c r="A49" i="10"/>
  <c r="N50" i="10"/>
  <c r="A43" i="11"/>
  <c r="N44" i="11"/>
  <c r="N33" i="32"/>
  <c r="N32" i="32"/>
  <c r="D30" i="33"/>
  <c r="S23" i="22" s="1"/>
  <c r="F34" i="32"/>
  <c r="I34" i="32"/>
  <c r="N36" i="7"/>
  <c r="A37" i="7"/>
  <c r="O37" i="7"/>
  <c r="N49" i="10" l="1"/>
  <c r="A48" i="10"/>
  <c r="A40" i="9"/>
  <c r="N41" i="9"/>
  <c r="K46" i="11"/>
  <c r="K50" i="11"/>
  <c r="J59" i="11"/>
  <c r="J45" i="11"/>
  <c r="K49" i="11"/>
  <c r="J53" i="11"/>
  <c r="J46" i="11"/>
  <c r="K52" i="11"/>
  <c r="J55" i="11"/>
  <c r="K54" i="11"/>
  <c r="K44" i="11"/>
  <c r="J50" i="11"/>
  <c r="J44" i="11"/>
  <c r="J51" i="11"/>
  <c r="J54" i="11"/>
  <c r="K59" i="11"/>
  <c r="K48" i="11"/>
  <c r="J47" i="11"/>
  <c r="K47" i="11"/>
  <c r="K45" i="11"/>
  <c r="K51" i="11"/>
  <c r="J48" i="11"/>
  <c r="K53" i="11"/>
  <c r="J49" i="11"/>
  <c r="J52" i="11"/>
  <c r="A42" i="11"/>
  <c r="N43" i="11"/>
  <c r="N34" i="32"/>
  <c r="I35" i="32"/>
  <c r="D31" i="33"/>
  <c r="S24" i="22" s="1"/>
  <c r="F35" i="32"/>
  <c r="N35" i="7"/>
  <c r="O36" i="7"/>
  <c r="A36" i="7"/>
  <c r="N40" i="9" l="1"/>
  <c r="A39" i="9"/>
  <c r="N48" i="10"/>
  <c r="A47" i="10"/>
  <c r="N42" i="11"/>
  <c r="A41" i="11"/>
  <c r="J58" i="11"/>
  <c r="N35" i="32"/>
  <c r="D32" i="33"/>
  <c r="S25" i="22" s="1"/>
  <c r="I36" i="32"/>
  <c r="F36" i="32"/>
  <c r="N36" i="32" s="1"/>
  <c r="A35" i="7"/>
  <c r="O35" i="7"/>
  <c r="N34" i="7"/>
  <c r="N47" i="10" l="1"/>
  <c r="A46" i="10"/>
  <c r="A38" i="9"/>
  <c r="N39" i="9"/>
  <c r="A40" i="11"/>
  <c r="N41" i="11"/>
  <c r="F37" i="32"/>
  <c r="D33" i="33"/>
  <c r="S26" i="22" s="1"/>
  <c r="I37" i="32"/>
  <c r="N33" i="7"/>
  <c r="O34" i="7"/>
  <c r="A34" i="7"/>
  <c r="A37" i="9" l="1"/>
  <c r="N38" i="9"/>
  <c r="N46" i="10"/>
  <c r="A45" i="10"/>
  <c r="A39" i="11"/>
  <c r="N40" i="11"/>
  <c r="F38" i="32"/>
  <c r="D34" i="33"/>
  <c r="S27" i="22" s="1"/>
  <c r="I38" i="32"/>
  <c r="N37" i="32"/>
  <c r="N32" i="7"/>
  <c r="O33" i="7"/>
  <c r="A33" i="7"/>
  <c r="A44" i="10" l="1"/>
  <c r="N45" i="10"/>
  <c r="N37" i="9"/>
  <c r="A36" i="9"/>
  <c r="I43" i="11"/>
  <c r="I51" i="11"/>
  <c r="I55" i="11"/>
  <c r="I59" i="11"/>
  <c r="I46" i="11"/>
  <c r="I41" i="11"/>
  <c r="H53" i="11"/>
  <c r="I49" i="11"/>
  <c r="I50" i="11"/>
  <c r="H52" i="11"/>
  <c r="H50" i="11"/>
  <c r="H41" i="11"/>
  <c r="H49" i="11"/>
  <c r="H44" i="11"/>
  <c r="I54" i="11"/>
  <c r="H48" i="11"/>
  <c r="I45" i="11"/>
  <c r="I47" i="11"/>
  <c r="H55" i="11"/>
  <c r="I44" i="11"/>
  <c r="H40" i="11"/>
  <c r="I58" i="11"/>
  <c r="H54" i="11"/>
  <c r="I40" i="11"/>
  <c r="H43" i="11"/>
  <c r="H47" i="11"/>
  <c r="H46" i="11"/>
  <c r="I52" i="11"/>
  <c r="I42" i="11"/>
  <c r="H51" i="11"/>
  <c r="H45" i="11"/>
  <c r="H59" i="11"/>
  <c r="I53" i="11"/>
  <c r="H42" i="11"/>
  <c r="I48" i="11"/>
  <c r="N39" i="11"/>
  <c r="A38" i="11"/>
  <c r="I39" i="32"/>
  <c r="D35" i="33"/>
  <c r="S28" i="22" s="1"/>
  <c r="F39" i="32"/>
  <c r="N39" i="32" s="1"/>
  <c r="N38" i="32"/>
  <c r="A32" i="7"/>
  <c r="N31" i="7"/>
  <c r="O32" i="7"/>
  <c r="A35" i="9" l="1"/>
  <c r="N36" i="9"/>
  <c r="N44" i="10"/>
  <c r="A43" i="10"/>
  <c r="N38" i="11"/>
  <c r="A37" i="11"/>
  <c r="H58" i="11"/>
  <c r="D36" i="33"/>
  <c r="S29" i="22" s="1"/>
  <c r="F40" i="32"/>
  <c r="O31" i="7"/>
  <c r="A31" i="7"/>
  <c r="N30" i="7"/>
  <c r="N43" i="10" l="1"/>
  <c r="A42" i="10"/>
  <c r="A34" i="9"/>
  <c r="N35" i="9"/>
  <c r="A36" i="11"/>
  <c r="N37" i="11"/>
  <c r="D37" i="33"/>
  <c r="S30" i="22" s="1"/>
  <c r="I40" i="32"/>
  <c r="N40" i="32" s="1"/>
  <c r="N29" i="7"/>
  <c r="A30" i="7"/>
  <c r="O30" i="7"/>
  <c r="A33" i="9" l="1"/>
  <c r="N34" i="9"/>
  <c r="A41" i="10"/>
  <c r="N42" i="10"/>
  <c r="N36" i="11"/>
  <c r="A35" i="11"/>
  <c r="F42" i="32"/>
  <c r="D38" i="33"/>
  <c r="S31" i="22" s="1"/>
  <c r="I41" i="32"/>
  <c r="F41" i="32"/>
  <c r="N28" i="7"/>
  <c r="O29" i="7"/>
  <c r="A29" i="7"/>
  <c r="N41" i="10" l="1"/>
  <c r="A40" i="10"/>
  <c r="A32" i="9"/>
  <c r="N33" i="9"/>
  <c r="A34" i="11"/>
  <c r="N35" i="11"/>
  <c r="G50" i="11"/>
  <c r="G45" i="11"/>
  <c r="G43" i="11"/>
  <c r="F45" i="11"/>
  <c r="F47" i="11"/>
  <c r="F53" i="11"/>
  <c r="F54" i="11"/>
  <c r="F42" i="11"/>
  <c r="G51" i="11"/>
  <c r="G39" i="11"/>
  <c r="G42" i="11"/>
  <c r="F51" i="11"/>
  <c r="F39" i="11"/>
  <c r="G44" i="11"/>
  <c r="F37" i="11"/>
  <c r="F36" i="11"/>
  <c r="G41" i="11"/>
  <c r="G40" i="11"/>
  <c r="G53" i="11"/>
  <c r="F44" i="11"/>
  <c r="F50" i="11"/>
  <c r="F46" i="11"/>
  <c r="G36" i="11"/>
  <c r="G48" i="11"/>
  <c r="F48" i="11"/>
  <c r="G47" i="11"/>
  <c r="F41" i="11"/>
  <c r="G59" i="11"/>
  <c r="G37" i="11"/>
  <c r="F52" i="11"/>
  <c r="G52" i="11"/>
  <c r="G58" i="11"/>
  <c r="G28" i="8" s="1"/>
  <c r="G30" i="8" s="1"/>
  <c r="F40" i="11"/>
  <c r="G54" i="11"/>
  <c r="F59" i="11"/>
  <c r="F55" i="11"/>
  <c r="F58" i="11" s="1"/>
  <c r="F43" i="11"/>
  <c r="G49" i="11"/>
  <c r="F38" i="11"/>
  <c r="G55" i="11"/>
  <c r="F49" i="11"/>
  <c r="G46" i="11"/>
  <c r="G38" i="11"/>
  <c r="N41" i="32"/>
  <c r="F43" i="32"/>
  <c r="I42" i="32"/>
  <c r="N42" i="32" s="1"/>
  <c r="D39" i="33"/>
  <c r="S32" i="22" s="1"/>
  <c r="A28" i="7"/>
  <c r="O28" i="7"/>
  <c r="N27" i="7"/>
  <c r="N32" i="9" l="1"/>
  <c r="A31" i="9"/>
  <c r="N40" i="10"/>
  <c r="A39" i="10"/>
  <c r="N34" i="11"/>
  <c r="A33" i="11"/>
  <c r="D40" i="33"/>
  <c r="S33" i="22" s="1"/>
  <c r="F44" i="32"/>
  <c r="I44" i="32"/>
  <c r="I43" i="32"/>
  <c r="N43" i="32" s="1"/>
  <c r="O27" i="7"/>
  <c r="A27" i="7"/>
  <c r="N26" i="7"/>
  <c r="A38" i="10" l="1"/>
  <c r="N39" i="10"/>
  <c r="N31" i="9"/>
  <c r="A30" i="9"/>
  <c r="N33" i="11"/>
  <c r="A32" i="11"/>
  <c r="N44" i="32"/>
  <c r="F45" i="32"/>
  <c r="I45" i="32"/>
  <c r="D41" i="33"/>
  <c r="S34" i="22" s="1"/>
  <c r="N25" i="7"/>
  <c r="A26" i="7"/>
  <c r="O26" i="7"/>
  <c r="N30" i="9" l="1"/>
  <c r="A29" i="9"/>
  <c r="A37" i="10"/>
  <c r="N38" i="10"/>
  <c r="A31" i="11"/>
  <c r="N32" i="11"/>
  <c r="D42" i="33"/>
  <c r="S35" i="22" s="1"/>
  <c r="I46" i="32"/>
  <c r="F46" i="32"/>
  <c r="N45" i="32"/>
  <c r="O25" i="7"/>
  <c r="N24" i="7"/>
  <c r="A25" i="7"/>
  <c r="A36" i="10" l="1"/>
  <c r="N37" i="10"/>
  <c r="N29" i="9"/>
  <c r="A28" i="9"/>
  <c r="N31" i="11"/>
  <c r="A30" i="11"/>
  <c r="N46" i="32"/>
  <c r="D43" i="33"/>
  <c r="S36" i="22" s="1"/>
  <c r="F47" i="32"/>
  <c r="I47" i="32"/>
  <c r="A24" i="7"/>
  <c r="O24" i="7"/>
  <c r="N23" i="7"/>
  <c r="A27" i="9" l="1"/>
  <c r="N28" i="9"/>
  <c r="N36" i="10"/>
  <c r="A35" i="10"/>
  <c r="A29" i="11"/>
  <c r="N30" i="11"/>
  <c r="N47" i="32"/>
  <c r="F48" i="32"/>
  <c r="I48" i="32"/>
  <c r="D44" i="33"/>
  <c r="S37" i="22" s="1"/>
  <c r="N22" i="7"/>
  <c r="O23" i="7"/>
  <c r="A23" i="7"/>
  <c r="N35" i="10" l="1"/>
  <c r="A34" i="10"/>
  <c r="N27" i="9"/>
  <c r="A26" i="9"/>
  <c r="N29" i="11"/>
  <c r="A28" i="11"/>
  <c r="D45" i="33"/>
  <c r="S38" i="22" s="1"/>
  <c r="F49" i="32"/>
  <c r="N48" i="32"/>
  <c r="O22" i="7"/>
  <c r="A22" i="7"/>
  <c r="N21" i="7"/>
  <c r="N26" i="9" l="1"/>
  <c r="A25" i="9"/>
  <c r="A33" i="10"/>
  <c r="N34" i="10"/>
  <c r="A27" i="11"/>
  <c r="N28" i="11"/>
  <c r="I49" i="32"/>
  <c r="N49" i="32" s="1"/>
  <c r="F50" i="32"/>
  <c r="D46" i="33"/>
  <c r="A21" i="7"/>
  <c r="O21" i="7"/>
  <c r="N20" i="7"/>
  <c r="D47" i="33" l="1"/>
  <c r="S39" i="22"/>
  <c r="A32" i="10"/>
  <c r="N33" i="10"/>
  <c r="A24" i="9"/>
  <c r="N25" i="9"/>
  <c r="N27" i="11"/>
  <c r="A26" i="11"/>
  <c r="F51" i="32"/>
  <c r="I50" i="32"/>
  <c r="N50" i="32"/>
  <c r="N19" i="7"/>
  <c r="O20" i="7"/>
  <c r="A20" i="7"/>
  <c r="D48" i="33" l="1"/>
  <c r="S40" i="22"/>
  <c r="N24" i="9"/>
  <c r="A23" i="9"/>
  <c r="N32" i="10"/>
  <c r="A31" i="10"/>
  <c r="A25" i="11"/>
  <c r="N26" i="11"/>
  <c r="I51" i="32"/>
  <c r="N51" i="32" s="1"/>
  <c r="F52" i="32"/>
  <c r="I55" i="32"/>
  <c r="N55" i="32" s="1"/>
  <c r="N18" i="7"/>
  <c r="O19" i="7"/>
  <c r="A19" i="7"/>
  <c r="F53" i="32" l="1"/>
  <c r="I53" i="32" s="1"/>
  <c r="N53" i="32" s="1"/>
  <c r="O53" i="32" s="1"/>
  <c r="D39" i="31" s="1"/>
  <c r="E39" i="31" s="1"/>
  <c r="S41" i="22"/>
  <c r="A30" i="10"/>
  <c r="N31" i="10"/>
  <c r="N23" i="9"/>
  <c r="A22" i="9"/>
  <c r="N25" i="11"/>
  <c r="A24" i="11"/>
  <c r="O31" i="32"/>
  <c r="D17" i="31" s="1"/>
  <c r="E17" i="31" s="1"/>
  <c r="O37" i="32"/>
  <c r="D23" i="31" s="1"/>
  <c r="E23" i="31" s="1"/>
  <c r="O17" i="32"/>
  <c r="O32" i="32"/>
  <c r="D18" i="31" s="1"/>
  <c r="E18" i="31" s="1"/>
  <c r="O19" i="32"/>
  <c r="O34" i="32"/>
  <c r="D20" i="31" s="1"/>
  <c r="E20" i="31" s="1"/>
  <c r="O33" i="32"/>
  <c r="D19" i="31" s="1"/>
  <c r="E19" i="31" s="1"/>
  <c r="O45" i="32"/>
  <c r="D31" i="31" s="1"/>
  <c r="E31" i="31" s="1"/>
  <c r="O35" i="32"/>
  <c r="D21" i="31" s="1"/>
  <c r="E21" i="31" s="1"/>
  <c r="O49" i="32"/>
  <c r="D35" i="31" s="1"/>
  <c r="E35" i="31" s="1"/>
  <c r="O51" i="32"/>
  <c r="D37" i="31" s="1"/>
  <c r="E37" i="31" s="1"/>
  <c r="O44" i="32"/>
  <c r="D30" i="31" s="1"/>
  <c r="E30" i="31" s="1"/>
  <c r="O48" i="32"/>
  <c r="D34" i="31" s="1"/>
  <c r="E34" i="31" s="1"/>
  <c r="O28" i="32"/>
  <c r="D14" i="31" s="1"/>
  <c r="E14" i="31" s="1"/>
  <c r="O42" i="32"/>
  <c r="D28" i="31" s="1"/>
  <c r="E28" i="31" s="1"/>
  <c r="O26" i="32"/>
  <c r="O21" i="32"/>
  <c r="O24" i="32"/>
  <c r="O20" i="32"/>
  <c r="O29" i="32"/>
  <c r="D15" i="31" s="1"/>
  <c r="E15" i="31" s="1"/>
  <c r="O41" i="32"/>
  <c r="D27" i="31" s="1"/>
  <c r="E27" i="31" s="1"/>
  <c r="O40" i="32"/>
  <c r="D26" i="31" s="1"/>
  <c r="E26" i="31" s="1"/>
  <c r="O27" i="32"/>
  <c r="O25" i="32"/>
  <c r="O38" i="32"/>
  <c r="D24" i="31" s="1"/>
  <c r="E24" i="31" s="1"/>
  <c r="O18" i="32"/>
  <c r="O14" i="32"/>
  <c r="O15" i="32"/>
  <c r="O46" i="32"/>
  <c r="D32" i="31" s="1"/>
  <c r="E32" i="31" s="1"/>
  <c r="O16" i="32"/>
  <c r="O23" i="32"/>
  <c r="O50" i="32"/>
  <c r="D36" i="31" s="1"/>
  <c r="E36" i="31" s="1"/>
  <c r="O30" i="32"/>
  <c r="D16" i="31" s="1"/>
  <c r="E16" i="31" s="1"/>
  <c r="F17" i="31" s="1"/>
  <c r="O47" i="32"/>
  <c r="D33" i="31" s="1"/>
  <c r="E33" i="31" s="1"/>
  <c r="O36" i="32"/>
  <c r="D22" i="31" s="1"/>
  <c r="E22" i="31" s="1"/>
  <c r="O39" i="32"/>
  <c r="D25" i="31" s="1"/>
  <c r="E25" i="31" s="1"/>
  <c r="O22" i="32"/>
  <c r="O43" i="32"/>
  <c r="D29" i="31" s="1"/>
  <c r="E29" i="31" s="1"/>
  <c r="I52" i="32"/>
  <c r="N52" i="32" s="1"/>
  <c r="O52" i="32" s="1"/>
  <c r="D38" i="31" s="1"/>
  <c r="E38" i="31" s="1"/>
  <c r="N17" i="7"/>
  <c r="O18" i="7"/>
  <c r="A18" i="7"/>
  <c r="F39" i="31" l="1"/>
  <c r="G23" i="2" s="1"/>
  <c r="BD43" i="22"/>
  <c r="AO42" i="22"/>
  <c r="BF42" i="22"/>
  <c r="AE42" i="22"/>
  <c r="P55" i="22" s="1"/>
  <c r="AH42" i="22"/>
  <c r="P58" i="22" s="1"/>
  <c r="AC42" i="22"/>
  <c r="X42" i="22"/>
  <c r="P48" i="22" s="1"/>
  <c r="U42" i="22"/>
  <c r="P45" i="22" s="1"/>
  <c r="V42" i="22"/>
  <c r="P46" i="22" s="1"/>
  <c r="AX42" i="22"/>
  <c r="AJ42" i="22"/>
  <c r="P60" i="22" s="1"/>
  <c r="AM42" i="22"/>
  <c r="P63" i="22" s="1"/>
  <c r="AP42" i="22"/>
  <c r="P66" i="22" s="1"/>
  <c r="AK42" i="22"/>
  <c r="AD42" i="22"/>
  <c r="P54" i="22" s="1"/>
  <c r="BA42" i="22"/>
  <c r="P77" i="22" s="1"/>
  <c r="AS42" i="22"/>
  <c r="Z42" i="22"/>
  <c r="P50" i="22" s="1"/>
  <c r="AV42" i="22"/>
  <c r="P72" i="22" s="1"/>
  <c r="Y42" i="22"/>
  <c r="BD42" i="22"/>
  <c r="P80" i="22" s="1"/>
  <c r="AN42" i="22"/>
  <c r="P64" i="22" s="1"/>
  <c r="AL42" i="22"/>
  <c r="P62" i="22" s="1"/>
  <c r="AI42" i="22"/>
  <c r="P59" i="22" s="1"/>
  <c r="BG42" i="22"/>
  <c r="P83" i="22" s="1"/>
  <c r="AW42" i="22"/>
  <c r="P73" i="22" s="1"/>
  <c r="AF42" i="22"/>
  <c r="P56" i="22" s="1"/>
  <c r="BB42" i="22"/>
  <c r="AR42" i="22"/>
  <c r="P68" i="22" s="1"/>
  <c r="AA42" i="22"/>
  <c r="P51" i="22" s="1"/>
  <c r="AT42" i="22"/>
  <c r="P70" i="22" s="1"/>
  <c r="BC42" i="22"/>
  <c r="P79" i="22" s="1"/>
  <c r="BE42" i="22"/>
  <c r="P81" i="22" s="1"/>
  <c r="AG42" i="22"/>
  <c r="AU42" i="22"/>
  <c r="AZ42" i="22"/>
  <c r="P76" i="22" s="1"/>
  <c r="AB42" i="22"/>
  <c r="P52" i="22" s="1"/>
  <c r="W42" i="22"/>
  <c r="P47" i="22" s="1"/>
  <c r="T42" i="22"/>
  <c r="P44" i="22" s="1"/>
  <c r="AY42" i="22"/>
  <c r="P75" i="22" s="1"/>
  <c r="AQ42" i="22"/>
  <c r="P67" i="22" s="1"/>
  <c r="E41" i="31"/>
  <c r="F33" i="31"/>
  <c r="G17" i="2" s="1"/>
  <c r="A21" i="9"/>
  <c r="N22" i="9"/>
  <c r="N30" i="10"/>
  <c r="A29" i="10"/>
  <c r="A23" i="11"/>
  <c r="N24" i="11"/>
  <c r="F21" i="31"/>
  <c r="F28" i="31"/>
  <c r="F25" i="31"/>
  <c r="F36" i="31"/>
  <c r="G20" i="2" s="1"/>
  <c r="F35" i="31"/>
  <c r="G19" i="2" s="1"/>
  <c r="F24" i="31"/>
  <c r="F26" i="31"/>
  <c r="F37" i="31"/>
  <c r="G21" i="2" s="1"/>
  <c r="F16" i="31"/>
  <c r="F30" i="31"/>
  <c r="G14" i="2" s="1"/>
  <c r="F31" i="31"/>
  <c r="G15" i="2" s="1"/>
  <c r="F22" i="31"/>
  <c r="F18" i="31"/>
  <c r="F23" i="31"/>
  <c r="F29" i="31"/>
  <c r="F32" i="31"/>
  <c r="G16" i="2" s="1"/>
  <c r="F19" i="31"/>
  <c r="F34" i="31"/>
  <c r="G18" i="2" s="1"/>
  <c r="F27" i="31"/>
  <c r="F14" i="31"/>
  <c r="F15" i="31"/>
  <c r="F38" i="31"/>
  <c r="G22" i="2" s="1"/>
  <c r="F20" i="31"/>
  <c r="O17" i="7"/>
  <c r="N16" i="7"/>
  <c r="A17" i="7"/>
  <c r="L25" i="43" l="1"/>
  <c r="AH43" i="22"/>
  <c r="AV43" i="22"/>
  <c r="V43" i="22"/>
  <c r="BG43" i="22"/>
  <c r="AG43" i="22"/>
  <c r="P57" i="22"/>
  <c r="Q57" i="22" s="1"/>
  <c r="AK43" i="22"/>
  <c r="P61" i="22"/>
  <c r="Q61" i="22" s="1"/>
  <c r="AX43" i="22"/>
  <c r="P74" i="22"/>
  <c r="Q74" i="22" s="1"/>
  <c r="AC43" i="22"/>
  <c r="P53" i="22"/>
  <c r="AO43" i="22"/>
  <c r="P65" i="22"/>
  <c r="Q65" i="22" s="1"/>
  <c r="AW43" i="22"/>
  <c r="Z43" i="22"/>
  <c r="Q43" i="22"/>
  <c r="Q62" i="22"/>
  <c r="Q79" i="22"/>
  <c r="Q59" i="22"/>
  <c r="Q76" i="22"/>
  <c r="Q60" i="22"/>
  <c r="Q77" i="22"/>
  <c r="Q48" i="22"/>
  <c r="Q46" i="22"/>
  <c r="Q66" i="22"/>
  <c r="Q83" i="22"/>
  <c r="Q63" i="22"/>
  <c r="Q80" i="22"/>
  <c r="Q64" i="22"/>
  <c r="Q81" i="22"/>
  <c r="Q47" i="22"/>
  <c r="Q45" i="22"/>
  <c r="Q54" i="22"/>
  <c r="Q70" i="22"/>
  <c r="Q51" i="22"/>
  <c r="Q67" i="22"/>
  <c r="Q52" i="22"/>
  <c r="Q68" i="22"/>
  <c r="Q53" i="22"/>
  <c r="Q44" i="22"/>
  <c r="Q58" i="22"/>
  <c r="Q75" i="22"/>
  <c r="Q55" i="22"/>
  <c r="Q72" i="22"/>
  <c r="Q56" i="22"/>
  <c r="Q73" i="22"/>
  <c r="Q50" i="22"/>
  <c r="AS43" i="22"/>
  <c r="P69" i="22"/>
  <c r="Q69" i="22" s="1"/>
  <c r="AL43" i="22"/>
  <c r="AB43" i="22"/>
  <c r="AI43" i="22"/>
  <c r="AD43" i="22"/>
  <c r="AJ43" i="22"/>
  <c r="AY43" i="22"/>
  <c r="AN43" i="22"/>
  <c r="T43" i="22"/>
  <c r="BB43" i="22"/>
  <c r="P78" i="22"/>
  <c r="Q78" i="22" s="1"/>
  <c r="Y43" i="22"/>
  <c r="P49" i="22"/>
  <c r="Q49" i="22" s="1"/>
  <c r="BC43" i="22"/>
  <c r="AR43" i="22"/>
  <c r="AZ43" i="22"/>
  <c r="AT43" i="22"/>
  <c r="BA43" i="22"/>
  <c r="AA43" i="22"/>
  <c r="BE43" i="22"/>
  <c r="W43" i="22"/>
  <c r="AU43" i="22"/>
  <c r="P71" i="22"/>
  <c r="Q71" i="22" s="1"/>
  <c r="BF43" i="22"/>
  <c r="P82" i="22"/>
  <c r="Q82" i="22" s="1"/>
  <c r="AE43" i="22"/>
  <c r="AP43" i="22"/>
  <c r="AF43" i="22"/>
  <c r="AM43" i="22"/>
  <c r="X43" i="22"/>
  <c r="AQ43" i="22"/>
  <c r="U43" i="22"/>
  <c r="G26" i="2"/>
  <c r="D30" i="43"/>
  <c r="D32" i="43" s="1"/>
  <c r="D34" i="43" s="1"/>
  <c r="A28" i="10"/>
  <c r="N29" i="10"/>
  <c r="N21" i="9"/>
  <c r="A20" i="9"/>
  <c r="A22" i="11"/>
  <c r="N23" i="11"/>
  <c r="F41" i="31"/>
  <c r="N15" i="7"/>
  <c r="A16" i="7"/>
  <c r="O16" i="7"/>
  <c r="P39" i="24" l="1"/>
  <c r="F36" i="24" s="1"/>
  <c r="H36" i="24" s="1"/>
  <c r="E36" i="21" s="1"/>
  <c r="P38" i="25"/>
  <c r="P39" i="23"/>
  <c r="F36" i="23" s="1"/>
  <c r="H36" i="23" s="1"/>
  <c r="D36" i="21" s="1"/>
  <c r="F36" i="22"/>
  <c r="H36" i="22" s="1"/>
  <c r="C36" i="21" s="1"/>
  <c r="P25" i="24"/>
  <c r="P25" i="23"/>
  <c r="P24" i="25"/>
  <c r="P23" i="23"/>
  <c r="P23" i="24"/>
  <c r="P22" i="25"/>
  <c r="P21" i="24"/>
  <c r="P21" i="23"/>
  <c r="P20" i="25"/>
  <c r="P17" i="24"/>
  <c r="P17" i="23"/>
  <c r="P16" i="25"/>
  <c r="P33" i="23"/>
  <c r="F30" i="23" s="1"/>
  <c r="H30" i="23" s="1"/>
  <c r="D30" i="21" s="1"/>
  <c r="P33" i="24"/>
  <c r="F30" i="24" s="1"/>
  <c r="H30" i="24" s="1"/>
  <c r="E30" i="21" s="1"/>
  <c r="P32" i="25"/>
  <c r="F30" i="22"/>
  <c r="H30" i="22" s="1"/>
  <c r="C30" i="21" s="1"/>
  <c r="P17" i="25"/>
  <c r="P18" i="24"/>
  <c r="P18" i="23"/>
  <c r="P29" i="24"/>
  <c r="F26" i="24" s="1"/>
  <c r="H26" i="24" s="1"/>
  <c r="E26" i="21" s="1"/>
  <c r="P29" i="23"/>
  <c r="F26" i="23" s="1"/>
  <c r="H26" i="23" s="1"/>
  <c r="D26" i="21" s="1"/>
  <c r="P28" i="25"/>
  <c r="F26" i="25" s="1"/>
  <c r="H26" i="25" s="1"/>
  <c r="F26" i="21" s="1"/>
  <c r="F26" i="22"/>
  <c r="P31" i="23"/>
  <c r="F28" i="23" s="1"/>
  <c r="H28" i="23" s="1"/>
  <c r="D28" i="21" s="1"/>
  <c r="P31" i="24"/>
  <c r="F28" i="24" s="1"/>
  <c r="H28" i="24" s="1"/>
  <c r="E28" i="21" s="1"/>
  <c r="P30" i="25"/>
  <c r="F28" i="25" s="1"/>
  <c r="H28" i="25" s="1"/>
  <c r="F28" i="21" s="1"/>
  <c r="F28" i="22"/>
  <c r="P51" i="25"/>
  <c r="P52" i="23"/>
  <c r="P52" i="24"/>
  <c r="P42" i="25"/>
  <c r="P43" i="23"/>
  <c r="F40" i="23" s="1"/>
  <c r="H40" i="23" s="1"/>
  <c r="D40" i="21" s="1"/>
  <c r="P43" i="24"/>
  <c r="F40" i="24" s="1"/>
  <c r="H40" i="24" s="1"/>
  <c r="E40" i="21" s="1"/>
  <c r="F40" i="22"/>
  <c r="H40" i="22" s="1"/>
  <c r="C40" i="21" s="1"/>
  <c r="P45" i="24"/>
  <c r="P44" i="25"/>
  <c r="P45" i="23"/>
  <c r="P38" i="23"/>
  <c r="F35" i="23" s="1"/>
  <c r="H35" i="23" s="1"/>
  <c r="D35" i="21" s="1"/>
  <c r="P38" i="24"/>
  <c r="F35" i="24" s="1"/>
  <c r="H35" i="24" s="1"/>
  <c r="E35" i="21" s="1"/>
  <c r="P37" i="25"/>
  <c r="F35" i="22"/>
  <c r="H35" i="22" s="1"/>
  <c r="C35" i="21" s="1"/>
  <c r="P39" i="25"/>
  <c r="P40" i="23"/>
  <c r="F37" i="23" s="1"/>
  <c r="H37" i="23" s="1"/>
  <c r="D37" i="21" s="1"/>
  <c r="P40" i="24"/>
  <c r="F37" i="24" s="1"/>
  <c r="H37" i="24" s="1"/>
  <c r="E37" i="21" s="1"/>
  <c r="F37" i="22"/>
  <c r="H37" i="22" s="1"/>
  <c r="C37" i="21" s="1"/>
  <c r="P50" i="25"/>
  <c r="P51" i="23"/>
  <c r="P51" i="24"/>
  <c r="P52" i="25"/>
  <c r="P53" i="23"/>
  <c r="P53" i="24"/>
  <c r="P47" i="23"/>
  <c r="P47" i="24"/>
  <c r="P46" i="25"/>
  <c r="P48" i="25"/>
  <c r="P49" i="23"/>
  <c r="P49" i="24"/>
  <c r="P19" i="23"/>
  <c r="P19" i="24"/>
  <c r="P18" i="25"/>
  <c r="P25" i="25"/>
  <c r="P26" i="24"/>
  <c r="P26" i="23"/>
  <c r="P23" i="25"/>
  <c r="P24" i="23"/>
  <c r="P24" i="24"/>
  <c r="P34" i="23"/>
  <c r="F31" i="23" s="1"/>
  <c r="H31" i="23" s="1"/>
  <c r="D31" i="21" s="1"/>
  <c r="P34" i="24"/>
  <c r="F31" i="24" s="1"/>
  <c r="H31" i="24" s="1"/>
  <c r="E31" i="21" s="1"/>
  <c r="P33" i="25"/>
  <c r="F31" i="22"/>
  <c r="H31" i="22" s="1"/>
  <c r="C31" i="21" s="1"/>
  <c r="P36" i="23"/>
  <c r="F33" i="23" s="1"/>
  <c r="H33" i="23" s="1"/>
  <c r="D33" i="21" s="1"/>
  <c r="P36" i="24"/>
  <c r="F33" i="24" s="1"/>
  <c r="H33" i="24" s="1"/>
  <c r="E33" i="21" s="1"/>
  <c r="P35" i="25"/>
  <c r="F33" i="22"/>
  <c r="H33" i="22" s="1"/>
  <c r="C33" i="21" s="1"/>
  <c r="P29" i="25"/>
  <c r="F27" i="25" s="1"/>
  <c r="H27" i="25" s="1"/>
  <c r="F27" i="21" s="1"/>
  <c r="P30" i="24"/>
  <c r="F27" i="24" s="1"/>
  <c r="H27" i="24" s="1"/>
  <c r="E27" i="21" s="1"/>
  <c r="P30" i="23"/>
  <c r="F27" i="23" s="1"/>
  <c r="H27" i="23" s="1"/>
  <c r="D27" i="21" s="1"/>
  <c r="F27" i="22"/>
  <c r="P32" i="24"/>
  <c r="F29" i="24" s="1"/>
  <c r="H29" i="24" s="1"/>
  <c r="E29" i="21" s="1"/>
  <c r="P31" i="25"/>
  <c r="P32" i="23"/>
  <c r="F29" i="23" s="1"/>
  <c r="H29" i="23" s="1"/>
  <c r="D29" i="21" s="1"/>
  <c r="F29" i="22"/>
  <c r="H29" i="22" s="1"/>
  <c r="C29" i="21" s="1"/>
  <c r="P35" i="24"/>
  <c r="F32" i="24" s="1"/>
  <c r="H32" i="24" s="1"/>
  <c r="E32" i="21" s="1"/>
  <c r="P34" i="25"/>
  <c r="P35" i="23"/>
  <c r="F32" i="23" s="1"/>
  <c r="H32" i="23" s="1"/>
  <c r="D32" i="21" s="1"/>
  <c r="F32" i="22"/>
  <c r="H32" i="22" s="1"/>
  <c r="C32" i="21" s="1"/>
  <c r="P44" i="24"/>
  <c r="P43" i="25"/>
  <c r="P44" i="23"/>
  <c r="P27" i="23"/>
  <c r="F24" i="23" s="1"/>
  <c r="H24" i="23" s="1"/>
  <c r="D24" i="21" s="1"/>
  <c r="P27" i="24"/>
  <c r="F24" i="24" s="1"/>
  <c r="H24" i="24" s="1"/>
  <c r="E24" i="21" s="1"/>
  <c r="P26" i="25"/>
  <c r="F24" i="25" s="1"/>
  <c r="H24" i="25" s="1"/>
  <c r="F24" i="21" s="1"/>
  <c r="P27" i="25"/>
  <c r="F25" i="25" s="1"/>
  <c r="H25" i="25" s="1"/>
  <c r="F25" i="21" s="1"/>
  <c r="P28" i="23"/>
  <c r="F25" i="23" s="1"/>
  <c r="H25" i="23" s="1"/>
  <c r="D25" i="21" s="1"/>
  <c r="P28" i="24"/>
  <c r="F25" i="24" s="1"/>
  <c r="H25" i="24" s="1"/>
  <c r="E25" i="21" s="1"/>
  <c r="F25" i="22"/>
  <c r="P21" i="25"/>
  <c r="P22" i="24"/>
  <c r="P22" i="23"/>
  <c r="P41" i="23"/>
  <c r="F38" i="23" s="1"/>
  <c r="H38" i="23" s="1"/>
  <c r="D38" i="21" s="1"/>
  <c r="P41" i="24"/>
  <c r="F38" i="24" s="1"/>
  <c r="H38" i="24" s="1"/>
  <c r="E38" i="21" s="1"/>
  <c r="P40" i="25"/>
  <c r="F38" i="22"/>
  <c r="H38" i="22" s="1"/>
  <c r="C38" i="21" s="1"/>
  <c r="P48" i="23"/>
  <c r="P48" i="24"/>
  <c r="P47" i="25"/>
  <c r="P19" i="25"/>
  <c r="P20" i="23"/>
  <c r="P20" i="24"/>
  <c r="P42" i="24"/>
  <c r="F39" i="24" s="1"/>
  <c r="H39" i="24" s="1"/>
  <c r="E39" i="21" s="1"/>
  <c r="P41" i="25"/>
  <c r="P42" i="23"/>
  <c r="F39" i="23" s="1"/>
  <c r="H39" i="23" s="1"/>
  <c r="D39" i="21" s="1"/>
  <c r="F39" i="22"/>
  <c r="H39" i="22" s="1"/>
  <c r="C39" i="21" s="1"/>
  <c r="P36" i="25"/>
  <c r="P37" i="23"/>
  <c r="F34" i="23" s="1"/>
  <c r="H34" i="23" s="1"/>
  <c r="D34" i="21" s="1"/>
  <c r="P37" i="24"/>
  <c r="F34" i="24" s="1"/>
  <c r="H34" i="24" s="1"/>
  <c r="E34" i="21" s="1"/>
  <c r="F34" i="22"/>
  <c r="H34" i="22" s="1"/>
  <c r="C34" i="21" s="1"/>
  <c r="P50" i="24"/>
  <c r="P49" i="25"/>
  <c r="P50" i="23"/>
  <c r="P45" i="25"/>
  <c r="P46" i="23"/>
  <c r="P46" i="24"/>
  <c r="N20" i="9"/>
  <c r="A19" i="9"/>
  <c r="E27" i="9"/>
  <c r="D37" i="9"/>
  <c r="E26" i="9"/>
  <c r="D53" i="9"/>
  <c r="E44" i="9"/>
  <c r="D35" i="9"/>
  <c r="D44" i="9"/>
  <c r="E38" i="9"/>
  <c r="C28" i="8"/>
  <c r="D36" i="9"/>
  <c r="E53" i="9"/>
  <c r="D45" i="9"/>
  <c r="D46" i="9"/>
  <c r="E32" i="9"/>
  <c r="E22" i="9"/>
  <c r="D27" i="9"/>
  <c r="D32" i="9"/>
  <c r="D57" i="9"/>
  <c r="E30" i="9"/>
  <c r="E36" i="9"/>
  <c r="D49" i="9"/>
  <c r="D41" i="9"/>
  <c r="E31" i="9"/>
  <c r="E48" i="9"/>
  <c r="D43" i="9"/>
  <c r="E33" i="9"/>
  <c r="E41" i="9"/>
  <c r="E52" i="9"/>
  <c r="D48" i="9"/>
  <c r="E39" i="9"/>
  <c r="D21" i="9"/>
  <c r="D47" i="9"/>
  <c r="D34" i="9"/>
  <c r="E34" i="9"/>
  <c r="E40" i="9"/>
  <c r="D31" i="9"/>
  <c r="E46" i="9"/>
  <c r="D51" i="9"/>
  <c r="E43" i="9"/>
  <c r="D26" i="9"/>
  <c r="E29" i="9"/>
  <c r="D29" i="9"/>
  <c r="D52" i="9"/>
  <c r="E23" i="9"/>
  <c r="E49" i="9"/>
  <c r="E37" i="9"/>
  <c r="E21" i="9"/>
  <c r="D33" i="9"/>
  <c r="E24" i="9"/>
  <c r="E45" i="9"/>
  <c r="D50" i="9"/>
  <c r="E50" i="9"/>
  <c r="D30" i="9"/>
  <c r="D28" i="9"/>
  <c r="E57" i="9"/>
  <c r="E42" i="9"/>
  <c r="D42" i="9"/>
  <c r="D38" i="9"/>
  <c r="E51" i="9"/>
  <c r="D24" i="9"/>
  <c r="E47" i="9"/>
  <c r="E28" i="9"/>
  <c r="D23" i="9"/>
  <c r="D25" i="9"/>
  <c r="D40" i="9"/>
  <c r="D22" i="9"/>
  <c r="E35" i="9"/>
  <c r="E25" i="9"/>
  <c r="D39" i="9"/>
  <c r="A27" i="10"/>
  <c r="N28" i="10"/>
  <c r="A21" i="11"/>
  <c r="N22" i="11"/>
  <c r="A15" i="7"/>
  <c r="O15" i="7"/>
  <c r="N14" i="7"/>
  <c r="F14" i="25" l="1"/>
  <c r="F14" i="24"/>
  <c r="F15" i="24"/>
  <c r="H15" i="24" s="1"/>
  <c r="E15" i="21" s="1"/>
  <c r="F23" i="23"/>
  <c r="F14" i="23"/>
  <c r="H14" i="23" s="1"/>
  <c r="D14" i="21" s="1"/>
  <c r="H25" i="22"/>
  <c r="C25" i="21" s="1"/>
  <c r="G25" i="21" s="1"/>
  <c r="H25" i="21" s="1"/>
  <c r="G36" i="20" s="1"/>
  <c r="E36" i="20"/>
  <c r="H24" i="22"/>
  <c r="C24" i="21" s="1"/>
  <c r="G24" i="21" s="1"/>
  <c r="H24" i="21" s="1"/>
  <c r="G35" i="20" s="1"/>
  <c r="E35" i="20"/>
  <c r="H27" i="22"/>
  <c r="C27" i="21" s="1"/>
  <c r="G27" i="21" s="1"/>
  <c r="H27" i="21" s="1"/>
  <c r="G38" i="20" s="1"/>
  <c r="E38" i="20"/>
  <c r="F16" i="23"/>
  <c r="H16" i="23" s="1"/>
  <c r="D16" i="21" s="1"/>
  <c r="F20" i="23"/>
  <c r="H20" i="23" s="1"/>
  <c r="D20" i="21" s="1"/>
  <c r="F22" i="23"/>
  <c r="H22" i="23" s="1"/>
  <c r="D22" i="21" s="1"/>
  <c r="F17" i="23"/>
  <c r="H17" i="23" s="1"/>
  <c r="D17" i="21" s="1"/>
  <c r="F21" i="23"/>
  <c r="H21" i="23" s="1"/>
  <c r="D21" i="21" s="1"/>
  <c r="F18" i="23"/>
  <c r="H18" i="23" s="1"/>
  <c r="D18" i="21" s="1"/>
  <c r="F15" i="23"/>
  <c r="H15" i="23" s="1"/>
  <c r="D15" i="21" s="1"/>
  <c r="F19" i="23"/>
  <c r="H19" i="23" s="1"/>
  <c r="D19" i="21" s="1"/>
  <c r="H23" i="23"/>
  <c r="D23" i="21" s="1"/>
  <c r="H28" i="22"/>
  <c r="C28" i="21" s="1"/>
  <c r="G28" i="21" s="1"/>
  <c r="H28" i="21" s="1"/>
  <c r="G39" i="20" s="1"/>
  <c r="E39" i="20"/>
  <c r="E37" i="20"/>
  <c r="H26" i="22"/>
  <c r="C26" i="21" s="1"/>
  <c r="G26" i="21" s="1"/>
  <c r="H26" i="21" s="1"/>
  <c r="G37" i="20" s="1"/>
  <c r="F18" i="24"/>
  <c r="F22" i="24"/>
  <c r="H22" i="24" s="1"/>
  <c r="E22" i="21" s="1"/>
  <c r="F19" i="24"/>
  <c r="H19" i="24" s="1"/>
  <c r="E19" i="21" s="1"/>
  <c r="F16" i="24"/>
  <c r="H16" i="24" s="1"/>
  <c r="E16" i="21" s="1"/>
  <c r="F20" i="24"/>
  <c r="H20" i="24" s="1"/>
  <c r="E20" i="21" s="1"/>
  <c r="F17" i="24"/>
  <c r="H17" i="24" s="1"/>
  <c r="E17" i="21" s="1"/>
  <c r="F21" i="24"/>
  <c r="H21" i="24" s="1"/>
  <c r="E21" i="21" s="1"/>
  <c r="F23" i="24"/>
  <c r="H23" i="24" s="1"/>
  <c r="E23" i="21" s="1"/>
  <c r="F16" i="25"/>
  <c r="H16" i="25" s="1"/>
  <c r="F16" i="21" s="1"/>
  <c r="F20" i="25"/>
  <c r="H20" i="25" s="1"/>
  <c r="F20" i="21" s="1"/>
  <c r="F17" i="25"/>
  <c r="H17" i="25" s="1"/>
  <c r="F17" i="21" s="1"/>
  <c r="F21" i="25"/>
  <c r="H21" i="25" s="1"/>
  <c r="F21" i="21" s="1"/>
  <c r="H14" i="25"/>
  <c r="F14" i="21" s="1"/>
  <c r="F18" i="25"/>
  <c r="H18" i="25" s="1"/>
  <c r="F18" i="21" s="1"/>
  <c r="F22" i="25"/>
  <c r="H22" i="25" s="1"/>
  <c r="F22" i="21" s="1"/>
  <c r="F15" i="25"/>
  <c r="H15" i="25" s="1"/>
  <c r="F15" i="21" s="1"/>
  <c r="F19" i="25"/>
  <c r="H19" i="25" s="1"/>
  <c r="F19" i="21" s="1"/>
  <c r="F23" i="25"/>
  <c r="H23" i="25" s="1"/>
  <c r="F23" i="21" s="1"/>
  <c r="E14" i="20"/>
  <c r="G14" i="20" s="1"/>
  <c r="E18" i="20"/>
  <c r="G18" i="20" s="1"/>
  <c r="E22" i="20"/>
  <c r="E15" i="20"/>
  <c r="G15" i="20" s="1"/>
  <c r="E19" i="20"/>
  <c r="G19" i="20" s="1"/>
  <c r="E12" i="20"/>
  <c r="E23" i="20"/>
  <c r="G23" i="20" s="1"/>
  <c r="E16" i="20"/>
  <c r="G16" i="20" s="1"/>
  <c r="E20" i="20"/>
  <c r="G20" i="20" s="1"/>
  <c r="E13" i="20"/>
  <c r="E21" i="20"/>
  <c r="G21" i="20" s="1"/>
  <c r="E24" i="20"/>
  <c r="E17" i="20"/>
  <c r="G17" i="20" s="1"/>
  <c r="F15" i="22"/>
  <c r="F19" i="22"/>
  <c r="F16" i="22"/>
  <c r="F20" i="22"/>
  <c r="H14" i="22"/>
  <c r="C14" i="21" s="1"/>
  <c r="F17" i="22"/>
  <c r="F21" i="22"/>
  <c r="F22" i="22"/>
  <c r="F18" i="22"/>
  <c r="H18" i="22" s="1"/>
  <c r="C18" i="21" s="1"/>
  <c r="D56" i="9"/>
  <c r="C30" i="8"/>
  <c r="N27" i="10"/>
  <c r="A26" i="10"/>
  <c r="A18" i="9"/>
  <c r="N19" i="9"/>
  <c r="N21" i="11"/>
  <c r="A20" i="11"/>
  <c r="O14" i="7"/>
  <c r="A14" i="7"/>
  <c r="G22" i="20" l="1"/>
  <c r="E16" i="19" s="1"/>
  <c r="C16" i="19"/>
  <c r="E32" i="20"/>
  <c r="H21" i="22"/>
  <c r="C21" i="21" s="1"/>
  <c r="G21" i="21" s="1"/>
  <c r="H21" i="21" s="1"/>
  <c r="G32" i="20" s="1"/>
  <c r="E27" i="20"/>
  <c r="H16" i="22"/>
  <c r="C16" i="21" s="1"/>
  <c r="G16" i="21" s="1"/>
  <c r="H16" i="21" s="1"/>
  <c r="G27" i="20" s="1"/>
  <c r="H23" i="22"/>
  <c r="C23" i="21" s="1"/>
  <c r="G23" i="21" s="1"/>
  <c r="H23" i="21" s="1"/>
  <c r="G34" i="20" s="1"/>
  <c r="E34" i="20"/>
  <c r="E28" i="20"/>
  <c r="C18" i="19" s="1"/>
  <c r="H17" i="22"/>
  <c r="C17" i="21" s="1"/>
  <c r="G17" i="21" s="1"/>
  <c r="H17" i="21" s="1"/>
  <c r="G28" i="20" s="1"/>
  <c r="E18" i="19" s="1"/>
  <c r="E30" i="20"/>
  <c r="H19" i="22"/>
  <c r="C19" i="21" s="1"/>
  <c r="G19" i="21" s="1"/>
  <c r="H19" i="21" s="1"/>
  <c r="G30" i="20" s="1"/>
  <c r="E26" i="20"/>
  <c r="H15" i="22"/>
  <c r="C15" i="21" s="1"/>
  <c r="G15" i="21" s="1"/>
  <c r="H15" i="21" s="1"/>
  <c r="G26" i="20" s="1"/>
  <c r="C15" i="19"/>
  <c r="G13" i="20"/>
  <c r="E15" i="19" s="1"/>
  <c r="G12" i="20"/>
  <c r="E14" i="19" s="1"/>
  <c r="C14" i="19"/>
  <c r="E29" i="20"/>
  <c r="H18" i="24"/>
  <c r="E18" i="21" s="1"/>
  <c r="G18" i="21" s="1"/>
  <c r="H18" i="21" s="1"/>
  <c r="G29" i="20" s="1"/>
  <c r="H22" i="22"/>
  <c r="C22" i="21" s="1"/>
  <c r="G22" i="21" s="1"/>
  <c r="H22" i="21" s="1"/>
  <c r="G33" i="20" s="1"/>
  <c r="E33" i="20"/>
  <c r="E31" i="20"/>
  <c r="C19" i="19" s="1"/>
  <c r="H20" i="22"/>
  <c r="C20" i="21" s="1"/>
  <c r="G20" i="21" s="1"/>
  <c r="H20" i="21" s="1"/>
  <c r="G31" i="20" s="1"/>
  <c r="E19" i="19" s="1"/>
  <c r="E25" i="20"/>
  <c r="C17" i="19" s="1"/>
  <c r="H14" i="24"/>
  <c r="E14" i="21" s="1"/>
  <c r="G14" i="21" s="1"/>
  <c r="H14" i="21" s="1"/>
  <c r="G25" i="20" s="1"/>
  <c r="E17" i="19" s="1"/>
  <c r="A17" i="9"/>
  <c r="N18" i="9"/>
  <c r="N26" i="10"/>
  <c r="A25" i="10"/>
  <c r="A19" i="11"/>
  <c r="N20" i="11"/>
  <c r="G38" i="34"/>
  <c r="G42" i="34" s="1"/>
  <c r="N25" i="10" l="1"/>
  <c r="A24" i="10"/>
  <c r="A16" i="9"/>
  <c r="N17" i="9"/>
  <c r="A18" i="11"/>
  <c r="N19" i="11"/>
  <c r="N16" i="9" l="1"/>
  <c r="A15" i="9"/>
  <c r="A23" i="10"/>
  <c r="N24" i="10"/>
  <c r="A17" i="11"/>
  <c r="N18" i="11"/>
  <c r="E19" i="1"/>
  <c r="E23" i="1" l="1"/>
  <c r="N23" i="10"/>
  <c r="A22" i="10"/>
  <c r="N15" i="9"/>
  <c r="A14" i="9"/>
  <c r="N14" i="9" s="1"/>
  <c r="A16" i="11"/>
  <c r="N17" i="11"/>
  <c r="E15" i="1"/>
  <c r="E21" i="1"/>
  <c r="N22" i="10" l="1"/>
  <c r="A21" i="10"/>
  <c r="A15" i="11"/>
  <c r="N16" i="11"/>
  <c r="A20" i="10" l="1"/>
  <c r="N21" i="10"/>
  <c r="A14" i="11"/>
  <c r="N14" i="11" s="1"/>
  <c r="N15" i="11"/>
  <c r="D28" i="8" l="1"/>
  <c r="H28" i="8" s="1"/>
  <c r="D27" i="10"/>
  <c r="D46" i="10"/>
  <c r="D51" i="10"/>
  <c r="D34" i="10"/>
  <c r="E22" i="10"/>
  <c r="E36" i="10"/>
  <c r="D42" i="10"/>
  <c r="E58" i="10"/>
  <c r="D61" i="10"/>
  <c r="E29" i="10"/>
  <c r="E37" i="10"/>
  <c r="D56" i="10"/>
  <c r="E35" i="10"/>
  <c r="D41" i="10"/>
  <c r="D23" i="10"/>
  <c r="E21" i="10"/>
  <c r="E46" i="10"/>
  <c r="E26" i="10"/>
  <c r="D43" i="10"/>
  <c r="E48" i="10"/>
  <c r="D25" i="10"/>
  <c r="E56" i="10"/>
  <c r="E65" i="10"/>
  <c r="E49" i="10"/>
  <c r="E41" i="10"/>
  <c r="E59" i="10"/>
  <c r="E34" i="10"/>
  <c r="D47" i="10"/>
  <c r="E24" i="10"/>
  <c r="D50" i="10"/>
  <c r="E55" i="10"/>
  <c r="E27" i="10"/>
  <c r="E61" i="10"/>
  <c r="E42" i="10"/>
  <c r="D33" i="10"/>
  <c r="D39" i="10"/>
  <c r="E44" i="10"/>
  <c r="D53" i="10"/>
  <c r="D24" i="10"/>
  <c r="D37" i="10"/>
  <c r="E50" i="10"/>
  <c r="E38" i="10"/>
  <c r="D26" i="10"/>
  <c r="E54" i="10"/>
  <c r="D35" i="10"/>
  <c r="D49" i="10"/>
  <c r="D45" i="10"/>
  <c r="E60" i="10"/>
  <c r="D22" i="10"/>
  <c r="E52" i="10"/>
  <c r="E23" i="10"/>
  <c r="E57" i="10"/>
  <c r="D31" i="10"/>
  <c r="E39" i="10"/>
  <c r="E32" i="10"/>
  <c r="E25" i="10"/>
  <c r="D52" i="10"/>
  <c r="D32" i="10"/>
  <c r="E31" i="10"/>
  <c r="E45" i="10"/>
  <c r="E30" i="10"/>
  <c r="D40" i="10"/>
  <c r="D36" i="10"/>
  <c r="E40" i="10"/>
  <c r="D55" i="10"/>
  <c r="D30" i="10"/>
  <c r="D29" i="10"/>
  <c r="D65" i="10"/>
  <c r="D57" i="10"/>
  <c r="D44" i="10"/>
  <c r="D28" i="10"/>
  <c r="D48" i="10"/>
  <c r="D58" i="10"/>
  <c r="E33" i="10"/>
  <c r="D60" i="10"/>
  <c r="E53" i="10"/>
  <c r="D54" i="10"/>
  <c r="E28" i="10"/>
  <c r="E51" i="10"/>
  <c r="E43" i="10"/>
  <c r="D38" i="10"/>
  <c r="D59" i="10"/>
  <c r="D21" i="10"/>
  <c r="E47" i="10"/>
  <c r="A19" i="10"/>
  <c r="N20" i="10"/>
  <c r="D49" i="11"/>
  <c r="D51" i="11"/>
  <c r="D58" i="11" s="1"/>
  <c r="E45" i="11"/>
  <c r="D32" i="11"/>
  <c r="E50" i="11"/>
  <c r="E58" i="11"/>
  <c r="D18" i="11"/>
  <c r="D44" i="11"/>
  <c r="D38" i="11"/>
  <c r="D14" i="11"/>
  <c r="E23" i="11"/>
  <c r="E55" i="11"/>
  <c r="E52" i="11"/>
  <c r="E19" i="11"/>
  <c r="D31" i="11"/>
  <c r="E20" i="11"/>
  <c r="D52" i="11"/>
  <c r="D47" i="11"/>
  <c r="E17" i="11"/>
  <c r="E38" i="11"/>
  <c r="E49" i="11"/>
  <c r="E37" i="11"/>
  <c r="E28" i="11"/>
  <c r="D53" i="11"/>
  <c r="E53" i="11"/>
  <c r="E27" i="11"/>
  <c r="E44" i="11"/>
  <c r="D50" i="11"/>
  <c r="D45" i="11"/>
  <c r="E35" i="11"/>
  <c r="E32" i="11"/>
  <c r="E54" i="11"/>
  <c r="E21" i="11"/>
  <c r="E24" i="11"/>
  <c r="D59" i="11"/>
  <c r="D27" i="11"/>
  <c r="E14" i="11"/>
  <c r="E31" i="11"/>
  <c r="D23" i="11"/>
  <c r="D21" i="11"/>
  <c r="D41" i="11"/>
  <c r="D15" i="11"/>
  <c r="E51" i="11"/>
  <c r="D40" i="11"/>
  <c r="D43" i="11"/>
  <c r="E15" i="11"/>
  <c r="D29" i="11"/>
  <c r="D22" i="11"/>
  <c r="E25" i="11"/>
  <c r="E42" i="11"/>
  <c r="E26" i="11"/>
  <c r="D20" i="11"/>
  <c r="E46" i="11"/>
  <c r="E29" i="11"/>
  <c r="D16" i="11"/>
  <c r="E34" i="11"/>
  <c r="E40" i="11"/>
  <c r="E16" i="11"/>
  <c r="D42" i="11"/>
  <c r="D17" i="11"/>
  <c r="D24" i="11"/>
  <c r="D19" i="11"/>
  <c r="D54" i="11"/>
  <c r="E41" i="11"/>
  <c r="D37" i="11"/>
  <c r="E18" i="11"/>
  <c r="E39" i="11"/>
  <c r="D39" i="11"/>
  <c r="D35" i="11"/>
  <c r="D46" i="11"/>
  <c r="D26" i="11"/>
  <c r="E33" i="11"/>
  <c r="E59" i="11"/>
  <c r="E30" i="11"/>
  <c r="D30" i="11"/>
  <c r="D36" i="11"/>
  <c r="D34" i="11"/>
  <c r="E47" i="11"/>
  <c r="D48" i="11"/>
  <c r="E22" i="11"/>
  <c r="D25" i="11"/>
  <c r="D33" i="11"/>
  <c r="E36" i="11"/>
  <c r="E43" i="11"/>
  <c r="E48" i="11"/>
  <c r="D28" i="11"/>
  <c r="D64" i="10" l="1"/>
  <c r="A18" i="10"/>
  <c r="N19" i="10"/>
  <c r="D30" i="8"/>
  <c r="H30" i="8" l="1"/>
  <c r="I19" i="5"/>
  <c r="A17" i="10"/>
  <c r="N18" i="10"/>
  <c r="A16" i="10" l="1"/>
  <c r="N17" i="10"/>
  <c r="F45" i="5"/>
  <c r="F43" i="5"/>
  <c r="F36" i="5"/>
  <c r="F44" i="5"/>
  <c r="F41" i="5"/>
  <c r="F39" i="5"/>
  <c r="F37" i="5"/>
  <c r="F40" i="5"/>
  <c r="F42" i="5"/>
  <c r="F38" i="5"/>
  <c r="N16" i="10" l="1"/>
  <c r="A15" i="10"/>
  <c r="A14" i="10" l="1"/>
  <c r="N14" i="10" s="1"/>
  <c r="N15" i="10"/>
  <c r="G41" i="24" l="1"/>
  <c r="C41" i="23"/>
  <c r="F41" i="23" s="1"/>
  <c r="C41" i="25"/>
  <c r="G41" i="22"/>
  <c r="C41" i="24"/>
  <c r="F41" i="24" s="1"/>
  <c r="G41" i="23"/>
  <c r="C41" i="22"/>
  <c r="H41" i="23" l="1"/>
  <c r="D41" i="21" s="1"/>
  <c r="C52" i="20"/>
  <c r="F41" i="22"/>
  <c r="H41" i="22" s="1"/>
  <c r="C41" i="21" s="1"/>
  <c r="H41" i="24"/>
  <c r="E41" i="21" s="1"/>
  <c r="C42" i="25"/>
  <c r="G42" i="24"/>
  <c r="C42" i="22"/>
  <c r="G42" i="25"/>
  <c r="G42" i="22"/>
  <c r="C42" i="24"/>
  <c r="F42" i="24" s="1"/>
  <c r="H42" i="24" s="1"/>
  <c r="E42" i="21" s="1"/>
  <c r="G42" i="23"/>
  <c r="C42" i="23"/>
  <c r="F42" i="23" s="1"/>
  <c r="H42" i="23" l="1"/>
  <c r="D42" i="21" s="1"/>
  <c r="C53" i="20"/>
  <c r="F42" i="22"/>
  <c r="H42" i="22" s="1"/>
  <c r="C42" i="21" s="1"/>
  <c r="C43" i="23"/>
  <c r="F43" i="23" s="1"/>
  <c r="C43" i="22"/>
  <c r="G43" i="22"/>
  <c r="G43" i="23"/>
  <c r="G43" i="24"/>
  <c r="G43" i="25"/>
  <c r="C43" i="24"/>
  <c r="F43" i="24" s="1"/>
  <c r="C43" i="25"/>
  <c r="H43" i="23" l="1"/>
  <c r="D43" i="21" s="1"/>
  <c r="H43" i="24"/>
  <c r="E43" i="21" s="1"/>
  <c r="C54" i="20"/>
  <c r="F43" i="22"/>
  <c r="H43" i="22" s="1"/>
  <c r="C43" i="21" s="1"/>
  <c r="C44" i="24"/>
  <c r="F44" i="24" s="1"/>
  <c r="C44" i="25"/>
  <c r="C44" i="23"/>
  <c r="F44" i="23" s="1"/>
  <c r="G44" i="23"/>
  <c r="G44" i="25"/>
  <c r="G44" i="24"/>
  <c r="C44" i="22"/>
  <c r="G44" i="22"/>
  <c r="H44" i="23" l="1"/>
  <c r="D44" i="21" s="1"/>
  <c r="C55" i="20"/>
  <c r="F44" i="22"/>
  <c r="H44" i="24"/>
  <c r="E44" i="21" s="1"/>
  <c r="C45" i="23"/>
  <c r="F45" i="23" s="1"/>
  <c r="G45" i="22"/>
  <c r="C45" i="25"/>
  <c r="G45" i="25"/>
  <c r="G45" i="23"/>
  <c r="C45" i="22"/>
  <c r="G45" i="24"/>
  <c r="C45" i="24"/>
  <c r="F45" i="24" s="1"/>
  <c r="H45" i="23" l="1"/>
  <c r="D45" i="21" s="1"/>
  <c r="H44" i="22"/>
  <c r="C44" i="21" s="1"/>
  <c r="C56" i="20"/>
  <c r="F45" i="22"/>
  <c r="H45" i="24"/>
  <c r="E45" i="21" s="1"/>
  <c r="G46" i="24"/>
  <c r="G46" i="25"/>
  <c r="C46" i="23"/>
  <c r="F46" i="23" s="1"/>
  <c r="C46" i="22"/>
  <c r="C46" i="24"/>
  <c r="F46" i="24" s="1"/>
  <c r="H46" i="24" s="1"/>
  <c r="E46" i="21" s="1"/>
  <c r="G46" i="22"/>
  <c r="C46" i="25"/>
  <c r="G46" i="23"/>
  <c r="H46" i="23" l="1"/>
  <c r="D46" i="21" s="1"/>
  <c r="C57" i="20"/>
  <c r="F46" i="22"/>
  <c r="H46" i="22" s="1"/>
  <c r="C46" i="21" s="1"/>
  <c r="H45" i="22"/>
  <c r="C45" i="21" s="1"/>
  <c r="C47" i="25"/>
  <c r="C47" i="23"/>
  <c r="F47" i="23" s="1"/>
  <c r="G47" i="23"/>
  <c r="C47" i="22"/>
  <c r="G47" i="22"/>
  <c r="G47" i="24"/>
  <c r="C47" i="24"/>
  <c r="F47" i="24" s="1"/>
  <c r="H47" i="24" s="1"/>
  <c r="E47" i="21" s="1"/>
  <c r="G47" i="25"/>
  <c r="H47" i="23" l="1"/>
  <c r="D47" i="21" s="1"/>
  <c r="C58" i="20"/>
  <c r="F47" i="22"/>
  <c r="G48" i="25"/>
  <c r="C48" i="22"/>
  <c r="C48" i="23"/>
  <c r="F48" i="23" s="1"/>
  <c r="C48" i="24"/>
  <c r="F48" i="24" s="1"/>
  <c r="C48" i="25"/>
  <c r="G48" i="23"/>
  <c r="G48" i="24"/>
  <c r="G48" i="22"/>
  <c r="H48" i="23" l="1"/>
  <c r="D48" i="21" s="1"/>
  <c r="H48" i="24"/>
  <c r="E48" i="21" s="1"/>
  <c r="C59" i="20"/>
  <c r="F48" i="22"/>
  <c r="H47" i="22"/>
  <c r="C47" i="21" s="1"/>
  <c r="G49" i="25"/>
  <c r="G49" i="24"/>
  <c r="C49" i="24"/>
  <c r="F49" i="24" s="1"/>
  <c r="G49" i="22"/>
  <c r="C49" i="25"/>
  <c r="G49" i="23"/>
  <c r="C49" i="22"/>
  <c r="C49" i="23"/>
  <c r="F49" i="23" s="1"/>
  <c r="H49" i="23" l="1"/>
  <c r="D49" i="21" s="1"/>
  <c r="C60" i="20"/>
  <c r="F49" i="22"/>
  <c r="H49" i="24"/>
  <c r="E49" i="21" s="1"/>
  <c r="H48" i="22"/>
  <c r="C48" i="21" s="1"/>
  <c r="C50" i="22"/>
  <c r="G50" i="23"/>
  <c r="G52" i="23" s="1"/>
  <c r="C50" i="23"/>
  <c r="G50" i="25"/>
  <c r="G50" i="22"/>
  <c r="G52" i="22" s="1"/>
  <c r="C50" i="25"/>
  <c r="G50" i="24"/>
  <c r="C50" i="24"/>
  <c r="G52" i="25" l="1"/>
  <c r="C52" i="24"/>
  <c r="F50" i="24"/>
  <c r="F52" i="24" s="1"/>
  <c r="F50" i="22"/>
  <c r="C61" i="20"/>
  <c r="C64" i="20" s="1"/>
  <c r="C52" i="22"/>
  <c r="G52" i="24"/>
  <c r="C52" i="23"/>
  <c r="F50" i="23"/>
  <c r="C52" i="25"/>
  <c r="H49" i="22"/>
  <c r="C49" i="21" s="1"/>
  <c r="H52" i="24" l="1"/>
  <c r="H50" i="24"/>
  <c r="E50" i="21" s="1"/>
  <c r="E51" i="21" s="1"/>
  <c r="H50" i="22"/>
  <c r="C50" i="21" s="1"/>
  <c r="F52" i="22"/>
  <c r="H52" i="22" s="1"/>
  <c r="H50" i="23"/>
  <c r="D50" i="21" s="1"/>
  <c r="D51" i="21" s="1"/>
  <c r="F52" i="23"/>
  <c r="H52" i="23" s="1"/>
  <c r="B59" i="25" l="1"/>
  <c r="F45" i="25"/>
  <c r="F42" i="25"/>
  <c r="F34" i="25"/>
  <c r="F40" i="25"/>
  <c r="F44" i="25"/>
  <c r="F46" i="25"/>
  <c r="F41" i="25"/>
  <c r="F37" i="25"/>
  <c r="F48" i="25"/>
  <c r="F50" i="25"/>
  <c r="H50" i="25" s="1"/>
  <c r="F38" i="25"/>
  <c r="F35" i="25"/>
  <c r="F39" i="25"/>
  <c r="F29" i="25"/>
  <c r="F31" i="25"/>
  <c r="F36" i="25"/>
  <c r="F47" i="25"/>
  <c r="F32" i="25"/>
  <c r="F43" i="25"/>
  <c r="F30" i="25"/>
  <c r="F49" i="25"/>
  <c r="F33" i="25"/>
  <c r="C51" i="21"/>
  <c r="H36" i="25" l="1"/>
  <c r="F36" i="21" s="1"/>
  <c r="G36" i="21" s="1"/>
  <c r="H36" i="21" s="1"/>
  <c r="G47" i="20" s="1"/>
  <c r="E22" i="19" s="1"/>
  <c r="E47" i="20"/>
  <c r="C22" i="19" s="1"/>
  <c r="H37" i="25"/>
  <c r="F37" i="21" s="1"/>
  <c r="G37" i="21" s="1"/>
  <c r="H37" i="21" s="1"/>
  <c r="G48" i="20" s="1"/>
  <c r="E48" i="20"/>
  <c r="H43" i="25"/>
  <c r="F43" i="21" s="1"/>
  <c r="G43" i="21" s="1"/>
  <c r="E54" i="20"/>
  <c r="H31" i="25"/>
  <c r="F31" i="21" s="1"/>
  <c r="G31" i="21" s="1"/>
  <c r="H31" i="21" s="1"/>
  <c r="G42" i="20" s="1"/>
  <c r="E42" i="20"/>
  <c r="H38" i="25"/>
  <c r="F38" i="21" s="1"/>
  <c r="G38" i="21" s="1"/>
  <c r="H38" i="21" s="1"/>
  <c r="G49" i="20" s="1"/>
  <c r="E23" i="19" s="1"/>
  <c r="E49" i="20"/>
  <c r="C23" i="19" s="1"/>
  <c r="H41" i="25"/>
  <c r="F41" i="21" s="1"/>
  <c r="G41" i="21" s="1"/>
  <c r="E52" i="20"/>
  <c r="H34" i="25"/>
  <c r="F34" i="21" s="1"/>
  <c r="G34" i="21" s="1"/>
  <c r="H34" i="21" s="1"/>
  <c r="G45" i="20" s="1"/>
  <c r="E21" i="19" s="1"/>
  <c r="E45" i="20"/>
  <c r="C21" i="19" s="1"/>
  <c r="H30" i="25"/>
  <c r="F30" i="21" s="1"/>
  <c r="G30" i="21" s="1"/>
  <c r="H30" i="21" s="1"/>
  <c r="G41" i="20" s="1"/>
  <c r="E20" i="19" s="1"/>
  <c r="E41" i="20"/>
  <c r="C20" i="19" s="1"/>
  <c r="H33" i="25"/>
  <c r="F33" i="21" s="1"/>
  <c r="G33" i="21" s="1"/>
  <c r="H33" i="21" s="1"/>
  <c r="G44" i="20" s="1"/>
  <c r="E44" i="20"/>
  <c r="H32" i="25"/>
  <c r="F32" i="21" s="1"/>
  <c r="G32" i="21" s="1"/>
  <c r="H32" i="21" s="1"/>
  <c r="G43" i="20" s="1"/>
  <c r="E43" i="20"/>
  <c r="H29" i="25"/>
  <c r="F29" i="21" s="1"/>
  <c r="G29" i="21" s="1"/>
  <c r="E40" i="20"/>
  <c r="F52" i="25"/>
  <c r="H52" i="25" s="1"/>
  <c r="F50" i="21"/>
  <c r="E61" i="20"/>
  <c r="H46" i="25"/>
  <c r="F46" i="21" s="1"/>
  <c r="G46" i="21" s="1"/>
  <c r="E57" i="20"/>
  <c r="H42" i="25"/>
  <c r="F42" i="21" s="1"/>
  <c r="G42" i="21" s="1"/>
  <c r="E53" i="20"/>
  <c r="H35" i="25"/>
  <c r="F35" i="21" s="1"/>
  <c r="G35" i="21" s="1"/>
  <c r="H35" i="21" s="1"/>
  <c r="G46" i="20" s="1"/>
  <c r="E46" i="20"/>
  <c r="H40" i="25"/>
  <c r="F40" i="21" s="1"/>
  <c r="G40" i="21" s="1"/>
  <c r="E51" i="20"/>
  <c r="H49" i="25"/>
  <c r="F49" i="21" s="1"/>
  <c r="G49" i="21" s="1"/>
  <c r="E60" i="20"/>
  <c r="H47" i="25"/>
  <c r="F47" i="21" s="1"/>
  <c r="G47" i="21" s="1"/>
  <c r="E58" i="20"/>
  <c r="H39" i="25"/>
  <c r="F39" i="21" s="1"/>
  <c r="G39" i="21" s="1"/>
  <c r="H39" i="21" s="1"/>
  <c r="G50" i="20" s="1"/>
  <c r="E24" i="19" s="1"/>
  <c r="E50" i="20"/>
  <c r="C24" i="19" s="1"/>
  <c r="H48" i="25"/>
  <c r="F48" i="21" s="1"/>
  <c r="G48" i="21" s="1"/>
  <c r="H48" i="21" s="1"/>
  <c r="E59" i="20"/>
  <c r="C25" i="19" s="1"/>
  <c r="H44" i="25"/>
  <c r="F44" i="21" s="1"/>
  <c r="G44" i="21" s="1"/>
  <c r="E55" i="20"/>
  <c r="H45" i="25"/>
  <c r="F45" i="21" s="1"/>
  <c r="G45" i="21" s="1"/>
  <c r="E56" i="20"/>
  <c r="H45" i="21" l="1"/>
  <c r="G56" i="20" s="1"/>
  <c r="G59" i="20"/>
  <c r="E25" i="19" s="1"/>
  <c r="H47" i="21"/>
  <c r="G58" i="20" s="1"/>
  <c r="H40" i="21"/>
  <c r="G51" i="20" s="1"/>
  <c r="H42" i="21"/>
  <c r="G53" i="20" s="1"/>
  <c r="H41" i="21"/>
  <c r="G52" i="20" s="1"/>
  <c r="H44" i="21"/>
  <c r="G55" i="20" s="1"/>
  <c r="H49" i="21"/>
  <c r="G60" i="20" s="1"/>
  <c r="H46" i="21"/>
  <c r="G57" i="20" s="1"/>
  <c r="H43" i="21"/>
  <c r="G54" i="20" s="1"/>
  <c r="F51" i="21"/>
  <c r="G50" i="21"/>
  <c r="E64" i="20"/>
  <c r="H29" i="21"/>
  <c r="E27" i="19" l="1"/>
  <c r="H50" i="21"/>
  <c r="G61" i="20" s="1"/>
  <c r="G51" i="21"/>
  <c r="G40" i="20"/>
  <c r="G66" i="20" s="1"/>
  <c r="E45" i="7"/>
  <c r="F45" i="7" s="1"/>
  <c r="E41" i="7"/>
  <c r="F41" i="7" s="1"/>
  <c r="E37" i="7"/>
  <c r="F37" i="7" s="1"/>
  <c r="E33" i="7"/>
  <c r="F33" i="7" s="1"/>
  <c r="E29" i="7"/>
  <c r="F29" i="7" s="1"/>
  <c r="E25" i="7"/>
  <c r="F25" i="7" s="1"/>
  <c r="E21" i="7"/>
  <c r="F21" i="7" s="1"/>
  <c r="G21" i="7" s="1"/>
  <c r="E17" i="7"/>
  <c r="F17" i="7" s="1"/>
  <c r="E14" i="7"/>
  <c r="F14" i="7" s="1"/>
  <c r="G67" i="20" l="1"/>
  <c r="G68" i="20" s="1"/>
  <c r="E29" i="19" s="1"/>
  <c r="G64" i="20"/>
  <c r="G14" i="7"/>
  <c r="H51" i="21"/>
  <c r="G37" i="7"/>
  <c r="G29" i="7"/>
  <c r="G45" i="7"/>
  <c r="G25" i="7"/>
  <c r="G41" i="7"/>
  <c r="G17" i="7"/>
  <c r="G33" i="7"/>
  <c r="F17" i="19" l="1"/>
  <c r="F14" i="19"/>
  <c r="F19" i="19"/>
  <c r="F16" i="19"/>
  <c r="F15" i="19"/>
  <c r="F18" i="19"/>
  <c r="F23" i="19"/>
  <c r="F22" i="19"/>
  <c r="F20" i="19"/>
  <c r="F24" i="19"/>
  <c r="F21" i="19"/>
  <c r="F25" i="19"/>
  <c r="E38" i="7"/>
  <c r="F38" i="7" s="1"/>
  <c r="E46" i="7"/>
  <c r="F46" i="7" s="1"/>
  <c r="E30" i="7"/>
  <c r="F30" i="7" s="1"/>
  <c r="E26" i="7"/>
  <c r="F26" i="7" s="1"/>
  <c r="E22" i="7"/>
  <c r="F22" i="7" s="1"/>
  <c r="E15" i="7"/>
  <c r="F15" i="7" s="1"/>
  <c r="E31" i="7"/>
  <c r="F31" i="7" s="1"/>
  <c r="G15" i="7" l="1"/>
  <c r="G30" i="7"/>
  <c r="G31" i="7"/>
  <c r="G46" i="7"/>
  <c r="G22" i="7"/>
  <c r="G38" i="7"/>
  <c r="G26" i="7"/>
  <c r="E16" i="7"/>
  <c r="F16" i="7" s="1"/>
  <c r="G16" i="7" s="1"/>
  <c r="E47" i="7"/>
  <c r="F47" i="7" s="1"/>
  <c r="E23" i="7"/>
  <c r="F23" i="7" s="1"/>
  <c r="E32" i="7"/>
  <c r="F32" i="7" s="1"/>
  <c r="E27" i="7"/>
  <c r="F27" i="7" s="1"/>
  <c r="E28" i="7"/>
  <c r="F28" i="7" s="1"/>
  <c r="E34" i="7"/>
  <c r="F34" i="7" s="1"/>
  <c r="E18" i="7"/>
  <c r="F18" i="7" s="1"/>
  <c r="E48" i="7"/>
  <c r="F48" i="7" s="1"/>
  <c r="E39" i="7"/>
  <c r="F39" i="7" s="1"/>
  <c r="E42" i="7"/>
  <c r="F42" i="7" s="1"/>
  <c r="F27" i="19" l="1"/>
  <c r="E31" i="19"/>
  <c r="E32" i="19" s="1"/>
  <c r="H17" i="7"/>
  <c r="H16" i="7"/>
  <c r="C14" i="5" s="1"/>
  <c r="C36" i="5" s="1"/>
  <c r="H28" i="7"/>
  <c r="C17" i="5" s="1"/>
  <c r="C39" i="5" s="1"/>
  <c r="H49" i="7"/>
  <c r="H48" i="7"/>
  <c r="C22" i="5" s="1"/>
  <c r="C44" i="5" s="1"/>
  <c r="G32" i="7"/>
  <c r="H34" i="7"/>
  <c r="G23" i="7"/>
  <c r="H32" i="7"/>
  <c r="C18" i="5" s="1"/>
  <c r="C40" i="5" s="1"/>
  <c r="H18" i="7"/>
  <c r="G48" i="7"/>
  <c r="H51" i="7"/>
  <c r="G42" i="7"/>
  <c r="G39" i="7"/>
  <c r="G18" i="7"/>
  <c r="G34" i="7"/>
  <c r="G28" i="7"/>
  <c r="H31" i="7"/>
  <c r="G27" i="7"/>
  <c r="H30" i="7"/>
  <c r="G47" i="7"/>
  <c r="H50" i="7"/>
  <c r="H29" i="7"/>
  <c r="H33" i="7"/>
  <c r="E24" i="7"/>
  <c r="F24" i="7" s="1"/>
  <c r="E35" i="7"/>
  <c r="F35" i="7" s="1"/>
  <c r="E19" i="7"/>
  <c r="F19" i="7" s="1"/>
  <c r="E43" i="7"/>
  <c r="F43" i="7" s="1"/>
  <c r="E40" i="7"/>
  <c r="F40" i="7" s="1"/>
  <c r="H40" i="7" s="1"/>
  <c r="C20" i="5" s="1"/>
  <c r="C42" i="5" s="1"/>
  <c r="E40" i="19" l="1"/>
  <c r="C14" i="18" s="1"/>
  <c r="E14" i="18" s="1"/>
  <c r="C19" i="1" s="1"/>
  <c r="C15" i="1" s="1"/>
  <c r="H24" i="7"/>
  <c r="C16" i="5" s="1"/>
  <c r="C38" i="5" s="1"/>
  <c r="H27" i="7"/>
  <c r="G24" i="7"/>
  <c r="H42" i="7"/>
  <c r="G19" i="7"/>
  <c r="G43" i="7"/>
  <c r="H43" i="7"/>
  <c r="G40" i="7"/>
  <c r="H26" i="7"/>
  <c r="H19" i="7"/>
  <c r="G35" i="7"/>
  <c r="H25" i="7"/>
  <c r="H35" i="7"/>
  <c r="H41" i="7"/>
  <c r="E20" i="7"/>
  <c r="F20" i="7" s="1"/>
  <c r="H20" i="7" s="1"/>
  <c r="C15" i="5" s="1"/>
  <c r="C37" i="5" s="1"/>
  <c r="E36" i="7"/>
  <c r="F36" i="7" s="1"/>
  <c r="H38" i="7" s="1"/>
  <c r="E44" i="7"/>
  <c r="F44" i="7" s="1"/>
  <c r="G44" i="7" l="1"/>
  <c r="H47" i="7"/>
  <c r="H37" i="7"/>
  <c r="H36" i="7"/>
  <c r="H46" i="7"/>
  <c r="G20" i="7"/>
  <c r="H23" i="7"/>
  <c r="H44" i="7"/>
  <c r="C21" i="5" s="1"/>
  <c r="C43" i="5" s="1"/>
  <c r="H22" i="7"/>
  <c r="H39" i="7"/>
  <c r="G36" i="7"/>
  <c r="H45" i="7"/>
  <c r="H21" i="7"/>
  <c r="I18" i="7" l="1"/>
  <c r="I17" i="7"/>
  <c r="L41" i="7"/>
  <c r="L50" i="7"/>
  <c r="I35" i="7"/>
  <c r="L43" i="7"/>
  <c r="I43" i="7"/>
  <c r="L44" i="7"/>
  <c r="L42" i="7"/>
  <c r="L46" i="7"/>
  <c r="I19" i="7"/>
  <c r="J45" i="7"/>
  <c r="L49" i="7"/>
  <c r="L45" i="7"/>
  <c r="I49" i="7"/>
  <c r="I46" i="7"/>
  <c r="J34" i="7"/>
  <c r="I28" i="7"/>
  <c r="I42" i="7"/>
  <c r="I29" i="7"/>
  <c r="J40" i="7"/>
  <c r="I36" i="7"/>
  <c r="I33" i="7"/>
  <c r="I48" i="7"/>
  <c r="I21" i="7"/>
  <c r="I37" i="7"/>
  <c r="I44" i="7"/>
  <c r="I56" i="7"/>
  <c r="L51" i="7"/>
  <c r="L56" i="7"/>
  <c r="I45" i="7"/>
  <c r="I40" i="7"/>
  <c r="J56" i="7"/>
  <c r="J47" i="7"/>
  <c r="I25" i="7"/>
  <c r="I20" i="7"/>
  <c r="C19" i="5"/>
  <c r="C41" i="5" s="1"/>
  <c r="J51" i="7"/>
  <c r="J46" i="7"/>
  <c r="J48" i="7"/>
  <c r="J35" i="7"/>
  <c r="J41" i="7"/>
  <c r="J44" i="7"/>
  <c r="J50" i="7"/>
  <c r="J52" i="7"/>
  <c r="J42" i="7"/>
  <c r="J43" i="7"/>
  <c r="J33" i="7"/>
  <c r="J37" i="7"/>
  <c r="I30" i="7"/>
  <c r="I50" i="7"/>
  <c r="I24" i="7"/>
  <c r="I52" i="7"/>
  <c r="I39" i="7"/>
  <c r="I31" i="7"/>
  <c r="I51" i="7"/>
  <c r="I47" i="7"/>
  <c r="L48" i="7"/>
  <c r="L52" i="7"/>
  <c r="L47" i="7"/>
  <c r="I26" i="7"/>
  <c r="I32" i="7"/>
  <c r="J38" i="7"/>
  <c r="I27" i="7"/>
  <c r="I38" i="7"/>
  <c r="J36" i="7"/>
  <c r="K56" i="7"/>
  <c r="K37" i="7"/>
  <c r="K50" i="7"/>
  <c r="K40" i="7"/>
  <c r="K48" i="7"/>
  <c r="K45" i="7"/>
  <c r="K47" i="7"/>
  <c r="K43" i="7"/>
  <c r="K51" i="7"/>
  <c r="K41" i="7"/>
  <c r="K38" i="7"/>
  <c r="K49" i="7"/>
  <c r="K42" i="7"/>
  <c r="K44" i="7"/>
  <c r="K52" i="7"/>
  <c r="K46" i="7"/>
  <c r="K39" i="7"/>
  <c r="I34" i="7"/>
  <c r="I23" i="7"/>
  <c r="I41" i="7"/>
  <c r="J39" i="7"/>
  <c r="I22" i="7"/>
  <c r="J49" i="7"/>
  <c r="L55" i="7" l="1"/>
  <c r="J55" i="7"/>
  <c r="K55" i="7"/>
  <c r="I55" i="7"/>
  <c r="L58" i="7" l="1"/>
  <c r="I18" i="5" s="1"/>
  <c r="E41" i="5" l="1"/>
  <c r="G41" i="5" s="1"/>
  <c r="E19" i="2" s="1"/>
  <c r="F19" i="2" s="1"/>
  <c r="H19" i="2" s="1"/>
  <c r="E36" i="5"/>
  <c r="G36" i="5" s="1"/>
  <c r="E37" i="5"/>
  <c r="G37" i="5" s="1"/>
  <c r="E15" i="2" s="1"/>
  <c r="F15" i="2" s="1"/>
  <c r="H15" i="2" s="1"/>
  <c r="E40" i="5"/>
  <c r="G40" i="5" s="1"/>
  <c r="E18" i="2" s="1"/>
  <c r="F18" i="2" s="1"/>
  <c r="H18" i="2" s="1"/>
  <c r="E43" i="5"/>
  <c r="G43" i="5" s="1"/>
  <c r="E21" i="2" s="1"/>
  <c r="F21" i="2" s="1"/>
  <c r="H21" i="2" s="1"/>
  <c r="E14" i="2"/>
  <c r="F14" i="2" s="1"/>
  <c r="H14" i="2" s="1"/>
  <c r="E45" i="5"/>
  <c r="E42" i="5"/>
  <c r="G42" i="5" s="1"/>
  <c r="E20" i="2" s="1"/>
  <c r="F20" i="2" s="1"/>
  <c r="H20" i="2" s="1"/>
  <c r="E39" i="5"/>
  <c r="G39" i="5" s="1"/>
  <c r="E17" i="2" s="1"/>
  <c r="F17" i="2" s="1"/>
  <c r="H17" i="2" s="1"/>
  <c r="E44" i="5"/>
  <c r="G44" i="5" s="1"/>
  <c r="E22" i="2" s="1"/>
  <c r="F22" i="2" s="1"/>
  <c r="H22" i="2" s="1"/>
  <c r="E38" i="5"/>
  <c r="G38" i="5" s="1"/>
  <c r="E16" i="2" s="1"/>
  <c r="F16" i="2" s="1"/>
  <c r="H16" i="2" s="1"/>
  <c r="G45" i="5" l="1"/>
  <c r="E23" i="2" s="1"/>
  <c r="F23" i="2" s="1"/>
  <c r="H23" i="2" l="1"/>
  <c r="F26" i="2"/>
  <c r="H26" i="2" s="1"/>
  <c r="D19" i="1" s="1"/>
  <c r="D23" i="1" l="1"/>
  <c r="D21" i="1"/>
  <c r="F19" i="1"/>
  <c r="H19" i="1" s="1"/>
  <c r="D15" i="1"/>
  <c r="F15" i="1" s="1"/>
  <c r="H15" i="1" s="1"/>
  <c r="J2" i="43" s="1"/>
  <c r="F23" i="1" l="1"/>
  <c r="H23" i="1" s="1"/>
  <c r="D25" i="1"/>
  <c r="F25" i="1" s="1"/>
  <c r="H25" i="1" s="1"/>
  <c r="F21" i="1"/>
  <c r="H21" i="1" s="1"/>
  <c r="L7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xli</author>
  </authors>
  <commentList>
    <comment ref="C4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xli:</t>
        </r>
        <r>
          <rPr>
            <sz val="8"/>
            <color indexed="81"/>
            <rFont val="Tahoma"/>
            <family val="2"/>
          </rPr>
          <t xml:space="preserve">
manually picked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  <author>jmurphy</author>
  </authors>
  <commentList>
    <comment ref="F11" authorId="0" shapeId="0" xr:uid="{00000000-0006-0000-2300-000001000000}">
      <text>
        <r>
          <rPr>
            <b/>
            <sz val="8"/>
            <color indexed="81"/>
            <rFont val="Tahoma"/>
            <family val="2"/>
          </rPr>
          <t>Twia Admin:</t>
        </r>
        <r>
          <rPr>
            <sz val="8"/>
            <color indexed="81"/>
            <rFont val="Tahoma"/>
            <family val="2"/>
          </rPr>
          <t xml:space="preserve">
only loss; no adjustment expenses</t>
        </r>
      </text>
    </comment>
    <comment ref="F18" authorId="1" shapeId="0" xr:uid="{00000000-0006-0000-2300-000002000000}">
      <text>
        <r>
          <rPr>
            <b/>
            <sz val="8"/>
            <color indexed="81"/>
            <rFont val="Tahoma"/>
            <family val="2"/>
          </rPr>
          <t>jmurphy:
removed accounting adjustment of $110M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xli</author>
  </authors>
  <commentList>
    <comment ref="C36" authorId="0" shapeId="0" xr:uid="{00000000-0006-0000-2400-000001000000}">
      <text>
        <r>
          <rPr>
            <b/>
            <sz val="8"/>
            <color indexed="81"/>
            <rFont val="Tahoma"/>
            <family val="2"/>
          </rPr>
          <t>xli:</t>
        </r>
        <r>
          <rPr>
            <sz val="8"/>
            <color indexed="81"/>
            <rFont val="Tahoma"/>
            <family val="2"/>
          </rPr>
          <t xml:space="preserve">
Changes due to migration to GWDW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</authors>
  <commentList>
    <comment ref="B61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Jim Murphy:
10 Non-Hurricane Years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Fang</author>
  </authors>
  <commentList>
    <comment ref="O11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Angela Fang:</t>
        </r>
        <r>
          <rPr>
            <sz val="9"/>
            <color indexed="81"/>
            <rFont val="Tahoma"/>
            <family val="2"/>
          </rPr>
          <t xml:space="preserve">
Schedule P - Column 8</t>
        </r>
      </text>
    </comment>
    <comment ref="P11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Angela Fang:</t>
        </r>
        <r>
          <rPr>
            <sz val="9"/>
            <color indexed="81"/>
            <rFont val="Tahoma"/>
            <family val="2"/>
          </rPr>
          <t xml:space="preserve">
Column 21</t>
        </r>
      </text>
    </comment>
    <comment ref="N28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Angela Fang:</t>
        </r>
        <r>
          <rPr>
            <sz val="9"/>
            <color indexed="81"/>
            <rFont val="Tahoma"/>
            <family val="2"/>
          </rPr>
          <t xml:space="preserve">
2019 Q1 Rx - 1.1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  <author>xli</author>
    <author>jmurphy</author>
  </authors>
  <commentList>
    <comment ref="L32" authorId="0" shapeId="0" xr:uid="{00000000-0006-0000-1500-000001000000}">
      <text>
        <r>
          <rPr>
            <b/>
            <sz val="8"/>
            <color indexed="81"/>
            <rFont val="Tahoma"/>
            <family val="2"/>
          </rPr>
          <t>Jim Murphy:
Total of actual TWIA / Industry EP from ISO data for all available years</t>
        </r>
      </text>
    </comment>
    <comment ref="G39" authorId="1" shapeId="0" xr:uid="{00000000-0006-0000-1500-000002000000}">
      <text>
        <r>
          <rPr>
            <b/>
            <sz val="8"/>
            <color indexed="81"/>
            <rFont val="Tahoma"/>
            <family val="2"/>
          </rPr>
          <t>xli:</t>
        </r>
        <r>
          <rPr>
            <sz val="8"/>
            <color indexed="81"/>
            <rFont val="Tahoma"/>
            <family val="2"/>
          </rPr>
          <t xml:space="preserve">
jmurphy:
subtract litigation related costs</t>
        </r>
      </text>
    </comment>
    <comment ref="L43" authorId="2" shapeId="0" xr:uid="{00000000-0006-0000-1500-000003000000}">
      <text>
        <r>
          <rPr>
            <b/>
            <sz val="8"/>
            <color indexed="81"/>
            <rFont val="Tahoma"/>
            <family val="2"/>
          </rPr>
          <t>jmurphy:</t>
        </r>
        <r>
          <rPr>
            <sz val="8"/>
            <color indexed="81"/>
            <rFont val="Tahoma"/>
            <family val="2"/>
          </rPr>
          <t xml:space="preserve">
from Ike Dolly Lit Reduction spreadsheet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C34" authorId="0" shapeId="0" xr:uid="{00000000-0006-0000-1600-000001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1600-000002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C34" authorId="0" shapeId="0" xr:uid="{00000000-0006-0000-1700-000001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1700-000002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C34" authorId="0" shapeId="0" xr:uid="{00000000-0006-0000-1800-000001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1800-000002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  <author>xli</author>
  </authors>
  <commentList>
    <comment ref="F26" authorId="0" shapeId="0" xr:uid="{00000000-0006-0000-2100-000001000000}">
      <text>
        <r>
          <rPr>
            <b/>
            <sz val="8"/>
            <color indexed="81"/>
            <rFont val="Tahoma"/>
            <family val="2"/>
          </rPr>
          <t>Xiu: total other UW exp + Aggregate Write in + Invest Exp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7" authorId="1" shapeId="0" xr:uid="{00000000-0006-0000-2100-000002000000}">
      <text>
        <r>
          <rPr>
            <b/>
            <sz val="9"/>
            <color indexed="81"/>
            <rFont val="Tahoma"/>
            <family val="2"/>
          </rPr>
          <t>xli:</t>
        </r>
        <r>
          <rPr>
            <sz val="9"/>
            <color indexed="81"/>
            <rFont val="Tahoma"/>
            <family val="2"/>
          </rPr>
          <t xml:space="preserve">
annual principle and interest payments for class 1 bond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  <author>Xiuyu Li</author>
  </authors>
  <commentList>
    <comment ref="D10" authorId="0" shapeId="0" xr:uid="{00000000-0006-0000-2200-000001000000}">
      <text>
        <r>
          <rPr>
            <b/>
            <sz val="8"/>
            <color indexed="81"/>
            <rFont val="Tahoma"/>
            <family val="2"/>
          </rPr>
          <t xml:space="preserve">
net of commission and broker discount, depop
</t>
        </r>
      </text>
    </comment>
    <comment ref="D13" authorId="0" shapeId="0" xr:uid="{00000000-0006-0000-2200-000002000000}">
      <text>
        <r>
          <rPr>
            <b/>
            <sz val="8"/>
            <color indexed="81"/>
            <rFont val="Tahoma"/>
            <family val="2"/>
          </rPr>
          <t>from AAL by Layers</t>
        </r>
      </text>
    </comment>
    <comment ref="D18" authorId="0" shapeId="0" xr:uid="{00000000-0006-0000-2200-000003000000}">
      <text>
        <r>
          <rPr>
            <b/>
            <sz val="8"/>
            <color indexed="81"/>
            <rFont val="Tahoma"/>
            <family val="2"/>
          </rPr>
          <t>from AAL by Layers</t>
        </r>
      </text>
    </comment>
    <comment ref="J18" authorId="0" shapeId="0" xr:uid="{00000000-0006-0000-2200-000004000000}">
      <text>
        <r>
          <rPr>
            <b/>
            <sz val="8"/>
            <color indexed="81"/>
            <rFont val="Tahoma"/>
            <family val="2"/>
          </rPr>
          <t xml:space="preserve">Xiu: based on premium trend jan-May of 2018
</t>
        </r>
      </text>
    </comment>
    <comment ref="D28" authorId="1" shapeId="0" xr:uid="{00000000-0006-0000-2200-000005000000}">
      <text>
        <r>
          <rPr>
            <b/>
            <sz val="9"/>
            <color indexed="81"/>
            <rFont val="Tahoma"/>
            <family val="2"/>
          </rPr>
          <t>Xiuyu Li:</t>
        </r>
        <r>
          <rPr>
            <sz val="9"/>
            <color indexed="81"/>
            <rFont val="Tahoma"/>
            <family val="2"/>
          </rPr>
          <t xml:space="preserve">
15% was judgmently selected based on scare of hurricane covered by reinsurance and CAT bond
</t>
        </r>
      </text>
    </comment>
    <comment ref="J33" authorId="0" shapeId="0" xr:uid="{00000000-0006-0000-2200-000006000000}">
      <text>
        <r>
          <rPr>
            <b/>
            <sz val="8"/>
            <color indexed="81"/>
            <rFont val="Tahoma"/>
            <family val="2"/>
          </rPr>
          <t xml:space="preserve">
look at trending assumptions</t>
        </r>
      </text>
    </comment>
  </commentList>
</comments>
</file>

<file path=xl/sharedStrings.xml><?xml version="1.0" encoding="utf-8"?>
<sst xmlns="http://schemas.openxmlformats.org/spreadsheetml/2006/main" count="1470" uniqueCount="584">
  <si>
    <t>Texas Windstorm Insurance Association</t>
  </si>
  <si>
    <t>Rate Level Review</t>
  </si>
  <si>
    <t>Summary of Indicated Rate Change</t>
  </si>
  <si>
    <t>By Method for Projecting Hurricane Loss &amp; LAE</t>
  </si>
  <si>
    <t>Exhibit 1</t>
  </si>
  <si>
    <t>Hurricane</t>
  </si>
  <si>
    <t>Indicated Loss &amp; LAE Ratio</t>
  </si>
  <si>
    <t>Non-Hurricane</t>
  </si>
  <si>
    <t>Total</t>
  </si>
  <si>
    <t>Permissible</t>
  </si>
  <si>
    <t>Loss &amp; LAE</t>
  </si>
  <si>
    <t>Ratio</t>
  </si>
  <si>
    <t>Indicated</t>
  </si>
  <si>
    <t>Rate</t>
  </si>
  <si>
    <t>Change</t>
  </si>
  <si>
    <t>A</t>
  </si>
  <si>
    <t>B</t>
  </si>
  <si>
    <t>Hurricane Projection Method</t>
  </si>
  <si>
    <t>Notes:</t>
  </si>
  <si>
    <t>Projected Ultimate Non-Hurricane Loss &amp; LAE Ratio</t>
  </si>
  <si>
    <t>Exhibit 2</t>
  </si>
  <si>
    <t>Sheet 1</t>
  </si>
  <si>
    <t>Tier 2</t>
  </si>
  <si>
    <t>Amount</t>
  </si>
  <si>
    <t>Loss &amp; LAE Ratio</t>
  </si>
  <si>
    <t>Total / Average</t>
  </si>
  <si>
    <t>Tier 1 -- Territory 8 (Galveston County)</t>
  </si>
  <si>
    <t>Ending</t>
  </si>
  <si>
    <t>Ultimate</t>
  </si>
  <si>
    <t>LAE</t>
  </si>
  <si>
    <t>Factor</t>
  </si>
  <si>
    <t>Net</t>
  </si>
  <si>
    <t>Trend</t>
  </si>
  <si>
    <t>Projected</t>
  </si>
  <si>
    <t>Loss</t>
  </si>
  <si>
    <t>at Current</t>
  </si>
  <si>
    <t>TWIA Rate Level</t>
  </si>
  <si>
    <t>Earned Premium</t>
  </si>
  <si>
    <t>Tier 1 -- Territory 9 (Nueces County)</t>
  </si>
  <si>
    <t>Tier 1 -- Territory 10 (Other Tier 1)</t>
  </si>
  <si>
    <t>Projected Ultimate Non-Hurricane Loss</t>
  </si>
  <si>
    <t>Accident</t>
  </si>
  <si>
    <t>Year</t>
  </si>
  <si>
    <t>Paid Loss</t>
  </si>
  <si>
    <t>Development</t>
  </si>
  <si>
    <t>Paid Loss Excluding Expense</t>
  </si>
  <si>
    <t>Paid Loss Development Factors</t>
  </si>
  <si>
    <t>Exhibit 3</t>
  </si>
  <si>
    <t>Months of Development</t>
  </si>
  <si>
    <t>Starting Accident Age</t>
  </si>
  <si>
    <t>Development Factors</t>
  </si>
  <si>
    <t>Average</t>
  </si>
  <si>
    <t>Avg 5 Year</t>
  </si>
  <si>
    <t>Selected</t>
  </si>
  <si>
    <t>Cumulative</t>
  </si>
  <si>
    <t>Exhibit 4</t>
  </si>
  <si>
    <t>Development of LAE factor Using TWIA Commercial + Residential Experience</t>
  </si>
  <si>
    <t>LAE to</t>
  </si>
  <si>
    <t>Loss Ratio</t>
  </si>
  <si>
    <t>Indicator</t>
  </si>
  <si>
    <t>H</t>
  </si>
  <si>
    <t>Hurricane Years Total</t>
  </si>
  <si>
    <t>All Years Total</t>
  </si>
  <si>
    <t>Non-Hurricane Years</t>
  </si>
  <si>
    <t>10 Year</t>
  </si>
  <si>
    <t>Sheet 2</t>
  </si>
  <si>
    <t>Ultimate Loss (TWIA All Lines)</t>
  </si>
  <si>
    <t>Incurred</t>
  </si>
  <si>
    <t>Sheet 3</t>
  </si>
  <si>
    <t>Incurred Loss Development Factors</t>
  </si>
  <si>
    <t>TWIA Schedule P Incurred Loss (Including IBNR)</t>
  </si>
  <si>
    <t>Sheet 4</t>
  </si>
  <si>
    <t>ALAE</t>
  </si>
  <si>
    <t>Sheet 5</t>
  </si>
  <si>
    <t>Incurred ALAE Development Factors</t>
  </si>
  <si>
    <t>Avg x hi / lo</t>
  </si>
  <si>
    <t>Avg 3 Year</t>
  </si>
  <si>
    <t>Summary of Indicated Hurricane Loss &amp; LAE Ratios</t>
  </si>
  <si>
    <t>Exhibit 5</t>
  </si>
  <si>
    <t>Basis for Hurricane Loss Ratio</t>
  </si>
  <si>
    <t>Hurricane Models</t>
  </si>
  <si>
    <t>AIR Model</t>
  </si>
  <si>
    <t>RMS Model</t>
  </si>
  <si>
    <t>Average of Models</t>
  </si>
  <si>
    <t>Exhibit 6</t>
  </si>
  <si>
    <t>(10)</t>
  </si>
  <si>
    <t>Start</t>
  </si>
  <si>
    <t>End</t>
  </si>
  <si>
    <t>Losses</t>
  </si>
  <si>
    <t>Years</t>
  </si>
  <si>
    <t>(5)</t>
  </si>
  <si>
    <t>(9)</t>
  </si>
  <si>
    <t>(8)</t>
  </si>
  <si>
    <t>(7)</t>
  </si>
  <si>
    <t>(6)</t>
  </si>
  <si>
    <t>Selected Non-Hurricane Loss Ratio</t>
  </si>
  <si>
    <t>Earned</t>
  </si>
  <si>
    <t>Premium</t>
  </si>
  <si>
    <t>Average of Non-Hurricane Years</t>
  </si>
  <si>
    <t>Average of Non-Hurricane Years Excluding 1991</t>
  </si>
  <si>
    <t>Territory 8</t>
  </si>
  <si>
    <t>Territory 9</t>
  </si>
  <si>
    <t>Territory 10</t>
  </si>
  <si>
    <t>Weighted</t>
  </si>
  <si>
    <t>Loss Ratios by Territory / Tier</t>
  </si>
  <si>
    <t>% Share</t>
  </si>
  <si>
    <t>Rate Level</t>
  </si>
  <si>
    <t>Sheet 6</t>
  </si>
  <si>
    <t>Sheet 7</t>
  </si>
  <si>
    <t>(4)</t>
  </si>
  <si>
    <t>County</t>
  </si>
  <si>
    <t>TWIA Insured</t>
  </si>
  <si>
    <t>Values (000s)</t>
  </si>
  <si>
    <t>Modeled</t>
  </si>
  <si>
    <t>Loss Cost</t>
  </si>
  <si>
    <t>Hurricane Loss</t>
  </si>
  <si>
    <t>Expected Annual</t>
  </si>
  <si>
    <t>Indicated Hurricane Loss Ratio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</si>
  <si>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</si>
  <si>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</si>
  <si>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</si>
  <si>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</si>
  <si>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</si>
  <si>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</si>
  <si>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</si>
  <si>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</si>
  <si>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</si>
  <si>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</si>
  <si>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</si>
  <si>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</si>
  <si>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</si>
  <si>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</si>
  <si>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</si>
  <si>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Insured Values as of</t>
  </si>
  <si>
    <t>Annual</t>
  </si>
  <si>
    <t>Modeled Loss</t>
  </si>
  <si>
    <t>Exhibit 8</t>
  </si>
  <si>
    <t>Hurricane Loss Ratio -- AIR Model</t>
  </si>
  <si>
    <t>AIR Simulated Hurricane Results</t>
  </si>
  <si>
    <t>Exhibit 9</t>
  </si>
  <si>
    <t>Hurricane Loss Ratio -- RMS Model</t>
  </si>
  <si>
    <t>RMS Simulated Hurricane Results</t>
  </si>
  <si>
    <t>Exhibit 10</t>
  </si>
  <si>
    <t>Date</t>
  </si>
  <si>
    <t>Name</t>
  </si>
  <si>
    <t>Audrey</t>
  </si>
  <si>
    <t>Debra</t>
  </si>
  <si>
    <t>Carla</t>
  </si>
  <si>
    <t>Cindy</t>
  </si>
  <si>
    <t>Celia</t>
  </si>
  <si>
    <t>Fern</t>
  </si>
  <si>
    <t>Allen</t>
  </si>
  <si>
    <t>Alicia</t>
  </si>
  <si>
    <t>Bonnie</t>
  </si>
  <si>
    <t>Chantal</t>
  </si>
  <si>
    <t>Jerry</t>
  </si>
  <si>
    <t>Frequency</t>
  </si>
  <si>
    <t>Date Period</t>
  </si>
  <si>
    <t>Hurricanes</t>
  </si>
  <si>
    <t>Annual Frequency</t>
  </si>
  <si>
    <t>Exhibit 11</t>
  </si>
  <si>
    <t>Exhibit 12</t>
  </si>
  <si>
    <t>Expense Category</t>
  </si>
  <si>
    <t>(1)</t>
  </si>
  <si>
    <t>(2)</t>
  </si>
  <si>
    <t>(3)</t>
  </si>
  <si>
    <t>Direct Earned Premium</t>
  </si>
  <si>
    <t>Direct Written Premium</t>
  </si>
  <si>
    <t>Commission</t>
  </si>
  <si>
    <t>$ Amount</t>
  </si>
  <si>
    <t>% of DWP</t>
  </si>
  <si>
    <t>Other Acquisition</t>
  </si>
  <si>
    <t>General Expense</t>
  </si>
  <si>
    <t>Unadjusted $ Amount</t>
  </si>
  <si>
    <t>Adjustments</t>
  </si>
  <si>
    <t>Contribution to Statutory Fund</t>
  </si>
  <si>
    <t>Adjusted $ Amount</t>
  </si>
  <si>
    <t>Taxes, Licenses &amp; Fees</t>
  </si>
  <si>
    <t>Reinsurance Expense</t>
  </si>
  <si>
    <t>(11)</t>
  </si>
  <si>
    <t>Reconciliation of Premium Data to Annual Statement</t>
  </si>
  <si>
    <t>Calendar</t>
  </si>
  <si>
    <t>TWIA Provided Written Premium</t>
  </si>
  <si>
    <t>Commercial</t>
  </si>
  <si>
    <t>Residential</t>
  </si>
  <si>
    <t>Written Premium</t>
  </si>
  <si>
    <t>Statement Gross</t>
  </si>
  <si>
    <t>Difference</t>
  </si>
  <si>
    <t>Commercial Property - Wind &amp; Hail</t>
  </si>
  <si>
    <t>Reconciliation of Paid Loss Data to Schedule P</t>
  </si>
  <si>
    <t>TWIA Provided Paid Loss</t>
  </si>
  <si>
    <t>Schedule P</t>
  </si>
  <si>
    <t>Direct &amp; Assumed</t>
  </si>
  <si>
    <t>&amp; Farm</t>
  </si>
  <si>
    <t>History of Rate Level Changes</t>
  </si>
  <si>
    <t>Effective</t>
  </si>
  <si>
    <t>Prior</t>
  </si>
  <si>
    <t>8/1/80</t>
  </si>
  <si>
    <t>9/1/81</t>
  </si>
  <si>
    <t>9/1/82</t>
  </si>
  <si>
    <t>10/10/83</t>
  </si>
  <si>
    <t>3/1/85</t>
  </si>
  <si>
    <t>3/15/85</t>
  </si>
  <si>
    <t>11/15/85</t>
  </si>
  <si>
    <t>7/1/87</t>
  </si>
  <si>
    <t>11/1/88</t>
  </si>
  <si>
    <t>3/1/90</t>
  </si>
  <si>
    <t>4/1/91</t>
  </si>
  <si>
    <t>1/1/92</t>
  </si>
  <si>
    <t>10/1/93</t>
  </si>
  <si>
    <t>1/1/98</t>
  </si>
  <si>
    <t>1/1/00</t>
  </si>
  <si>
    <t>1/1/01</t>
  </si>
  <si>
    <t>1/1/02</t>
  </si>
  <si>
    <t>Calculation of On-Level Premium Factors</t>
  </si>
  <si>
    <t>Current</t>
  </si>
  <si>
    <t>Applicable Rates</t>
  </si>
  <si>
    <t>Rate Level in Effect</t>
  </si>
  <si>
    <t>B.O.Y.</t>
  </si>
  <si>
    <t>E.O.Y.</t>
  </si>
  <si>
    <t>Cumulative Rate Level</t>
  </si>
  <si>
    <t># Months</t>
  </si>
  <si>
    <t>Level</t>
  </si>
  <si>
    <t>Factor to</t>
  </si>
  <si>
    <t>Calculation of Earned Premium at Present Rate Level</t>
  </si>
  <si>
    <t>TWIA</t>
  </si>
  <si>
    <t>Written</t>
  </si>
  <si>
    <t>Industry Experience -- Commercial Extended Coverage</t>
  </si>
  <si>
    <t>AY</t>
  </si>
  <si>
    <t>at 1992 MR</t>
  </si>
  <si>
    <t>TWIA Factor</t>
  </si>
  <si>
    <t>to Current</t>
  </si>
  <si>
    <t>Premium at</t>
  </si>
  <si>
    <t>Current Rates</t>
  </si>
  <si>
    <t>TWIA premium as % of industry</t>
  </si>
  <si>
    <t>TWIA Commercial Property Paid Loss</t>
  </si>
  <si>
    <t>CY Data Ending</t>
  </si>
  <si>
    <t>Latest Annual Statement Date</t>
  </si>
  <si>
    <t>CAY Ending</t>
  </si>
  <si>
    <t>Evaluated as of</t>
  </si>
  <si>
    <t>TDI</t>
  </si>
  <si>
    <t>ISO</t>
  </si>
  <si>
    <t>at 1992 CMR</t>
  </si>
  <si>
    <t>1/1/03</t>
  </si>
  <si>
    <t>Calculation of On-Level Factors</t>
  </si>
  <si>
    <t>Rate Change</t>
  </si>
  <si>
    <t>RC + 1</t>
  </si>
  <si>
    <t>OLF</t>
  </si>
  <si>
    <t>Average OLF</t>
  </si>
  <si>
    <t>AY Ending</t>
  </si>
  <si>
    <t>Evaluated</t>
  </si>
  <si>
    <t>Ultimate LAE (TWIA All Lines)</t>
  </si>
  <si>
    <t>Fixed</t>
  </si>
  <si>
    <t>Expenses</t>
  </si>
  <si>
    <t>LLAE Ratio</t>
  </si>
  <si>
    <t>Total Fixed Expenses</t>
  </si>
  <si>
    <t>Total Variable Expenses</t>
  </si>
  <si>
    <t>In-Force</t>
  </si>
  <si>
    <t>Trend Length</t>
  </si>
  <si>
    <t>Selected Premium Trend</t>
  </si>
  <si>
    <t>Prospective</t>
  </si>
  <si>
    <t>Premium Trend Analysis</t>
  </si>
  <si>
    <t>Year /</t>
  </si>
  <si>
    <t>Period</t>
  </si>
  <si>
    <t>Quarter</t>
  </si>
  <si>
    <t>Index</t>
  </si>
  <si>
    <t>(15)</t>
  </si>
  <si>
    <t>Sheet 3a</t>
  </si>
  <si>
    <t>Loss Trend Analysis</t>
  </si>
  <si>
    <t>Summary of Indices and Calculation of Prospective Loss Costs</t>
  </si>
  <si>
    <t>Calendar Year</t>
  </si>
  <si>
    <t>Statewide</t>
  </si>
  <si>
    <t>Coastal</t>
  </si>
  <si>
    <t>Modified</t>
  </si>
  <si>
    <t>Weights</t>
  </si>
  <si>
    <t>Boeckh</t>
  </si>
  <si>
    <t>CPI</t>
  </si>
  <si>
    <t>MCPI</t>
  </si>
  <si>
    <t>Factors to Adjust For Prospective Loss Costs</t>
  </si>
  <si>
    <t>Fitted Trend</t>
  </si>
  <si>
    <t>Average Accident Date</t>
  </si>
  <si>
    <t>Cost Factor</t>
  </si>
  <si>
    <t>Sheet 3b</t>
  </si>
  <si>
    <t>CY Ending</t>
  </si>
  <si>
    <t>Texas</t>
  </si>
  <si>
    <t>Fitted Trends</t>
  </si>
  <si>
    <t>All Years</t>
  </si>
  <si>
    <t>5 Years</t>
  </si>
  <si>
    <t>4 Years</t>
  </si>
  <si>
    <t>3 Years</t>
  </si>
  <si>
    <t>Linear</t>
  </si>
  <si>
    <t>Exponential</t>
  </si>
  <si>
    <t>Annual Trend</t>
  </si>
  <si>
    <t>R-Squared</t>
  </si>
  <si>
    <t>Sheet 3c</t>
  </si>
  <si>
    <t>Sheet 3d</t>
  </si>
  <si>
    <t>Modified Consumer Price Index - External Trend</t>
  </si>
  <si>
    <t>Payments</t>
  </si>
  <si>
    <t>IBNR</t>
  </si>
  <si>
    <t>Case Resv</t>
  </si>
  <si>
    <t>1/1/04</t>
  </si>
  <si>
    <t>Calculation of Net Trend Factors</t>
  </si>
  <si>
    <t>Current Average Earned Date</t>
  </si>
  <si>
    <t>Current Average Accident Date</t>
  </si>
  <si>
    <t>Prospective Average Earned / Accident Date</t>
  </si>
  <si>
    <t>Premium Trend Length</t>
  </si>
  <si>
    <t>Loss Trend Length</t>
  </si>
  <si>
    <t>(12)</t>
  </si>
  <si>
    <t>(13)</t>
  </si>
  <si>
    <t>(14)</t>
  </si>
  <si>
    <t>Claudette</t>
  </si>
  <si>
    <t>1/1/05</t>
  </si>
  <si>
    <t>Boeckh Commercial Construction Index Trend (Coastal)</t>
  </si>
  <si>
    <t>Boeckh Commercial Construction Index Trend (Statewide)</t>
  </si>
  <si>
    <t xml:space="preserve"> </t>
  </si>
  <si>
    <t>Selected Frequency</t>
  </si>
  <si>
    <t>Historical Hurricane Frequency</t>
  </si>
  <si>
    <t>Industry Experience</t>
  </si>
  <si>
    <t>Using Actual Industry Experience</t>
  </si>
  <si>
    <t>5-Year</t>
  </si>
  <si>
    <t>4-Year</t>
  </si>
  <si>
    <t>3-Year</t>
  </si>
  <si>
    <t>Selected Loss Trend</t>
  </si>
  <si>
    <t>1/1/06</t>
  </si>
  <si>
    <t>Rita</t>
  </si>
  <si>
    <t>2005</t>
  </si>
  <si>
    <t xml:space="preserve">              For 1985, there were two additional rate changes</t>
  </si>
  <si>
    <t>TWIA Commercial Earned Premium at Present Rates</t>
  </si>
  <si>
    <t>Present Rates</t>
  </si>
  <si>
    <t>at Present Rates</t>
  </si>
  <si>
    <t>Exponential Fitted Trends</t>
  </si>
  <si>
    <t>All-Year</t>
  </si>
  <si>
    <t>Average Annual Change</t>
  </si>
  <si>
    <t>Correlation Coefficient</t>
  </si>
  <si>
    <t>(16)</t>
  </si>
  <si>
    <t>9/1/06</t>
  </si>
  <si>
    <t>1/1/07</t>
  </si>
  <si>
    <t>C</t>
  </si>
  <si>
    <t>D</t>
  </si>
  <si>
    <t>E</t>
  </si>
  <si>
    <t>F</t>
  </si>
  <si>
    <t>G</t>
  </si>
  <si>
    <t>I</t>
  </si>
  <si>
    <t>J</t>
  </si>
  <si>
    <t>K</t>
  </si>
  <si>
    <t>Avg Cuml</t>
  </si>
  <si>
    <t>Month</t>
  </si>
  <si>
    <t>Landfall</t>
  </si>
  <si>
    <t>Jun</t>
  </si>
  <si>
    <t>Sep</t>
  </si>
  <si>
    <t>Jul</t>
  </si>
  <si>
    <t>Oct</t>
  </si>
  <si>
    <t>Aug</t>
  </si>
  <si>
    <t>“Matagorda”</t>
  </si>
  <si>
    <t>“Sabine River-Lake Calcasieu”</t>
  </si>
  <si>
    <t>“Galveston”</t>
  </si>
  <si>
    <t>“Lower Texas Coast"</t>
  </si>
  <si>
    <t>“Indianola”</t>
  </si>
  <si>
    <t>“Velasco”</t>
  </si>
  <si>
    <t>“Freeport”</t>
  </si>
  <si>
    <t>Beulah</t>
  </si>
  <si>
    <t>Bret</t>
  </si>
  <si>
    <t>On-</t>
  </si>
  <si>
    <t>Factors</t>
  </si>
  <si>
    <t>Exhibit 7</t>
  </si>
  <si>
    <t>Humberto</t>
  </si>
  <si>
    <t>2/1/08</t>
  </si>
  <si>
    <t xml:space="preserve">              For each year except 1985, 2006, and 2008 the B.O.Y. and E.O.Y. rates are the only rates applicable</t>
  </si>
  <si>
    <t xml:space="preserve">              For 2006, there was one additional rate change</t>
  </si>
  <si>
    <t xml:space="preserve">              For 2008, the rate change took effect mid-year</t>
  </si>
  <si>
    <t>Tier 2 (Territories 1 and 11)</t>
  </si>
  <si>
    <t>L</t>
  </si>
  <si>
    <t>2007</t>
  </si>
  <si>
    <t>2/1/09</t>
  </si>
  <si>
    <t>Dolly</t>
  </si>
  <si>
    <t>Ike</t>
  </si>
  <si>
    <t>M</t>
  </si>
  <si>
    <t>2008</t>
  </si>
  <si>
    <t>Using Experience and Models</t>
  </si>
  <si>
    <t>Provided by TWIA, includes commercial and farm,</t>
  </si>
  <si>
    <t>Development of Reinsurer Expense</t>
  </si>
  <si>
    <t>Using Average of AIR and  RMS Hurricane Models</t>
  </si>
  <si>
    <t>Reinsurance Contract</t>
  </si>
  <si>
    <t>Expiring</t>
  </si>
  <si>
    <t>Average Earned Date</t>
  </si>
  <si>
    <t>(2a)</t>
  </si>
  <si>
    <t>Average Annual Loss by Reinsurance Layer (AIR)</t>
  </si>
  <si>
    <t>Hurricane Model</t>
  </si>
  <si>
    <t>Selected Exposure Trend</t>
  </si>
  <si>
    <t>(2b)</t>
  </si>
  <si>
    <t>Average Annual Loss by Reinsurance Layer (RMS)</t>
  </si>
  <si>
    <t>12/31</t>
  </si>
  <si>
    <t>(2c)</t>
  </si>
  <si>
    <t>Selected Total Average Annual Loss</t>
  </si>
  <si>
    <t>Annual Exposure Growth</t>
  </si>
  <si>
    <t>Prospective Average Annual Loss</t>
  </si>
  <si>
    <t>Net Cost of Reinsurance</t>
  </si>
  <si>
    <t>Indicated Reinsurance Expense %</t>
  </si>
  <si>
    <t>1/1/11</t>
  </si>
  <si>
    <t>N</t>
  </si>
  <si>
    <t>2010 / 4</t>
  </si>
  <si>
    <t>Provision for</t>
  </si>
  <si>
    <t>Storm Surge</t>
  </si>
  <si>
    <t>AIR Storm Surge Increase</t>
  </si>
  <si>
    <t>RMS Storm Surge Increase</t>
  </si>
  <si>
    <t>1/1/12</t>
  </si>
  <si>
    <t>1/1/13</t>
  </si>
  <si>
    <t>direct and assumed; DCC only</t>
  </si>
  <si>
    <t>sum</t>
  </si>
  <si>
    <t>2012 / 4</t>
  </si>
  <si>
    <t>2011 / 4</t>
  </si>
  <si>
    <t>2006</t>
  </si>
  <si>
    <t>2009</t>
  </si>
  <si>
    <t>2010</t>
  </si>
  <si>
    <t>O</t>
  </si>
  <si>
    <t>P</t>
  </si>
  <si>
    <t>2011</t>
  </si>
  <si>
    <t>1/1/14</t>
  </si>
  <si>
    <t>Q</t>
  </si>
  <si>
    <t>R</t>
  </si>
  <si>
    <t>2013 / 4</t>
  </si>
  <si>
    <t>Deducted Litigation Costs</t>
  </si>
  <si>
    <t>Notes: premium trend derived above include impact from exposure change, deductible change, policy limits change, and etc.</t>
  </si>
  <si>
    <t>2014 / 4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</si>
  <si>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</si>
  <si>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</si>
  <si>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</si>
  <si>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</si>
  <si>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</si>
  <si>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</si>
  <si>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</si>
  <si>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</si>
  <si>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</si>
  <si>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</si>
  <si>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</si>
  <si>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</si>
  <si>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2012</t>
  </si>
  <si>
    <t>2013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</si>
  <si>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</si>
  <si>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</si>
  <si>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</si>
  <si>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</si>
  <si>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</si>
  <si>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</si>
  <si>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</si>
  <si>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</si>
  <si>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</si>
  <si>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</si>
  <si>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Debt Service</t>
  </si>
  <si>
    <t>1/1/15</t>
  </si>
  <si>
    <t>2015 / 4</t>
  </si>
  <si>
    <t>S</t>
  </si>
  <si>
    <t>1/1/16</t>
  </si>
  <si>
    <t>Exhibit of Preiumium and Loss</t>
  </si>
  <si>
    <t>2016 / 4</t>
  </si>
  <si>
    <t>Interest Payment</t>
  </si>
  <si>
    <t>interest</t>
  </si>
  <si>
    <t>principle</t>
  </si>
  <si>
    <t>Overall Indication</t>
  </si>
  <si>
    <t>Net of Depop</t>
  </si>
  <si>
    <t>Fixed Expenses and Permissible Loss &amp; LAE Ratios</t>
  </si>
  <si>
    <t>ULAE Actual</t>
  </si>
  <si>
    <t>Prelim ULAE</t>
  </si>
  <si>
    <t>IKE</t>
  </si>
  <si>
    <t>IKE paid as of 12/31/2017</t>
  </si>
  <si>
    <t>Harvey</t>
  </si>
  <si>
    <t>Evaluation_Dt</t>
  </si>
  <si>
    <t>Loss_Incd</t>
  </si>
  <si>
    <t>ALAE_Incd</t>
  </si>
  <si>
    <t>total_paid_loss</t>
  </si>
  <si>
    <t>total_paid_ALAE</t>
  </si>
  <si>
    <t>Paid ULAE</t>
  </si>
  <si>
    <t>paid LAE ratio</t>
  </si>
  <si>
    <t>Outstanding Class 1 Public Security Repayment</t>
  </si>
  <si>
    <t>CRTF Contribution &amp; UW Contingency &amp; Uncertainty</t>
  </si>
  <si>
    <t>T</t>
  </si>
  <si>
    <t>Factor to TWIA Rate Level 1998 to 2017</t>
  </si>
  <si>
    <t>1/1/17</t>
  </si>
  <si>
    <t>1/1/18</t>
  </si>
  <si>
    <t>2014</t>
  </si>
  <si>
    <t>2015</t>
  </si>
  <si>
    <t>2016</t>
  </si>
  <si>
    <t>2017</t>
  </si>
  <si>
    <t>AAO</t>
  </si>
  <si>
    <t>DCC</t>
  </si>
  <si>
    <t>TWIA Schedule P Incurred DCC (Including IBNR)</t>
  </si>
  <si>
    <t>2017 / 4</t>
  </si>
  <si>
    <t>Writen premium</t>
  </si>
  <si>
    <t>At present rates</t>
  </si>
  <si>
    <t>excludes hurricanes Brett (1999), Claudette (2003), Rita (2005), Humberto (2007), Dolly (2008), and Ike (2008), Harvey (2017)</t>
  </si>
  <si>
    <t>Prospective WPPR</t>
  </si>
  <si>
    <t>ALAE at 12/31/2018</t>
  </si>
  <si>
    <t>Paid</t>
  </si>
  <si>
    <t>Case</t>
  </si>
  <si>
    <t>2018</t>
  </si>
  <si>
    <t>Loss Adjustment Expense Amounts</t>
  </si>
  <si>
    <t>Unpaid</t>
  </si>
  <si>
    <t>2017(Other)</t>
  </si>
  <si>
    <t>2017(Harvey)</t>
  </si>
  <si>
    <t>2018 / 4</t>
  </si>
  <si>
    <t>Col 6 -Schedule P Part I</t>
  </si>
  <si>
    <t>Col 17</t>
  </si>
  <si>
    <t>Col 19</t>
  </si>
  <si>
    <t>Devel't Wtd</t>
  </si>
  <si>
    <t>100% of $2100M XS $2100M</t>
  </si>
  <si>
    <t>(9) = (5) + (7) + (8)</t>
  </si>
  <si>
    <t>% of DEP</t>
  </si>
  <si>
    <t>Exposure</t>
  </si>
  <si>
    <t>Quarterly</t>
  </si>
  <si>
    <t>(6) = (5) / (2)</t>
  </si>
  <si>
    <t>(7) annualized average written premium</t>
  </si>
  <si>
    <t>Per house year</t>
  </si>
  <si>
    <t xml:space="preserve">(8) Outstanding Class 1 Public Security issued in 2014, Security depleted due to Hurricane Harvey; </t>
  </si>
  <si>
    <t>(6) a</t>
  </si>
  <si>
    <t>(6) b</t>
  </si>
  <si>
    <t>Selected Avg Hurricane Loss Ratio Per Hurricane</t>
  </si>
  <si>
    <t>Model loss W SS</t>
  </si>
  <si>
    <t>With Default SS</t>
  </si>
  <si>
    <t>LAE loading</t>
  </si>
  <si>
    <t>Elevate Budget</t>
  </si>
  <si>
    <t>2020 - $5M</t>
  </si>
  <si>
    <t>2021 - $7.5M</t>
  </si>
  <si>
    <t>2022 - $2.5M</t>
  </si>
  <si>
    <t>IT current projection is approximately:</t>
  </si>
  <si>
    <t>Average annual Elevate Expense</t>
  </si>
  <si>
    <t>Adjustment to general expense provision</t>
  </si>
  <si>
    <t>Losses at 12/31/2019</t>
  </si>
  <si>
    <t>$350.03M = TWIA 2019 written premium $372,016,601*(1-3%)^2; 3% from Exhibit 11, sheet 2, (3)</t>
  </si>
  <si>
    <t>2019 EPPR</t>
  </si>
  <si>
    <t>Number of Hurricanes</t>
  </si>
  <si>
    <t>During the Year</t>
  </si>
  <si>
    <t>Average Hurricane Loss Ratio Per Hurricane</t>
  </si>
  <si>
    <t>Hurricane Year</t>
  </si>
  <si>
    <t>Per Hurricane</t>
  </si>
  <si>
    <t>Simple Average Loss Ratio Per Hurricane Year</t>
  </si>
  <si>
    <t>2019 / 4</t>
  </si>
  <si>
    <t>Using RMS Models</t>
  </si>
  <si>
    <t>Using AIR Models</t>
  </si>
  <si>
    <t>Permissible Loss, LAE, and Fixed Expense Ratio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</si>
  <si>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</si>
  <si>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</si>
  <si>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</si>
  <si>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</si>
  <si>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</si>
  <si>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</si>
  <si>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</si>
  <si>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</si>
  <si>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</si>
  <si>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</si>
  <si>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</si>
  <si>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</si>
  <si>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</si>
  <si>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</si>
  <si>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</si>
  <si>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Factor to TWIA Rate Level 1983 to 2019</t>
  </si>
  <si>
    <t>Premium Surcharge</t>
  </si>
  <si>
    <t>84 manual rate chang</t>
  </si>
  <si>
    <t>surcharge removed</t>
  </si>
  <si>
    <t>(4) = MAX((3)-(5),0)/(2)</t>
  </si>
  <si>
    <t>(7) = (6) * loss development factors from Exhibit 2.2</t>
  </si>
  <si>
    <t>Commerial Property - Wind &amp; Hail</t>
  </si>
  <si>
    <t>Table of Contents</t>
  </si>
  <si>
    <t>Tab label</t>
  </si>
  <si>
    <t>Main Heading</t>
  </si>
  <si>
    <t>Sub-heading</t>
  </si>
  <si>
    <t xml:space="preserve">Exhibit </t>
  </si>
  <si>
    <t>Sheet</t>
  </si>
  <si>
    <t>3.2 premium trend</t>
  </si>
  <si>
    <t>3.3a</t>
  </si>
  <si>
    <t>3.3b</t>
  </si>
  <si>
    <t>3.3c</t>
  </si>
  <si>
    <t>3.3d</t>
  </si>
  <si>
    <t>6.2 - industry</t>
  </si>
  <si>
    <t>Calculation of TWIA Earned Premium at Present Rate Level</t>
  </si>
  <si>
    <t>Average of AIR and RMS Models</t>
  </si>
  <si>
    <t>Average Written</t>
  </si>
  <si>
    <t>Premium at Present</t>
  </si>
  <si>
    <t>Rates Four</t>
  </si>
  <si>
    <t>Quarter Ending</t>
  </si>
  <si>
    <t>Texas Hurricanes 1850 - 2019</t>
  </si>
  <si>
    <t>Summary of TWIA Historical Paid Loss as of 12/31/19</t>
  </si>
  <si>
    <t>2020 Rate Level Review</t>
  </si>
  <si>
    <t>1966 - 2019 -- Hurricane Years Only</t>
  </si>
  <si>
    <t>1966 - 2019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</si>
</sst>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0.0%"/>
    <numFmt numFmtId="165" formatCode="\+0%;\-0%;0%"/>
    <numFmt numFmtId="166" formatCode="0.000"/>
    <numFmt numFmtId="167" formatCode="#,##0.000"/>
    <numFmt numFmtId="168" formatCode="0.0000"/>
    <numFmt numFmtId="169" formatCode="&quot;$&quot;#,##0"/>
    <numFmt numFmtId="170" formatCode="_(* #,##0_);_(* \(#,##0\);_(* &quot;-&quot;??_);_(@_)"/>
    <numFmt numFmtId="171" formatCode="0.0"/>
    <numFmt numFmtId="172" formatCode="_(&quot;$&quot;* #,##0.00_);_(&quot;$&quot;* \(#,##0.00\);_(&quot;$&quot;* &quot;0.00&quot;_);_(@_)"/>
    <numFmt numFmtId="173" formatCode="_(* #,##0.00_);_(* \(#,##0.00\);_(* &quot;0.00&quot;_);_(@_)"/>
    <numFmt numFmtId="174" formatCode="_(* #,##0.000_);_(* \(#,##0.000\);_(* &quot;0.000&quot;_);_(@_)"/>
    <numFmt numFmtId="175" formatCode="_(&quot;$&quot;* #,##0.0_);_(&quot;$&quot;* \(#,##0.0\);_(&quot;$&quot;* &quot;0.0&quot;_);_(@_)"/>
    <numFmt numFmtId="176" formatCode="_(* #,##0.0_);_(* \(#,##0.0\);_(* &quot;0.0&quot;_);_(@_)"/>
    <numFmt numFmtId="177" formatCode="_(* #,##0.00000_);_(* \(#,##0.00000\);_(* &quot;0.00000&quot;_);_(@_)"/>
    <numFmt numFmtId="178" formatCode="0.0000000000000000%"/>
    <numFmt numFmtId="179" formatCode="\+0.0%;\-0.0%;0.0%"/>
    <numFmt numFmtId="180" formatCode="m/d/yy;@"/>
    <numFmt numFmtId="181" formatCode="_(* #,##0.000_);_(* \(#,##0.000\);_(* &quot;-&quot;???_);_(@_)"/>
    <numFmt numFmtId="182" formatCode="_(* #,##0.0_);_(* \(#,##0.0\);_(* &quot;-&quot;??_);_(@_)"/>
  </numFmts>
  <fonts count="25" x14ac:knownFonts="1">
    <font>
      <sz val="8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color indexed="14"/>
      <name val="Arial"/>
      <family val="2"/>
    </font>
    <font>
      <sz val="8"/>
      <color indexed="54"/>
      <name val="Arial"/>
      <family val="2"/>
    </font>
    <font>
      <b/>
      <sz val="8"/>
      <color indexed="81"/>
      <name val="Tahoma"/>
      <family val="2"/>
    </font>
    <font>
      <sz val="12"/>
      <name val="Times New Roman"/>
      <family val="1"/>
    </font>
    <font>
      <sz val="8"/>
      <color indexed="81"/>
      <name val="Tahoma"/>
      <family val="2"/>
    </font>
    <font>
      <sz val="11"/>
      <name val="Calibri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  <font>
      <sz val="10"/>
      <color rgb="FF1F497D"/>
      <name val="Arial"/>
      <family val="2"/>
    </font>
    <font>
      <sz val="8"/>
      <color theme="1"/>
      <name val="Arial"/>
      <family val="2"/>
    </font>
    <font>
      <sz val="11"/>
      <color rgb="FF1F3864"/>
      <name val="Calibri"/>
      <family val="2"/>
    </font>
    <font>
      <sz val="8"/>
      <color rgb="FF666699"/>
      <name val="Arial"/>
      <family val="2"/>
    </font>
    <font>
      <b/>
      <sz val="10"/>
      <color rgb="FF26282A"/>
      <name val="Arial"/>
      <family val="2"/>
    </font>
    <font>
      <sz val="8"/>
      <color rgb="FF3366FF"/>
      <name val="Arial"/>
      <family val="2"/>
    </font>
    <font>
      <sz val="8"/>
      <color rgb="FF0000FF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76" fontId="10" fillId="0" borderId="0"/>
    <xf numFmtId="173" fontId="10" fillId="0" borderId="0"/>
    <xf numFmtId="174" fontId="10" fillId="0" borderId="0"/>
    <xf numFmtId="177" fontId="10" fillId="0" borderId="0"/>
    <xf numFmtId="175" fontId="10" fillId="0" borderId="0"/>
    <xf numFmtId="172" fontId="10" fillId="0" borderId="0"/>
    <xf numFmtId="0" fontId="4" fillId="0" borderId="0"/>
    <xf numFmtId="9" fontId="1" fillId="0" borderId="0" applyFont="0" applyFill="0" applyBorder="0" applyAlignment="0" applyProtection="0"/>
    <xf numFmtId="164" fontId="10" fillId="0" borderId="0"/>
  </cellStyleXfs>
  <cellXfs count="46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0" borderId="0" xfId="0" applyAlignment="1">
      <alignment horizontal="right"/>
    </xf>
    <xf numFmtId="0" fontId="2" fillId="0" borderId="0" xfId="0" applyFont="1"/>
    <xf numFmtId="0" fontId="0" fillId="0" borderId="7" xfId="0" applyBorder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Continuous"/>
    </xf>
    <xf numFmtId="164" fontId="5" fillId="0" borderId="0" xfId="9" applyNumberFormat="1" applyFont="1"/>
    <xf numFmtId="165" fontId="5" fillId="0" borderId="0" xfId="9" applyNumberFormat="1" applyFont="1"/>
    <xf numFmtId="165" fontId="4" fillId="0" borderId="0" xfId="9" applyNumberFormat="1" applyFont="1"/>
    <xf numFmtId="164" fontId="4" fillId="0" borderId="0" xfId="9" applyNumberFormat="1" applyFont="1"/>
    <xf numFmtId="3" fontId="0" fillId="0" borderId="0" xfId="0" applyNumberFormat="1"/>
    <xf numFmtId="164" fontId="0" fillId="0" borderId="0" xfId="0" applyNumberFormat="1"/>
    <xf numFmtId="164" fontId="0" fillId="0" borderId="7" xfId="0" applyNumberFormat="1" applyBorder="1"/>
    <xf numFmtId="0" fontId="4" fillId="0" borderId="0" xfId="0" applyFont="1" applyFill="1"/>
    <xf numFmtId="164" fontId="4" fillId="0" borderId="0" xfId="9" applyNumberFormat="1" applyFont="1" applyFill="1"/>
    <xf numFmtId="0" fontId="3" fillId="0" borderId="0" xfId="0" applyFont="1" applyFill="1"/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Fill="1"/>
    <xf numFmtId="3" fontId="0" fillId="0" borderId="7" xfId="0" applyNumberFormat="1" applyBorder="1"/>
    <xf numFmtId="164" fontId="0" fillId="0" borderId="0" xfId="0" applyNumberFormat="1" applyFill="1"/>
    <xf numFmtId="3" fontId="4" fillId="0" borderId="0" xfId="0" applyNumberFormat="1" applyFont="1" applyFill="1"/>
    <xf numFmtId="3" fontId="4" fillId="0" borderId="7" xfId="0" applyNumberFormat="1" applyFont="1" applyFill="1" applyBorder="1"/>
    <xf numFmtId="3" fontId="0" fillId="0" borderId="0" xfId="0" applyNumberFormat="1" applyFill="1"/>
    <xf numFmtId="3" fontId="0" fillId="0" borderId="7" xfId="0" applyNumberFormat="1" applyFill="1" applyBorder="1"/>
    <xf numFmtId="166" fontId="4" fillId="0" borderId="0" xfId="0" applyNumberFormat="1" applyFont="1" applyFill="1"/>
    <xf numFmtId="166" fontId="0" fillId="0" borderId="0" xfId="0" applyNumberFormat="1" applyFill="1"/>
    <xf numFmtId="166" fontId="0" fillId="0" borderId="7" xfId="0" applyNumberFormat="1" applyFill="1" applyBorder="1"/>
    <xf numFmtId="3" fontId="5" fillId="0" borderId="0" xfId="0" applyNumberFormat="1" applyFont="1" applyFill="1"/>
    <xf numFmtId="167" fontId="4" fillId="0" borderId="0" xfId="0" applyNumberFormat="1" applyFont="1" applyFill="1"/>
    <xf numFmtId="167" fontId="4" fillId="0" borderId="7" xfId="0" applyNumberFormat="1" applyFont="1" applyFill="1" applyBorder="1"/>
    <xf numFmtId="167" fontId="0" fillId="0" borderId="0" xfId="0" applyNumberFormat="1"/>
    <xf numFmtId="166" fontId="0" fillId="0" borderId="0" xfId="0" applyNumberFormat="1"/>
    <xf numFmtId="166" fontId="5" fillId="0" borderId="0" xfId="0" applyNumberFormat="1" applyFon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5" fillId="0" borderId="0" xfId="0" applyNumberFormat="1" applyFont="1" applyFill="1" applyBorder="1"/>
    <xf numFmtId="0" fontId="5" fillId="0" borderId="0" xfId="0" applyFont="1" applyFill="1" applyBorder="1"/>
    <xf numFmtId="3" fontId="0" fillId="0" borderId="0" xfId="0" applyNumberForma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14" fontId="4" fillId="0" borderId="0" xfId="0" applyNumberFormat="1" applyFont="1" applyFill="1"/>
    <xf numFmtId="164" fontId="4" fillId="0" borderId="0" xfId="9" applyNumberFormat="1" applyFont="1" applyFill="1" applyBorder="1"/>
    <xf numFmtId="165" fontId="4" fillId="0" borderId="0" xfId="9" applyNumberFormat="1" applyFont="1" applyFill="1" applyBorder="1"/>
    <xf numFmtId="166" fontId="4" fillId="0" borderId="0" xfId="9" applyNumberFormat="1" applyFont="1" applyFill="1"/>
    <xf numFmtId="0" fontId="0" fillId="0" borderId="0" xfId="0" quotePrefix="1"/>
    <xf numFmtId="0" fontId="0" fillId="0" borderId="0" xfId="0" applyFill="1" applyAlignment="1">
      <alignment horizontal="left"/>
    </xf>
    <xf numFmtId="0" fontId="0" fillId="0" borderId="7" xfId="0" applyFill="1" applyBorder="1" applyAlignment="1">
      <alignment horizontal="left"/>
    </xf>
    <xf numFmtId="3" fontId="0" fillId="0" borderId="0" xfId="0" applyNumberFormat="1" applyBorder="1"/>
    <xf numFmtId="0" fontId="0" fillId="0" borderId="0" xfId="0" applyFill="1"/>
    <xf numFmtId="164" fontId="4" fillId="0" borderId="0" xfId="0" applyNumberFormat="1" applyFont="1" applyFill="1"/>
    <xf numFmtId="164" fontId="5" fillId="0" borderId="0" xfId="0" applyNumberFormat="1" applyFont="1" applyFill="1" applyBorder="1"/>
    <xf numFmtId="164" fontId="4" fillId="0" borderId="0" xfId="0" applyNumberFormat="1" applyFont="1" applyFill="1" applyBorder="1"/>
    <xf numFmtId="164" fontId="0" fillId="0" borderId="0" xfId="0" applyNumberFormat="1" applyFill="1" applyBorder="1"/>
    <xf numFmtId="0" fontId="0" fillId="0" borderId="0" xfId="0" quotePrefix="1" applyNumberFormat="1" applyAlignment="1">
      <alignment horizontal="center"/>
    </xf>
    <xf numFmtId="3" fontId="4" fillId="0" borderId="0" xfId="0" applyNumberFormat="1" applyFont="1"/>
    <xf numFmtId="164" fontId="6" fillId="0" borderId="0" xfId="0" applyNumberFormat="1" applyFont="1"/>
    <xf numFmtId="164" fontId="4" fillId="0" borderId="7" xfId="0" applyNumberFormat="1" applyFont="1" applyFill="1" applyBorder="1"/>
    <xf numFmtId="164" fontId="4" fillId="0" borderId="7" xfId="9" applyNumberFormat="1" applyFont="1" applyFill="1" applyBorder="1"/>
    <xf numFmtId="0" fontId="0" fillId="0" borderId="0" xfId="0" quotePrefix="1" applyFill="1"/>
    <xf numFmtId="3" fontId="4" fillId="0" borderId="0" xfId="9" applyNumberFormat="1" applyFont="1" applyFill="1"/>
    <xf numFmtId="166" fontId="4" fillId="0" borderId="7" xfId="0" applyNumberFormat="1" applyFont="1" applyFill="1" applyBorder="1"/>
    <xf numFmtId="3" fontId="5" fillId="0" borderId="7" xfId="0" applyNumberFormat="1" applyFont="1" applyFill="1" applyBorder="1"/>
    <xf numFmtId="14" fontId="0" fillId="0" borderId="0" xfId="0" applyNumberFormat="1"/>
    <xf numFmtId="49" fontId="0" fillId="0" borderId="0" xfId="0" applyNumberFormat="1"/>
    <xf numFmtId="49" fontId="4" fillId="0" borderId="7" xfId="0" applyNumberFormat="1" applyFont="1" applyBorder="1"/>
    <xf numFmtId="0" fontId="4" fillId="0" borderId="0" xfId="0" applyNumberFormat="1" applyFont="1" applyFill="1"/>
    <xf numFmtId="0" fontId="0" fillId="0" borderId="0" xfId="0" applyNumberFormat="1"/>
    <xf numFmtId="0" fontId="4" fillId="0" borderId="0" xfId="0" applyNumberFormat="1" applyFont="1"/>
    <xf numFmtId="14" fontId="0" fillId="0" borderId="0" xfId="0" applyNumberFormat="1" applyFill="1"/>
    <xf numFmtId="166" fontId="0" fillId="0" borderId="0" xfId="0" applyNumberFormat="1" applyFill="1" applyBorder="1"/>
    <xf numFmtId="164" fontId="4" fillId="0" borderId="0" xfId="0" applyNumberFormat="1" applyFont="1"/>
    <xf numFmtId="0" fontId="4" fillId="0" borderId="7" xfId="0" applyFont="1" applyBorder="1" applyAlignment="1">
      <alignment horizontal="left"/>
    </xf>
    <xf numFmtId="170" fontId="4" fillId="0" borderId="0" xfId="9" applyNumberFormat="1" applyFont="1" applyFill="1"/>
    <xf numFmtId="170" fontId="4" fillId="0" borderId="7" xfId="9" applyNumberFormat="1" applyFont="1" applyFill="1" applyBorder="1"/>
    <xf numFmtId="170" fontId="0" fillId="0" borderId="0" xfId="0" applyNumberFormat="1"/>
    <xf numFmtId="171" fontId="4" fillId="0" borderId="0" xfId="0" applyNumberFormat="1" applyFont="1" applyFill="1"/>
    <xf numFmtId="171" fontId="0" fillId="0" borderId="0" xfId="0" applyNumberFormat="1"/>
    <xf numFmtId="0" fontId="0" fillId="0" borderId="0" xfId="0" applyAlignment="1"/>
    <xf numFmtId="49" fontId="0" fillId="0" borderId="0" xfId="0" quotePrefix="1" applyNumberFormat="1"/>
    <xf numFmtId="3" fontId="8" fillId="0" borderId="7" xfId="0" applyNumberFormat="1" applyFont="1" applyFill="1" applyBorder="1"/>
    <xf numFmtId="3" fontId="8" fillId="0" borderId="0" xfId="0" applyNumberFormat="1" applyFont="1" applyFill="1" applyBorder="1"/>
    <xf numFmtId="164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0" fillId="0" borderId="0" xfId="0" applyNumberFormat="1" applyFill="1"/>
    <xf numFmtId="14" fontId="5" fillId="0" borderId="0" xfId="0" applyNumberFormat="1" applyFont="1" applyFill="1" applyAlignment="1">
      <alignment horizontal="left"/>
    </xf>
    <xf numFmtId="171" fontId="7" fillId="0" borderId="0" xfId="0" applyNumberFormat="1" applyFont="1" applyFill="1"/>
    <xf numFmtId="14" fontId="4" fillId="0" borderId="0" xfId="0" applyNumberFormat="1" applyFont="1"/>
    <xf numFmtId="14" fontId="5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/>
    <xf numFmtId="14" fontId="8" fillId="0" borderId="0" xfId="0" applyNumberFormat="1" applyFont="1" applyFill="1"/>
    <xf numFmtId="14" fontId="8" fillId="0" borderId="0" xfId="0" applyNumberFormat="1" applyFont="1"/>
    <xf numFmtId="0" fontId="4" fillId="0" borderId="0" xfId="0" applyFont="1" applyFill="1" applyAlignment="1"/>
    <xf numFmtId="0" fontId="0" fillId="0" borderId="0" xfId="0" applyFill="1" applyBorder="1" applyAlignment="1">
      <alignment horizontal="left"/>
    </xf>
    <xf numFmtId="14" fontId="5" fillId="0" borderId="0" xfId="0" applyNumberFormat="1" applyFont="1" applyFill="1"/>
    <xf numFmtId="169" fontId="5" fillId="0" borderId="0" xfId="0" applyNumberFormat="1" applyFont="1" applyFill="1"/>
    <xf numFmtId="9" fontId="0" fillId="0" borderId="0" xfId="0" applyNumberFormat="1"/>
    <xf numFmtId="2" fontId="0" fillId="0" borderId="0" xfId="0" applyNumberFormat="1"/>
    <xf numFmtId="166" fontId="7" fillId="0" borderId="7" xfId="0" applyNumberFormat="1" applyFont="1" applyFill="1" applyBorder="1"/>
    <xf numFmtId="164" fontId="6" fillId="0" borderId="0" xfId="9" applyNumberFormat="1" applyFont="1" applyFill="1"/>
    <xf numFmtId="0" fontId="5" fillId="0" borderId="0" xfId="0" applyNumberFormat="1" applyFont="1" applyFill="1"/>
    <xf numFmtId="1" fontId="4" fillId="0" borderId="0" xfId="0" applyNumberFormat="1" applyFont="1" applyFill="1"/>
    <xf numFmtId="167" fontId="6" fillId="0" borderId="0" xfId="0" applyNumberFormat="1" applyFont="1"/>
    <xf numFmtId="0" fontId="5" fillId="0" borderId="0" xfId="0" applyFont="1"/>
    <xf numFmtId="0" fontId="0" fillId="0" borderId="0" xfId="0" applyFont="1" applyFill="1"/>
    <xf numFmtId="3" fontId="5" fillId="0" borderId="0" xfId="0" applyNumberFormat="1" applyFont="1"/>
    <xf numFmtId="14" fontId="5" fillId="0" borderId="0" xfId="0" applyNumberFormat="1" applyFont="1"/>
    <xf numFmtId="167" fontId="5" fillId="0" borderId="0" xfId="0" applyNumberFormat="1" applyFont="1" applyFill="1"/>
    <xf numFmtId="167" fontId="5" fillId="0" borderId="0" xfId="0" applyNumberFormat="1" applyFont="1"/>
    <xf numFmtId="0" fontId="0" fillId="0" borderId="0" xfId="0" applyFont="1" applyFill="1" applyBorder="1"/>
    <xf numFmtId="0" fontId="4" fillId="0" borderId="0" xfId="0" applyFont="1" applyBorder="1"/>
    <xf numFmtId="166" fontId="4" fillId="0" borderId="0" xfId="0" applyNumberFormat="1" applyFont="1" applyFill="1" applyBorder="1"/>
    <xf numFmtId="166" fontId="0" fillId="0" borderId="0" xfId="0" applyNumberFormat="1" applyBorder="1"/>
    <xf numFmtId="0" fontId="4" fillId="0" borderId="0" xfId="0" quotePrefix="1" applyFont="1"/>
    <xf numFmtId="0" fontId="4" fillId="0" borderId="0" xfId="0" applyFont="1" applyFill="1" applyBorder="1"/>
    <xf numFmtId="164" fontId="6" fillId="0" borderId="0" xfId="0" applyNumberFormat="1" applyFont="1" applyFill="1" applyBorder="1"/>
    <xf numFmtId="0" fontId="4" fillId="0" borderId="0" xfId="8"/>
    <xf numFmtId="3" fontId="8" fillId="0" borderId="0" xfId="8" applyNumberFormat="1" applyFont="1" applyFill="1"/>
    <xf numFmtId="3" fontId="8" fillId="0" borderId="0" xfId="8" applyNumberFormat="1" applyFont="1" applyFill="1" applyBorder="1"/>
    <xf numFmtId="0" fontId="4" fillId="0" borderId="0" xfId="0" quotePrefix="1" applyFont="1" applyAlignment="1"/>
    <xf numFmtId="0" fontId="0" fillId="0" borderId="0" xfId="0" applyBorder="1" applyAlignment="1"/>
    <xf numFmtId="0" fontId="0" fillId="0" borderId="0" xfId="0" quotePrefix="1" applyBorder="1" applyAlignment="1"/>
    <xf numFmtId="0" fontId="0" fillId="0" borderId="0" xfId="0" quotePrefix="1" applyFill="1" applyBorder="1" applyAlignment="1"/>
    <xf numFmtId="0" fontId="0" fillId="0" borderId="0" xfId="0" applyBorder="1" applyAlignment="1">
      <alignment horizontal="center"/>
    </xf>
    <xf numFmtId="2" fontId="5" fillId="0" borderId="0" xfId="0" applyNumberFormat="1" applyFont="1" applyFill="1"/>
    <xf numFmtId="2" fontId="4" fillId="0" borderId="0" xfId="0" applyNumberFormat="1" applyFont="1" applyFill="1"/>
    <xf numFmtId="2" fontId="4" fillId="0" borderId="7" xfId="0" applyNumberFormat="1" applyFont="1" applyFill="1" applyBorder="1"/>
    <xf numFmtId="0" fontId="0" fillId="0" borderId="0" xfId="0" applyFill="1" applyBorder="1" applyAlignment="1"/>
    <xf numFmtId="0" fontId="0" fillId="0" borderId="7" xfId="0" applyFill="1" applyBorder="1"/>
    <xf numFmtId="14" fontId="0" fillId="0" borderId="7" xfId="0" applyNumberFormat="1" applyFill="1" applyBorder="1"/>
    <xf numFmtId="0" fontId="4" fillId="0" borderId="0" xfId="8" applyFill="1"/>
    <xf numFmtId="0" fontId="0" fillId="0" borderId="6" xfId="0" applyFill="1" applyBorder="1"/>
    <xf numFmtId="0" fontId="0" fillId="0" borderId="0" xfId="0" applyFill="1" applyAlignment="1">
      <alignment horizontal="centerContinuous"/>
    </xf>
    <xf numFmtId="0" fontId="0" fillId="0" borderId="0" xfId="0" applyFill="1" applyAlignment="1">
      <alignment horizontal="center"/>
    </xf>
    <xf numFmtId="10" fontId="0" fillId="0" borderId="0" xfId="0" applyNumberFormat="1" applyFill="1"/>
    <xf numFmtId="3" fontId="6" fillId="0" borderId="7" xfId="0" applyNumberFormat="1" applyFont="1" applyFill="1" applyBorder="1"/>
    <xf numFmtId="3" fontId="6" fillId="0" borderId="0" xfId="0" applyNumberFormat="1" applyFont="1" applyFill="1"/>
    <xf numFmtId="2" fontId="6" fillId="0" borderId="0" xfId="0" applyNumberFormat="1" applyFont="1" applyFill="1"/>
    <xf numFmtId="0" fontId="0" fillId="0" borderId="0" xfId="0" applyFont="1" applyProtection="1"/>
    <xf numFmtId="0" fontId="0" fillId="0" borderId="0" xfId="0" applyProtection="1"/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Fill="1" applyProtection="1"/>
    <xf numFmtId="0" fontId="0" fillId="0" borderId="0" xfId="0" applyFont="1" applyFill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0" xfId="0" applyBorder="1" applyProtection="1"/>
    <xf numFmtId="0" fontId="0" fillId="0" borderId="0" xfId="0" quotePrefix="1" applyFill="1" applyAlignment="1" applyProtection="1">
      <alignment horizontal="centerContinuous"/>
    </xf>
    <xf numFmtId="0" fontId="0" fillId="0" borderId="0" xfId="0" applyFill="1" applyAlignment="1" applyProtection="1">
      <alignment horizontal="centerContinuous"/>
    </xf>
    <xf numFmtId="0" fontId="0" fillId="0" borderId="0" xfId="0" quotePrefix="1" applyFill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quotePrefix="1" applyAlignment="1" applyProtection="1">
      <alignment horizontal="right"/>
    </xf>
    <xf numFmtId="14" fontId="6" fillId="0" borderId="0" xfId="0" applyNumberFormat="1" applyFont="1" applyProtection="1"/>
    <xf numFmtId="166" fontId="0" fillId="0" borderId="0" xfId="0" applyNumberFormat="1" applyProtection="1"/>
    <xf numFmtId="0" fontId="0" fillId="0" borderId="7" xfId="0" applyBorder="1" applyAlignment="1" applyProtection="1">
      <alignment horizontal="left"/>
    </xf>
    <xf numFmtId="168" fontId="0" fillId="0" borderId="7" xfId="0" applyNumberFormat="1" applyFont="1" applyFill="1" applyBorder="1" applyAlignment="1" applyProtection="1"/>
    <xf numFmtId="168" fontId="0" fillId="0" borderId="0" xfId="0" applyNumberFormat="1" applyFont="1" applyFill="1" applyAlignment="1" applyProtection="1"/>
    <xf numFmtId="166" fontId="0" fillId="0" borderId="0" xfId="0" applyNumberFormat="1" applyFont="1" applyFill="1" applyProtection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4" fillId="0" borderId="0" xfId="0" applyNumberFormat="1" applyFont="1" applyFill="1" applyBorder="1" applyProtection="1"/>
    <xf numFmtId="164" fontId="5" fillId="0" borderId="0" xfId="9" applyNumberFormat="1" applyFont="1" applyFill="1"/>
    <xf numFmtId="166" fontId="6" fillId="0" borderId="0" xfId="0" applyNumberFormat="1" applyFont="1" applyFill="1" applyBorder="1"/>
    <xf numFmtId="0" fontId="0" fillId="0" borderId="0" xfId="0" applyBorder="1" applyAlignment="1">
      <alignment horizontal="centerContinuous"/>
    </xf>
    <xf numFmtId="0" fontId="0" fillId="0" borderId="0" xfId="0" applyNumberFormat="1" applyBorder="1"/>
    <xf numFmtId="4" fontId="4" fillId="0" borderId="0" xfId="0" applyNumberFormat="1" applyFont="1" applyFill="1" applyAlignment="1" applyProtection="1"/>
    <xf numFmtId="170" fontId="0" fillId="0" borderId="0" xfId="0" applyNumberFormat="1" applyBorder="1"/>
    <xf numFmtId="3" fontId="4" fillId="0" borderId="0" xfId="0" applyNumberFormat="1" applyFont="1" applyFill="1" applyBorder="1"/>
    <xf numFmtId="170" fontId="4" fillId="0" borderId="0" xfId="9" applyNumberFormat="1" applyFont="1" applyFill="1" applyBorder="1"/>
    <xf numFmtId="164" fontId="0" fillId="0" borderId="0" xfId="0" applyNumberFormat="1" applyBorder="1"/>
    <xf numFmtId="167" fontId="4" fillId="0" borderId="0" xfId="0" applyNumberFormat="1" applyFont="1" applyFill="1" applyBorder="1"/>
    <xf numFmtId="167" fontId="0" fillId="0" borderId="0" xfId="0" applyNumberFormat="1" applyBorder="1"/>
    <xf numFmtId="167" fontId="5" fillId="0" borderId="0" xfId="0" applyNumberFormat="1" applyFont="1" applyBorder="1"/>
    <xf numFmtId="167" fontId="6" fillId="0" borderId="0" xfId="0" applyNumberFormat="1" applyFont="1" applyBorder="1"/>
    <xf numFmtId="2" fontId="4" fillId="0" borderId="0" xfId="0" applyNumberFormat="1" applyFont="1" applyFill="1" applyBorder="1"/>
    <xf numFmtId="167" fontId="5" fillId="0" borderId="0" xfId="0" applyNumberFormat="1" applyFont="1" applyFill="1" applyBorder="1"/>
    <xf numFmtId="167" fontId="6" fillId="0" borderId="0" xfId="0" applyNumberFormat="1" applyFont="1" applyFill="1" applyBorder="1"/>
    <xf numFmtId="0" fontId="0" fillId="0" borderId="0" xfId="0" applyFont="1"/>
    <xf numFmtId="0" fontId="4" fillId="0" borderId="7" xfId="0" applyFont="1" applyBorder="1"/>
    <xf numFmtId="14" fontId="0" fillId="0" borderId="0" xfId="0" applyNumberFormat="1" applyFont="1"/>
    <xf numFmtId="0" fontId="0" fillId="0" borderId="0" xfId="0" applyNumberFormat="1" applyFont="1"/>
    <xf numFmtId="3" fontId="0" fillId="0" borderId="0" xfId="0" applyNumberFormat="1" applyFont="1" applyFill="1" applyAlignment="1"/>
    <xf numFmtId="4" fontId="0" fillId="0" borderId="0" xfId="0" applyNumberFormat="1" applyFont="1"/>
    <xf numFmtId="0" fontId="0" fillId="0" borderId="0" xfId="0" applyFont="1" applyBorder="1"/>
    <xf numFmtId="4" fontId="0" fillId="0" borderId="7" xfId="0" applyNumberFormat="1" applyFont="1" applyBorder="1"/>
    <xf numFmtId="166" fontId="0" fillId="0" borderId="0" xfId="0" applyNumberFormat="1" applyFont="1" applyFill="1" applyBorder="1"/>
    <xf numFmtId="178" fontId="0" fillId="0" borderId="0" xfId="0" applyNumberFormat="1"/>
    <xf numFmtId="3" fontId="8" fillId="0" borderId="7" xfId="0" applyNumberFormat="1" applyFont="1" applyFill="1" applyBorder="1" applyAlignment="1"/>
    <xf numFmtId="4" fontId="4" fillId="0" borderId="0" xfId="0" applyNumberFormat="1" applyFont="1"/>
    <xf numFmtId="4" fontId="4" fillId="0" borderId="7" xfId="0" applyNumberFormat="1" applyFont="1" applyBorder="1"/>
    <xf numFmtId="0" fontId="0" fillId="0" borderId="7" xfId="0" applyNumberFormat="1" applyBorder="1"/>
    <xf numFmtId="166" fontId="4" fillId="0" borderId="0" xfId="0" applyNumberFormat="1" applyFont="1" applyFill="1" applyProtection="1"/>
    <xf numFmtId="14" fontId="6" fillId="0" borderId="0" xfId="0" applyNumberFormat="1" applyFont="1" applyFill="1"/>
    <xf numFmtId="166" fontId="7" fillId="0" borderId="0" xfId="0" applyNumberFormat="1" applyFont="1"/>
    <xf numFmtId="0" fontId="8" fillId="0" borderId="0" xfId="0" applyFont="1" applyFill="1"/>
    <xf numFmtId="164" fontId="6" fillId="0" borderId="0" xfId="0" applyNumberFormat="1" applyFont="1" applyFill="1"/>
    <xf numFmtId="166" fontId="4" fillId="0" borderId="0" xfId="0" applyNumberFormat="1" applyFont="1" applyFill="1" applyAlignment="1">
      <alignment horizontal="left"/>
    </xf>
    <xf numFmtId="3" fontId="8" fillId="0" borderId="7" xfId="0" applyNumberFormat="1" applyFont="1" applyBorder="1"/>
    <xf numFmtId="171" fontId="7" fillId="0" borderId="0" xfId="0" applyNumberFormat="1" applyFont="1" applyFill="1" applyBorder="1"/>
    <xf numFmtId="171" fontId="4" fillId="0" borderId="0" xfId="0" applyNumberFormat="1" applyFont="1" applyFill="1" applyBorder="1"/>
    <xf numFmtId="0" fontId="5" fillId="0" borderId="0" xfId="0" applyFont="1" applyAlignment="1">
      <alignment horizontal="left"/>
    </xf>
    <xf numFmtId="0" fontId="0" fillId="0" borderId="0" xfId="0" applyNumberFormat="1" applyAlignment="1">
      <alignment horizontal="left"/>
    </xf>
    <xf numFmtId="0" fontId="6" fillId="0" borderId="0" xfId="0" applyNumberFormat="1" applyFont="1" applyFill="1"/>
    <xf numFmtId="166" fontId="8" fillId="0" borderId="7" xfId="0" applyNumberFormat="1" applyFont="1" applyFill="1" applyBorder="1"/>
    <xf numFmtId="2" fontId="8" fillId="0" borderId="0" xfId="0" applyNumberFormat="1" applyFont="1" applyFill="1"/>
    <xf numFmtId="2" fontId="8" fillId="0" borderId="7" xfId="0" applyNumberFormat="1" applyFont="1" applyFill="1" applyBorder="1"/>
    <xf numFmtId="179" fontId="6" fillId="0" borderId="0" xfId="9" applyNumberFormat="1" applyFont="1"/>
    <xf numFmtId="0" fontId="4" fillId="0" borderId="0" xfId="0" applyFont="1" applyAlignment="1">
      <alignment horizontal="right"/>
    </xf>
    <xf numFmtId="166" fontId="6" fillId="0" borderId="0" xfId="0" applyNumberFormat="1" applyFont="1" applyFill="1"/>
    <xf numFmtId="0" fontId="4" fillId="0" borderId="7" xfId="0" applyFont="1" applyFill="1" applyBorder="1"/>
    <xf numFmtId="164" fontId="0" fillId="0" borderId="0" xfId="0" applyNumberFormat="1" applyFont="1"/>
    <xf numFmtId="166" fontId="6" fillId="0" borderId="7" xfId="0" applyNumberFormat="1" applyFont="1" applyFill="1" applyBorder="1"/>
    <xf numFmtId="0" fontId="2" fillId="0" borderId="0" xfId="0" applyFont="1" applyAlignment="1">
      <alignment horizontal="center"/>
    </xf>
    <xf numFmtId="3" fontId="16" fillId="0" borderId="0" xfId="0" applyNumberFormat="1" applyFont="1" applyFill="1"/>
    <xf numFmtId="3" fontId="16" fillId="0" borderId="0" xfId="0" applyNumberFormat="1" applyFont="1"/>
    <xf numFmtId="3" fontId="16" fillId="0" borderId="7" xfId="0" applyNumberFormat="1" applyFont="1" applyFill="1" applyBorder="1"/>
    <xf numFmtId="166" fontId="7" fillId="0" borderId="0" xfId="0" applyNumberFormat="1" applyFont="1" applyFill="1" applyBorder="1"/>
    <xf numFmtId="43" fontId="0" fillId="0" borderId="0" xfId="1" applyFont="1"/>
    <xf numFmtId="43" fontId="0" fillId="0" borderId="0" xfId="1" applyFont="1" applyBorder="1"/>
    <xf numFmtId="43" fontId="0" fillId="2" borderId="2" xfId="1" applyFont="1" applyFill="1" applyBorder="1"/>
    <xf numFmtId="43" fontId="3" fillId="0" borderId="0" xfId="1" applyFont="1" applyFill="1"/>
    <xf numFmtId="43" fontId="0" fillId="0" borderId="7" xfId="1" applyFont="1" applyBorder="1"/>
    <xf numFmtId="43" fontId="0" fillId="0" borderId="0" xfId="1" applyFont="1" applyAlignment="1">
      <alignment horizontal="centerContinuous"/>
    </xf>
    <xf numFmtId="43" fontId="0" fillId="0" borderId="0" xfId="1" applyFont="1" applyAlignment="1">
      <alignment horizontal="center"/>
    </xf>
    <xf numFmtId="43" fontId="0" fillId="0" borderId="0" xfId="1" applyFont="1" applyAlignment="1">
      <alignment horizontal="left"/>
    </xf>
    <xf numFmtId="43" fontId="4" fillId="0" borderId="0" xfId="1" applyFont="1" applyFill="1"/>
    <xf numFmtId="43" fontId="0" fillId="0" borderId="7" xfId="1" applyFont="1" applyBorder="1" applyAlignment="1">
      <alignment horizontal="left"/>
    </xf>
    <xf numFmtId="43" fontId="5" fillId="0" borderId="0" xfId="1" applyFont="1"/>
    <xf numFmtId="43" fontId="0" fillId="0" borderId="6" xfId="1" applyFont="1" applyBorder="1"/>
    <xf numFmtId="37" fontId="0" fillId="0" borderId="0" xfId="1" applyNumberFormat="1" applyFont="1"/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14" fontId="0" fillId="0" borderId="0" xfId="0" applyNumberFormat="1" applyFill="1" applyBorder="1"/>
    <xf numFmtId="0" fontId="6" fillId="3" borderId="0" xfId="0" applyFont="1" applyFill="1" applyAlignment="1" applyProtection="1">
      <alignment horizontal="left"/>
    </xf>
    <xf numFmtId="0" fontId="0" fillId="3" borderId="0" xfId="0" applyFill="1" applyProtection="1"/>
    <xf numFmtId="166" fontId="0" fillId="0" borderId="6" xfId="0" applyNumberFormat="1" applyFill="1" applyBorder="1" applyProtection="1"/>
    <xf numFmtId="166" fontId="0" fillId="0" borderId="0" xfId="0" applyNumberFormat="1" applyFill="1" applyProtection="1"/>
    <xf numFmtId="3" fontId="5" fillId="3" borderId="0" xfId="0" applyNumberFormat="1" applyFont="1" applyFill="1"/>
    <xf numFmtId="3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3" fillId="0" borderId="0" xfId="0" applyFont="1"/>
    <xf numFmtId="3" fontId="4" fillId="3" borderId="0" xfId="0" applyNumberFormat="1" applyFont="1" applyFill="1"/>
    <xf numFmtId="0" fontId="0" fillId="3" borderId="0" xfId="0" applyFill="1"/>
    <xf numFmtId="3" fontId="0" fillId="0" borderId="0" xfId="0" applyNumberFormat="1" applyFont="1" applyFill="1"/>
    <xf numFmtId="3" fontId="0" fillId="0" borderId="7" xfId="0" applyNumberFormat="1" applyFont="1" applyFill="1" applyBorder="1"/>
    <xf numFmtId="3" fontId="16" fillId="0" borderId="0" xfId="0" applyNumberFormat="1" applyFont="1" applyFill="1" applyBorder="1"/>
    <xf numFmtId="2" fontId="0" fillId="0" borderId="0" xfId="0" applyNumberFormat="1" applyFill="1"/>
    <xf numFmtId="2" fontId="0" fillId="0" borderId="0" xfId="0" applyNumberFormat="1" applyFill="1" applyBorder="1"/>
    <xf numFmtId="2" fontId="5" fillId="0" borderId="0" xfId="0" applyNumberFormat="1" applyFont="1" applyFill="1" applyBorder="1"/>
    <xf numFmtId="3" fontId="16" fillId="0" borderId="0" xfId="0" applyNumberFormat="1" applyFont="1" applyBorder="1"/>
    <xf numFmtId="43" fontId="0" fillId="0" borderId="0" xfId="1" applyFont="1" applyBorder="1" applyAlignment="1">
      <alignment horizontal="left"/>
    </xf>
    <xf numFmtId="1" fontId="0" fillId="0" borderId="0" xfId="0" applyNumberFormat="1"/>
    <xf numFmtId="3" fontId="16" fillId="0" borderId="0" xfId="0" applyNumberFormat="1" applyFont="1" applyFill="1" applyBorder="1" applyAlignment="1">
      <alignment horizontal="right"/>
    </xf>
    <xf numFmtId="167" fontId="4" fillId="0" borderId="6" xfId="0" applyNumberFormat="1" applyFont="1" applyFill="1" applyBorder="1"/>
    <xf numFmtId="3" fontId="4" fillId="0" borderId="6" xfId="0" applyNumberFormat="1" applyFont="1" applyFill="1" applyBorder="1"/>
    <xf numFmtId="0" fontId="16" fillId="0" borderId="0" xfId="0" applyFont="1"/>
    <xf numFmtId="164" fontId="0" fillId="0" borderId="0" xfId="0" applyNumberFormat="1" applyFont="1" applyFill="1"/>
    <xf numFmtId="3" fontId="4" fillId="0" borderId="0" xfId="0" applyNumberFormat="1" applyFont="1" applyAlignment="1">
      <alignment vertical="center"/>
    </xf>
    <xf numFmtId="3" fontId="13" fillId="0" borderId="0" xfId="0" applyNumberFormat="1" applyFont="1"/>
    <xf numFmtId="14" fontId="0" fillId="0" borderId="0" xfId="0" applyNumberFormat="1" applyProtection="1">
      <protection locked="0"/>
    </xf>
    <xf numFmtId="43" fontId="6" fillId="0" borderId="0" xfId="1" applyFont="1" applyFill="1"/>
    <xf numFmtId="166" fontId="0" fillId="0" borderId="6" xfId="0" applyNumberFormat="1" applyFill="1" applyBorder="1"/>
    <xf numFmtId="3" fontId="6" fillId="0" borderId="0" xfId="0" applyNumberFormat="1" applyFont="1"/>
    <xf numFmtId="0" fontId="0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0" fillId="0" borderId="0" xfId="0" applyFill="1" applyProtection="1">
      <protection locked="0"/>
    </xf>
    <xf numFmtId="14" fontId="5" fillId="0" borderId="7" xfId="0" applyNumberFormat="1" applyFont="1" applyFill="1" applyBorder="1" applyAlignment="1">
      <alignment horizontal="left"/>
    </xf>
    <xf numFmtId="171" fontId="4" fillId="0" borderId="7" xfId="0" applyNumberFormat="1" applyFont="1" applyFill="1" applyBorder="1"/>
    <xf numFmtId="2" fontId="0" fillId="0" borderId="0" xfId="0" applyNumberFormat="1" applyAlignment="1">
      <alignment horizontal="center"/>
    </xf>
    <xf numFmtId="2" fontId="0" fillId="0" borderId="7" xfId="0" applyNumberFormat="1" applyBorder="1" applyAlignment="1">
      <alignment horizontal="center"/>
    </xf>
    <xf numFmtId="2" fontId="8" fillId="0" borderId="0" xfId="0" applyNumberFormat="1" applyFont="1" applyFill="1" applyBorder="1"/>
    <xf numFmtId="0" fontId="0" fillId="0" borderId="0" xfId="0" applyNumberFormat="1" applyBorder="1" applyAlignment="1">
      <alignment horizontal="left"/>
    </xf>
    <xf numFmtId="3" fontId="17" fillId="0" borderId="0" xfId="0" applyNumberFormat="1" applyFont="1"/>
    <xf numFmtId="164" fontId="16" fillId="0" borderId="0" xfId="0" applyNumberFormat="1" applyFont="1" applyBorder="1"/>
    <xf numFmtId="0" fontId="4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left"/>
    </xf>
    <xf numFmtId="180" fontId="5" fillId="0" borderId="0" xfId="0" applyNumberFormat="1" applyFont="1" applyFill="1"/>
    <xf numFmtId="180" fontId="5" fillId="0" borderId="0" xfId="0" applyNumberFormat="1" applyFont="1" applyFill="1" applyBorder="1"/>
    <xf numFmtId="169" fontId="0" fillId="0" borderId="0" xfId="0" applyNumberFormat="1"/>
    <xf numFmtId="180" fontId="5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3" fontId="18" fillId="0" borderId="0" xfId="0" applyNumberFormat="1" applyFont="1" applyFill="1" applyBorder="1" applyAlignment="1">
      <alignment horizontal="right"/>
    </xf>
    <xf numFmtId="3" fontId="18" fillId="0" borderId="0" xfId="0" applyNumberFormat="1" applyFont="1"/>
    <xf numFmtId="3" fontId="0" fillId="0" borderId="0" xfId="0" applyNumberFormat="1" applyFont="1"/>
    <xf numFmtId="3" fontId="18" fillId="3" borderId="0" xfId="0" applyNumberFormat="1" applyFont="1" applyFill="1"/>
    <xf numFmtId="167" fontId="0" fillId="0" borderId="0" xfId="0" applyNumberFormat="1" applyFont="1"/>
    <xf numFmtId="167" fontId="0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5" fillId="0" borderId="0" xfId="0" applyFont="1" applyAlignment="1"/>
    <xf numFmtId="180" fontId="0" fillId="0" borderId="7" xfId="0" applyNumberFormat="1" applyBorder="1" applyAlignment="1">
      <alignment horizontal="left"/>
    </xf>
    <xf numFmtId="14" fontId="16" fillId="0" borderId="0" xfId="0" applyNumberFormat="1" applyFont="1" applyAlignment="1">
      <alignment horizontal="left"/>
    </xf>
    <xf numFmtId="180" fontId="5" fillId="0" borderId="6" xfId="0" quotePrefix="1" applyNumberFormat="1" applyFont="1" applyFill="1" applyBorder="1" applyAlignment="1">
      <alignment horizontal="left"/>
    </xf>
    <xf numFmtId="14" fontId="5" fillId="0" borderId="0" xfId="0" applyNumberFormat="1" applyFont="1" applyFill="1" applyAlignment="1">
      <alignment horizontal="center"/>
    </xf>
    <xf numFmtId="0" fontId="0" fillId="4" borderId="0" xfId="0" applyFill="1"/>
    <xf numFmtId="0" fontId="5" fillId="0" borderId="0" xfId="0" applyNumberFormat="1" applyFont="1" applyAlignment="1">
      <alignment horizontal="left"/>
    </xf>
    <xf numFmtId="3" fontId="18" fillId="0" borderId="0" xfId="0" applyNumberFormat="1" applyFont="1" applyFill="1" applyBorder="1"/>
    <xf numFmtId="0" fontId="4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20" fillId="0" borderId="0" xfId="0" applyNumberFormat="1" applyFont="1" applyAlignment="1">
      <alignment horizontal="center"/>
    </xf>
    <xf numFmtId="166" fontId="8" fillId="0" borderId="0" xfId="0" applyNumberFormat="1" applyFont="1" applyFill="1" applyBorder="1"/>
    <xf numFmtId="164" fontId="8" fillId="0" borderId="0" xfId="0" applyNumberFormat="1" applyFont="1" applyFill="1"/>
    <xf numFmtId="10" fontId="0" fillId="0" borderId="0" xfId="0" applyNumberFormat="1"/>
    <xf numFmtId="3" fontId="0" fillId="0" borderId="0" xfId="0" applyNumberForma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64" fontId="4" fillId="0" borderId="0" xfId="9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16" fillId="0" borderId="7" xfId="9" applyNumberFormat="1" applyFont="1" applyFill="1" applyBorder="1"/>
    <xf numFmtId="164" fontId="16" fillId="0" borderId="0" xfId="0" applyNumberFormat="1" applyFont="1" applyFill="1" applyBorder="1"/>
    <xf numFmtId="164" fontId="16" fillId="0" borderId="6" xfId="0" applyNumberFormat="1" applyFont="1" applyFill="1" applyBorder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164" fontId="2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7" xfId="0" applyNumberFormat="1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5" xfId="0" applyFill="1" applyBorder="1" applyAlignment="1">
      <alignment horizontal="center"/>
    </xf>
    <xf numFmtId="178" fontId="0" fillId="0" borderId="0" xfId="0" applyNumberFormat="1" applyAlignment="1">
      <alignment horizontal="left"/>
    </xf>
    <xf numFmtId="0" fontId="0" fillId="0" borderId="0" xfId="0" quotePrefix="1" applyFont="1" applyAlignment="1">
      <alignment horizontal="left"/>
    </xf>
    <xf numFmtId="166" fontId="0" fillId="0" borderId="0" xfId="0" applyNumberFormat="1" applyFon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0" fillId="0" borderId="7" xfId="0" applyBorder="1" applyProtection="1">
      <protection locked="0"/>
    </xf>
    <xf numFmtId="3" fontId="8" fillId="0" borderId="0" xfId="0" applyNumberFormat="1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  <xf numFmtId="167" fontId="4" fillId="0" borderId="7" xfId="0" applyNumberFormat="1" applyFont="1" applyFill="1" applyBorder="1" applyAlignment="1">
      <alignment horizontal="center"/>
    </xf>
    <xf numFmtId="3" fontId="16" fillId="0" borderId="7" xfId="0" applyNumberFormat="1" applyFont="1" applyBorder="1"/>
    <xf numFmtId="3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" fontId="16" fillId="0" borderId="0" xfId="1" applyNumberFormat="1" applyFont="1" applyAlignment="1"/>
    <xf numFmtId="3" fontId="0" fillId="0" borderId="0" xfId="1" applyNumberFormat="1" applyFont="1"/>
    <xf numFmtId="170" fontId="0" fillId="0" borderId="0" xfId="1" applyNumberFormat="1" applyFont="1"/>
    <xf numFmtId="3" fontId="0" fillId="0" borderId="0" xfId="0" applyNumberFormat="1" applyFont="1" applyFill="1" applyBorder="1"/>
    <xf numFmtId="0" fontId="3" fillId="0" borderId="0" xfId="0" applyFont="1" applyBorder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165" fontId="4" fillId="0" borderId="0" xfId="9" applyNumberFormat="1" applyFont="1" applyFill="1"/>
    <xf numFmtId="166" fontId="5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21" fillId="0" borderId="0" xfId="0" applyFont="1"/>
    <xf numFmtId="3" fontId="22" fillId="0" borderId="0" xfId="0" applyNumberFormat="1" applyFont="1"/>
    <xf numFmtId="3" fontId="5" fillId="0" borderId="0" xfId="0" applyNumberFormat="1" applyFont="1" applyFill="1" applyAlignment="1">
      <alignment horizontal="right"/>
    </xf>
    <xf numFmtId="3" fontId="18" fillId="0" borderId="0" xfId="0" applyNumberFormat="1" applyFont="1" applyFill="1"/>
    <xf numFmtId="164" fontId="0" fillId="0" borderId="7" xfId="0" applyNumberFormat="1" applyFill="1" applyBorder="1"/>
    <xf numFmtId="0" fontId="0" fillId="0" borderId="7" xfId="0" applyFont="1" applyBorder="1"/>
    <xf numFmtId="0" fontId="0" fillId="0" borderId="0" xfId="0" quotePrefix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166" fontId="0" fillId="0" borderId="0" xfId="0" applyNumberFormat="1" applyBorder="1" applyAlignment="1">
      <alignment horizontal="center"/>
    </xf>
    <xf numFmtId="37" fontId="0" fillId="0" borderId="0" xfId="1" applyNumberFormat="1" applyFont="1" applyFill="1" applyBorder="1" applyAlignment="1">
      <alignment horizontal="center" wrapText="1"/>
    </xf>
    <xf numFmtId="0" fontId="0" fillId="0" borderId="0" xfId="0" quotePrefix="1" applyFont="1"/>
    <xf numFmtId="164" fontId="6" fillId="4" borderId="0" xfId="9" applyNumberFormat="1" applyFont="1" applyFill="1"/>
    <xf numFmtId="0" fontId="0" fillId="5" borderId="0" xfId="0" applyFill="1"/>
    <xf numFmtId="0" fontId="0" fillId="0" borderId="14" xfId="0" applyBorder="1"/>
    <xf numFmtId="164" fontId="0" fillId="0" borderId="10" xfId="0" applyNumberForma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0" fillId="0" borderId="12" xfId="0" applyFill="1" applyBorder="1"/>
    <xf numFmtId="0" fontId="0" fillId="0" borderId="16" xfId="0" applyBorder="1"/>
    <xf numFmtId="0" fontId="0" fillId="0" borderId="15" xfId="0" applyBorder="1"/>
    <xf numFmtId="0" fontId="0" fillId="0" borderId="20" xfId="0" applyBorder="1"/>
    <xf numFmtId="0" fontId="0" fillId="0" borderId="19" xfId="0" applyBorder="1"/>
    <xf numFmtId="3" fontId="0" fillId="0" borderId="0" xfId="1" applyNumberFormat="1" applyFont="1" applyBorder="1"/>
    <xf numFmtId="3" fontId="19" fillId="0" borderId="0" xfId="0" applyNumberFormat="1" applyFont="1" applyFill="1"/>
    <xf numFmtId="3" fontId="0" fillId="0" borderId="0" xfId="0" applyNumberFormat="1" applyFill="1" applyAlignment="1">
      <alignment horizontal="center"/>
    </xf>
    <xf numFmtId="3" fontId="18" fillId="0" borderId="0" xfId="0" applyNumberFormat="1" applyFont="1" applyFill="1" applyAlignment="1">
      <alignment horizontal="center"/>
    </xf>
    <xf numFmtId="0" fontId="0" fillId="0" borderId="7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164" fontId="0" fillId="0" borderId="0" xfId="9" applyNumberFormat="1" applyFont="1"/>
    <xf numFmtId="164" fontId="0" fillId="0" borderId="7" xfId="9" applyNumberFormat="1" applyFont="1" applyBorder="1"/>
    <xf numFmtId="2" fontId="0" fillId="0" borderId="7" xfId="0" applyNumberFormat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23" fillId="0" borderId="0" xfId="0" applyFont="1" applyFill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17" xfId="0" applyBorder="1"/>
    <xf numFmtId="0" fontId="0" fillId="0" borderId="22" xfId="0" applyBorder="1" applyAlignment="1">
      <alignment horizontal="centerContinuous"/>
    </xf>
    <xf numFmtId="0" fontId="0" fillId="0" borderId="21" xfId="0" applyBorder="1"/>
    <xf numFmtId="166" fontId="0" fillId="0" borderId="23" xfId="0" applyNumberFormat="1" applyBorder="1"/>
    <xf numFmtId="0" fontId="0" fillId="0" borderId="24" xfId="0" applyBorder="1"/>
    <xf numFmtId="0" fontId="0" fillId="0" borderId="7" xfId="0" applyBorder="1" applyAlignment="1">
      <alignment horizontal="centerContinuous"/>
    </xf>
    <xf numFmtId="0" fontId="0" fillId="0" borderId="25" xfId="0" applyBorder="1"/>
    <xf numFmtId="0" fontId="0" fillId="0" borderId="18" xfId="0" applyBorder="1"/>
    <xf numFmtId="0" fontId="0" fillId="0" borderId="26" xfId="0" applyBorder="1"/>
    <xf numFmtId="0" fontId="23" fillId="0" borderId="17" xfId="0" applyFont="1" applyBorder="1"/>
    <xf numFmtId="0" fontId="23" fillId="0" borderId="15" xfId="0" applyFont="1" applyBorder="1"/>
    <xf numFmtId="0" fontId="23" fillId="0" borderId="26" xfId="0" applyFont="1" applyBorder="1"/>
    <xf numFmtId="0" fontId="23" fillId="0" borderId="16" xfId="0" applyFont="1" applyBorder="1"/>
    <xf numFmtId="164" fontId="0" fillId="4" borderId="0" xfId="9" applyNumberFormat="1" applyFont="1" applyFill="1"/>
    <xf numFmtId="2" fontId="0" fillId="4" borderId="0" xfId="0" applyNumberFormat="1" applyFill="1"/>
    <xf numFmtId="166" fontId="18" fillId="0" borderId="0" xfId="0" applyNumberFormat="1" applyFont="1" applyFill="1" applyBorder="1"/>
    <xf numFmtId="166" fontId="18" fillId="0" borderId="7" xfId="0" applyNumberFormat="1" applyFont="1" applyFill="1" applyBorder="1"/>
    <xf numFmtId="181" fontId="0" fillId="0" borderId="0" xfId="0" applyNumberFormat="1"/>
    <xf numFmtId="0" fontId="2" fillId="0" borderId="7" xfId="0" applyFont="1" applyBorder="1"/>
    <xf numFmtId="182" fontId="0" fillId="0" borderId="0" xfId="1" applyNumberFormat="1" applyFont="1"/>
    <xf numFmtId="0" fontId="2" fillId="0" borderId="8" xfId="0" applyFont="1" applyBorder="1" applyAlignment="1">
      <alignment horizontal="left"/>
    </xf>
    <xf numFmtId="0" fontId="0" fillId="0" borderId="27" xfId="0" applyBorder="1"/>
    <xf numFmtId="0" fontId="0" fillId="0" borderId="9" xfId="0" applyBorder="1"/>
    <xf numFmtId="0" fontId="2" fillId="0" borderId="10" xfId="0" applyFont="1" applyBorder="1" applyAlignment="1">
      <alignment horizontal="left"/>
    </xf>
    <xf numFmtId="0" fontId="0" fillId="0" borderId="11" xfId="0" applyBorder="1"/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0" xfId="0" applyFont="1" applyBorder="1"/>
    <xf numFmtId="0" fontId="2" fillId="0" borderId="29" xfId="0" applyFont="1" applyBorder="1"/>
    <xf numFmtId="0" fontId="0" fillId="0" borderId="10" xfId="0" applyBorder="1" applyAlignment="1">
      <alignment horizontal="left"/>
    </xf>
    <xf numFmtId="182" fontId="0" fillId="0" borderId="11" xfId="1" applyNumberFormat="1" applyFont="1" applyBorder="1"/>
    <xf numFmtId="0" fontId="0" fillId="0" borderId="11" xfId="0" applyBorder="1" applyAlignment="1">
      <alignment horizontal="left"/>
    </xf>
    <xf numFmtId="182" fontId="0" fillId="0" borderId="0" xfId="1" applyNumberFormat="1" applyFont="1" applyBorder="1"/>
    <xf numFmtId="0" fontId="0" fillId="0" borderId="13" xfId="0" applyBorder="1" applyAlignment="1">
      <alignment horizontal="left"/>
    </xf>
    <xf numFmtId="0" fontId="0" fillId="0" borderId="30" xfId="0" applyBorder="1"/>
    <xf numFmtId="182" fontId="0" fillId="0" borderId="12" xfId="1" applyNumberFormat="1" applyFont="1" applyBorder="1"/>
    <xf numFmtId="0" fontId="0" fillId="0" borderId="8" xfId="0" applyBorder="1"/>
    <xf numFmtId="0" fontId="0" fillId="0" borderId="10" xfId="0" applyBorder="1"/>
    <xf numFmtId="0" fontId="0" fillId="0" borderId="13" xfId="0" applyBorder="1"/>
    <xf numFmtId="0" fontId="0" fillId="0" borderId="12" xfId="0" applyBorder="1"/>
    <xf numFmtId="164" fontId="0" fillId="0" borderId="6" xfId="0" applyNumberFormat="1" applyBorder="1"/>
    <xf numFmtId="164" fontId="0" fillId="0" borderId="6" xfId="0" applyNumberFormat="1" applyFill="1" applyBorder="1"/>
    <xf numFmtId="164" fontId="0" fillId="0" borderId="6" xfId="0" applyNumberFormat="1" applyFill="1" applyBorder="1" applyAlignment="1">
      <alignment horizontal="right"/>
    </xf>
    <xf numFmtId="9" fontId="0" fillId="0" borderId="6" xfId="0" applyNumberFormat="1" applyBorder="1"/>
    <xf numFmtId="164" fontId="4" fillId="0" borderId="0" xfId="0" applyNumberFormat="1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Fill="1" applyAlignment="1"/>
    <xf numFmtId="0" fontId="0" fillId="0" borderId="0" xfId="0" applyBorder="1" applyAlignment="1">
      <alignment horizontal="center"/>
    </xf>
  </cellXfs>
  <cellStyles count="11">
    <cellStyle name="Comma" xfId="1" builtinId="3"/>
    <cellStyle name="Comma [1]" xfId="2" xr:uid="{00000000-0005-0000-0000-000001000000}"/>
    <cellStyle name="Comma [2]" xfId="3" xr:uid="{00000000-0005-0000-0000-000002000000}"/>
    <cellStyle name="Comma [3]" xfId="4" xr:uid="{00000000-0005-0000-0000-000003000000}"/>
    <cellStyle name="Comma [5]" xfId="5" xr:uid="{00000000-0005-0000-0000-000004000000}"/>
    <cellStyle name="Currency [1]" xfId="6" xr:uid="{00000000-0005-0000-0000-000005000000}"/>
    <cellStyle name="Currency [2]" xfId="7" xr:uid="{00000000-0005-0000-0000-000006000000}"/>
    <cellStyle name="Normal" xfId="0" builtinId="0"/>
    <cellStyle name="Normal_2004 Residential Indications" xfId="8" xr:uid="{00000000-0005-0000-0000-000008000000}"/>
    <cellStyle name="Percent" xfId="9" builtinId="5"/>
    <cellStyle name="Percent [1]" xfId="10" xr:uid="{00000000-0005-0000-0000-00000A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4.xml"/><Relationship Id="rId47" Type="http://schemas.openxmlformats.org/officeDocument/2006/relationships/externalLink" Target="externalLinks/externalLink9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5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38100</xdr:colOff>
      <xdr:row>28</xdr:row>
      <xdr:rowOff>0</xdr:rowOff>
    </xdr:from>
    <xdr:to>
      <xdr:col>61</xdr:col>
      <xdr:colOff>106680</xdr:colOff>
      <xdr:row>29</xdr:row>
      <xdr:rowOff>38100</xdr:rowOff>
    </xdr:to>
    <xdr:sp macro="" textlink="">
      <xdr:nvSpPr>
        <xdr:cNvPr id="495893" name="Text Box 5">
          <a:extLst>
            <a:ext uri="{FF2B5EF4-FFF2-40B4-BE49-F238E27FC236}">
              <a16:creationId xmlns:a16="http://schemas.microsoft.com/office/drawing/2014/main" id="{4FF5F8A6-8C5E-4E26-A84A-A241433C181B}"/>
            </a:ext>
          </a:extLst>
        </xdr:cNvPr>
        <xdr:cNvSpPr txBox="1">
          <a:spLocks noChangeArrowheads="1"/>
        </xdr:cNvSpPr>
      </xdr:nvSpPr>
      <xdr:spPr bwMode="auto">
        <a:xfrm>
          <a:off x="12169140" y="3642360"/>
          <a:ext cx="685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61</xdr:col>
      <xdr:colOff>39076</xdr:colOff>
      <xdr:row>50</xdr:row>
      <xdr:rowOff>0</xdr:rowOff>
    </xdr:from>
    <xdr:to>
      <xdr:col>65</xdr:col>
      <xdr:colOff>43961</xdr:colOff>
      <xdr:row>54</xdr:row>
      <xdr:rowOff>4885</xdr:rowOff>
    </xdr:to>
    <xdr:cxnSp macro="">
      <xdr:nvCxnSpPr>
        <xdr:cNvPr id="6" name="AutoShape 4">
          <a:extLst>
            <a:ext uri="{FF2B5EF4-FFF2-40B4-BE49-F238E27FC236}">
              <a16:creationId xmlns:a16="http://schemas.microsoft.com/office/drawing/2014/main" id="{0AF31A86-2FED-4324-9B4D-BC03A98121CD}"/>
            </a:ext>
          </a:extLst>
        </xdr:cNvPr>
        <xdr:cNvCxnSpPr>
          <a:cxnSpLocks noChangeShapeType="1"/>
        </xdr:cNvCxnSpPr>
      </xdr:nvCxnSpPr>
      <xdr:spPr bwMode="auto">
        <a:xfrm flipV="1">
          <a:off x="25580730" y="6374423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65</xdr:col>
      <xdr:colOff>79130</xdr:colOff>
      <xdr:row>50</xdr:row>
      <xdr:rowOff>977</xdr:rowOff>
    </xdr:from>
    <xdr:to>
      <xdr:col>69</xdr:col>
      <xdr:colOff>84015</xdr:colOff>
      <xdr:row>54</xdr:row>
      <xdr:rowOff>5862</xdr:rowOff>
    </xdr:to>
    <xdr:cxnSp macro="">
      <xdr:nvCxnSpPr>
        <xdr:cNvPr id="8" name="AutoShape 4">
          <a:extLst>
            <a:ext uri="{FF2B5EF4-FFF2-40B4-BE49-F238E27FC236}">
              <a16:creationId xmlns:a16="http://schemas.microsoft.com/office/drawing/2014/main" id="{FBAE370E-9950-4D68-8059-CF785E6343FB}"/>
            </a:ext>
          </a:extLst>
        </xdr:cNvPr>
        <xdr:cNvCxnSpPr>
          <a:cxnSpLocks noChangeShapeType="1"/>
        </xdr:cNvCxnSpPr>
      </xdr:nvCxnSpPr>
      <xdr:spPr bwMode="auto">
        <a:xfrm flipV="1">
          <a:off x="26128784" y="6375400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69</xdr:col>
      <xdr:colOff>70338</xdr:colOff>
      <xdr:row>50</xdr:row>
      <xdr:rowOff>1953</xdr:rowOff>
    </xdr:from>
    <xdr:to>
      <xdr:col>73</xdr:col>
      <xdr:colOff>75223</xdr:colOff>
      <xdr:row>54</xdr:row>
      <xdr:rowOff>6838</xdr:rowOff>
    </xdr:to>
    <xdr:cxnSp macro="">
      <xdr:nvCxnSpPr>
        <xdr:cNvPr id="9" name="AutoShape 4">
          <a:extLst>
            <a:ext uri="{FF2B5EF4-FFF2-40B4-BE49-F238E27FC236}">
              <a16:creationId xmlns:a16="http://schemas.microsoft.com/office/drawing/2014/main" id="{071F5353-BC4A-4354-B9BE-B8EF54F1498B}"/>
            </a:ext>
          </a:extLst>
        </xdr:cNvPr>
        <xdr:cNvCxnSpPr>
          <a:cxnSpLocks noChangeShapeType="1"/>
        </xdr:cNvCxnSpPr>
      </xdr:nvCxnSpPr>
      <xdr:spPr bwMode="auto">
        <a:xfrm flipV="1">
          <a:off x="26627992" y="6376376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74</xdr:col>
      <xdr:colOff>17584</xdr:colOff>
      <xdr:row>49</xdr:row>
      <xdr:rowOff>120161</xdr:rowOff>
    </xdr:from>
    <xdr:to>
      <xdr:col>78</xdr:col>
      <xdr:colOff>22469</xdr:colOff>
      <xdr:row>53</xdr:row>
      <xdr:rowOff>129930</xdr:rowOff>
    </xdr:to>
    <xdr:cxnSp macro="">
      <xdr:nvCxnSpPr>
        <xdr:cNvPr id="10" name="AutoShape 4">
          <a:extLst>
            <a:ext uri="{FF2B5EF4-FFF2-40B4-BE49-F238E27FC236}">
              <a16:creationId xmlns:a16="http://schemas.microsoft.com/office/drawing/2014/main" id="{B5579A9C-6846-4F06-B24A-7155B96E2B06}"/>
            </a:ext>
          </a:extLst>
        </xdr:cNvPr>
        <xdr:cNvCxnSpPr>
          <a:cxnSpLocks noChangeShapeType="1"/>
        </xdr:cNvCxnSpPr>
      </xdr:nvCxnSpPr>
      <xdr:spPr bwMode="auto">
        <a:xfrm flipV="1">
          <a:off x="27210238" y="6367584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79</xdr:col>
      <xdr:colOff>86946</xdr:colOff>
      <xdr:row>49</xdr:row>
      <xdr:rowOff>121138</xdr:rowOff>
    </xdr:from>
    <xdr:to>
      <xdr:col>83</xdr:col>
      <xdr:colOff>91831</xdr:colOff>
      <xdr:row>53</xdr:row>
      <xdr:rowOff>130907</xdr:rowOff>
    </xdr:to>
    <xdr:cxnSp macro="">
      <xdr:nvCxnSpPr>
        <xdr:cNvPr id="11" name="AutoShape 4">
          <a:extLst>
            <a:ext uri="{FF2B5EF4-FFF2-40B4-BE49-F238E27FC236}">
              <a16:creationId xmlns:a16="http://schemas.microsoft.com/office/drawing/2014/main" id="{9D1266FC-C444-4B5A-9A3C-A8F246A20046}"/>
            </a:ext>
          </a:extLst>
        </xdr:cNvPr>
        <xdr:cNvCxnSpPr>
          <a:cxnSpLocks noChangeShapeType="1"/>
        </xdr:cNvCxnSpPr>
      </xdr:nvCxnSpPr>
      <xdr:spPr bwMode="auto">
        <a:xfrm flipV="1">
          <a:off x="27914600" y="6368561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79</xdr:col>
      <xdr:colOff>107463</xdr:colOff>
      <xdr:row>49</xdr:row>
      <xdr:rowOff>122115</xdr:rowOff>
    </xdr:from>
    <xdr:to>
      <xdr:col>83</xdr:col>
      <xdr:colOff>112348</xdr:colOff>
      <xdr:row>54</xdr:row>
      <xdr:rowOff>0</xdr:rowOff>
    </xdr:to>
    <xdr:cxnSp macro="">
      <xdr:nvCxnSpPr>
        <xdr:cNvPr id="12" name="AutoShape 4">
          <a:extLst>
            <a:ext uri="{FF2B5EF4-FFF2-40B4-BE49-F238E27FC236}">
              <a16:creationId xmlns:a16="http://schemas.microsoft.com/office/drawing/2014/main" id="{7CCC4158-030D-4F9A-86DF-00C2A8C5E7C3}"/>
            </a:ext>
          </a:extLst>
        </xdr:cNvPr>
        <xdr:cNvCxnSpPr>
          <a:cxnSpLocks noChangeShapeType="1"/>
        </xdr:cNvCxnSpPr>
      </xdr:nvCxnSpPr>
      <xdr:spPr bwMode="auto">
        <a:xfrm flipV="1">
          <a:off x="27935117" y="6369538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82</xdr:col>
      <xdr:colOff>91830</xdr:colOff>
      <xdr:row>49</xdr:row>
      <xdr:rowOff>121138</xdr:rowOff>
    </xdr:from>
    <xdr:to>
      <xdr:col>86</xdr:col>
      <xdr:colOff>96715</xdr:colOff>
      <xdr:row>53</xdr:row>
      <xdr:rowOff>130907</xdr:rowOff>
    </xdr:to>
    <xdr:cxnSp macro="">
      <xdr:nvCxnSpPr>
        <xdr:cNvPr id="13" name="AutoShape 4">
          <a:extLst>
            <a:ext uri="{FF2B5EF4-FFF2-40B4-BE49-F238E27FC236}">
              <a16:creationId xmlns:a16="http://schemas.microsoft.com/office/drawing/2014/main" id="{871EE9CE-C6D2-4E63-9029-9B576C9056FA}"/>
            </a:ext>
          </a:extLst>
        </xdr:cNvPr>
        <xdr:cNvCxnSpPr>
          <a:cxnSpLocks noChangeShapeType="1"/>
        </xdr:cNvCxnSpPr>
      </xdr:nvCxnSpPr>
      <xdr:spPr bwMode="auto">
        <a:xfrm flipV="1">
          <a:off x="28300484" y="6368561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89</xdr:col>
      <xdr:colOff>4883</xdr:colOff>
      <xdr:row>49</xdr:row>
      <xdr:rowOff>122115</xdr:rowOff>
    </xdr:from>
    <xdr:to>
      <xdr:col>93</xdr:col>
      <xdr:colOff>9768</xdr:colOff>
      <xdr:row>54</xdr:row>
      <xdr:rowOff>0</xdr:rowOff>
    </xdr:to>
    <xdr:cxnSp macro="">
      <xdr:nvCxnSpPr>
        <xdr:cNvPr id="14" name="AutoShape 4">
          <a:extLst>
            <a:ext uri="{FF2B5EF4-FFF2-40B4-BE49-F238E27FC236}">
              <a16:creationId xmlns:a16="http://schemas.microsoft.com/office/drawing/2014/main" id="{DF7E04DE-07BC-47FB-8D87-50376D116995}"/>
            </a:ext>
          </a:extLst>
        </xdr:cNvPr>
        <xdr:cNvCxnSpPr>
          <a:cxnSpLocks noChangeShapeType="1"/>
        </xdr:cNvCxnSpPr>
      </xdr:nvCxnSpPr>
      <xdr:spPr bwMode="auto">
        <a:xfrm flipV="1">
          <a:off x="29102537" y="6369538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94</xdr:col>
      <xdr:colOff>84014</xdr:colOff>
      <xdr:row>49</xdr:row>
      <xdr:rowOff>123092</xdr:rowOff>
    </xdr:from>
    <xdr:to>
      <xdr:col>98</xdr:col>
      <xdr:colOff>88899</xdr:colOff>
      <xdr:row>54</xdr:row>
      <xdr:rowOff>977</xdr:rowOff>
    </xdr:to>
    <xdr:cxnSp macro="">
      <xdr:nvCxnSpPr>
        <xdr:cNvPr id="15" name="AutoShape 4">
          <a:extLst>
            <a:ext uri="{FF2B5EF4-FFF2-40B4-BE49-F238E27FC236}">
              <a16:creationId xmlns:a16="http://schemas.microsoft.com/office/drawing/2014/main" id="{9D54520B-17BE-4FD9-AF90-1A96649BE19A}"/>
            </a:ext>
          </a:extLst>
        </xdr:cNvPr>
        <xdr:cNvCxnSpPr>
          <a:cxnSpLocks noChangeShapeType="1"/>
        </xdr:cNvCxnSpPr>
      </xdr:nvCxnSpPr>
      <xdr:spPr bwMode="auto">
        <a:xfrm flipV="1">
          <a:off x="29816668" y="6370515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99</xdr:col>
      <xdr:colOff>89877</xdr:colOff>
      <xdr:row>49</xdr:row>
      <xdr:rowOff>124069</xdr:rowOff>
    </xdr:from>
    <xdr:to>
      <xdr:col>103</xdr:col>
      <xdr:colOff>94762</xdr:colOff>
      <xdr:row>54</xdr:row>
      <xdr:rowOff>1954</xdr:rowOff>
    </xdr:to>
    <xdr:cxnSp macro="">
      <xdr:nvCxnSpPr>
        <xdr:cNvPr id="16" name="AutoShape 4">
          <a:extLst>
            <a:ext uri="{FF2B5EF4-FFF2-40B4-BE49-F238E27FC236}">
              <a16:creationId xmlns:a16="http://schemas.microsoft.com/office/drawing/2014/main" id="{B48357D5-8895-4744-97CB-528D61EB868D}"/>
            </a:ext>
          </a:extLst>
        </xdr:cNvPr>
        <xdr:cNvCxnSpPr>
          <a:cxnSpLocks noChangeShapeType="1"/>
        </xdr:cNvCxnSpPr>
      </xdr:nvCxnSpPr>
      <xdr:spPr bwMode="auto">
        <a:xfrm flipV="1">
          <a:off x="30457531" y="6371492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103</xdr:col>
      <xdr:colOff>125046</xdr:colOff>
      <xdr:row>49</xdr:row>
      <xdr:rowOff>125046</xdr:rowOff>
    </xdr:from>
    <xdr:to>
      <xdr:col>108</xdr:col>
      <xdr:colOff>2931</xdr:colOff>
      <xdr:row>54</xdr:row>
      <xdr:rowOff>2931</xdr:rowOff>
    </xdr:to>
    <xdr:cxnSp macro="">
      <xdr:nvCxnSpPr>
        <xdr:cNvPr id="17" name="AutoShape 4">
          <a:extLst>
            <a:ext uri="{FF2B5EF4-FFF2-40B4-BE49-F238E27FC236}">
              <a16:creationId xmlns:a16="http://schemas.microsoft.com/office/drawing/2014/main" id="{01D2AB69-9D13-4D21-BB49-CB2478A2D2CF}"/>
            </a:ext>
          </a:extLst>
        </xdr:cNvPr>
        <xdr:cNvCxnSpPr>
          <a:cxnSpLocks noChangeShapeType="1"/>
        </xdr:cNvCxnSpPr>
      </xdr:nvCxnSpPr>
      <xdr:spPr bwMode="auto">
        <a:xfrm flipV="1">
          <a:off x="31000700" y="6372469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106</xdr:col>
      <xdr:colOff>126022</xdr:colOff>
      <xdr:row>49</xdr:row>
      <xdr:rowOff>126024</xdr:rowOff>
    </xdr:from>
    <xdr:to>
      <xdr:col>111</xdr:col>
      <xdr:colOff>3907</xdr:colOff>
      <xdr:row>54</xdr:row>
      <xdr:rowOff>3909</xdr:rowOff>
    </xdr:to>
    <xdr:cxnSp macro="">
      <xdr:nvCxnSpPr>
        <xdr:cNvPr id="18" name="AutoShape 4">
          <a:extLst>
            <a:ext uri="{FF2B5EF4-FFF2-40B4-BE49-F238E27FC236}">
              <a16:creationId xmlns:a16="http://schemas.microsoft.com/office/drawing/2014/main" id="{0980ADC0-6E05-4100-8378-347389F754F3}"/>
            </a:ext>
          </a:extLst>
        </xdr:cNvPr>
        <xdr:cNvCxnSpPr>
          <a:cxnSpLocks noChangeShapeType="1"/>
        </xdr:cNvCxnSpPr>
      </xdr:nvCxnSpPr>
      <xdr:spPr bwMode="auto">
        <a:xfrm flipV="1">
          <a:off x="31382676" y="6373447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113</xdr:col>
      <xdr:colOff>126998</xdr:colOff>
      <xdr:row>50</xdr:row>
      <xdr:rowOff>0</xdr:rowOff>
    </xdr:from>
    <xdr:to>
      <xdr:col>118</xdr:col>
      <xdr:colOff>4883</xdr:colOff>
      <xdr:row>54</xdr:row>
      <xdr:rowOff>4885</xdr:rowOff>
    </xdr:to>
    <xdr:cxnSp macro="">
      <xdr:nvCxnSpPr>
        <xdr:cNvPr id="19" name="AutoShape 4">
          <a:extLst>
            <a:ext uri="{FF2B5EF4-FFF2-40B4-BE49-F238E27FC236}">
              <a16:creationId xmlns:a16="http://schemas.microsoft.com/office/drawing/2014/main" id="{B3FAAE80-ECB9-4697-9DFA-F83450C63D3D}"/>
            </a:ext>
          </a:extLst>
        </xdr:cNvPr>
        <xdr:cNvCxnSpPr>
          <a:cxnSpLocks noChangeShapeType="1"/>
        </xdr:cNvCxnSpPr>
      </xdr:nvCxnSpPr>
      <xdr:spPr bwMode="auto">
        <a:xfrm flipV="1">
          <a:off x="32272652" y="6374423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131</xdr:col>
      <xdr:colOff>974</xdr:colOff>
      <xdr:row>49</xdr:row>
      <xdr:rowOff>123092</xdr:rowOff>
    </xdr:from>
    <xdr:to>
      <xdr:col>135</xdr:col>
      <xdr:colOff>5859</xdr:colOff>
      <xdr:row>54</xdr:row>
      <xdr:rowOff>977</xdr:rowOff>
    </xdr:to>
    <xdr:cxnSp macro="">
      <xdr:nvCxnSpPr>
        <xdr:cNvPr id="20" name="AutoShape 4">
          <a:extLst>
            <a:ext uri="{FF2B5EF4-FFF2-40B4-BE49-F238E27FC236}">
              <a16:creationId xmlns:a16="http://schemas.microsoft.com/office/drawing/2014/main" id="{3348FBB3-8597-4721-93EC-B0DEFCB2D969}"/>
            </a:ext>
          </a:extLst>
        </xdr:cNvPr>
        <xdr:cNvCxnSpPr>
          <a:cxnSpLocks noChangeShapeType="1"/>
        </xdr:cNvCxnSpPr>
      </xdr:nvCxnSpPr>
      <xdr:spPr bwMode="auto">
        <a:xfrm flipV="1">
          <a:off x="34432628" y="6370515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139</xdr:col>
      <xdr:colOff>1951</xdr:colOff>
      <xdr:row>50</xdr:row>
      <xdr:rowOff>6838</xdr:rowOff>
    </xdr:from>
    <xdr:to>
      <xdr:col>143</xdr:col>
      <xdr:colOff>6836</xdr:colOff>
      <xdr:row>54</xdr:row>
      <xdr:rowOff>11723</xdr:rowOff>
    </xdr:to>
    <xdr:cxnSp macro="">
      <xdr:nvCxnSpPr>
        <xdr:cNvPr id="21" name="AutoShape 4">
          <a:extLst>
            <a:ext uri="{FF2B5EF4-FFF2-40B4-BE49-F238E27FC236}">
              <a16:creationId xmlns:a16="http://schemas.microsoft.com/office/drawing/2014/main" id="{D3D04FC7-C64E-4484-9500-99162AE1BB38}"/>
            </a:ext>
          </a:extLst>
        </xdr:cNvPr>
        <xdr:cNvCxnSpPr>
          <a:cxnSpLocks noChangeShapeType="1"/>
        </xdr:cNvCxnSpPr>
      </xdr:nvCxnSpPr>
      <xdr:spPr bwMode="auto">
        <a:xfrm flipV="1">
          <a:off x="35449605" y="6381261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142</xdr:col>
      <xdr:colOff>125043</xdr:colOff>
      <xdr:row>49</xdr:row>
      <xdr:rowOff>125045</xdr:rowOff>
    </xdr:from>
    <xdr:to>
      <xdr:col>147</xdr:col>
      <xdr:colOff>2928</xdr:colOff>
      <xdr:row>54</xdr:row>
      <xdr:rowOff>2930</xdr:rowOff>
    </xdr:to>
    <xdr:cxnSp macro="">
      <xdr:nvCxnSpPr>
        <xdr:cNvPr id="22" name="AutoShape 4">
          <a:extLst>
            <a:ext uri="{FF2B5EF4-FFF2-40B4-BE49-F238E27FC236}">
              <a16:creationId xmlns:a16="http://schemas.microsoft.com/office/drawing/2014/main" id="{3EBEDC7F-CE34-4663-9B3D-C3C0115DBE85}"/>
            </a:ext>
          </a:extLst>
        </xdr:cNvPr>
        <xdr:cNvCxnSpPr>
          <a:cxnSpLocks noChangeShapeType="1"/>
        </xdr:cNvCxnSpPr>
      </xdr:nvCxnSpPr>
      <xdr:spPr bwMode="auto">
        <a:xfrm flipV="1">
          <a:off x="35953697" y="6372468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146</xdr:col>
      <xdr:colOff>126020</xdr:colOff>
      <xdr:row>50</xdr:row>
      <xdr:rowOff>3907</xdr:rowOff>
    </xdr:from>
    <xdr:to>
      <xdr:col>151</xdr:col>
      <xdr:colOff>3905</xdr:colOff>
      <xdr:row>54</xdr:row>
      <xdr:rowOff>8792</xdr:rowOff>
    </xdr:to>
    <xdr:cxnSp macro="">
      <xdr:nvCxnSpPr>
        <xdr:cNvPr id="23" name="AutoShape 4">
          <a:extLst>
            <a:ext uri="{FF2B5EF4-FFF2-40B4-BE49-F238E27FC236}">
              <a16:creationId xmlns:a16="http://schemas.microsoft.com/office/drawing/2014/main" id="{473FC9F0-CAA0-4D9F-BC4F-29FE8B8B912F}"/>
            </a:ext>
          </a:extLst>
        </xdr:cNvPr>
        <xdr:cNvCxnSpPr>
          <a:cxnSpLocks noChangeShapeType="1"/>
        </xdr:cNvCxnSpPr>
      </xdr:nvCxnSpPr>
      <xdr:spPr bwMode="auto">
        <a:xfrm flipV="1">
          <a:off x="36462674" y="6378330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150</xdr:col>
      <xdr:colOff>125044</xdr:colOff>
      <xdr:row>50</xdr:row>
      <xdr:rowOff>2930</xdr:rowOff>
    </xdr:from>
    <xdr:to>
      <xdr:col>155</xdr:col>
      <xdr:colOff>2929</xdr:colOff>
      <xdr:row>54</xdr:row>
      <xdr:rowOff>7815</xdr:rowOff>
    </xdr:to>
    <xdr:cxnSp macro="">
      <xdr:nvCxnSpPr>
        <xdr:cNvPr id="24" name="AutoShape 4">
          <a:extLst>
            <a:ext uri="{FF2B5EF4-FFF2-40B4-BE49-F238E27FC236}">
              <a16:creationId xmlns:a16="http://schemas.microsoft.com/office/drawing/2014/main" id="{08698CAB-57DF-429A-9AAD-B0BA7EB8F6FB}"/>
            </a:ext>
          </a:extLst>
        </xdr:cNvPr>
        <xdr:cNvCxnSpPr>
          <a:cxnSpLocks noChangeShapeType="1"/>
        </xdr:cNvCxnSpPr>
      </xdr:nvCxnSpPr>
      <xdr:spPr bwMode="auto">
        <a:xfrm flipV="1">
          <a:off x="36969698" y="6377353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154</xdr:col>
      <xdr:colOff>121136</xdr:colOff>
      <xdr:row>49</xdr:row>
      <xdr:rowOff>121137</xdr:rowOff>
    </xdr:from>
    <xdr:to>
      <xdr:col>158</xdr:col>
      <xdr:colOff>126021</xdr:colOff>
      <xdr:row>53</xdr:row>
      <xdr:rowOff>130906</xdr:rowOff>
    </xdr:to>
    <xdr:cxnSp macro="">
      <xdr:nvCxnSpPr>
        <xdr:cNvPr id="25" name="AutoShape 4">
          <a:extLst>
            <a:ext uri="{FF2B5EF4-FFF2-40B4-BE49-F238E27FC236}">
              <a16:creationId xmlns:a16="http://schemas.microsoft.com/office/drawing/2014/main" id="{610CC2E8-E2BE-4A7A-BB93-8DC29B79DB2F}"/>
            </a:ext>
          </a:extLst>
        </xdr:cNvPr>
        <xdr:cNvCxnSpPr>
          <a:cxnSpLocks noChangeShapeType="1"/>
        </xdr:cNvCxnSpPr>
      </xdr:nvCxnSpPr>
      <xdr:spPr bwMode="auto">
        <a:xfrm flipV="1">
          <a:off x="37473790" y="6368560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158</xdr:col>
      <xdr:colOff>122113</xdr:colOff>
      <xdr:row>49</xdr:row>
      <xdr:rowOff>126999</xdr:rowOff>
    </xdr:from>
    <xdr:to>
      <xdr:col>162</xdr:col>
      <xdr:colOff>126998</xdr:colOff>
      <xdr:row>54</xdr:row>
      <xdr:rowOff>4884</xdr:rowOff>
    </xdr:to>
    <xdr:cxnSp macro="">
      <xdr:nvCxnSpPr>
        <xdr:cNvPr id="26" name="AutoShape 4">
          <a:extLst>
            <a:ext uri="{FF2B5EF4-FFF2-40B4-BE49-F238E27FC236}">
              <a16:creationId xmlns:a16="http://schemas.microsoft.com/office/drawing/2014/main" id="{0D305C3B-4853-48D8-B07D-D488B074AE13}"/>
            </a:ext>
          </a:extLst>
        </xdr:cNvPr>
        <xdr:cNvCxnSpPr>
          <a:cxnSpLocks noChangeShapeType="1"/>
        </xdr:cNvCxnSpPr>
      </xdr:nvCxnSpPr>
      <xdr:spPr bwMode="auto">
        <a:xfrm flipV="1">
          <a:off x="37982767" y="6374422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163</xdr:col>
      <xdr:colOff>5860</xdr:colOff>
      <xdr:row>49</xdr:row>
      <xdr:rowOff>123092</xdr:rowOff>
    </xdr:from>
    <xdr:to>
      <xdr:col>167</xdr:col>
      <xdr:colOff>10745</xdr:colOff>
      <xdr:row>54</xdr:row>
      <xdr:rowOff>977</xdr:rowOff>
    </xdr:to>
    <xdr:cxnSp macro="">
      <xdr:nvCxnSpPr>
        <xdr:cNvPr id="27" name="AutoShape 4">
          <a:extLst>
            <a:ext uri="{FF2B5EF4-FFF2-40B4-BE49-F238E27FC236}">
              <a16:creationId xmlns:a16="http://schemas.microsoft.com/office/drawing/2014/main" id="{B39D9906-1846-40EE-8E3C-044D307E376E}"/>
            </a:ext>
          </a:extLst>
        </xdr:cNvPr>
        <xdr:cNvCxnSpPr>
          <a:cxnSpLocks noChangeShapeType="1"/>
        </xdr:cNvCxnSpPr>
      </xdr:nvCxnSpPr>
      <xdr:spPr bwMode="auto">
        <a:xfrm flipV="1">
          <a:off x="38501514" y="6370515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165</xdr:col>
      <xdr:colOff>80106</xdr:colOff>
      <xdr:row>50</xdr:row>
      <xdr:rowOff>1954</xdr:rowOff>
    </xdr:from>
    <xdr:to>
      <xdr:col>169</xdr:col>
      <xdr:colOff>84991</xdr:colOff>
      <xdr:row>54</xdr:row>
      <xdr:rowOff>6839</xdr:rowOff>
    </xdr:to>
    <xdr:cxnSp macro="">
      <xdr:nvCxnSpPr>
        <xdr:cNvPr id="28" name="AutoShape 4">
          <a:extLst>
            <a:ext uri="{FF2B5EF4-FFF2-40B4-BE49-F238E27FC236}">
              <a16:creationId xmlns:a16="http://schemas.microsoft.com/office/drawing/2014/main" id="{CC4B78C6-8B83-48AD-84C0-14AE425D5773}"/>
            </a:ext>
          </a:extLst>
        </xdr:cNvPr>
        <xdr:cNvCxnSpPr>
          <a:cxnSpLocks noChangeShapeType="1"/>
        </xdr:cNvCxnSpPr>
      </xdr:nvCxnSpPr>
      <xdr:spPr bwMode="auto">
        <a:xfrm flipV="1">
          <a:off x="38829760" y="6376377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171</xdr:col>
      <xdr:colOff>33214</xdr:colOff>
      <xdr:row>49</xdr:row>
      <xdr:rowOff>121138</xdr:rowOff>
    </xdr:from>
    <xdr:to>
      <xdr:col>175</xdr:col>
      <xdr:colOff>38099</xdr:colOff>
      <xdr:row>53</xdr:row>
      <xdr:rowOff>130907</xdr:rowOff>
    </xdr:to>
    <xdr:cxnSp macro="">
      <xdr:nvCxnSpPr>
        <xdr:cNvPr id="30" name="AutoShape 4">
          <a:extLst>
            <a:ext uri="{FF2B5EF4-FFF2-40B4-BE49-F238E27FC236}">
              <a16:creationId xmlns:a16="http://schemas.microsoft.com/office/drawing/2014/main" id="{719B0F18-3DE4-4D81-B922-1FC45C264465}"/>
            </a:ext>
          </a:extLst>
        </xdr:cNvPr>
        <xdr:cNvCxnSpPr>
          <a:cxnSpLocks noChangeShapeType="1"/>
        </xdr:cNvCxnSpPr>
      </xdr:nvCxnSpPr>
      <xdr:spPr bwMode="auto">
        <a:xfrm flipV="1">
          <a:off x="39544868" y="6368561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175</xdr:col>
      <xdr:colOff>29306</xdr:colOff>
      <xdr:row>49</xdr:row>
      <xdr:rowOff>122115</xdr:rowOff>
    </xdr:from>
    <xdr:to>
      <xdr:col>179</xdr:col>
      <xdr:colOff>34191</xdr:colOff>
      <xdr:row>54</xdr:row>
      <xdr:rowOff>0</xdr:rowOff>
    </xdr:to>
    <xdr:cxnSp macro="">
      <xdr:nvCxnSpPr>
        <xdr:cNvPr id="31" name="AutoShape 4">
          <a:extLst>
            <a:ext uri="{FF2B5EF4-FFF2-40B4-BE49-F238E27FC236}">
              <a16:creationId xmlns:a16="http://schemas.microsoft.com/office/drawing/2014/main" id="{362149EF-4326-4396-83DF-A46D28265CCA}"/>
            </a:ext>
          </a:extLst>
        </xdr:cNvPr>
        <xdr:cNvCxnSpPr>
          <a:cxnSpLocks noChangeShapeType="1"/>
        </xdr:cNvCxnSpPr>
      </xdr:nvCxnSpPr>
      <xdr:spPr bwMode="auto">
        <a:xfrm flipV="1">
          <a:off x="40048960" y="6369538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182</xdr:col>
      <xdr:colOff>126997</xdr:colOff>
      <xdr:row>49</xdr:row>
      <xdr:rowOff>117718</xdr:rowOff>
    </xdr:from>
    <xdr:to>
      <xdr:col>187</xdr:col>
      <xdr:colOff>4882</xdr:colOff>
      <xdr:row>53</xdr:row>
      <xdr:rowOff>128953</xdr:rowOff>
    </xdr:to>
    <xdr:cxnSp macro="">
      <xdr:nvCxnSpPr>
        <xdr:cNvPr id="33" name="AutoShape 4">
          <a:extLst>
            <a:ext uri="{FF2B5EF4-FFF2-40B4-BE49-F238E27FC236}">
              <a16:creationId xmlns:a16="http://schemas.microsoft.com/office/drawing/2014/main" id="{33A61403-0964-46EF-9C89-8823C50520BA}"/>
            </a:ext>
          </a:extLst>
        </xdr:cNvPr>
        <xdr:cNvCxnSpPr>
          <a:cxnSpLocks noChangeShapeType="1"/>
        </xdr:cNvCxnSpPr>
      </xdr:nvCxnSpPr>
      <xdr:spPr bwMode="auto">
        <a:xfrm flipV="1">
          <a:off x="40957497" y="6372468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187</xdr:col>
      <xdr:colOff>974</xdr:colOff>
      <xdr:row>49</xdr:row>
      <xdr:rowOff>123580</xdr:rowOff>
    </xdr:from>
    <xdr:to>
      <xdr:col>191</xdr:col>
      <xdr:colOff>5859</xdr:colOff>
      <xdr:row>54</xdr:row>
      <xdr:rowOff>1465</xdr:rowOff>
    </xdr:to>
    <xdr:cxnSp macro="">
      <xdr:nvCxnSpPr>
        <xdr:cNvPr id="34" name="AutoShape 4">
          <a:extLst>
            <a:ext uri="{FF2B5EF4-FFF2-40B4-BE49-F238E27FC236}">
              <a16:creationId xmlns:a16="http://schemas.microsoft.com/office/drawing/2014/main" id="{B557AFF1-FB19-4016-87A3-D344C77D0D2B}"/>
            </a:ext>
          </a:extLst>
        </xdr:cNvPr>
        <xdr:cNvCxnSpPr>
          <a:cxnSpLocks noChangeShapeType="1"/>
        </xdr:cNvCxnSpPr>
      </xdr:nvCxnSpPr>
      <xdr:spPr bwMode="auto">
        <a:xfrm flipV="1">
          <a:off x="41466474" y="6378330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190</xdr:col>
      <xdr:colOff>126998</xdr:colOff>
      <xdr:row>49</xdr:row>
      <xdr:rowOff>122603</xdr:rowOff>
    </xdr:from>
    <xdr:to>
      <xdr:col>195</xdr:col>
      <xdr:colOff>4883</xdr:colOff>
      <xdr:row>54</xdr:row>
      <xdr:rowOff>488</xdr:rowOff>
    </xdr:to>
    <xdr:cxnSp macro="">
      <xdr:nvCxnSpPr>
        <xdr:cNvPr id="35" name="AutoShape 4">
          <a:extLst>
            <a:ext uri="{FF2B5EF4-FFF2-40B4-BE49-F238E27FC236}">
              <a16:creationId xmlns:a16="http://schemas.microsoft.com/office/drawing/2014/main" id="{1D20F2ED-AF70-4F36-89FD-00FDE7ED514D}"/>
            </a:ext>
          </a:extLst>
        </xdr:cNvPr>
        <xdr:cNvCxnSpPr>
          <a:cxnSpLocks noChangeShapeType="1"/>
        </xdr:cNvCxnSpPr>
      </xdr:nvCxnSpPr>
      <xdr:spPr bwMode="auto">
        <a:xfrm flipV="1">
          <a:off x="41973498" y="6377353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194</xdr:col>
      <xdr:colOff>123090</xdr:colOff>
      <xdr:row>49</xdr:row>
      <xdr:rowOff>113810</xdr:rowOff>
    </xdr:from>
    <xdr:to>
      <xdr:col>199</xdr:col>
      <xdr:colOff>975</xdr:colOff>
      <xdr:row>53</xdr:row>
      <xdr:rowOff>123579</xdr:rowOff>
    </xdr:to>
    <xdr:cxnSp macro="">
      <xdr:nvCxnSpPr>
        <xdr:cNvPr id="36" name="AutoShape 4">
          <a:extLst>
            <a:ext uri="{FF2B5EF4-FFF2-40B4-BE49-F238E27FC236}">
              <a16:creationId xmlns:a16="http://schemas.microsoft.com/office/drawing/2014/main" id="{727DAF3F-1ECB-4C2C-AEAC-DD2330AAE3CE}"/>
            </a:ext>
          </a:extLst>
        </xdr:cNvPr>
        <xdr:cNvCxnSpPr>
          <a:cxnSpLocks noChangeShapeType="1"/>
        </xdr:cNvCxnSpPr>
      </xdr:nvCxnSpPr>
      <xdr:spPr bwMode="auto">
        <a:xfrm flipV="1">
          <a:off x="42477590" y="6368560"/>
          <a:ext cx="512885" cy="52411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198</xdr:col>
      <xdr:colOff>124067</xdr:colOff>
      <xdr:row>49</xdr:row>
      <xdr:rowOff>119672</xdr:rowOff>
    </xdr:from>
    <xdr:to>
      <xdr:col>203</xdr:col>
      <xdr:colOff>1952</xdr:colOff>
      <xdr:row>53</xdr:row>
      <xdr:rowOff>130907</xdr:rowOff>
    </xdr:to>
    <xdr:cxnSp macro="">
      <xdr:nvCxnSpPr>
        <xdr:cNvPr id="37" name="AutoShape 4">
          <a:extLst>
            <a:ext uri="{FF2B5EF4-FFF2-40B4-BE49-F238E27FC236}">
              <a16:creationId xmlns:a16="http://schemas.microsoft.com/office/drawing/2014/main" id="{87280354-5AC1-41BE-ABA2-350376C09E83}"/>
            </a:ext>
          </a:extLst>
        </xdr:cNvPr>
        <xdr:cNvCxnSpPr>
          <a:cxnSpLocks noChangeShapeType="1"/>
        </xdr:cNvCxnSpPr>
      </xdr:nvCxnSpPr>
      <xdr:spPr bwMode="auto">
        <a:xfrm flipV="1">
          <a:off x="42986567" y="6374422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203</xdr:col>
      <xdr:colOff>7814</xdr:colOff>
      <xdr:row>49</xdr:row>
      <xdr:rowOff>115765</xdr:rowOff>
    </xdr:from>
    <xdr:to>
      <xdr:col>207</xdr:col>
      <xdr:colOff>12699</xdr:colOff>
      <xdr:row>53</xdr:row>
      <xdr:rowOff>127000</xdr:rowOff>
    </xdr:to>
    <xdr:cxnSp macro="">
      <xdr:nvCxnSpPr>
        <xdr:cNvPr id="38" name="AutoShape 4">
          <a:extLst>
            <a:ext uri="{FF2B5EF4-FFF2-40B4-BE49-F238E27FC236}">
              <a16:creationId xmlns:a16="http://schemas.microsoft.com/office/drawing/2014/main" id="{DE683C21-2F00-4ADB-AFEE-8D67C03E4A91}"/>
            </a:ext>
          </a:extLst>
        </xdr:cNvPr>
        <xdr:cNvCxnSpPr>
          <a:cxnSpLocks noChangeShapeType="1"/>
        </xdr:cNvCxnSpPr>
      </xdr:nvCxnSpPr>
      <xdr:spPr bwMode="auto">
        <a:xfrm flipV="1">
          <a:off x="43505314" y="6370515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206</xdr:col>
      <xdr:colOff>124067</xdr:colOff>
      <xdr:row>50</xdr:row>
      <xdr:rowOff>5372</xdr:rowOff>
    </xdr:from>
    <xdr:to>
      <xdr:col>211</xdr:col>
      <xdr:colOff>1952</xdr:colOff>
      <xdr:row>54</xdr:row>
      <xdr:rowOff>10257</xdr:rowOff>
    </xdr:to>
    <xdr:cxnSp macro="">
      <xdr:nvCxnSpPr>
        <xdr:cNvPr id="39" name="AutoShape 4">
          <a:extLst>
            <a:ext uri="{FF2B5EF4-FFF2-40B4-BE49-F238E27FC236}">
              <a16:creationId xmlns:a16="http://schemas.microsoft.com/office/drawing/2014/main" id="{A3138571-1221-4F57-A3C5-349AB5CD4D81}"/>
            </a:ext>
          </a:extLst>
        </xdr:cNvPr>
        <xdr:cNvCxnSpPr>
          <a:cxnSpLocks noChangeShapeType="1"/>
        </xdr:cNvCxnSpPr>
      </xdr:nvCxnSpPr>
      <xdr:spPr bwMode="auto">
        <a:xfrm flipV="1">
          <a:off x="44002567" y="6387122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211</xdr:col>
      <xdr:colOff>7814</xdr:colOff>
      <xdr:row>50</xdr:row>
      <xdr:rowOff>1465</xdr:rowOff>
    </xdr:from>
    <xdr:to>
      <xdr:col>215</xdr:col>
      <xdr:colOff>12699</xdr:colOff>
      <xdr:row>54</xdr:row>
      <xdr:rowOff>6350</xdr:rowOff>
    </xdr:to>
    <xdr:cxnSp macro="">
      <xdr:nvCxnSpPr>
        <xdr:cNvPr id="40" name="AutoShape 4">
          <a:extLst>
            <a:ext uri="{FF2B5EF4-FFF2-40B4-BE49-F238E27FC236}">
              <a16:creationId xmlns:a16="http://schemas.microsoft.com/office/drawing/2014/main" id="{C67B9B0C-7D67-4EBA-BF9A-26B7A9A25065}"/>
            </a:ext>
          </a:extLst>
        </xdr:cNvPr>
        <xdr:cNvCxnSpPr>
          <a:cxnSpLocks noChangeShapeType="1"/>
        </xdr:cNvCxnSpPr>
      </xdr:nvCxnSpPr>
      <xdr:spPr bwMode="auto">
        <a:xfrm flipV="1">
          <a:off x="44521314" y="6383215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211</xdr:col>
      <xdr:colOff>7814</xdr:colOff>
      <xdr:row>50</xdr:row>
      <xdr:rowOff>5372</xdr:rowOff>
    </xdr:from>
    <xdr:to>
      <xdr:col>215</xdr:col>
      <xdr:colOff>12699</xdr:colOff>
      <xdr:row>54</xdr:row>
      <xdr:rowOff>10257</xdr:rowOff>
    </xdr:to>
    <xdr:cxnSp macro="">
      <xdr:nvCxnSpPr>
        <xdr:cNvPr id="41" name="AutoShape 4">
          <a:extLst>
            <a:ext uri="{FF2B5EF4-FFF2-40B4-BE49-F238E27FC236}">
              <a16:creationId xmlns:a16="http://schemas.microsoft.com/office/drawing/2014/main" id="{FB6E92F0-33F4-4948-AAFF-029B6E9410F3}"/>
            </a:ext>
          </a:extLst>
        </xdr:cNvPr>
        <xdr:cNvCxnSpPr>
          <a:cxnSpLocks noChangeShapeType="1"/>
        </xdr:cNvCxnSpPr>
      </xdr:nvCxnSpPr>
      <xdr:spPr bwMode="auto">
        <a:xfrm flipV="1">
          <a:off x="44521314" y="6387122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215</xdr:col>
      <xdr:colOff>18561</xdr:colOff>
      <xdr:row>50</xdr:row>
      <xdr:rowOff>1465</xdr:rowOff>
    </xdr:from>
    <xdr:to>
      <xdr:col>219</xdr:col>
      <xdr:colOff>23446</xdr:colOff>
      <xdr:row>54</xdr:row>
      <xdr:rowOff>6350</xdr:rowOff>
    </xdr:to>
    <xdr:cxnSp macro="">
      <xdr:nvCxnSpPr>
        <xdr:cNvPr id="42" name="AutoShape 4">
          <a:extLst>
            <a:ext uri="{FF2B5EF4-FFF2-40B4-BE49-F238E27FC236}">
              <a16:creationId xmlns:a16="http://schemas.microsoft.com/office/drawing/2014/main" id="{996FA4C8-3FCB-4E6B-942F-4746705F3536}"/>
            </a:ext>
          </a:extLst>
        </xdr:cNvPr>
        <xdr:cNvCxnSpPr>
          <a:cxnSpLocks noChangeShapeType="1"/>
        </xdr:cNvCxnSpPr>
      </xdr:nvCxnSpPr>
      <xdr:spPr bwMode="auto">
        <a:xfrm flipV="1">
          <a:off x="45040061" y="6383215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167</xdr:col>
      <xdr:colOff>5860</xdr:colOff>
      <xdr:row>49</xdr:row>
      <xdr:rowOff>121627</xdr:rowOff>
    </xdr:from>
    <xdr:to>
      <xdr:col>171</xdr:col>
      <xdr:colOff>10745</xdr:colOff>
      <xdr:row>53</xdr:row>
      <xdr:rowOff>132862</xdr:rowOff>
    </xdr:to>
    <xdr:cxnSp macro="">
      <xdr:nvCxnSpPr>
        <xdr:cNvPr id="43" name="AutoShape 4">
          <a:extLst>
            <a:ext uri="{FF2B5EF4-FFF2-40B4-BE49-F238E27FC236}">
              <a16:creationId xmlns:a16="http://schemas.microsoft.com/office/drawing/2014/main" id="{8C11F32B-C65B-47BD-80DD-F7DED8BE1365}"/>
            </a:ext>
          </a:extLst>
        </xdr:cNvPr>
        <xdr:cNvCxnSpPr>
          <a:cxnSpLocks noChangeShapeType="1"/>
        </xdr:cNvCxnSpPr>
      </xdr:nvCxnSpPr>
      <xdr:spPr bwMode="auto">
        <a:xfrm flipV="1">
          <a:off x="38931360" y="6376377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s%20from%202019/2019%20Commercial%20Memo%20Exhibit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19%20Rate%20Review/Copy%20of%202019%20Residential%20Indications%20JF%20Table%20of%20Contents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19%20Rate%20Review/TDI%20Filing/2019%20Commercial%20Indication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20%20Rate%20Review/Work%20Files/2020%20Residential%20Indicat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20%20Rate%20Review/Work%20Files/Rate%20changes%20to%201988%20Version/2020%20Residential%20Indication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20%201Q%20Rx/TWIA%20Rx%202020%20Q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19%201Q%20Rx/TWIA%20Rx%202019%20Q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19%20Rate%20Review/2017%20Residential%20Indic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Table of Contents"/>
      <sheetName val="1"/>
      <sheetName val="2.1"/>
      <sheetName val="2.2"/>
      <sheetName val="2.3"/>
      <sheetName val="2.4"/>
      <sheetName val="3.1"/>
      <sheetName val="3.2 premium trend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 - industry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"/>
      <sheetName val="10.2"/>
      <sheetName val="10.3"/>
      <sheetName val="11.1"/>
      <sheetName val="11.2"/>
      <sheetName val="12.1"/>
      <sheetName val="12.2"/>
    </sheetNames>
    <sheetDataSet>
      <sheetData sheetId="0"/>
      <sheetData sheetId="1"/>
      <sheetData sheetId="2">
        <row r="5">
          <cell r="A5" t="str">
            <v>By Method for Projecting Hurricane Loss &amp; LAE</v>
          </cell>
        </row>
      </sheetData>
      <sheetData sheetId="3"/>
      <sheetData sheetId="4"/>
      <sheetData sheetId="5"/>
      <sheetData sheetId="6"/>
      <sheetData sheetId="7"/>
      <sheetData sheetId="8">
        <row r="5">
          <cell r="A5" t="str">
            <v>TWIA Commercial Earned Premium at Present Rates</v>
          </cell>
        </row>
      </sheetData>
      <sheetData sheetId="9">
        <row r="5">
          <cell r="A5" t="str">
            <v>Summary of Indices and Calculation of Prospective Loss Costs</v>
          </cell>
        </row>
      </sheetData>
      <sheetData sheetId="10">
        <row r="5">
          <cell r="A5" t="str">
            <v>Boeckh Commercial Construction Index Trend (Statewide)</v>
          </cell>
        </row>
      </sheetData>
      <sheetData sheetId="11">
        <row r="5">
          <cell r="A5" t="str">
            <v>Boeckh Commercial Construction Index Trend (Coastal)</v>
          </cell>
        </row>
      </sheetData>
      <sheetData sheetId="12">
        <row r="5">
          <cell r="A5" t="str">
            <v>Modified Consumer Price Index - External Trend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1966 - 2018 -- Hurricane Years Only</v>
          </cell>
        </row>
      </sheetData>
      <sheetData sheetId="20"/>
      <sheetData sheetId="21"/>
      <sheetData sheetId="22">
        <row r="5">
          <cell r="A5" t="str">
            <v>Tier 1 -- Territory 8 (Galveston County)</v>
          </cell>
        </row>
      </sheetData>
      <sheetData sheetId="23">
        <row r="5">
          <cell r="A5" t="str">
            <v>Tier 1 -- Territory 9 (Nueces County)</v>
          </cell>
        </row>
      </sheetData>
      <sheetData sheetId="24">
        <row r="5">
          <cell r="A5" t="str">
            <v>Tier 1 -- Territory 10 (Other Tier 1)</v>
          </cell>
        </row>
      </sheetData>
      <sheetData sheetId="25">
        <row r="5">
          <cell r="A5" t="str">
            <v>Tier 2 (Territories 1 and 11)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5">
          <cell r="A5" t="str">
            <v>Using Average of AIR and  RMS Hurricane Models</v>
          </cell>
        </row>
      </sheetData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Summary"/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a"/>
      <sheetName val="ldf 3.1b"/>
      <sheetName val="3.2 premium trend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5">
          <cell r="A5" t="str">
            <v>1966 - 2018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Tier 1 -- Territory 8 (Galveston County)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"/>
      <sheetName val="TICO 1"/>
      <sheetName val="TICO 2"/>
      <sheetName val="TICO 3"/>
      <sheetName val="Hurr Models"/>
      <sheetName val="EC LDF"/>
      <sheetName val="TWIA 1"/>
      <sheetName val="TWIA 3"/>
      <sheetName val="TWIA 4 Premium Trend"/>
      <sheetName val="TWIA 5"/>
      <sheetName val="CPI"/>
      <sheetName val="Boeckh (R)"/>
      <sheetName val="Boeckh (C)"/>
    </sheetNames>
    <sheetDataSet>
      <sheetData sheetId="0">
        <row r="1">
          <cell r="E1">
            <v>43830</v>
          </cell>
        </row>
        <row r="2">
          <cell r="E2">
            <v>43830</v>
          </cell>
        </row>
        <row r="54">
          <cell r="O54">
            <v>31708901</v>
          </cell>
          <cell r="P54">
            <v>27439364</v>
          </cell>
          <cell r="Q54">
            <v>63606679</v>
          </cell>
          <cell r="R54">
            <v>70966450</v>
          </cell>
          <cell r="T54">
            <v>669882</v>
          </cell>
          <cell r="U54">
            <v>1768194</v>
          </cell>
          <cell r="V54">
            <v>5423427</v>
          </cell>
          <cell r="W54">
            <v>3378802</v>
          </cell>
        </row>
        <row r="55">
          <cell r="O55">
            <v>31271334</v>
          </cell>
          <cell r="P55">
            <v>24767582</v>
          </cell>
          <cell r="Q55">
            <v>61404245</v>
          </cell>
          <cell r="R55">
            <v>69133046</v>
          </cell>
          <cell r="T55">
            <v>1675264</v>
          </cell>
          <cell r="U55">
            <v>10534288</v>
          </cell>
          <cell r="V55">
            <v>16202722</v>
          </cell>
          <cell r="W55">
            <v>18130744</v>
          </cell>
        </row>
        <row r="56">
          <cell r="O56">
            <v>35124210</v>
          </cell>
          <cell r="P56">
            <v>26074384</v>
          </cell>
          <cell r="Q56">
            <v>66325367</v>
          </cell>
          <cell r="R56">
            <v>76363642</v>
          </cell>
          <cell r="T56">
            <v>8709842</v>
          </cell>
          <cell r="U56">
            <v>8260210</v>
          </cell>
          <cell r="V56">
            <v>13234958</v>
          </cell>
          <cell r="W56">
            <v>10920824</v>
          </cell>
        </row>
        <row r="57">
          <cell r="O57">
            <v>37650973</v>
          </cell>
          <cell r="P57">
            <v>27625026</v>
          </cell>
          <cell r="Q57">
            <v>71511184</v>
          </cell>
          <cell r="R57">
            <v>88134494</v>
          </cell>
          <cell r="T57">
            <v>6670061</v>
          </cell>
          <cell r="U57">
            <v>1473733</v>
          </cell>
          <cell r="V57">
            <v>1105363</v>
          </cell>
          <cell r="W57">
            <v>8026884</v>
          </cell>
        </row>
        <row r="58">
          <cell r="O58">
            <v>38263554</v>
          </cell>
          <cell r="P58">
            <v>27425810</v>
          </cell>
          <cell r="Q58">
            <v>66744325</v>
          </cell>
          <cell r="R58">
            <v>102589286</v>
          </cell>
          <cell r="T58">
            <v>258179</v>
          </cell>
          <cell r="U58">
            <v>766708</v>
          </cell>
          <cell r="V58">
            <v>907091</v>
          </cell>
          <cell r="W58">
            <v>5642475</v>
          </cell>
        </row>
        <row r="59">
          <cell r="O59">
            <v>36780958</v>
          </cell>
          <cell r="P59">
            <v>26008254</v>
          </cell>
          <cell r="Q59">
            <v>61005719</v>
          </cell>
          <cell r="R59">
            <v>103529224</v>
          </cell>
          <cell r="T59">
            <v>5012267</v>
          </cell>
          <cell r="U59">
            <v>1316614</v>
          </cell>
          <cell r="V59">
            <v>15485267</v>
          </cell>
          <cell r="W59">
            <v>16863405</v>
          </cell>
        </row>
        <row r="60">
          <cell r="O60">
            <v>36187907</v>
          </cell>
          <cell r="P60">
            <v>22181835</v>
          </cell>
          <cell r="Q60">
            <v>55725487</v>
          </cell>
          <cell r="R60">
            <v>96520601</v>
          </cell>
          <cell r="T60">
            <v>331694</v>
          </cell>
          <cell r="U60">
            <v>1964437</v>
          </cell>
          <cell r="V60">
            <v>2286047</v>
          </cell>
          <cell r="W60">
            <v>33421153</v>
          </cell>
        </row>
        <row r="61">
          <cell r="O61">
            <v>32595075</v>
          </cell>
          <cell r="P61">
            <v>18821527</v>
          </cell>
          <cell r="Q61">
            <v>45240268</v>
          </cell>
          <cell r="R61">
            <v>88573490</v>
          </cell>
          <cell r="T61">
            <v>27903575</v>
          </cell>
          <cell r="U61">
            <v>245701770</v>
          </cell>
          <cell r="V61">
            <v>222840240</v>
          </cell>
          <cell r="W61">
            <v>124480881</v>
          </cell>
        </row>
        <row r="62">
          <cell r="O62">
            <v>33178454</v>
          </cell>
          <cell r="P62">
            <v>18223401</v>
          </cell>
          <cell r="Q62">
            <v>43463740</v>
          </cell>
          <cell r="R62">
            <v>91576398</v>
          </cell>
          <cell r="T62">
            <v>245785</v>
          </cell>
          <cell r="U62">
            <v>227247</v>
          </cell>
          <cell r="V62">
            <v>793873</v>
          </cell>
          <cell r="W62">
            <v>12086495</v>
          </cell>
        </row>
        <row r="63">
          <cell r="O63">
            <v>33603360</v>
          </cell>
          <cell r="P63">
            <v>16527733</v>
          </cell>
          <cell r="Q63">
            <v>42528330</v>
          </cell>
          <cell r="R63">
            <v>91917080</v>
          </cell>
          <cell r="T63">
            <v>378013</v>
          </cell>
          <cell r="U63">
            <v>145415</v>
          </cell>
          <cell r="V63">
            <v>1844735</v>
          </cell>
          <cell r="W63">
            <v>25743583</v>
          </cell>
        </row>
        <row r="67">
          <cell r="O67">
            <v>0.86781235338612395</v>
          </cell>
          <cell r="P67">
            <v>0.88287277977546741</v>
          </cell>
          <cell r="Q67">
            <v>0.72373096767675305</v>
          </cell>
          <cell r="R67">
            <v>9.6651280936081475E-3</v>
          </cell>
        </row>
      </sheetData>
      <sheetData sheetId="1"/>
      <sheetData sheetId="2"/>
      <sheetData sheetId="3"/>
      <sheetData sheetId="4">
        <row r="1">
          <cell r="C1">
            <v>43799</v>
          </cell>
        </row>
        <row r="5">
          <cell r="B5">
            <v>214789776</v>
          </cell>
          <cell r="K5">
            <v>825863.68674154696</v>
          </cell>
        </row>
        <row r="6">
          <cell r="B6">
            <v>407859979</v>
          </cell>
          <cell r="K6">
            <v>1457234.6864390962</v>
          </cell>
        </row>
        <row r="7">
          <cell r="B7">
            <v>106660172</v>
          </cell>
          <cell r="K7">
            <v>489386.11535193556</v>
          </cell>
        </row>
        <row r="8">
          <cell r="B8">
            <v>940171379</v>
          </cell>
          <cell r="K8">
            <v>4618466.2627352457</v>
          </cell>
        </row>
        <row r="9">
          <cell r="B9">
            <v>54565435</v>
          </cell>
          <cell r="K9">
            <v>169691.08398730613</v>
          </cell>
        </row>
        <row r="10">
          <cell r="B10">
            <v>2266405208.6500001</v>
          </cell>
          <cell r="K10">
            <v>14226701.955138598</v>
          </cell>
        </row>
        <row r="11">
          <cell r="B11">
            <v>34537956</v>
          </cell>
          <cell r="K11">
            <v>173079.9303714431</v>
          </cell>
        </row>
        <row r="12">
          <cell r="B12">
            <v>330152327</v>
          </cell>
          <cell r="K12">
            <v>921853.45562475349</v>
          </cell>
        </row>
        <row r="13">
          <cell r="B13">
            <v>694441</v>
          </cell>
          <cell r="K13">
            <v>1647.4683708108316</v>
          </cell>
        </row>
        <row r="14">
          <cell r="B14">
            <v>13597077</v>
          </cell>
          <cell r="K14">
            <v>27325.317600864415</v>
          </cell>
        </row>
        <row r="15">
          <cell r="B15">
            <v>81016586</v>
          </cell>
          <cell r="K15">
            <v>319859.86468401359</v>
          </cell>
        </row>
        <row r="16">
          <cell r="B16">
            <v>1434990242.05</v>
          </cell>
          <cell r="K16">
            <v>5750449.1353416583</v>
          </cell>
        </row>
        <row r="17">
          <cell r="B17">
            <v>23556149</v>
          </cell>
          <cell r="K17">
            <v>63531.807121664402</v>
          </cell>
        </row>
        <row r="18">
          <cell r="B18">
            <v>109128804</v>
          </cell>
          <cell r="K18">
            <v>365239.08426314447</v>
          </cell>
        </row>
        <row r="19">
          <cell r="B19">
            <v>13588613</v>
          </cell>
          <cell r="K19">
            <v>53799.540340249099</v>
          </cell>
        </row>
        <row r="30">
          <cell r="E30">
            <v>214789776</v>
          </cell>
          <cell r="K30">
            <v>768014.58089985244</v>
          </cell>
        </row>
        <row r="31">
          <cell r="E31">
            <v>407859979</v>
          </cell>
          <cell r="K31">
            <v>1251300.1768322419</v>
          </cell>
        </row>
        <row r="32">
          <cell r="E32">
            <v>106660172</v>
          </cell>
          <cell r="K32">
            <v>334880.0492786931</v>
          </cell>
        </row>
        <row r="33">
          <cell r="E33">
            <v>940171379</v>
          </cell>
          <cell r="K33">
            <v>3114923.4854965732</v>
          </cell>
        </row>
        <row r="34">
          <cell r="E34">
            <v>54565435</v>
          </cell>
          <cell r="K34">
            <v>136702.00484991167</v>
          </cell>
        </row>
        <row r="35">
          <cell r="E35">
            <v>2266405208.6500001</v>
          </cell>
          <cell r="K35">
            <v>19598001.769626275</v>
          </cell>
        </row>
        <row r="36">
          <cell r="E36">
            <v>34537956</v>
          </cell>
          <cell r="K36">
            <v>204759.90472650822</v>
          </cell>
        </row>
        <row r="37">
          <cell r="E37">
            <v>330152327</v>
          </cell>
          <cell r="K37">
            <v>908703.41680645698</v>
          </cell>
        </row>
        <row r="38">
          <cell r="E38">
            <v>694441</v>
          </cell>
          <cell r="K38">
            <v>889.56649004320479</v>
          </cell>
        </row>
        <row r="39">
          <cell r="E39">
            <v>13597077</v>
          </cell>
          <cell r="K39">
            <v>15713.462584812614</v>
          </cell>
        </row>
        <row r="40">
          <cell r="E40">
            <v>81016586</v>
          </cell>
          <cell r="K40">
            <v>241128.9695809719</v>
          </cell>
        </row>
        <row r="41">
          <cell r="E41">
            <v>1434990242.05</v>
          </cell>
          <cell r="K41">
            <v>5299838.291109262</v>
          </cell>
        </row>
        <row r="42">
          <cell r="E42">
            <v>23556149</v>
          </cell>
          <cell r="K42">
            <v>34929.063180756675</v>
          </cell>
        </row>
        <row r="43">
          <cell r="E43">
            <v>109128804</v>
          </cell>
          <cell r="K43">
            <v>267643.47081202042</v>
          </cell>
        </row>
        <row r="44">
          <cell r="E44">
            <v>13588613</v>
          </cell>
          <cell r="K44">
            <v>34543.697129481829</v>
          </cell>
        </row>
      </sheetData>
      <sheetData sheetId="5"/>
      <sheetData sheetId="6"/>
      <sheetData sheetId="7">
        <row r="5">
          <cell r="L5">
            <v>857250899.15999997</v>
          </cell>
          <cell r="M5">
            <v>1709067474.04</v>
          </cell>
        </row>
        <row r="6">
          <cell r="L6">
            <v>2553456.1800000002</v>
          </cell>
          <cell r="M6">
            <v>8479584.8599999994</v>
          </cell>
        </row>
        <row r="7">
          <cell r="H7">
            <v>7478288.5800000001</v>
          </cell>
          <cell r="J7">
            <v>0</v>
          </cell>
          <cell r="L7">
            <v>7478288.5800000001</v>
          </cell>
          <cell r="M7">
            <v>10958717.68</v>
          </cell>
        </row>
        <row r="8">
          <cell r="H8">
            <v>19217586.699999999</v>
          </cell>
          <cell r="J8">
            <v>0</v>
          </cell>
          <cell r="L8">
            <v>19217586.699999999</v>
          </cell>
          <cell r="M8">
            <v>76980632.569999993</v>
          </cell>
        </row>
        <row r="9">
          <cell r="H9">
            <v>14459641.539999999</v>
          </cell>
          <cell r="J9">
            <v>0</v>
          </cell>
          <cell r="L9">
            <v>14459641.539999999</v>
          </cell>
          <cell r="M9">
            <v>52332695.060000002</v>
          </cell>
        </row>
        <row r="10">
          <cell r="H10">
            <v>7351329.1600000001</v>
          </cell>
          <cell r="J10">
            <v>0</v>
          </cell>
          <cell r="L10">
            <v>7351329.1600000001</v>
          </cell>
          <cell r="M10">
            <v>63503333.780000001</v>
          </cell>
        </row>
        <row r="11">
          <cell r="H11">
            <v>1056280.8</v>
          </cell>
          <cell r="J11">
            <v>0</v>
          </cell>
          <cell r="L11">
            <v>1056280.8</v>
          </cell>
          <cell r="M11">
            <v>6114172.0999999996</v>
          </cell>
        </row>
        <row r="12">
          <cell r="H12">
            <v>18644220.16</v>
          </cell>
          <cell r="J12">
            <v>0</v>
          </cell>
          <cell r="L12">
            <v>18644220.16</v>
          </cell>
          <cell r="M12">
            <v>119859509.09999999</v>
          </cell>
        </row>
        <row r="13">
          <cell r="H13">
            <v>2596504.75</v>
          </cell>
          <cell r="J13">
            <v>0</v>
          </cell>
          <cell r="L13">
            <v>2596504.75</v>
          </cell>
          <cell r="M13">
            <v>25889298.27</v>
          </cell>
        </row>
        <row r="14">
          <cell r="H14">
            <v>1979222</v>
          </cell>
          <cell r="J14">
            <v>435211699.50999999</v>
          </cell>
          <cell r="L14">
            <v>437190921.50999999</v>
          </cell>
          <cell r="M14">
            <v>901238562.88</v>
          </cell>
        </row>
        <row r="15">
          <cell r="H15">
            <v>186803.22</v>
          </cell>
          <cell r="J15">
            <v>0</v>
          </cell>
          <cell r="L15">
            <v>186803.22</v>
          </cell>
          <cell r="M15">
            <v>11649295.49</v>
          </cell>
        </row>
        <row r="16">
          <cell r="H16">
            <v>806862.36</v>
          </cell>
          <cell r="J16">
            <v>0</v>
          </cell>
          <cell r="L16">
            <v>806862.36</v>
          </cell>
          <cell r="M16">
            <v>12384305.34</v>
          </cell>
        </row>
      </sheetData>
      <sheetData sheetId="8">
        <row r="17">
          <cell r="B17">
            <v>23376688</v>
          </cell>
          <cell r="C17">
            <v>7811</v>
          </cell>
        </row>
        <row r="18">
          <cell r="B18">
            <v>34131354</v>
          </cell>
          <cell r="C18">
            <v>10820</v>
          </cell>
        </row>
        <row r="19">
          <cell r="B19">
            <v>31767550</v>
          </cell>
          <cell r="C19">
            <v>11668</v>
          </cell>
        </row>
        <row r="20">
          <cell r="B20">
            <v>20776517</v>
          </cell>
          <cell r="C20">
            <v>8548</v>
          </cell>
        </row>
        <row r="21">
          <cell r="B21">
            <v>19850492</v>
          </cell>
          <cell r="C21">
            <v>6214</v>
          </cell>
        </row>
        <row r="22">
          <cell r="B22">
            <v>29228333</v>
          </cell>
          <cell r="C22">
            <v>9658</v>
          </cell>
        </row>
        <row r="23">
          <cell r="B23">
            <v>31567447</v>
          </cell>
          <cell r="C23">
            <v>10928</v>
          </cell>
        </row>
        <row r="24">
          <cell r="B24">
            <v>23026165</v>
          </cell>
          <cell r="C24">
            <v>7912</v>
          </cell>
        </row>
        <row r="25">
          <cell r="B25">
            <v>24771378</v>
          </cell>
          <cell r="C25">
            <v>7909</v>
          </cell>
        </row>
        <row r="26">
          <cell r="B26">
            <v>32088566</v>
          </cell>
          <cell r="C26">
            <v>9232</v>
          </cell>
        </row>
        <row r="27">
          <cell r="B27">
            <v>32876434</v>
          </cell>
          <cell r="C27">
            <v>10836</v>
          </cell>
        </row>
        <row r="28">
          <cell r="B28">
            <v>24799106</v>
          </cell>
          <cell r="C28">
            <v>7698</v>
          </cell>
        </row>
        <row r="29">
          <cell r="B29">
            <v>24974712</v>
          </cell>
          <cell r="C29">
            <v>7144</v>
          </cell>
        </row>
        <row r="30">
          <cell r="B30">
            <v>32706056</v>
          </cell>
          <cell r="C30">
            <v>9194</v>
          </cell>
        </row>
        <row r="31">
          <cell r="B31">
            <v>35220808</v>
          </cell>
          <cell r="C31">
            <v>10002</v>
          </cell>
        </row>
        <row r="32">
          <cell r="B32">
            <v>24211988</v>
          </cell>
          <cell r="C32">
            <v>7133</v>
          </cell>
        </row>
        <row r="33">
          <cell r="B33">
            <v>23028882</v>
          </cell>
          <cell r="C33">
            <v>6329</v>
          </cell>
        </row>
        <row r="34">
          <cell r="B34">
            <v>35219745</v>
          </cell>
          <cell r="C34">
            <v>8964</v>
          </cell>
        </row>
        <row r="35">
          <cell r="B35">
            <v>29887118</v>
          </cell>
          <cell r="C35">
            <v>8292</v>
          </cell>
        </row>
        <row r="36">
          <cell r="B36">
            <v>21627063</v>
          </cell>
          <cell r="C36">
            <v>6088</v>
          </cell>
        </row>
        <row r="37">
          <cell r="B37">
            <v>24808373</v>
          </cell>
          <cell r="C37">
            <v>6464</v>
          </cell>
        </row>
        <row r="38">
          <cell r="B38">
            <v>33339199</v>
          </cell>
          <cell r="C38">
            <v>7870</v>
          </cell>
        </row>
        <row r="39">
          <cell r="B39">
            <v>28055666</v>
          </cell>
          <cell r="C39">
            <v>7657</v>
          </cell>
        </row>
        <row r="40">
          <cell r="B40">
            <v>17430504</v>
          </cell>
          <cell r="C40">
            <v>4802</v>
          </cell>
        </row>
        <row r="41">
          <cell r="B41">
            <v>22487925</v>
          </cell>
          <cell r="C41">
            <v>5512</v>
          </cell>
        </row>
        <row r="42">
          <cell r="B42">
            <v>28623450</v>
          </cell>
          <cell r="C42">
            <v>6522</v>
          </cell>
        </row>
        <row r="43">
          <cell r="B43">
            <v>25417054</v>
          </cell>
          <cell r="C43">
            <v>6507</v>
          </cell>
        </row>
        <row r="44">
          <cell r="B44">
            <v>14955154</v>
          </cell>
          <cell r="C44">
            <v>4047</v>
          </cell>
        </row>
        <row r="45">
          <cell r="B45">
            <v>17482209</v>
          </cell>
          <cell r="C45">
            <v>4263</v>
          </cell>
        </row>
        <row r="46">
          <cell r="B46">
            <v>25224489</v>
          </cell>
          <cell r="C46">
            <v>5717</v>
          </cell>
        </row>
        <row r="47">
          <cell r="B47">
            <v>19050031</v>
          </cell>
          <cell r="C47">
            <v>5172</v>
          </cell>
        </row>
        <row r="48">
          <cell r="B48">
            <v>13077837</v>
          </cell>
          <cell r="C48">
            <v>3489</v>
          </cell>
        </row>
        <row r="49">
          <cell r="B49">
            <v>15807970</v>
          </cell>
          <cell r="C49">
            <v>3663</v>
          </cell>
        </row>
        <row r="50">
          <cell r="B50">
            <v>22862777</v>
          </cell>
          <cell r="C50">
            <v>5108</v>
          </cell>
        </row>
        <row r="51">
          <cell r="B51">
            <v>17927115</v>
          </cell>
          <cell r="C51">
            <v>4612</v>
          </cell>
        </row>
        <row r="52">
          <cell r="B52">
            <v>12284401</v>
          </cell>
          <cell r="C52">
            <v>3109</v>
          </cell>
        </row>
        <row r="53">
          <cell r="B53">
            <v>14759154</v>
          </cell>
          <cell r="C53">
            <v>2933</v>
          </cell>
        </row>
        <row r="54">
          <cell r="B54">
            <v>20959587</v>
          </cell>
          <cell r="C54">
            <v>4431</v>
          </cell>
        </row>
        <row r="55">
          <cell r="B55">
            <v>14943999</v>
          </cell>
          <cell r="C55">
            <v>3993</v>
          </cell>
        </row>
        <row r="56">
          <cell r="B56">
            <v>12109737</v>
          </cell>
          <cell r="C56">
            <v>2966</v>
          </cell>
        </row>
      </sheetData>
      <sheetData sheetId="9">
        <row r="23">
          <cell r="X23">
            <v>23347170</v>
          </cell>
        </row>
        <row r="24">
          <cell r="X24">
            <v>12542546</v>
          </cell>
        </row>
        <row r="25">
          <cell r="X25">
            <v>22695795</v>
          </cell>
        </row>
        <row r="26">
          <cell r="X26">
            <v>420408</v>
          </cell>
        </row>
        <row r="249">
          <cell r="C249">
            <v>29220514</v>
          </cell>
          <cell r="D249">
            <v>58573191</v>
          </cell>
          <cell r="I249">
            <v>2.4394994229198184</v>
          </cell>
        </row>
        <row r="250">
          <cell r="C250">
            <v>31009323</v>
          </cell>
          <cell r="D250">
            <v>71292702</v>
          </cell>
          <cell r="I250">
            <v>2.3315946597095789</v>
          </cell>
        </row>
        <row r="251">
          <cell r="C251">
            <v>35740174</v>
          </cell>
          <cell r="D251">
            <v>78094458</v>
          </cell>
          <cell r="I251">
            <v>2.1139483009259492</v>
          </cell>
        </row>
        <row r="252">
          <cell r="C252">
            <v>76847840</v>
          </cell>
          <cell r="D252">
            <v>119658576</v>
          </cell>
          <cell r="I252">
            <v>1.9398940742398449</v>
          </cell>
        </row>
        <row r="253">
          <cell r="C253">
            <v>110951718</v>
          </cell>
          <cell r="D253">
            <v>203561196</v>
          </cell>
          <cell r="I253">
            <v>1.7686162847181024</v>
          </cell>
        </row>
        <row r="254">
          <cell r="C254">
            <v>98036118.420000017</v>
          </cell>
          <cell r="D254">
            <v>232925989.76999998</v>
          </cell>
          <cell r="I254">
            <v>1.6801411926584762</v>
          </cell>
        </row>
        <row r="255">
          <cell r="C255">
            <v>111269572.63</v>
          </cell>
          <cell r="D255">
            <v>269535059.02999997</v>
          </cell>
          <cell r="I255">
            <v>1.5235854713266888</v>
          </cell>
        </row>
        <row r="256">
          <cell r="C256">
            <v>102174679.52999991</v>
          </cell>
          <cell r="D256">
            <v>278116922.00999999</v>
          </cell>
          <cell r="I256">
            <v>1.4076196408284309</v>
          </cell>
        </row>
        <row r="257">
          <cell r="C257">
            <v>100017021</v>
          </cell>
          <cell r="D257">
            <v>307494236.20000005</v>
          </cell>
          <cell r="I257">
            <v>1.3743158191343243</v>
          </cell>
        </row>
        <row r="258">
          <cell r="C258">
            <v>110524396.51999998</v>
          </cell>
          <cell r="D258">
            <v>335795725.19999981</v>
          </cell>
          <cell r="I258">
            <v>1.3069936300796305</v>
          </cell>
        </row>
        <row r="259">
          <cell r="C259">
            <v>112904624</v>
          </cell>
          <cell r="D259">
            <v>360838080.7099998</v>
          </cell>
          <cell r="I259">
            <v>1.2453140098300952</v>
          </cell>
        </row>
        <row r="260">
          <cell r="C260">
            <v>104642688</v>
          </cell>
          <cell r="D260">
            <v>389333918.13999987</v>
          </cell>
          <cell r="I260">
            <v>1.187362617565584</v>
          </cell>
        </row>
        <row r="261">
          <cell r="C261">
            <v>98715934</v>
          </cell>
          <cell r="D261">
            <v>407969846.0800004</v>
          </cell>
          <cell r="I261">
            <v>1.1298337004132681</v>
          </cell>
        </row>
        <row r="262">
          <cell r="C262">
            <v>88278690</v>
          </cell>
          <cell r="D262">
            <v>399074847</v>
          </cell>
          <cell r="I262">
            <v>1.0758917350262633</v>
          </cell>
        </row>
        <row r="263">
          <cell r="C263">
            <v>70749081</v>
          </cell>
          <cell r="D263">
            <v>352368052</v>
          </cell>
          <cell r="I263">
            <v>1.0500000000000045</v>
          </cell>
        </row>
        <row r="264">
          <cell r="C264">
            <v>65696833</v>
          </cell>
          <cell r="D264">
            <v>331676957</v>
          </cell>
          <cell r="I264">
            <v>1.0243345041628875</v>
          </cell>
        </row>
        <row r="265">
          <cell r="C265">
            <v>59123729</v>
          </cell>
          <cell r="D265">
            <v>314907158.99999952</v>
          </cell>
          <cell r="I265">
            <v>1</v>
          </cell>
        </row>
      </sheetData>
      <sheetData sheetId="10">
        <row r="92">
          <cell r="H92">
            <v>179.3</v>
          </cell>
        </row>
        <row r="93">
          <cell r="H93">
            <v>178.8</v>
          </cell>
        </row>
        <row r="94">
          <cell r="H94">
            <v>178.46</v>
          </cell>
        </row>
        <row r="95">
          <cell r="H95">
            <v>178.56</v>
          </cell>
        </row>
        <row r="96">
          <cell r="H96">
            <v>178.59</v>
          </cell>
        </row>
        <row r="97">
          <cell r="H97">
            <v>178.72</v>
          </cell>
        </row>
        <row r="98">
          <cell r="H98">
            <v>178.97</v>
          </cell>
        </row>
        <row r="99">
          <cell r="H99">
            <v>179.61</v>
          </cell>
        </row>
        <row r="100">
          <cell r="H100">
            <v>180.52</v>
          </cell>
        </row>
        <row r="101">
          <cell r="H101">
            <v>181.55</v>
          </cell>
        </row>
        <row r="102">
          <cell r="H102">
            <v>182.78</v>
          </cell>
        </row>
        <row r="103">
          <cell r="H103">
            <v>183.87</v>
          </cell>
        </row>
        <row r="104">
          <cell r="H104">
            <v>184.57</v>
          </cell>
        </row>
        <row r="105">
          <cell r="H105">
            <v>185.03</v>
          </cell>
        </row>
        <row r="106">
          <cell r="H106">
            <v>185.38</v>
          </cell>
        </row>
        <row r="107">
          <cell r="H107">
            <v>185.51</v>
          </cell>
        </row>
        <row r="108">
          <cell r="H108">
            <v>185.82</v>
          </cell>
        </row>
        <row r="109">
          <cell r="H109">
            <v>186.03</v>
          </cell>
        </row>
        <row r="110">
          <cell r="H110">
            <v>186.43</v>
          </cell>
        </row>
        <row r="111">
          <cell r="H111">
            <v>186.87</v>
          </cell>
        </row>
        <row r="112">
          <cell r="H112">
            <v>187.59</v>
          </cell>
        </row>
        <row r="113">
          <cell r="H113">
            <v>188.62</v>
          </cell>
        </row>
        <row r="114">
          <cell r="H114">
            <v>189.46</v>
          </cell>
        </row>
        <row r="115">
          <cell r="H115">
            <v>189.59</v>
          </cell>
        </row>
        <row r="116">
          <cell r="H116">
            <v>190.03</v>
          </cell>
        </row>
        <row r="117">
          <cell r="H117">
            <v>190.5</v>
          </cell>
        </row>
        <row r="118">
          <cell r="H118">
            <v>190.95</v>
          </cell>
        </row>
        <row r="119">
          <cell r="H119">
            <v>192.03</v>
          </cell>
        </row>
        <row r="120">
          <cell r="H120">
            <v>192.82</v>
          </cell>
        </row>
        <row r="121">
          <cell r="H121">
            <v>193.56</v>
          </cell>
        </row>
        <row r="122">
          <cell r="H122">
            <v>193.86</v>
          </cell>
        </row>
        <row r="123">
          <cell r="H123">
            <v>194.07</v>
          </cell>
        </row>
        <row r="124">
          <cell r="H124">
            <v>194.2</v>
          </cell>
        </row>
        <row r="125">
          <cell r="H125">
            <v>194.18</v>
          </cell>
        </row>
        <row r="126">
          <cell r="H126">
            <v>194.71</v>
          </cell>
        </row>
        <row r="127">
          <cell r="H127">
            <v>195.24</v>
          </cell>
        </row>
        <row r="128">
          <cell r="H128">
            <v>195.63</v>
          </cell>
        </row>
        <row r="129">
          <cell r="H129">
            <v>196.26</v>
          </cell>
        </row>
        <row r="130">
          <cell r="H130">
            <v>197.08</v>
          </cell>
        </row>
        <row r="131">
          <cell r="H131">
            <v>198.2</v>
          </cell>
        </row>
        <row r="132">
          <cell r="H132">
            <v>199.66</v>
          </cell>
        </row>
        <row r="133">
          <cell r="H133">
            <v>200.38</v>
          </cell>
        </row>
      </sheetData>
      <sheetData sheetId="11"/>
      <sheetData sheetId="12">
        <row r="25">
          <cell r="E25">
            <v>2253.4852844791667</v>
          </cell>
        </row>
        <row r="26">
          <cell r="D26">
            <v>2174.0482258723955</v>
          </cell>
          <cell r="E26">
            <v>2230.6006122395829</v>
          </cell>
        </row>
        <row r="27">
          <cell r="D27">
            <v>2151.7292266015625</v>
          </cell>
          <cell r="E27">
            <v>2198.6022721874997</v>
          </cell>
        </row>
        <row r="28">
          <cell r="D28">
            <v>2138.0527329218748</v>
          </cell>
          <cell r="E28">
            <v>2167.1941427916663</v>
          </cell>
        </row>
        <row r="29">
          <cell r="D29">
            <v>2135.7265468571431</v>
          </cell>
          <cell r="E29">
            <v>2144.3364395208332</v>
          </cell>
        </row>
        <row r="30">
          <cell r="D30">
            <v>2144.8632574866069</v>
          </cell>
          <cell r="E30">
            <v>2143.2758905260416</v>
          </cell>
        </row>
        <row r="31">
          <cell r="D31">
            <v>2159.118504171875</v>
          </cell>
          <cell r="E31">
            <v>2155.0569833125001</v>
          </cell>
        </row>
        <row r="32">
          <cell r="D32">
            <v>2182.2538590104168</v>
          </cell>
          <cell r="E32">
            <v>2181.5434714583334</v>
          </cell>
        </row>
        <row r="33">
          <cell r="D33">
            <v>2212.8968638511906</v>
          </cell>
          <cell r="E33">
            <v>2220.5999619166669</v>
          </cell>
        </row>
        <row r="34">
          <cell r="D34">
            <v>2240.4756404873515</v>
          </cell>
          <cell r="E34">
            <v>2252.1624615364585</v>
          </cell>
        </row>
        <row r="35">
          <cell r="D35">
            <v>2263.1043502864582</v>
          </cell>
          <cell r="E35">
            <v>2277.3598000000002</v>
          </cell>
        </row>
        <row r="36">
          <cell r="D36">
            <v>2282.0086647135417</v>
          </cell>
          <cell r="E36">
            <v>2299.4267181249998</v>
          </cell>
        </row>
        <row r="37">
          <cell r="D37">
            <v>2298.2392149218749</v>
          </cell>
          <cell r="E37">
            <v>2320.3744796874998</v>
          </cell>
        </row>
        <row r="38">
          <cell r="D38">
            <v>2310.8806694531249</v>
          </cell>
          <cell r="E38">
            <v>2337.9761750000002</v>
          </cell>
        </row>
        <row r="39">
          <cell r="D39">
            <v>2321.182541640625</v>
          </cell>
          <cell r="E39">
            <v>2349.4933415625001</v>
          </cell>
        </row>
        <row r="40">
          <cell r="D40">
            <v>2332.1655827343748</v>
          </cell>
          <cell r="E40">
            <v>2359.7791646875003</v>
          </cell>
        </row>
        <row r="41">
          <cell r="D41">
            <v>2342.5840233593749</v>
          </cell>
          <cell r="E41">
            <v>2370.48975875</v>
          </cell>
        </row>
        <row r="42">
          <cell r="D42">
            <v>2355.2563627343748</v>
          </cell>
          <cell r="E42">
            <v>2388.1874668749997</v>
          </cell>
        </row>
        <row r="43">
          <cell r="D43">
            <v>2373.4682892968749</v>
          </cell>
          <cell r="E43">
            <v>2411.3442974999998</v>
          </cell>
        </row>
        <row r="44">
          <cell r="D44">
            <v>2390.5572240625002</v>
          </cell>
          <cell r="E44">
            <v>2431.1194746874999</v>
          </cell>
        </row>
        <row r="45">
          <cell r="D45">
            <v>2408.9965558593753</v>
          </cell>
          <cell r="E45">
            <v>2450.8795553125001</v>
          </cell>
        </row>
        <row r="46">
          <cell r="D46">
            <v>2427.520652578125</v>
          </cell>
          <cell r="E46">
            <v>2465.8835659375</v>
          </cell>
        </row>
        <row r="47">
          <cell r="D47">
            <v>2439.2176879687504</v>
          </cell>
          <cell r="E47">
            <v>2477.5474281249999</v>
          </cell>
        </row>
        <row r="48">
          <cell r="D48">
            <v>2447.2923714062499</v>
          </cell>
          <cell r="E48">
            <v>2486.8449137499997</v>
          </cell>
        </row>
        <row r="49">
          <cell r="D49">
            <v>2450.9525792187501</v>
          </cell>
          <cell r="E49">
            <v>2492.8528618749997</v>
          </cell>
        </row>
        <row r="50">
          <cell r="D50">
            <v>2448.9439421093748</v>
          </cell>
          <cell r="E50">
            <v>2493.6314934374996</v>
          </cell>
        </row>
        <row r="51">
          <cell r="D51">
            <v>2444.5603125781249</v>
          </cell>
          <cell r="E51">
            <v>2490.8853659375</v>
          </cell>
        </row>
        <row r="52">
          <cell r="D52">
            <v>2440.9017260156247</v>
          </cell>
          <cell r="E52">
            <v>2485.9081421874998</v>
          </cell>
        </row>
        <row r="53">
          <cell r="D53">
            <v>2440.5554000781249</v>
          </cell>
          <cell r="E53">
            <v>2482.1426353124998</v>
          </cell>
        </row>
        <row r="54">
          <cell r="D54">
            <v>2446.8926558593748</v>
          </cell>
          <cell r="E54">
            <v>2484.2557490624999</v>
          </cell>
        </row>
        <row r="55">
          <cell r="D55">
            <v>2460.3246798437499</v>
          </cell>
          <cell r="E55">
            <v>2494.8181668749999</v>
          </cell>
        </row>
        <row r="56">
          <cell r="D56">
            <v>2478.5653454687499</v>
          </cell>
          <cell r="E56">
            <v>2509.927030625</v>
          </cell>
        </row>
        <row r="57">
          <cell r="D57">
            <v>2496.247973359375</v>
          </cell>
          <cell r="E57">
            <v>2528.3060978125</v>
          </cell>
        </row>
        <row r="58">
          <cell r="D58">
            <v>2515.35349359375</v>
          </cell>
          <cell r="E58">
            <v>2547.1608884375</v>
          </cell>
        </row>
        <row r="59">
          <cell r="D59">
            <v>2538.6056569531247</v>
          </cell>
          <cell r="E59">
            <v>2569.7896781250001</v>
          </cell>
        </row>
        <row r="60">
          <cell r="D60">
            <v>2566.7190555468751</v>
          </cell>
          <cell r="E60">
            <v>2597.5666859375001</v>
          </cell>
        </row>
        <row r="61">
          <cell r="D61">
            <v>2599.9137418749997</v>
          </cell>
          <cell r="E61">
            <v>2632.3446362499999</v>
          </cell>
        </row>
        <row r="62">
          <cell r="D62">
            <v>2625.4141056249996</v>
          </cell>
          <cell r="E62">
            <v>2661.7983071875001</v>
          </cell>
        </row>
        <row r="63">
          <cell r="D63">
            <v>2639.3896677343746</v>
          </cell>
          <cell r="E63">
            <v>2677.5675346874996</v>
          </cell>
        </row>
        <row r="64">
          <cell r="D64">
            <v>2642.4263885937498</v>
          </cell>
          <cell r="E64">
            <v>2684.1566337499999</v>
          </cell>
        </row>
        <row r="65">
          <cell r="D65">
            <v>2639.5573381250001</v>
          </cell>
          <cell r="E65">
            <v>2679.7878162500001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"/>
      <sheetName val="2.1"/>
      <sheetName val="2.2"/>
      <sheetName val="2.3"/>
      <sheetName val="2.4"/>
      <sheetName val="3.1"/>
      <sheetName val="3.2 premium trend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 - industry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"/>
      <sheetName val="10.2"/>
      <sheetName val="10.3"/>
      <sheetName val="11.1"/>
      <sheetName val="11.2"/>
      <sheetName val="12.1"/>
      <sheetName val="1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7">
          <cell r="E17">
            <v>1.4071004226562505</v>
          </cell>
        </row>
        <row r="18">
          <cell r="E18">
            <v>1.4071004226562505</v>
          </cell>
        </row>
        <row r="19">
          <cell r="E19">
            <v>1.4071004226562505</v>
          </cell>
        </row>
        <row r="20">
          <cell r="E20">
            <v>1.4071004226562505</v>
          </cell>
        </row>
        <row r="21">
          <cell r="E21">
            <v>1.3400956406250004</v>
          </cell>
        </row>
        <row r="22">
          <cell r="E22">
            <v>1.3400956406250004</v>
          </cell>
        </row>
        <row r="23">
          <cell r="E23">
            <v>1.3400956406250004</v>
          </cell>
        </row>
        <row r="24">
          <cell r="E24">
            <v>1.3400956406250004</v>
          </cell>
        </row>
        <row r="25">
          <cell r="E25">
            <v>1.2762815625000004</v>
          </cell>
        </row>
        <row r="26">
          <cell r="E26">
            <v>1.2762815625000004</v>
          </cell>
        </row>
        <row r="27">
          <cell r="E27">
            <v>1.2762815625000004</v>
          </cell>
        </row>
        <row r="28">
          <cell r="E28">
            <v>1.2762815625000004</v>
          </cell>
        </row>
        <row r="29">
          <cell r="E29">
            <v>1.2155062500000002</v>
          </cell>
        </row>
        <row r="30">
          <cell r="E30">
            <v>1.2155062500000002</v>
          </cell>
        </row>
        <row r="31">
          <cell r="E31">
            <v>1.2155062500000002</v>
          </cell>
        </row>
        <row r="32">
          <cell r="E32">
            <v>1.2155062500000002</v>
          </cell>
        </row>
        <row r="33">
          <cell r="E33">
            <v>1.1576250000000001</v>
          </cell>
        </row>
        <row r="34">
          <cell r="E34">
            <v>1.1576250000000001</v>
          </cell>
        </row>
        <row r="35">
          <cell r="E35">
            <v>1.1576250000000001</v>
          </cell>
        </row>
        <row r="36">
          <cell r="E36">
            <v>1.1576250000000001</v>
          </cell>
        </row>
        <row r="37">
          <cell r="E37">
            <v>1.1025</v>
          </cell>
        </row>
        <row r="38">
          <cell r="E38">
            <v>1.1025</v>
          </cell>
        </row>
        <row r="39">
          <cell r="E39">
            <v>1.1025</v>
          </cell>
        </row>
        <row r="40">
          <cell r="E40">
            <v>1.1025</v>
          </cell>
        </row>
        <row r="41">
          <cell r="E41">
            <v>1.05</v>
          </cell>
        </row>
        <row r="42">
          <cell r="E42">
            <v>1.05</v>
          </cell>
        </row>
        <row r="43">
          <cell r="E43">
            <v>1.05</v>
          </cell>
        </row>
        <row r="44">
          <cell r="E44">
            <v>1.05</v>
          </cell>
        </row>
        <row r="45">
          <cell r="E45">
            <v>1.05</v>
          </cell>
        </row>
        <row r="46">
          <cell r="E46">
            <v>1.05</v>
          </cell>
        </row>
        <row r="47">
          <cell r="E47">
            <v>1.05</v>
          </cell>
        </row>
        <row r="48">
          <cell r="E48">
            <v>1.05</v>
          </cell>
        </row>
        <row r="49">
          <cell r="E49">
            <v>1</v>
          </cell>
        </row>
        <row r="50">
          <cell r="E50">
            <v>1</v>
          </cell>
        </row>
        <row r="51">
          <cell r="E51">
            <v>1</v>
          </cell>
        </row>
        <row r="52">
          <cell r="E52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a"/>
      <sheetName val="ldf 3.1b"/>
      <sheetName val="3.2 premium trend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L1" t="str">
            <v>Exhibit 3</v>
          </cell>
        </row>
        <row r="2">
          <cell r="L2" t="str">
            <v>Sheet 3b</v>
          </cell>
        </row>
        <row r="17">
          <cell r="C17">
            <v>2057.9538435022323</v>
          </cell>
        </row>
        <row r="21">
          <cell r="C21">
            <v>2083.1629894464286</v>
          </cell>
        </row>
        <row r="25">
          <cell r="C25">
            <v>2139.9674865625002</v>
          </cell>
        </row>
        <row r="29">
          <cell r="C29">
            <v>2202.6592412500004</v>
          </cell>
        </row>
        <row r="33">
          <cell r="C33">
            <v>2275.5617031249999</v>
          </cell>
        </row>
        <row r="37">
          <cell r="C37">
            <v>2319.8966374218749</v>
          </cell>
        </row>
        <row r="41">
          <cell r="C41">
            <v>2296.5396237499999</v>
          </cell>
        </row>
        <row r="45">
          <cell r="C45">
            <v>2343.8064457812497</v>
          </cell>
        </row>
        <row r="49">
          <cell r="C49">
            <v>2441.1228667187502</v>
          </cell>
        </row>
        <row r="53">
          <cell r="C53">
            <v>2466.8168924218749</v>
          </cell>
        </row>
        <row r="56">
          <cell r="G56">
            <v>1.7267127372917468E-2</v>
          </cell>
        </row>
      </sheetData>
      <sheetData sheetId="21">
        <row r="2">
          <cell r="L2" t="str">
            <v>Sheet 3c</v>
          </cell>
        </row>
        <row r="17">
          <cell r="C17">
            <v>2070.6144097202387</v>
          </cell>
        </row>
        <row r="21">
          <cell r="C21">
            <v>2083.4605320476189</v>
          </cell>
        </row>
        <row r="25">
          <cell r="C25">
            <v>2139.8777234375002</v>
          </cell>
        </row>
        <row r="29">
          <cell r="C29">
            <v>2203.3705943750001</v>
          </cell>
        </row>
        <row r="33">
          <cell r="C33">
            <v>2296.7677665625006</v>
          </cell>
        </row>
        <row r="37">
          <cell r="C37">
            <v>2333.2555071874999</v>
          </cell>
        </row>
        <row r="41">
          <cell r="C41">
            <v>2308.1697937499998</v>
          </cell>
        </row>
        <row r="45">
          <cell r="C45">
            <v>2360.0865974999997</v>
          </cell>
        </row>
        <row r="49">
          <cell r="C49">
            <v>2467.6029853125001</v>
          </cell>
        </row>
        <row r="53">
          <cell r="C53">
            <v>2504.0701937499998</v>
          </cell>
        </row>
        <row r="56">
          <cell r="G56">
            <v>1.936373707030703E-2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2">
          <cell r="J2" t="str">
            <v>Sheet 2</v>
          </cell>
        </row>
      </sheetData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a"/>
      <sheetName val="ldf 3.1b"/>
      <sheetName val="3.2 premium trend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L1" t="str">
            <v>Exhibit 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25">
          <cell r="E25">
            <v>322259385.91666603</v>
          </cell>
        </row>
      </sheetData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2"/>
      <sheetName val="3.1 "/>
      <sheetName val="3.2 "/>
      <sheetName val="4.1"/>
      <sheetName val="4.2"/>
      <sheetName val="Summary Sheet"/>
      <sheetName val="2005-2007 Cumulative paid"/>
      <sheetName val="5"/>
      <sheetName val="2005- 2007 Case Reserve"/>
      <sheetName val="2008 - 2019 GWDW"/>
    </sheetNames>
    <sheetDataSet>
      <sheetData sheetId="0">
        <row r="20">
          <cell r="C20">
            <v>23365790.290000003</v>
          </cell>
          <cell r="F20">
            <v>322704.85499999957</v>
          </cell>
        </row>
        <row r="21">
          <cell r="C21">
            <v>1326151693.7999902</v>
          </cell>
          <cell r="F21">
            <v>95196913.986974031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2"/>
      <sheetName val="3.1 "/>
      <sheetName val="3.2 "/>
      <sheetName val="4.1"/>
      <sheetName val="4.2"/>
      <sheetName val="Summary Sheet"/>
      <sheetName val="2005-2007 Cumulative paid"/>
      <sheetName val="5"/>
      <sheetName val="2005- 2007 Case Reserve"/>
      <sheetName val="2008 - 2019 GWDW"/>
    </sheetNames>
    <sheetDataSet>
      <sheetData sheetId="0">
        <row r="21">
          <cell r="C21">
            <v>23129830.990000002</v>
          </cell>
          <cell r="G21">
            <v>10451858.453900013</v>
          </cell>
          <cell r="J21">
            <v>531412.69000000041</v>
          </cell>
        </row>
        <row r="22">
          <cell r="G22">
            <v>229360935.56806254</v>
          </cell>
          <cell r="J22">
            <v>29997050.339402918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a"/>
      <sheetName val="ldf 3.1b"/>
      <sheetName val="3.2 premium trend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  <sheetName val="ldf 3.1"/>
      <sheetName val="3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>
        <row r="1">
          <cell r="J1" t="str">
            <v>Exhibit 10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D9C67-4E3C-4E80-91EC-B129EBBD5BA4}">
  <sheetPr>
    <tabColor rgb="FF92D050"/>
  </sheetPr>
  <dimension ref="B17:J46"/>
  <sheetViews>
    <sheetView showGridLines="0" zoomScaleNormal="100" workbookViewId="0">
      <selection activeCell="B35" sqref="B35"/>
    </sheetView>
  </sheetViews>
  <sheetFormatPr defaultRowHeight="11.25" x14ac:dyDescent="0.2"/>
  <cols>
    <col min="1" max="12" width="10.1640625" customWidth="1"/>
  </cols>
  <sheetData>
    <row r="17" spans="2:10" ht="12" thickBot="1" x14ac:dyDescent="0.25"/>
    <row r="18" spans="2:10" x14ac:dyDescent="0.2">
      <c r="B18" s="449"/>
      <c r="C18" s="433"/>
      <c r="D18" s="433"/>
      <c r="E18" s="433"/>
      <c r="F18" s="433"/>
      <c r="G18" s="433"/>
      <c r="H18" s="433"/>
      <c r="I18" s="433"/>
      <c r="J18" s="434"/>
    </row>
    <row r="19" spans="2:10" x14ac:dyDescent="0.2">
      <c r="B19" s="450"/>
      <c r="C19" s="47"/>
      <c r="D19" s="47"/>
      <c r="E19" s="47"/>
      <c r="F19" s="47"/>
      <c r="G19" s="47"/>
      <c r="H19" s="47"/>
      <c r="I19" s="47"/>
      <c r="J19" s="436"/>
    </row>
    <row r="20" spans="2:10" x14ac:dyDescent="0.2">
      <c r="B20" s="450"/>
      <c r="C20" s="47"/>
      <c r="D20" s="47"/>
      <c r="E20" s="47"/>
      <c r="F20" s="47"/>
      <c r="G20" s="47"/>
      <c r="H20" s="47"/>
      <c r="I20" s="47"/>
      <c r="J20" s="436"/>
    </row>
    <row r="21" spans="2:10" x14ac:dyDescent="0.2">
      <c r="B21" s="450"/>
      <c r="C21" s="47"/>
      <c r="D21" s="47"/>
      <c r="E21" s="47"/>
      <c r="F21" s="47"/>
      <c r="G21" s="47"/>
      <c r="H21" s="47"/>
      <c r="I21" s="47"/>
      <c r="J21" s="436"/>
    </row>
    <row r="22" spans="2:10" x14ac:dyDescent="0.2">
      <c r="B22" s="450"/>
      <c r="C22" s="47"/>
      <c r="D22" s="47"/>
      <c r="E22" s="47"/>
      <c r="F22" s="47"/>
      <c r="G22" s="47"/>
      <c r="H22" s="47"/>
      <c r="I22" s="47"/>
      <c r="J22" s="436"/>
    </row>
    <row r="23" spans="2:10" x14ac:dyDescent="0.2">
      <c r="B23" s="450"/>
      <c r="C23" s="47"/>
      <c r="D23" s="47"/>
      <c r="E23" s="47"/>
      <c r="F23" s="47"/>
      <c r="G23" s="47"/>
      <c r="H23" s="47"/>
      <c r="I23" s="47"/>
      <c r="J23" s="436"/>
    </row>
    <row r="24" spans="2:10" x14ac:dyDescent="0.2">
      <c r="B24" s="450"/>
      <c r="C24" s="47"/>
      <c r="D24" s="47"/>
      <c r="E24" s="47"/>
      <c r="F24" s="47"/>
      <c r="G24" s="47"/>
      <c r="H24" s="47"/>
      <c r="I24" s="47"/>
      <c r="J24" s="436"/>
    </row>
    <row r="25" spans="2:10" x14ac:dyDescent="0.2">
      <c r="B25" s="450"/>
      <c r="C25" s="47"/>
      <c r="D25" s="47"/>
      <c r="E25" s="47"/>
      <c r="F25" s="47"/>
      <c r="G25" s="47"/>
      <c r="H25" s="47"/>
      <c r="I25" s="47"/>
      <c r="J25" s="436"/>
    </row>
    <row r="26" spans="2:10" x14ac:dyDescent="0.2">
      <c r="B26" s="450"/>
      <c r="C26" s="47"/>
      <c r="D26" s="47"/>
      <c r="E26" s="47"/>
      <c r="F26" s="47"/>
      <c r="G26" s="47"/>
      <c r="H26" s="47"/>
      <c r="I26" s="47"/>
      <c r="J26" s="436"/>
    </row>
    <row r="27" spans="2:10" x14ac:dyDescent="0.2">
      <c r="B27" s="450"/>
      <c r="C27" s="47"/>
      <c r="D27" s="47"/>
      <c r="E27" s="47"/>
      <c r="F27" s="47"/>
      <c r="G27" s="47"/>
      <c r="H27" s="47"/>
      <c r="I27" s="47"/>
      <c r="J27" s="436"/>
    </row>
    <row r="28" spans="2:10" x14ac:dyDescent="0.2">
      <c r="B28" s="450"/>
      <c r="C28" s="47"/>
      <c r="D28" s="47"/>
      <c r="E28" s="47"/>
      <c r="F28" s="47"/>
      <c r="G28" s="47"/>
      <c r="H28" s="47"/>
      <c r="I28" s="47"/>
      <c r="J28" s="436"/>
    </row>
    <row r="29" spans="2:10" x14ac:dyDescent="0.2">
      <c r="B29" s="450"/>
      <c r="C29" s="47"/>
      <c r="D29" s="47"/>
      <c r="E29" s="47"/>
      <c r="F29" s="47"/>
      <c r="G29" s="47"/>
      <c r="H29" s="47"/>
      <c r="I29" s="47"/>
      <c r="J29" s="436"/>
    </row>
    <row r="30" spans="2:10" x14ac:dyDescent="0.2">
      <c r="B30" s="450"/>
      <c r="C30" s="47"/>
      <c r="D30" s="47"/>
      <c r="E30" s="47"/>
      <c r="F30" s="47"/>
      <c r="G30" s="47"/>
      <c r="H30" s="47"/>
      <c r="I30" s="47"/>
      <c r="J30" s="436"/>
    </row>
    <row r="31" spans="2:10" x14ac:dyDescent="0.2">
      <c r="B31" s="450"/>
      <c r="C31" s="47"/>
      <c r="D31" s="47"/>
      <c r="E31" s="47"/>
      <c r="F31" s="47"/>
      <c r="G31" s="47"/>
      <c r="H31" s="47"/>
      <c r="I31" s="47"/>
      <c r="J31" s="436"/>
    </row>
    <row r="32" spans="2:10" ht="15.75" x14ac:dyDescent="0.25">
      <c r="B32" s="458" t="s">
        <v>0</v>
      </c>
      <c r="C32" s="459"/>
      <c r="D32" s="459"/>
      <c r="E32" s="459"/>
      <c r="F32" s="459"/>
      <c r="G32" s="459"/>
      <c r="H32" s="459"/>
      <c r="I32" s="459"/>
      <c r="J32" s="460"/>
    </row>
    <row r="33" spans="2:10" ht="15.75" x14ac:dyDescent="0.25">
      <c r="B33" s="458" t="s">
        <v>188</v>
      </c>
      <c r="C33" s="459"/>
      <c r="D33" s="459"/>
      <c r="E33" s="459"/>
      <c r="F33" s="459"/>
      <c r="G33" s="459"/>
      <c r="H33" s="459"/>
      <c r="I33" s="459"/>
      <c r="J33" s="460"/>
    </row>
    <row r="34" spans="2:10" ht="15.75" x14ac:dyDescent="0.25">
      <c r="B34" s="458" t="s">
        <v>581</v>
      </c>
      <c r="C34" s="459"/>
      <c r="D34" s="459"/>
      <c r="E34" s="459"/>
      <c r="F34" s="459"/>
      <c r="G34" s="459"/>
      <c r="H34" s="459"/>
      <c r="I34" s="459"/>
      <c r="J34" s="460"/>
    </row>
    <row r="35" spans="2:10" x14ac:dyDescent="0.2">
      <c r="B35" s="450"/>
      <c r="C35" s="47"/>
      <c r="D35" s="47"/>
      <c r="E35" s="47"/>
      <c r="F35" s="47"/>
      <c r="G35" s="47"/>
      <c r="H35" s="47"/>
      <c r="I35" s="47"/>
      <c r="J35" s="436"/>
    </row>
    <row r="36" spans="2:10" x14ac:dyDescent="0.2">
      <c r="B36" s="450"/>
      <c r="C36" s="47"/>
      <c r="D36" s="47"/>
      <c r="E36" s="47"/>
      <c r="F36" s="47"/>
      <c r="G36" s="47"/>
      <c r="H36" s="47"/>
      <c r="I36" s="47"/>
      <c r="J36" s="436"/>
    </row>
    <row r="37" spans="2:10" x14ac:dyDescent="0.2">
      <c r="B37" s="450"/>
      <c r="C37" s="47"/>
      <c r="D37" s="47"/>
      <c r="E37" s="47"/>
      <c r="F37" s="47"/>
      <c r="G37" s="47"/>
      <c r="H37" s="47"/>
      <c r="I37" s="47"/>
      <c r="J37" s="436"/>
    </row>
    <row r="38" spans="2:10" x14ac:dyDescent="0.2">
      <c r="B38" s="450"/>
      <c r="C38" s="47"/>
      <c r="D38" s="47"/>
      <c r="E38" s="47"/>
      <c r="F38" s="47"/>
      <c r="G38" s="47"/>
      <c r="H38" s="47"/>
      <c r="I38" s="47"/>
      <c r="J38" s="436"/>
    </row>
    <row r="39" spans="2:10" x14ac:dyDescent="0.2">
      <c r="B39" s="450"/>
      <c r="C39" s="47"/>
      <c r="D39" s="47"/>
      <c r="E39" s="47"/>
      <c r="F39" s="47"/>
      <c r="G39" s="47"/>
      <c r="H39" s="47"/>
      <c r="I39" s="47"/>
      <c r="J39" s="436"/>
    </row>
    <row r="40" spans="2:10" x14ac:dyDescent="0.2">
      <c r="B40" s="450"/>
      <c r="C40" s="47"/>
      <c r="D40" s="47"/>
      <c r="E40" s="47"/>
      <c r="F40" s="47"/>
      <c r="G40" s="47"/>
      <c r="H40" s="47"/>
      <c r="I40" s="47"/>
      <c r="J40" s="436"/>
    </row>
    <row r="41" spans="2:10" x14ac:dyDescent="0.2">
      <c r="B41" s="450"/>
      <c r="C41" s="47"/>
      <c r="D41" s="47"/>
      <c r="E41" s="47"/>
      <c r="F41" s="47"/>
      <c r="G41" s="47"/>
      <c r="H41" s="47"/>
      <c r="I41" s="47"/>
      <c r="J41" s="436"/>
    </row>
    <row r="42" spans="2:10" x14ac:dyDescent="0.2">
      <c r="B42" s="450"/>
      <c r="C42" s="47"/>
      <c r="D42" s="47"/>
      <c r="E42" s="47"/>
      <c r="F42" s="47"/>
      <c r="G42" s="47"/>
      <c r="H42" s="47"/>
      <c r="I42" s="47"/>
      <c r="J42" s="436"/>
    </row>
    <row r="43" spans="2:10" x14ac:dyDescent="0.2">
      <c r="B43" s="450"/>
      <c r="C43" s="47"/>
      <c r="D43" s="47"/>
      <c r="E43" s="47"/>
      <c r="F43" s="47"/>
      <c r="G43" s="47"/>
      <c r="H43" s="47"/>
      <c r="I43" s="47"/>
      <c r="J43" s="436"/>
    </row>
    <row r="44" spans="2:10" x14ac:dyDescent="0.2">
      <c r="B44" s="450"/>
      <c r="C44" s="47"/>
      <c r="D44" s="47"/>
      <c r="E44" s="47"/>
      <c r="F44" s="47"/>
      <c r="G44" s="47"/>
      <c r="H44" s="47"/>
      <c r="I44" s="47"/>
      <c r="J44" s="436"/>
    </row>
    <row r="45" spans="2:10" x14ac:dyDescent="0.2">
      <c r="B45" s="450"/>
      <c r="C45" s="47"/>
      <c r="D45" s="47"/>
      <c r="E45" s="47"/>
      <c r="F45" s="47"/>
      <c r="G45" s="47"/>
      <c r="H45" s="47"/>
      <c r="I45" s="47"/>
      <c r="J45" s="436"/>
    </row>
    <row r="46" spans="2:10" ht="12" thickBot="1" x14ac:dyDescent="0.25">
      <c r="B46" s="451"/>
      <c r="C46" s="447"/>
      <c r="D46" s="447"/>
      <c r="E46" s="447"/>
      <c r="F46" s="447"/>
      <c r="G46" s="447"/>
      <c r="H46" s="447"/>
      <c r="I46" s="447"/>
      <c r="J46" s="452"/>
    </row>
  </sheetData>
  <mergeCells count="3">
    <mergeCell ref="B32:J32"/>
    <mergeCell ref="B33:J33"/>
    <mergeCell ref="B34:J3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>
    <tabColor rgb="FF92D050"/>
  </sheetPr>
  <dimension ref="A1:S69"/>
  <sheetViews>
    <sheetView showGridLines="0" zoomScaleNormal="100" workbookViewId="0">
      <selection activeCell="O27" sqref="O27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9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47</v>
      </c>
      <c r="M1" s="1"/>
    </row>
    <row r="2" spans="1:19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K2"/>
      <c r="L2" s="7" t="s">
        <v>267</v>
      </c>
      <c r="M2" s="2"/>
    </row>
    <row r="3" spans="1:19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9" x14ac:dyDescent="0.2">
      <c r="A4" s="124" t="s">
        <v>268</v>
      </c>
      <c r="C4"/>
      <c r="D4"/>
      <c r="E4"/>
      <c r="F4"/>
      <c r="G4"/>
      <c r="H4"/>
      <c r="I4"/>
      <c r="J4"/>
      <c r="K4"/>
      <c r="L4"/>
      <c r="M4" s="2"/>
    </row>
    <row r="5" spans="1:19" x14ac:dyDescent="0.2">
      <c r="A5" s="138" t="s">
        <v>269</v>
      </c>
      <c r="B5" s="21"/>
      <c r="C5" s="57"/>
      <c r="D5" s="57"/>
      <c r="E5" s="57"/>
      <c r="F5"/>
      <c r="G5"/>
      <c r="H5"/>
      <c r="I5"/>
      <c r="J5"/>
      <c r="K5"/>
      <c r="L5"/>
      <c r="M5" s="2"/>
    </row>
    <row r="6" spans="1:19" x14ac:dyDescent="0.2">
      <c r="A6"/>
      <c r="B6"/>
      <c r="C6"/>
      <c r="D6"/>
      <c r="E6"/>
      <c r="F6"/>
      <c r="G6"/>
      <c r="H6"/>
      <c r="I6"/>
      <c r="J6"/>
      <c r="K6"/>
      <c r="L6"/>
      <c r="M6" s="2"/>
    </row>
    <row r="7" spans="1:19" ht="12" thickBot="1" x14ac:dyDescent="0.25">
      <c r="A7" s="6"/>
      <c r="B7" s="6"/>
      <c r="C7" s="6"/>
      <c r="D7" s="6"/>
      <c r="E7" s="6"/>
      <c r="F7" s="6"/>
      <c r="G7" s="6"/>
      <c r="H7" s="6"/>
      <c r="I7" s="47"/>
      <c r="J7" s="47"/>
      <c r="K7" s="47"/>
      <c r="L7" s="47"/>
      <c r="M7" s="2"/>
    </row>
    <row r="8" spans="1:19" ht="12" thickTop="1" x14ac:dyDescent="0.2">
      <c r="A8"/>
      <c r="B8"/>
      <c r="C8"/>
      <c r="D8"/>
      <c r="E8"/>
      <c r="F8"/>
      <c r="G8"/>
      <c r="H8"/>
      <c r="I8"/>
      <c r="J8" s="47"/>
      <c r="K8" s="47"/>
      <c r="L8" s="47"/>
      <c r="M8" s="2"/>
      <c r="N8" t="s">
        <v>238</v>
      </c>
    </row>
    <row r="9" spans="1:19" x14ac:dyDescent="0.2">
      <c r="A9" t="s">
        <v>270</v>
      </c>
      <c r="B9"/>
      <c r="C9" s="23" t="s">
        <v>183</v>
      </c>
      <c r="D9"/>
      <c r="E9" s="23" t="s">
        <v>184</v>
      </c>
      <c r="F9"/>
      <c r="G9"/>
      <c r="H9"/>
      <c r="I9"/>
      <c r="J9"/>
      <c r="K9"/>
      <c r="L9"/>
      <c r="M9" s="2"/>
      <c r="N9" s="93">
        <v>43830</v>
      </c>
      <c r="O9" t="s">
        <v>274</v>
      </c>
    </row>
    <row r="10" spans="1:19" x14ac:dyDescent="0.2">
      <c r="A10" t="s">
        <v>27</v>
      </c>
      <c r="B10"/>
      <c r="C10" t="s">
        <v>271</v>
      </c>
      <c r="D10" t="s">
        <v>272</v>
      </c>
      <c r="E10" t="s">
        <v>271</v>
      </c>
      <c r="F10" t="s">
        <v>272</v>
      </c>
      <c r="G10" t="s">
        <v>273</v>
      </c>
      <c r="H10" t="s">
        <v>103</v>
      </c>
      <c r="I10"/>
      <c r="J10"/>
      <c r="K10"/>
      <c r="L10"/>
      <c r="M10" s="2"/>
      <c r="O10" s="10" t="s">
        <v>183</v>
      </c>
      <c r="Q10" s="10" t="s">
        <v>184</v>
      </c>
      <c r="S10"/>
    </row>
    <row r="11" spans="1:19" x14ac:dyDescent="0.2">
      <c r="A11" s="9" t="str">
        <f>TEXT($N$9,"m/d/xx")</f>
        <v>12/31/xx</v>
      </c>
      <c r="B11" s="9"/>
      <c r="C11" s="9" t="s">
        <v>275</v>
      </c>
      <c r="D11" s="9" t="s">
        <v>275</v>
      </c>
      <c r="E11" s="9" t="s">
        <v>275</v>
      </c>
      <c r="F11" s="9" t="s">
        <v>275</v>
      </c>
      <c r="G11" s="9" t="s">
        <v>276</v>
      </c>
      <c r="H11" s="9" t="s">
        <v>51</v>
      </c>
      <c r="I11" s="47"/>
      <c r="J11"/>
      <c r="K11"/>
      <c r="L11"/>
      <c r="M11" s="2"/>
      <c r="N11" s="9" t="s">
        <v>265</v>
      </c>
      <c r="O11" s="9" t="s">
        <v>271</v>
      </c>
      <c r="P11" s="9" t="s">
        <v>272</v>
      </c>
      <c r="Q11" s="9" t="s">
        <v>271</v>
      </c>
      <c r="R11" s="9" t="s">
        <v>272</v>
      </c>
      <c r="S11" s="9" t="s">
        <v>277</v>
      </c>
    </row>
    <row r="12" spans="1:19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J12"/>
      <c r="K12"/>
      <c r="L12"/>
      <c r="M12" s="2"/>
    </row>
    <row r="13" spans="1:19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9" x14ac:dyDescent="0.2">
      <c r="A14" s="57" t="str">
        <f t="shared" ref="A14:A22" si="1">TEXT(A15-1,"#")</f>
        <v>2010</v>
      </c>
      <c r="B14" s="54"/>
      <c r="C14" s="34">
        <f>ROUND('3.3b'!$C$53/'3.3b'!$C$17,3)</f>
        <v>1.236</v>
      </c>
      <c r="D14" s="34">
        <f>ROUND('3.3c'!$C$61/'3.3c'!$C$25,3)</f>
        <v>1.25</v>
      </c>
      <c r="E14" s="314">
        <f>ROUND('[5]3.3b'!$C$53/'[5]3.3b'!$C$17,3)</f>
        <v>1.1990000000000001</v>
      </c>
      <c r="F14" s="314">
        <f>ROUND('[5]3.3c'!$C$53/'[5]3.3c'!$C$17,3)</f>
        <v>1.2090000000000001</v>
      </c>
      <c r="G14" s="34">
        <f>ROUND('3.3d'!$C$55/'3.3d'!$C$19,3)</f>
        <v>1.121</v>
      </c>
      <c r="H14" s="34">
        <f>ROUND(SUMPRODUCT(C14:G14,$O14:$S14)/SUMIF(C14:G14,"&gt;0",$O14:$S14),3)</f>
        <v>1.218</v>
      </c>
      <c r="I14" s="34"/>
      <c r="J14"/>
      <c r="K14" s="34"/>
      <c r="M14" s="2"/>
      <c r="N14" s="309">
        <f t="shared" ref="N14:N23" si="2">VALUE(A14)-1900</f>
        <v>110</v>
      </c>
      <c r="O14" s="145">
        <v>0</v>
      </c>
      <c r="P14" s="145">
        <v>0.75</v>
      </c>
      <c r="Q14" s="145">
        <v>0</v>
      </c>
      <c r="R14" s="145">
        <v>0</v>
      </c>
      <c r="S14" s="145">
        <v>0.25</v>
      </c>
    </row>
    <row r="15" spans="1:19" x14ac:dyDescent="0.2">
      <c r="A15" s="57" t="str">
        <f t="shared" si="1"/>
        <v>2011</v>
      </c>
      <c r="B15" s="54"/>
      <c r="C15" s="34">
        <f>ROUND('3.3b'!$C$53/'3.3b'!$C$21,3)</f>
        <v>1.1930000000000001</v>
      </c>
      <c r="D15" s="34">
        <f>ROUND('3.3c'!$C$61/'3.3c'!$C$29,3)</f>
        <v>1.2070000000000001</v>
      </c>
      <c r="E15" s="314">
        <f>ROUND('[5]3.3b'!$C$53/'[5]3.3b'!$C$21,3)</f>
        <v>1.1839999999999999</v>
      </c>
      <c r="F15" s="314">
        <f>ROUND('[5]3.3c'!$C$53/'[5]3.3c'!$C$21,3)</f>
        <v>1.202</v>
      </c>
      <c r="G15" s="34">
        <f>ROUND('3.3d'!$C$55/'3.3d'!$C$23,3)</f>
        <v>1.1040000000000001</v>
      </c>
      <c r="H15" s="34">
        <f t="shared" ref="H15:H23" si="3">ROUND(SUMPRODUCT(C15:G15,$O15:$S15)/SUMIF(C15:G15,"&gt;0",$O15:$S15),3)</f>
        <v>1.181</v>
      </c>
      <c r="I15" s="34"/>
      <c r="J15"/>
      <c r="K15" s="34"/>
      <c r="L15"/>
      <c r="M15" s="2"/>
      <c r="N15" s="309">
        <f t="shared" si="2"/>
        <v>111</v>
      </c>
      <c r="O15" s="145">
        <v>0</v>
      </c>
      <c r="P15" s="145">
        <v>0.75</v>
      </c>
      <c r="Q15" s="145">
        <v>0</v>
      </c>
      <c r="R15" s="145">
        <v>0</v>
      </c>
      <c r="S15" s="145">
        <v>0.25</v>
      </c>
    </row>
    <row r="16" spans="1:19" x14ac:dyDescent="0.2">
      <c r="A16" s="57" t="str">
        <f t="shared" si="1"/>
        <v>2012</v>
      </c>
      <c r="B16" s="54"/>
      <c r="C16" s="34">
        <f>ROUND('3.3b'!$C$53/'3.3b'!$C$25,3)</f>
        <v>1.149</v>
      </c>
      <c r="D16" s="34">
        <f>ROUND('3.3c'!$C$61/'3.3c'!$C$33,3)</f>
        <v>1.155</v>
      </c>
      <c r="E16" s="314">
        <f>ROUND('[5]3.3b'!$C$53/'[5]3.3b'!$C$25,3)</f>
        <v>1.153</v>
      </c>
      <c r="F16" s="314">
        <f>ROUND('[5]3.3c'!$C$53/'[5]3.3c'!$C$25,3)</f>
        <v>1.17</v>
      </c>
      <c r="G16" s="34">
        <f>ROUND('3.3d'!$C$55/'3.3d'!$C$27,3)</f>
        <v>1.083</v>
      </c>
      <c r="H16" s="34">
        <f t="shared" si="3"/>
        <v>1.137</v>
      </c>
      <c r="I16" s="34"/>
      <c r="J16"/>
      <c r="K16" s="34"/>
      <c r="L16"/>
      <c r="M16" s="2"/>
      <c r="N16" s="309">
        <f t="shared" si="2"/>
        <v>112</v>
      </c>
      <c r="O16" s="145">
        <v>0</v>
      </c>
      <c r="P16" s="145">
        <v>0.75</v>
      </c>
      <c r="Q16" s="145">
        <v>0</v>
      </c>
      <c r="R16" s="145">
        <v>0</v>
      </c>
      <c r="S16" s="145">
        <v>0.25</v>
      </c>
    </row>
    <row r="17" spans="1:19" x14ac:dyDescent="0.2">
      <c r="A17" s="57" t="str">
        <f t="shared" si="1"/>
        <v>2013</v>
      </c>
      <c r="B17" s="54"/>
      <c r="C17" s="34">
        <f>ROUND('3.3b'!$C$53/'3.3b'!$C$29,3)</f>
        <v>1.127</v>
      </c>
      <c r="D17" s="34">
        <f>ROUND('3.3c'!$C$61/'3.3c'!$C$37,3)</f>
        <v>1.1299999999999999</v>
      </c>
      <c r="E17" s="314">
        <f>ROUND('[5]3.3b'!$C$53/'[5]3.3b'!$C$29,3)</f>
        <v>1.1200000000000001</v>
      </c>
      <c r="F17" s="314">
        <f>ROUND('[5]3.3c'!$C$53/'[5]3.3c'!$C$29,3)</f>
        <v>1.1359999999999999</v>
      </c>
      <c r="G17" s="34">
        <f>ROUND('3.3d'!$C$55/'3.3d'!$C$31,3)</f>
        <v>1.077</v>
      </c>
      <c r="H17" s="34">
        <f t="shared" si="3"/>
        <v>1.117</v>
      </c>
      <c r="I17" s="34"/>
      <c r="J17"/>
      <c r="K17" s="34"/>
      <c r="L17"/>
      <c r="M17" s="2"/>
      <c r="N17" s="309">
        <f t="shared" si="2"/>
        <v>113</v>
      </c>
      <c r="O17" s="145">
        <v>0</v>
      </c>
      <c r="P17" s="145">
        <v>0.75</v>
      </c>
      <c r="Q17" s="145">
        <v>0</v>
      </c>
      <c r="R17" s="145">
        <v>0</v>
      </c>
      <c r="S17" s="145">
        <v>0.25</v>
      </c>
    </row>
    <row r="18" spans="1:19" x14ac:dyDescent="0.2">
      <c r="A18" s="57" t="str">
        <f t="shared" si="1"/>
        <v>2014</v>
      </c>
      <c r="B18" s="54"/>
      <c r="C18" s="34">
        <f>ROUND('3.3b'!$C$53/'3.3b'!$C$33,3)</f>
        <v>1.0960000000000001</v>
      </c>
      <c r="D18" s="34">
        <f>ROUND('3.3c'!$C$61/'3.3c'!$C$41,3)</f>
        <v>1.093</v>
      </c>
      <c r="E18" s="314">
        <f>ROUND('[5]3.3b'!$C$53/'[5]3.3b'!$C$33,3)</f>
        <v>1.0840000000000001</v>
      </c>
      <c r="F18" s="314">
        <f>ROUND('[5]3.3c'!$C$53/'[5]3.3c'!$C$33,3)</f>
        <v>1.0900000000000001</v>
      </c>
      <c r="G18" s="34">
        <f>ROUND('3.3d'!$C$55/'3.3d'!$C$35,3)</f>
        <v>1.0620000000000001</v>
      </c>
      <c r="H18" s="34">
        <f t="shared" si="3"/>
        <v>1.085</v>
      </c>
      <c r="I18" s="34"/>
      <c r="J18"/>
      <c r="K18" s="34"/>
      <c r="L18"/>
      <c r="M18" s="2"/>
      <c r="N18" s="309">
        <f t="shared" si="2"/>
        <v>114</v>
      </c>
      <c r="O18" s="145">
        <v>0</v>
      </c>
      <c r="P18" s="145">
        <v>0.75</v>
      </c>
      <c r="Q18" s="145">
        <v>0</v>
      </c>
      <c r="R18" s="145">
        <v>0</v>
      </c>
      <c r="S18" s="145">
        <v>0.25</v>
      </c>
    </row>
    <row r="19" spans="1:19" x14ac:dyDescent="0.2">
      <c r="A19" s="57" t="str">
        <f t="shared" si="1"/>
        <v>2015</v>
      </c>
      <c r="B19" s="54"/>
      <c r="C19" s="34">
        <f>ROUND('3.3b'!$C$53/'3.3b'!$C$37,3)</f>
        <v>1.077</v>
      </c>
      <c r="D19" s="34">
        <f>ROUND('3.3c'!$C$61/'3.3c'!$C$45,3)</f>
        <v>1.075</v>
      </c>
      <c r="E19" s="314">
        <f>ROUND('[5]3.3b'!$C$53/'[5]3.3b'!$C$37,3)</f>
        <v>1.0629999999999999</v>
      </c>
      <c r="F19" s="314">
        <f>ROUND('[5]3.3c'!$C$53/'[5]3.3c'!$C$37,3)</f>
        <v>1.073</v>
      </c>
      <c r="G19" s="34">
        <f>ROUND('3.3d'!$C$55/'3.3d'!$C$39,3)</f>
        <v>1.052</v>
      </c>
      <c r="H19" s="34">
        <f t="shared" si="3"/>
        <v>1.069</v>
      </c>
      <c r="I19" s="34"/>
      <c r="J19"/>
      <c r="K19" s="34"/>
      <c r="L19"/>
      <c r="M19" s="2"/>
      <c r="N19" s="309">
        <f t="shared" si="2"/>
        <v>115</v>
      </c>
      <c r="O19" s="145">
        <v>0</v>
      </c>
      <c r="P19" s="145">
        <v>0.75</v>
      </c>
      <c r="Q19" s="145">
        <v>0</v>
      </c>
      <c r="R19" s="145">
        <v>0</v>
      </c>
      <c r="S19" s="145">
        <v>0.25</v>
      </c>
    </row>
    <row r="20" spans="1:19" x14ac:dyDescent="0.2">
      <c r="A20" s="57" t="str">
        <f t="shared" si="1"/>
        <v>2016</v>
      </c>
      <c r="B20" s="54"/>
      <c r="C20" s="34">
        <f>ROUND('3.3b'!$C$53/'3.3b'!$C$41,3)</f>
        <v>1.0820000000000001</v>
      </c>
      <c r="D20" s="34">
        <f>ROUND('3.3c'!$C$61/'3.3c'!$C$49,3)</f>
        <v>1.08</v>
      </c>
      <c r="E20" s="314">
        <f>ROUND('[5]3.3b'!$C$53/'[5]3.3b'!$C$41,3)</f>
        <v>1.0740000000000001</v>
      </c>
      <c r="F20" s="314">
        <f>ROUND('[5]3.3c'!$C$53/'[5]3.3c'!$C$41,3)</f>
        <v>1.085</v>
      </c>
      <c r="G20" s="34">
        <f>ROUND('3.3d'!$C$55/'3.3d'!$C$43,3)</f>
        <v>1.0349999999999999</v>
      </c>
      <c r="H20" s="34">
        <f>ROUND(SUMPRODUCT(C20:G20,$O20:$S20)/SUMIF(C20:G20,"&gt;0",$O20:$S20),3)</f>
        <v>1.069</v>
      </c>
      <c r="I20" s="34"/>
      <c r="J20"/>
      <c r="K20" s="34"/>
      <c r="L20"/>
      <c r="M20" s="2"/>
      <c r="N20" s="309">
        <f t="shared" si="2"/>
        <v>116</v>
      </c>
      <c r="O20" s="145">
        <v>0</v>
      </c>
      <c r="P20" s="145">
        <v>0.75</v>
      </c>
      <c r="Q20" s="145">
        <v>0</v>
      </c>
      <c r="R20" s="145">
        <v>0</v>
      </c>
      <c r="S20" s="145">
        <v>0.25</v>
      </c>
    </row>
    <row r="21" spans="1:19" x14ac:dyDescent="0.2">
      <c r="A21" s="57" t="str">
        <f t="shared" si="1"/>
        <v>2017</v>
      </c>
      <c r="B21" s="54"/>
      <c r="C21" s="34">
        <f>ROUND('3.3b'!$C$53/'3.3b'!$C$45,3)</f>
        <v>1.0569999999999999</v>
      </c>
      <c r="D21" s="34">
        <f>ROUND('3.3c'!$C$61/'3.3c'!$C$53,3)</f>
        <v>1.06</v>
      </c>
      <c r="E21" s="314">
        <f>ROUND('[5]3.3b'!$C$53/'[5]3.3b'!$C$45,3)</f>
        <v>1.052</v>
      </c>
      <c r="F21" s="314">
        <f>ROUND('[5]3.3c'!$C$53/'[5]3.3c'!$C$45,3)</f>
        <v>1.0609999999999999</v>
      </c>
      <c r="G21" s="34">
        <f>ROUND('3.3d'!$C$55/'3.3d'!$C$47,3)</f>
        <v>1.032</v>
      </c>
      <c r="H21" s="34">
        <f t="shared" si="3"/>
        <v>1.0529999999999999</v>
      </c>
      <c r="I21" s="34"/>
      <c r="J21"/>
      <c r="K21" s="34"/>
      <c r="L21"/>
      <c r="M21" s="2"/>
      <c r="N21" s="309">
        <f t="shared" si="2"/>
        <v>117</v>
      </c>
      <c r="O21" s="145">
        <v>0</v>
      </c>
      <c r="P21" s="145">
        <v>0.75</v>
      </c>
      <c r="Q21" s="145">
        <v>0</v>
      </c>
      <c r="R21" s="145">
        <v>0</v>
      </c>
      <c r="S21" s="145">
        <v>0.25</v>
      </c>
    </row>
    <row r="22" spans="1:19" x14ac:dyDescent="0.2">
      <c r="A22" s="57" t="str">
        <f t="shared" si="1"/>
        <v>2018</v>
      </c>
      <c r="B22" s="54"/>
      <c r="C22" s="34">
        <f>ROUND('3.3b'!$C$53/'3.3b'!$C$49,3)</f>
        <v>1.0149999999999999</v>
      </c>
      <c r="D22" s="34">
        <f>ROUND('3.3c'!$C$61/'3.3c'!$C$57,3)</f>
        <v>1.018</v>
      </c>
      <c r="E22" s="314">
        <f>ROUND('[5]3.3b'!$C$53/'[5]3.3b'!$C$49,3)</f>
        <v>1.0109999999999999</v>
      </c>
      <c r="F22" s="314">
        <f>ROUND('[5]3.3c'!$C$53/'[5]3.3c'!$C$49,3)</f>
        <v>1.0149999999999999</v>
      </c>
      <c r="G22" s="34">
        <f>ROUND('3.3d'!$C$55/'3.3d'!$C$51,3)</f>
        <v>1.0209999999999999</v>
      </c>
      <c r="H22" s="34">
        <f>ROUND(SUMPRODUCT(C22:G22,$O22:$S22)/SUMIF(C22:G22,"&gt;0",$O22:$S22),3)</f>
        <v>1.0189999999999999</v>
      </c>
      <c r="I22" s="34"/>
      <c r="J22"/>
      <c r="K22" s="34"/>
      <c r="L22"/>
      <c r="M22" s="2"/>
      <c r="N22" s="309">
        <f t="shared" si="2"/>
        <v>118</v>
      </c>
      <c r="O22" s="145">
        <v>0</v>
      </c>
      <c r="P22" s="145">
        <v>0.75</v>
      </c>
      <c r="Q22" s="145">
        <v>0</v>
      </c>
      <c r="R22" s="145">
        <v>0</v>
      </c>
      <c r="S22" s="145">
        <v>0.25</v>
      </c>
    </row>
    <row r="23" spans="1:19" x14ac:dyDescent="0.2">
      <c r="A23" s="57" t="str">
        <f>TEXT(YEAR($N$9),"#")</f>
        <v>2019</v>
      </c>
      <c r="B23" s="54"/>
      <c r="C23" s="34">
        <f>ROUND('3.3b'!$C$53/'3.3b'!$C$53,3)</f>
        <v>1</v>
      </c>
      <c r="D23" s="34">
        <f>ROUND('3.3c'!$C$61/'3.3c'!$C$61,3)</f>
        <v>1</v>
      </c>
      <c r="E23" s="314">
        <f>ROUND('[5]3.3b'!$C$53/'[5]3.3b'!$C$53,3)</f>
        <v>1</v>
      </c>
      <c r="F23" s="314">
        <f>ROUND('[5]3.3c'!$C$53/'[5]3.3c'!$C$53,3)</f>
        <v>1</v>
      </c>
      <c r="G23" s="34">
        <f>ROUND('3.3d'!$C$55/'3.3d'!$C$55,3)</f>
        <v>1</v>
      </c>
      <c r="H23" s="34">
        <f t="shared" si="3"/>
        <v>1</v>
      </c>
      <c r="I23" s="34"/>
      <c r="J23"/>
      <c r="K23" s="34"/>
      <c r="L23"/>
      <c r="M23" s="2"/>
      <c r="N23" s="309">
        <f t="shared" si="2"/>
        <v>119</v>
      </c>
      <c r="O23" s="145">
        <v>0</v>
      </c>
      <c r="P23" s="145">
        <v>0.75</v>
      </c>
      <c r="Q23" s="145">
        <v>0</v>
      </c>
      <c r="R23" s="145">
        <v>0</v>
      </c>
      <c r="S23" s="145">
        <v>0.25</v>
      </c>
    </row>
    <row r="24" spans="1:19" x14ac:dyDescent="0.2">
      <c r="A24" s="136"/>
      <c r="B24" s="55"/>
      <c r="C24" s="35"/>
      <c r="D24" s="35"/>
      <c r="E24" s="213"/>
      <c r="F24" s="213"/>
      <c r="G24" s="35"/>
      <c r="H24" s="35"/>
      <c r="I24"/>
      <c r="J24"/>
      <c r="K24"/>
      <c r="L24"/>
      <c r="M24" s="2"/>
      <c r="S24"/>
    </row>
    <row r="25" spans="1:19" x14ac:dyDescent="0.2">
      <c r="A25" s="47"/>
      <c r="B25" s="47"/>
      <c r="C25" s="56"/>
      <c r="D25" s="47"/>
      <c r="E25" s="56"/>
      <c r="F25" s="47"/>
      <c r="G25" s="47"/>
      <c r="H25" s="47"/>
      <c r="I25" s="47"/>
      <c r="J25"/>
      <c r="K25"/>
      <c r="L25"/>
      <c r="M25" s="2"/>
      <c r="S25"/>
    </row>
    <row r="26" spans="1:19" x14ac:dyDescent="0.2">
      <c r="A26" s="12" t="s">
        <v>278</v>
      </c>
      <c r="J26"/>
      <c r="K26"/>
      <c r="L26"/>
      <c r="M26" s="2"/>
    </row>
    <row r="27" spans="1:19" x14ac:dyDescent="0.2">
      <c r="B27"/>
      <c r="C27" s="125"/>
      <c r="D27" s="125"/>
      <c r="E27" s="125"/>
      <c r="F27" s="125"/>
      <c r="G27" s="125"/>
      <c r="H27" s="126"/>
      <c r="I27" s="126"/>
      <c r="J27"/>
      <c r="K27"/>
      <c r="L27"/>
      <c r="M27" s="2"/>
    </row>
    <row r="28" spans="1:19" x14ac:dyDescent="0.2">
      <c r="A28" s="121" t="s">
        <v>92</v>
      </c>
      <c r="B28" t="s">
        <v>279</v>
      </c>
      <c r="C28" s="79">
        <f>'3.3b'!$E$56</f>
        <v>1.995184495046165E-2</v>
      </c>
      <c r="D28" s="79">
        <f>'3.3c'!$E$64</f>
        <v>1.9116858266878589E-2</v>
      </c>
      <c r="E28" s="315">
        <f>'[5]3.3b'!$G$56</f>
        <v>1.7267127372917468E-2</v>
      </c>
      <c r="F28" s="315">
        <f>'[5]3.3c'!$G$56</f>
        <v>1.936373707030703E-2</v>
      </c>
      <c r="G28" s="79">
        <f>'3.3d'!$G$58</f>
        <v>1.09126144728946E-2</v>
      </c>
      <c r="H28" s="79">
        <f>ROUND(SUMPRODUCT(C28:G28,$O28:$S28)/SUMIF(C28:G28,"&gt;0",$O28:$S28),3)</f>
        <v>1.7000000000000001E-2</v>
      </c>
      <c r="I28" s="79"/>
      <c r="J28"/>
      <c r="K28"/>
      <c r="L28"/>
      <c r="M28" s="2"/>
      <c r="O28" s="145">
        <v>0</v>
      </c>
      <c r="P28" s="145">
        <v>0.75</v>
      </c>
      <c r="Q28" s="145">
        <v>0</v>
      </c>
      <c r="R28" s="145">
        <v>0</v>
      </c>
      <c r="S28" s="145">
        <v>0.25</v>
      </c>
    </row>
    <row r="29" spans="1:19" x14ac:dyDescent="0.2">
      <c r="A29" s="127"/>
      <c r="B29" s="128"/>
      <c r="C29" s="47"/>
      <c r="D29" s="47"/>
      <c r="E29" s="47"/>
      <c r="F29" s="47"/>
      <c r="G29" s="47"/>
      <c r="H29" s="28"/>
      <c r="I29" s="28"/>
      <c r="J29" s="47"/>
      <c r="K29" s="47"/>
      <c r="L29" s="47"/>
      <c r="M29" s="2"/>
    </row>
    <row r="30" spans="1:19" x14ac:dyDescent="0.2">
      <c r="A30" s="121" t="s">
        <v>91</v>
      </c>
      <c r="B30" s="128" t="s">
        <v>281</v>
      </c>
      <c r="C30" s="120">
        <f>ROUND((1+C28)^$N$32,3)</f>
        <v>1.0509999999999999</v>
      </c>
      <c r="D30" s="120">
        <f t="shared" ref="D30:H30" si="4">ROUND((1+D28)^$N$32,3)</f>
        <v>1.048</v>
      </c>
      <c r="E30" s="120">
        <f t="shared" si="4"/>
        <v>1.044</v>
      </c>
      <c r="F30" s="120">
        <f t="shared" si="4"/>
        <v>1.0489999999999999</v>
      </c>
      <c r="G30" s="120">
        <f t="shared" si="4"/>
        <v>1.028</v>
      </c>
      <c r="H30" s="120">
        <f t="shared" si="4"/>
        <v>1.0429999999999999</v>
      </c>
      <c r="I30" s="120"/>
      <c r="J30" s="47"/>
      <c r="K30" s="47"/>
      <c r="L30" s="47"/>
      <c r="M30" s="2"/>
      <c r="O30" s="12" t="s">
        <v>280</v>
      </c>
    </row>
    <row r="31" spans="1:19" ht="12" thickBot="1" x14ac:dyDescent="0.25">
      <c r="A31" s="6"/>
      <c r="B31" s="6"/>
      <c r="C31" s="6"/>
      <c r="D31" s="6"/>
      <c r="E31" s="6"/>
      <c r="F31" s="6"/>
      <c r="G31" s="6"/>
      <c r="H31" s="6"/>
      <c r="I31" s="47"/>
      <c r="J31" s="47"/>
      <c r="K31" s="47"/>
      <c r="L31" s="47"/>
      <c r="M31" s="2"/>
      <c r="N31" s="12" t="s">
        <v>258</v>
      </c>
      <c r="O31" s="12" t="s">
        <v>215</v>
      </c>
      <c r="P31" s="12" t="s">
        <v>260</v>
      </c>
    </row>
    <row r="32" spans="1:19" ht="12" thickTop="1" x14ac:dyDescent="0.2">
      <c r="A32"/>
      <c r="B32"/>
      <c r="C32"/>
      <c r="D32"/>
      <c r="E32"/>
      <c r="F32"/>
      <c r="G32"/>
      <c r="H32"/>
      <c r="I32"/>
      <c r="J32" s="47"/>
      <c r="K32" s="47"/>
      <c r="L32" s="47"/>
      <c r="M32" s="2"/>
      <c r="N32" s="212">
        <f>YEAR(P32)-YEAR(O32)+(MONTH(P32)-MONTH(O32))/12</f>
        <v>2.5</v>
      </c>
      <c r="O32" s="95">
        <f>DATE(YEAR(N9+1),MONTH(N9+1)-6,1)</f>
        <v>43647</v>
      </c>
      <c r="P32" s="95">
        <f>'2.4'!I15</f>
        <v>44562</v>
      </c>
      <c r="Q32" s="95"/>
      <c r="R32" s="95"/>
    </row>
    <row r="33" spans="1:19" x14ac:dyDescent="0.2">
      <c r="A33" t="s">
        <v>18</v>
      </c>
      <c r="B33"/>
      <c r="C33"/>
      <c r="D33"/>
      <c r="E33"/>
      <c r="F33"/>
      <c r="G33"/>
      <c r="H33"/>
      <c r="I33"/>
      <c r="J33"/>
      <c r="K33"/>
      <c r="L33"/>
      <c r="M33" s="2"/>
    </row>
    <row r="34" spans="1:19" x14ac:dyDescent="0.2">
      <c r="A34"/>
      <c r="B34" s="21" t="str">
        <f>C12&amp;" = "&amp;'3.3b'!$L$1&amp;", "&amp;'3.3b'!$L$2&amp;" trended forward to "&amp;TEXT($N$9,"m/d/yyyy")</f>
        <v>(2) = Exhibit 3, Sheet 3b trended forward to 12/31/2019</v>
      </c>
      <c r="F34"/>
      <c r="G34"/>
      <c r="K34"/>
      <c r="L34"/>
      <c r="M34" s="2"/>
    </row>
    <row r="35" spans="1:19" x14ac:dyDescent="0.2">
      <c r="A35"/>
      <c r="B35" s="21" t="str">
        <f>D12&amp;" = "&amp;'3.3c'!$L$1&amp;", "&amp;'3.3c'!$L$2&amp;" trended forward to "&amp;TEXT($N$9,"m/d/yyyy")</f>
        <v>(3) = Exhibit 3, Sheet 3c trended forward to 12/31/2019</v>
      </c>
      <c r="C35"/>
      <c r="E35"/>
      <c r="F35"/>
      <c r="H35"/>
      <c r="I35"/>
      <c r="J35"/>
      <c r="K35"/>
      <c r="L35"/>
      <c r="M35" s="2"/>
    </row>
    <row r="36" spans="1:19" x14ac:dyDescent="0.2">
      <c r="A36"/>
      <c r="B36" s="204" t="str">
        <f>E12&amp;" = Residential "&amp;'[5]3.3b'!$L$1&amp;", "&amp;'[5]3.3b'!$L$2&amp;" trended forward to "&amp;TEXT($N$9,"m/d/yyyy")</f>
        <v>(4) = Residential Exhibit 3, Sheet 3b trended forward to 12/31/2019</v>
      </c>
      <c r="C36" s="21"/>
      <c r="D36" s="57"/>
      <c r="E36" s="57"/>
      <c r="F36" s="57"/>
      <c r="H36"/>
      <c r="I36"/>
      <c r="J36"/>
      <c r="K36"/>
      <c r="L36"/>
      <c r="M36" s="2"/>
    </row>
    <row r="37" spans="1:19" x14ac:dyDescent="0.2">
      <c r="A37"/>
      <c r="B37" s="204" t="str">
        <f>F12&amp;" = Residential "&amp;'[6]3.3c'!$L$1&amp;", "&amp;'[5]3.3c'!$L$2&amp;" trended forward to "&amp;TEXT($N$9,"m/d/yyyy")</f>
        <v>(5) = Residential Exhibit 3, Sheet 3c trended forward to 12/31/2019</v>
      </c>
      <c r="C37" s="57"/>
      <c r="D37" s="57"/>
      <c r="E37" s="57"/>
      <c r="F37" s="57"/>
      <c r="H37"/>
      <c r="I37"/>
      <c r="J37"/>
      <c r="K37"/>
      <c r="L37"/>
      <c r="M37" s="2"/>
    </row>
    <row r="38" spans="1:19" x14ac:dyDescent="0.2">
      <c r="B38" s="21" t="str">
        <f>G12&amp;" = "&amp;'3.3d'!$L$1&amp;", "&amp;'3.3d'!$L$2</f>
        <v>(6) = Exhibit 3, Sheet 3d</v>
      </c>
      <c r="L38"/>
      <c r="M38" s="2"/>
    </row>
    <row r="39" spans="1:19" x14ac:dyDescent="0.2">
      <c r="A39" s="129"/>
      <c r="B39" s="21" t="str">
        <f>H12&amp;" = 25% "&amp;G11&amp;" and 75% "&amp;D11&amp;" (most appropriate available by year)"</f>
        <v>(7) = 25% CPI and 75% Boeckh (most appropriate available by year)</v>
      </c>
      <c r="C39" s="89"/>
      <c r="D39" s="119"/>
      <c r="E39" s="119"/>
      <c r="F39" s="34"/>
      <c r="G39" s="120"/>
      <c r="H39" s="46"/>
      <c r="I39" s="46"/>
      <c r="J39" s="46"/>
      <c r="K39" s="61"/>
      <c r="L39" s="61"/>
      <c r="M39" s="2"/>
    </row>
    <row r="40" spans="1:19" x14ac:dyDescent="0.2">
      <c r="A40" s="129"/>
      <c r="B40" s="12" t="str">
        <f>A28&amp;" = "&amp;C12&amp;" - "&amp;H12&amp;" fitted to an exponential curve using 5 years' data (where available)"</f>
        <v>(8) = (2) - (7) fitted to an exponential curve using 5 years' data (where available)</v>
      </c>
      <c r="C40" s="89"/>
      <c r="D40" s="119"/>
      <c r="E40" s="119"/>
      <c r="F40" s="28"/>
      <c r="G40" s="120"/>
      <c r="H40" s="46"/>
      <c r="I40" s="46"/>
      <c r="J40" s="46"/>
      <c r="K40" s="61"/>
      <c r="L40" s="61"/>
      <c r="M40" s="2"/>
    </row>
    <row r="41" spans="1:19" x14ac:dyDescent="0.2">
      <c r="A41" s="130"/>
      <c r="B41" s="128" t="str">
        <f>A30&amp;" = [1 + "&amp;A28&amp;"] ^ "&amp;$N$32&amp;" (trended from "&amp;TEXT($O$32,"m/d/yyyy")&amp;" to "&amp;TEXT($P$32,"m/d/yyyy")&amp;")"</f>
        <v>(9) = [1 + (8)] ^ 2.5 (trended from 7/1/2019 to 1/1/2022)</v>
      </c>
      <c r="C41" s="89"/>
      <c r="D41" s="119"/>
      <c r="E41" s="119"/>
      <c r="F41" s="28"/>
      <c r="G41" s="120"/>
      <c r="H41" s="46"/>
      <c r="I41" s="46"/>
      <c r="J41" s="46"/>
      <c r="K41" s="61"/>
      <c r="L41" s="61"/>
      <c r="M41" s="2"/>
    </row>
    <row r="42" spans="1:19" x14ac:dyDescent="0.2">
      <c r="A42" s="130"/>
      <c r="B42" s="128"/>
      <c r="C42" s="89"/>
      <c r="D42" s="119"/>
      <c r="E42" s="119"/>
      <c r="F42" s="28"/>
      <c r="G42" s="120"/>
      <c r="H42" s="46"/>
      <c r="I42" s="46"/>
      <c r="J42" s="46"/>
      <c r="K42" s="61"/>
      <c r="L42" s="61"/>
      <c r="M42" s="2"/>
    </row>
    <row r="43" spans="1:19" x14ac:dyDescent="0.2">
      <c r="A43" s="47"/>
      <c r="B43" s="47"/>
      <c r="C43" s="61"/>
      <c r="D43" s="61"/>
      <c r="E43" s="61"/>
      <c r="F43" s="61"/>
      <c r="G43"/>
      <c r="H43"/>
      <c r="I43"/>
      <c r="J43"/>
      <c r="K43"/>
      <c r="L43"/>
      <c r="M43" s="2"/>
      <c r="S43"/>
    </row>
    <row r="44" spans="1:19" x14ac:dyDescent="0.2">
      <c r="A44" s="130"/>
      <c r="B44" s="128"/>
      <c r="C44" s="89"/>
      <c r="D44" s="119"/>
      <c r="E44" s="119"/>
      <c r="F44" s="28"/>
      <c r="G44" s="120"/>
      <c r="H44" s="46"/>
      <c r="I44" s="46"/>
      <c r="J44" s="46"/>
      <c r="K44" s="61"/>
      <c r="L44" s="61"/>
      <c r="M44" s="2"/>
    </row>
    <row r="45" spans="1:19" x14ac:dyDescent="0.2">
      <c r="A45" s="47"/>
      <c r="B45" s="48"/>
      <c r="C45" s="89"/>
      <c r="D45" s="119"/>
      <c r="E45" s="119"/>
      <c r="F45" s="28"/>
      <c r="G45" s="120"/>
      <c r="H45" s="46"/>
      <c r="I45" s="46"/>
      <c r="J45" s="46"/>
      <c r="K45" s="61"/>
      <c r="L45" s="61"/>
      <c r="M45" s="2"/>
    </row>
    <row r="46" spans="1:19" x14ac:dyDescent="0.2">
      <c r="A46"/>
      <c r="B46" s="21"/>
      <c r="C46"/>
      <c r="D46"/>
      <c r="E46"/>
      <c r="F46"/>
      <c r="G46"/>
      <c r="H46"/>
      <c r="I46"/>
      <c r="J46"/>
      <c r="L46"/>
      <c r="M46" s="2"/>
    </row>
    <row r="47" spans="1:19" x14ac:dyDescent="0.2">
      <c r="A47"/>
      <c r="B47" s="21"/>
      <c r="C47"/>
      <c r="D47"/>
      <c r="E47"/>
      <c r="F47"/>
      <c r="H47"/>
      <c r="I47"/>
      <c r="J47"/>
      <c r="K47"/>
      <c r="L47"/>
      <c r="M47" s="2"/>
    </row>
    <row r="48" spans="1:19" x14ac:dyDescent="0.2">
      <c r="A48" s="47"/>
      <c r="B48" s="21"/>
      <c r="C48" s="89"/>
      <c r="D48" s="119"/>
      <c r="E48" s="119"/>
      <c r="F48" s="120"/>
      <c r="G48" s="120"/>
      <c r="H48" s="46"/>
      <c r="I48" s="46"/>
      <c r="J48" s="46"/>
      <c r="K48" s="61"/>
      <c r="L48" s="61"/>
      <c r="M48" s="2"/>
    </row>
    <row r="49" spans="1:13" x14ac:dyDescent="0.2">
      <c r="A49" s="47"/>
      <c r="B49" s="21"/>
      <c r="C49" s="89"/>
      <c r="D49" s="119"/>
      <c r="E49" s="119"/>
      <c r="F49" s="120"/>
      <c r="G49" s="120"/>
      <c r="H49" s="46"/>
      <c r="I49" s="46"/>
      <c r="J49" s="46"/>
      <c r="K49" s="61"/>
      <c r="L49" s="61"/>
      <c r="M49" s="2"/>
    </row>
    <row r="50" spans="1:13" x14ac:dyDescent="0.2">
      <c r="A50" s="47"/>
      <c r="B50" s="21"/>
      <c r="C50" s="89"/>
      <c r="D50" s="119"/>
      <c r="E50" s="119"/>
      <c r="F50" s="120"/>
      <c r="G50" s="120"/>
      <c r="H50" s="46"/>
      <c r="I50" s="46"/>
      <c r="J50" s="46"/>
      <c r="K50" s="61"/>
      <c r="L50" s="61"/>
      <c r="M50" s="2"/>
    </row>
    <row r="51" spans="1:13" x14ac:dyDescent="0.2">
      <c r="A51" s="47"/>
      <c r="B51" s="21"/>
      <c r="C51" s="56"/>
      <c r="D51" s="47"/>
      <c r="E51" s="47"/>
      <c r="F51" s="47"/>
      <c r="G51" s="56"/>
      <c r="H51" s="56"/>
      <c r="I51" s="56"/>
      <c r="J51" s="56"/>
      <c r="K51" s="56"/>
      <c r="L51" s="47"/>
      <c r="M51" s="2"/>
    </row>
    <row r="52" spans="1:13" x14ac:dyDescent="0.2">
      <c r="A52" s="47"/>
      <c r="C52" s="56"/>
      <c r="D52" s="56"/>
      <c r="E52" s="47"/>
      <c r="F52" s="56"/>
      <c r="G52" s="56"/>
      <c r="H52" s="56"/>
      <c r="I52" s="56"/>
      <c r="J52" s="56"/>
      <c r="K52" s="61"/>
      <c r="L52"/>
      <c r="M52" s="2"/>
    </row>
    <row r="53" spans="1:13" x14ac:dyDescent="0.2">
      <c r="A53" s="129"/>
      <c r="B53" s="128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2"/>
    </row>
    <row r="54" spans="1:13" x14ac:dyDescent="0.2">
      <c r="F54"/>
      <c r="M54" s="2"/>
    </row>
    <row r="55" spans="1:13" x14ac:dyDescent="0.2">
      <c r="F55"/>
      <c r="M55" s="2"/>
    </row>
    <row r="56" spans="1:13" x14ac:dyDescent="0.2">
      <c r="F56"/>
      <c r="M56" s="2"/>
    </row>
    <row r="57" spans="1:13" x14ac:dyDescent="0.2">
      <c r="F57"/>
      <c r="M57" s="2"/>
    </row>
    <row r="58" spans="1:13" x14ac:dyDescent="0.2">
      <c r="F58"/>
      <c r="M58" s="2"/>
    </row>
    <row r="59" spans="1:13" x14ac:dyDescent="0.2">
      <c r="F59"/>
      <c r="M59" s="2"/>
    </row>
    <row r="60" spans="1:13" x14ac:dyDescent="0.2">
      <c r="F60"/>
      <c r="M60" s="2"/>
    </row>
    <row r="61" spans="1:13" x14ac:dyDescent="0.2">
      <c r="F61"/>
      <c r="M61" s="2"/>
    </row>
    <row r="62" spans="1:13" x14ac:dyDescent="0.2">
      <c r="F62"/>
      <c r="M62" s="2"/>
    </row>
    <row r="63" spans="1:13" x14ac:dyDescent="0.2">
      <c r="F63"/>
      <c r="M63" s="2"/>
    </row>
    <row r="64" spans="1:13" x14ac:dyDescent="0.2">
      <c r="F64"/>
      <c r="M64" s="2"/>
    </row>
    <row r="65" spans="1:13" x14ac:dyDescent="0.2">
      <c r="M65" s="2"/>
    </row>
    <row r="66" spans="1:13" x14ac:dyDescent="0.2">
      <c r="M66" s="2"/>
    </row>
    <row r="67" spans="1:13" x14ac:dyDescent="0.2">
      <c r="M67" s="2"/>
    </row>
    <row r="68" spans="1:13" ht="12" thickBot="1" x14ac:dyDescent="0.25"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8">
    <tabColor rgb="FF92D050"/>
  </sheetPr>
  <dimension ref="A1:N69"/>
  <sheetViews>
    <sheetView showGridLines="0" zoomScaleNormal="100" workbookViewId="0">
      <selection activeCell="F40" sqref="F40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4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47</v>
      </c>
      <c r="M1" s="1"/>
    </row>
    <row r="2" spans="1:14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K2"/>
      <c r="L2" s="7" t="s">
        <v>282</v>
      </c>
      <c r="M2" s="2"/>
    </row>
    <row r="3" spans="1:14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4" x14ac:dyDescent="0.2">
      <c r="A4" s="124" t="s">
        <v>268</v>
      </c>
      <c r="C4"/>
      <c r="D4"/>
      <c r="E4"/>
      <c r="F4"/>
      <c r="G4"/>
      <c r="H4"/>
      <c r="I4"/>
      <c r="J4"/>
      <c r="K4"/>
      <c r="L4"/>
      <c r="M4" s="2"/>
    </row>
    <row r="5" spans="1:14" x14ac:dyDescent="0.2">
      <c r="A5" s="138" t="s">
        <v>313</v>
      </c>
      <c r="B5" s="21"/>
      <c r="C5" s="57"/>
      <c r="D5" s="57"/>
      <c r="E5" s="57"/>
      <c r="F5"/>
      <c r="G5"/>
      <c r="H5"/>
      <c r="I5"/>
      <c r="J5"/>
      <c r="K5"/>
      <c r="L5"/>
      <c r="M5" s="2"/>
    </row>
    <row r="6" spans="1:14" x14ac:dyDescent="0.2">
      <c r="A6" s="21"/>
      <c r="B6" s="57"/>
      <c r="C6" s="57"/>
      <c r="D6" s="57"/>
      <c r="E6" s="57"/>
      <c r="F6"/>
      <c r="G6"/>
      <c r="H6"/>
      <c r="I6"/>
      <c r="J6"/>
      <c r="K6"/>
      <c r="L6"/>
      <c r="M6" s="2"/>
    </row>
    <row r="7" spans="1:14" ht="12" thickBot="1" x14ac:dyDescent="0.25">
      <c r="A7" s="139"/>
      <c r="B7" s="139"/>
      <c r="C7" s="139"/>
      <c r="D7" s="139"/>
      <c r="E7" s="139"/>
      <c r="F7"/>
      <c r="G7"/>
      <c r="H7"/>
      <c r="I7"/>
      <c r="J7"/>
      <c r="K7"/>
      <c r="L7"/>
      <c r="M7" s="2"/>
    </row>
    <row r="8" spans="1:14" ht="12" thickTop="1" x14ac:dyDescent="0.2">
      <c r="A8" s="57"/>
      <c r="B8" s="57"/>
      <c r="C8" s="57"/>
      <c r="D8" s="57"/>
      <c r="E8" s="57"/>
      <c r="F8"/>
      <c r="G8"/>
      <c r="H8"/>
      <c r="I8"/>
      <c r="J8"/>
      <c r="K8"/>
      <c r="L8"/>
      <c r="M8" s="2"/>
      <c r="N8" t="s">
        <v>283</v>
      </c>
    </row>
    <row r="9" spans="1:14" x14ac:dyDescent="0.2">
      <c r="A9" s="57"/>
      <c r="B9" s="57"/>
      <c r="C9" s="21" t="s">
        <v>284</v>
      </c>
      <c r="D9" s="23" t="s">
        <v>285</v>
      </c>
      <c r="E9" s="57"/>
      <c r="F9"/>
      <c r="G9"/>
      <c r="H9"/>
      <c r="I9"/>
      <c r="J9"/>
      <c r="K9"/>
      <c r="L9"/>
      <c r="M9" s="2"/>
      <c r="N9" s="102">
        <v>43830</v>
      </c>
    </row>
    <row r="10" spans="1:14" x14ac:dyDescent="0.2">
      <c r="A10" s="57" t="s">
        <v>270</v>
      </c>
      <c r="B10" s="57"/>
      <c r="C10" s="57" t="s">
        <v>271</v>
      </c>
      <c r="D10" s="57" t="s">
        <v>286</v>
      </c>
      <c r="E10" s="57"/>
      <c r="F10"/>
      <c r="G10"/>
      <c r="H10"/>
      <c r="I10"/>
      <c r="J10"/>
      <c r="K10"/>
      <c r="L10"/>
      <c r="M10" s="2"/>
    </row>
    <row r="11" spans="1:14" x14ac:dyDescent="0.2">
      <c r="A11" s="136" t="s">
        <v>27</v>
      </c>
      <c r="B11" s="136"/>
      <c r="C11" s="136" t="s">
        <v>265</v>
      </c>
      <c r="D11" s="136" t="s">
        <v>290</v>
      </c>
      <c r="E11" s="136" t="s">
        <v>291</v>
      </c>
      <c r="F11"/>
      <c r="G11"/>
      <c r="H11"/>
      <c r="I11"/>
      <c r="J11"/>
      <c r="K11"/>
      <c r="L11"/>
      <c r="M11" s="2"/>
      <c r="N11" s="9" t="s">
        <v>265</v>
      </c>
    </row>
    <row r="12" spans="1:14" x14ac:dyDescent="0.2">
      <c r="A12" s="140" t="str">
        <f>TEXT(COLUMN(),"(#)")</f>
        <v>(1)</v>
      </c>
      <c r="B12" s="140"/>
      <c r="C12" s="141" t="str">
        <f>TEXT(COLUMN()-1,"(#)")</f>
        <v>(2)</v>
      </c>
      <c r="D12" s="141" t="str">
        <f>TEXT(COLUMN()-1,"(#)")</f>
        <v>(3)</v>
      </c>
      <c r="E12" s="141" t="str">
        <f>TEXT(COLUMN()-1,"(#)")</f>
        <v>(4)</v>
      </c>
      <c r="F12"/>
      <c r="G12"/>
      <c r="H12"/>
      <c r="I12"/>
      <c r="J12"/>
      <c r="K12"/>
      <c r="L12"/>
      <c r="M12" s="2"/>
    </row>
    <row r="13" spans="1:14" x14ac:dyDescent="0.2">
      <c r="A13" s="57"/>
      <c r="B13" s="57"/>
      <c r="C13" s="57"/>
      <c r="D13" s="57"/>
      <c r="E13" s="57"/>
      <c r="F13"/>
      <c r="G13"/>
      <c r="H13"/>
      <c r="I13"/>
      <c r="J13"/>
      <c r="K13"/>
      <c r="L13"/>
      <c r="M13" s="2"/>
    </row>
    <row r="14" spans="1:14" x14ac:dyDescent="0.2">
      <c r="A14" s="21" t="str">
        <f t="shared" ref="A14:A52" si="0">TEXT(DATE(YEAR(A15+1),MONTH(A15+1)-3,1)-1,"m/d/yyyy")</f>
        <v>3/31/2010</v>
      </c>
      <c r="B14" s="54"/>
      <c r="C14" s="313">
        <f>'[3]Boeckh (C)'!D26</f>
        <v>2174.0482258723955</v>
      </c>
      <c r="D14" s="133"/>
      <c r="E14" s="133"/>
      <c r="F14"/>
      <c r="G14"/>
      <c r="H14"/>
      <c r="I14"/>
      <c r="J14"/>
      <c r="K14"/>
      <c r="L14"/>
      <c r="M14" s="2"/>
      <c r="N14" s="12">
        <f t="shared" ref="N14:N53" si="1">YEAR(A14)+MONTH(A14)/12</f>
        <v>2010.25</v>
      </c>
    </row>
    <row r="15" spans="1:14" x14ac:dyDescent="0.2">
      <c r="A15" s="21" t="str">
        <f t="shared" si="0"/>
        <v>6/30/2010</v>
      </c>
      <c r="B15" s="54"/>
      <c r="C15" s="313">
        <f>'[3]Boeckh (C)'!D27</f>
        <v>2151.7292266015625</v>
      </c>
      <c r="D15" s="133"/>
      <c r="E15" s="133"/>
      <c r="F15"/>
      <c r="G15"/>
      <c r="H15"/>
      <c r="I15"/>
      <c r="J15"/>
      <c r="K15"/>
      <c r="L15"/>
      <c r="M15" s="2"/>
      <c r="N15" s="12">
        <f t="shared" si="1"/>
        <v>2010.5</v>
      </c>
    </row>
    <row r="16" spans="1:14" x14ac:dyDescent="0.2">
      <c r="A16" s="21" t="str">
        <f t="shared" si="0"/>
        <v>9/30/2010</v>
      </c>
      <c r="B16" s="54"/>
      <c r="C16" s="313">
        <f>'[3]Boeckh (C)'!D28</f>
        <v>2138.0527329218748</v>
      </c>
      <c r="D16" s="133"/>
      <c r="E16" s="133"/>
      <c r="F16"/>
      <c r="G16"/>
      <c r="H16"/>
      <c r="I16"/>
      <c r="J16"/>
      <c r="K16"/>
      <c r="L16"/>
      <c r="M16" s="2"/>
      <c r="N16" s="12">
        <f t="shared" si="1"/>
        <v>2010.75</v>
      </c>
    </row>
    <row r="17" spans="1:14" x14ac:dyDescent="0.2">
      <c r="A17" s="21" t="str">
        <f t="shared" si="0"/>
        <v>12/31/2010</v>
      </c>
      <c r="B17" s="54"/>
      <c r="C17" s="313">
        <f>'[3]Boeckh (C)'!D29</f>
        <v>2135.7265468571431</v>
      </c>
      <c r="D17" s="133"/>
      <c r="E17" s="133"/>
      <c r="F17"/>
      <c r="G17"/>
      <c r="H17"/>
      <c r="I17"/>
      <c r="J17"/>
      <c r="K17"/>
      <c r="L17"/>
      <c r="M17" s="2"/>
      <c r="N17" s="12">
        <f t="shared" si="1"/>
        <v>2011</v>
      </c>
    </row>
    <row r="18" spans="1:14" x14ac:dyDescent="0.2">
      <c r="A18" s="21" t="str">
        <f t="shared" si="0"/>
        <v>3/31/2011</v>
      </c>
      <c r="B18" s="54"/>
      <c r="C18" s="313">
        <f>'[3]Boeckh (C)'!D30</f>
        <v>2144.8632574866069</v>
      </c>
      <c r="D18" s="133"/>
      <c r="E18" s="133"/>
      <c r="F18"/>
      <c r="G18"/>
      <c r="H18"/>
      <c r="I18"/>
      <c r="J18"/>
      <c r="K18"/>
      <c r="L18"/>
      <c r="M18" s="2"/>
      <c r="N18" s="12">
        <f t="shared" si="1"/>
        <v>2011.25</v>
      </c>
    </row>
    <row r="19" spans="1:14" x14ac:dyDescent="0.2">
      <c r="A19" s="21" t="str">
        <f t="shared" si="0"/>
        <v>6/30/2011</v>
      </c>
      <c r="B19" s="54"/>
      <c r="C19" s="313">
        <f>'[3]Boeckh (C)'!D31</f>
        <v>2159.118504171875</v>
      </c>
      <c r="D19" s="133"/>
      <c r="E19" s="133"/>
      <c r="F19"/>
      <c r="G19"/>
      <c r="H19"/>
      <c r="I19"/>
      <c r="J19"/>
      <c r="K19"/>
      <c r="L19"/>
      <c r="M19" s="2"/>
      <c r="N19" s="12">
        <f t="shared" si="1"/>
        <v>2011.5</v>
      </c>
    </row>
    <row r="20" spans="1:14" x14ac:dyDescent="0.2">
      <c r="A20" s="21" t="str">
        <f t="shared" si="0"/>
        <v>9/30/2011</v>
      </c>
      <c r="B20" s="54"/>
      <c r="C20" s="313">
        <f>'[3]Boeckh (C)'!D32</f>
        <v>2182.2538590104168</v>
      </c>
      <c r="D20" s="133"/>
      <c r="E20" s="133"/>
      <c r="F20"/>
      <c r="G20"/>
      <c r="H20"/>
      <c r="I20"/>
      <c r="J20"/>
      <c r="K20"/>
      <c r="L20"/>
      <c r="M20" s="2"/>
      <c r="N20" s="12">
        <f t="shared" si="1"/>
        <v>2011.75</v>
      </c>
    </row>
    <row r="21" spans="1:14" x14ac:dyDescent="0.2">
      <c r="A21" s="21" t="str">
        <f t="shared" si="0"/>
        <v>12/31/2011</v>
      </c>
      <c r="B21" s="54"/>
      <c r="C21" s="313">
        <f>'[3]Boeckh (C)'!D33</f>
        <v>2212.8968638511906</v>
      </c>
      <c r="D21" s="133">
        <f>TREND($C$21:$C$53,$N$21:$N$53,$N21,TRUE)</f>
        <v>2241.8928484260687</v>
      </c>
      <c r="E21" s="133">
        <f>GROWTH($C$21:$C$53,$N$21:$N$53,$N21,TRUE)</f>
        <v>2246.7312317156347</v>
      </c>
      <c r="F21"/>
      <c r="G21"/>
      <c r="H21"/>
      <c r="I21"/>
      <c r="J21"/>
      <c r="K21"/>
      <c r="L21"/>
      <c r="M21" s="2"/>
      <c r="N21" s="12">
        <f t="shared" si="1"/>
        <v>2012</v>
      </c>
    </row>
    <row r="22" spans="1:14" x14ac:dyDescent="0.2">
      <c r="A22" s="21" t="str">
        <f t="shared" si="0"/>
        <v>3/31/2012</v>
      </c>
      <c r="B22" s="54"/>
      <c r="C22" s="313">
        <f>'[3]Boeckh (C)'!D34</f>
        <v>2240.4756404873515</v>
      </c>
      <c r="D22" s="133">
        <f t="shared" ref="D22:D52" si="2">TREND($C$21:$C$53,$N$21:$N$53,$N22,TRUE)</f>
        <v>2253.89797486522</v>
      </c>
      <c r="E22" s="133">
        <f t="shared" ref="E22:E53" si="3">GROWTH($C$21:$C$53,$N$21:$N$53,$N22,TRUE)</f>
        <v>2257.8375150983811</v>
      </c>
      <c r="F22"/>
      <c r="G22"/>
      <c r="H22"/>
      <c r="I22"/>
      <c r="J22"/>
      <c r="K22"/>
      <c r="L22"/>
      <c r="M22" s="2"/>
      <c r="N22" s="12">
        <f t="shared" si="1"/>
        <v>2012.25</v>
      </c>
    </row>
    <row r="23" spans="1:14" x14ac:dyDescent="0.2">
      <c r="A23" s="21" t="str">
        <f t="shared" si="0"/>
        <v>6/30/2012</v>
      </c>
      <c r="B23" s="101"/>
      <c r="C23" s="313">
        <f>'[3]Boeckh (C)'!D35</f>
        <v>2263.1043502864582</v>
      </c>
      <c r="D23" s="133">
        <f t="shared" si="2"/>
        <v>2265.9031013043714</v>
      </c>
      <c r="E23" s="133">
        <f t="shared" si="3"/>
        <v>2268.9987002552571</v>
      </c>
      <c r="F23"/>
      <c r="G23"/>
      <c r="H23"/>
      <c r="I23"/>
      <c r="J23"/>
      <c r="K23"/>
      <c r="L23"/>
      <c r="M23" s="2"/>
      <c r="N23" s="12">
        <f t="shared" si="1"/>
        <v>2012.5</v>
      </c>
    </row>
    <row r="24" spans="1:14" x14ac:dyDescent="0.2">
      <c r="A24" s="21" t="str">
        <f t="shared" si="0"/>
        <v>9/30/2012</v>
      </c>
      <c r="B24" s="57"/>
      <c r="C24" s="313">
        <f>'[3]Boeckh (C)'!D36</f>
        <v>2282.0086647135417</v>
      </c>
      <c r="D24" s="133">
        <f t="shared" si="2"/>
        <v>2277.9082277435227</v>
      </c>
      <c r="E24" s="133">
        <f t="shared" si="3"/>
        <v>2280.2150585825993</v>
      </c>
      <c r="F24"/>
      <c r="G24"/>
      <c r="H24"/>
      <c r="I24"/>
      <c r="J24"/>
      <c r="K24"/>
      <c r="L24"/>
      <c r="M24" s="2"/>
      <c r="N24" s="12">
        <f t="shared" si="1"/>
        <v>2012.75</v>
      </c>
    </row>
    <row r="25" spans="1:14" x14ac:dyDescent="0.2">
      <c r="A25" s="21" t="str">
        <f t="shared" si="0"/>
        <v>12/31/2012</v>
      </c>
      <c r="B25" s="57"/>
      <c r="C25" s="313">
        <f>'[3]Boeckh (C)'!D37</f>
        <v>2298.2392149218749</v>
      </c>
      <c r="D25" s="133">
        <f t="shared" si="2"/>
        <v>2289.9133541826741</v>
      </c>
      <c r="E25" s="133">
        <f t="shared" si="3"/>
        <v>2291.4868628183567</v>
      </c>
      <c r="F25"/>
      <c r="G25"/>
      <c r="H25"/>
      <c r="I25"/>
      <c r="J25"/>
      <c r="K25"/>
      <c r="L25"/>
      <c r="M25" s="2"/>
      <c r="N25" s="12">
        <f t="shared" si="1"/>
        <v>2013</v>
      </c>
    </row>
    <row r="26" spans="1:14" x14ac:dyDescent="0.2">
      <c r="A26" s="21" t="str">
        <f t="shared" si="0"/>
        <v>3/31/2013</v>
      </c>
      <c r="B26" s="57"/>
      <c r="C26" s="313">
        <f>'[3]Boeckh (C)'!D38</f>
        <v>2310.8806694531249</v>
      </c>
      <c r="D26" s="133">
        <f t="shared" si="2"/>
        <v>2301.9184806218254</v>
      </c>
      <c r="E26" s="133">
        <f t="shared" si="3"/>
        <v>2302.8143870487038</v>
      </c>
      <c r="F26"/>
      <c r="G26"/>
      <c r="H26"/>
      <c r="I26"/>
      <c r="J26"/>
      <c r="K26"/>
      <c r="L26"/>
      <c r="M26" s="2"/>
      <c r="N26" s="12">
        <f t="shared" si="1"/>
        <v>2013.25</v>
      </c>
    </row>
    <row r="27" spans="1:14" x14ac:dyDescent="0.2">
      <c r="A27" s="21" t="str">
        <f t="shared" si="0"/>
        <v>6/30/2013</v>
      </c>
      <c r="B27" s="57"/>
      <c r="C27" s="313">
        <f>'[3]Boeckh (C)'!D39</f>
        <v>2321.182541640625</v>
      </c>
      <c r="D27" s="133">
        <f t="shared" si="2"/>
        <v>2313.9236070609768</v>
      </c>
      <c r="E27" s="133">
        <f t="shared" si="3"/>
        <v>2314.1979067147099</v>
      </c>
      <c r="F27"/>
      <c r="G27"/>
      <c r="H27"/>
      <c r="I27"/>
      <c r="J27"/>
      <c r="K27"/>
      <c r="L27"/>
      <c r="M27" s="2"/>
      <c r="N27" s="12">
        <f t="shared" si="1"/>
        <v>2013.5</v>
      </c>
    </row>
    <row r="28" spans="1:14" x14ac:dyDescent="0.2">
      <c r="A28" s="21" t="str">
        <f t="shared" si="0"/>
        <v>9/30/2013</v>
      </c>
      <c r="B28" s="57"/>
      <c r="C28" s="313">
        <f>'[3]Boeckh (C)'!D40</f>
        <v>2332.1655827343748</v>
      </c>
      <c r="D28" s="133">
        <f t="shared" si="2"/>
        <v>2325.9287335001281</v>
      </c>
      <c r="E28" s="133">
        <f t="shared" si="3"/>
        <v>2325.6376986190321</v>
      </c>
      <c r="F28"/>
      <c r="G28"/>
      <c r="H28"/>
      <c r="I28"/>
      <c r="J28"/>
      <c r="K28"/>
      <c r="L28"/>
      <c r="M28" s="2"/>
      <c r="N28" s="12">
        <f t="shared" si="1"/>
        <v>2013.75</v>
      </c>
    </row>
    <row r="29" spans="1:14" x14ac:dyDescent="0.2">
      <c r="A29" s="21" t="str">
        <f t="shared" si="0"/>
        <v>12/31/2013</v>
      </c>
      <c r="B29" s="57"/>
      <c r="C29" s="313">
        <f>'[3]Boeckh (C)'!D41</f>
        <v>2342.5840233593749</v>
      </c>
      <c r="D29" s="133">
        <f t="shared" si="2"/>
        <v>2337.9338599392795</v>
      </c>
      <c r="E29" s="133">
        <f t="shared" si="3"/>
        <v>2337.134040932649</v>
      </c>
      <c r="F29"/>
      <c r="G29"/>
      <c r="H29"/>
      <c r="I29"/>
      <c r="J29"/>
      <c r="K29"/>
      <c r="L29"/>
      <c r="M29" s="2"/>
      <c r="N29" s="12">
        <f t="shared" si="1"/>
        <v>2014</v>
      </c>
    </row>
    <row r="30" spans="1:14" x14ac:dyDescent="0.2">
      <c r="A30" s="21" t="str">
        <f t="shared" si="0"/>
        <v>3/31/2014</v>
      </c>
      <c r="B30" s="57"/>
      <c r="C30" s="313">
        <f>'[3]Boeckh (C)'!D42</f>
        <v>2355.2563627343748</v>
      </c>
      <c r="D30" s="133">
        <f t="shared" si="2"/>
        <v>2349.9389863784309</v>
      </c>
      <c r="E30" s="133">
        <f t="shared" si="3"/>
        <v>2348.6872132016251</v>
      </c>
      <c r="F30"/>
      <c r="G30"/>
      <c r="H30"/>
      <c r="I30"/>
      <c r="J30"/>
      <c r="K30"/>
      <c r="L30"/>
      <c r="M30" s="2"/>
      <c r="N30" s="12">
        <f t="shared" si="1"/>
        <v>2014.25</v>
      </c>
    </row>
    <row r="31" spans="1:14" x14ac:dyDescent="0.2">
      <c r="A31" s="21" t="str">
        <f t="shared" si="0"/>
        <v>6/30/2014</v>
      </c>
      <c r="B31" s="135"/>
      <c r="C31" s="313">
        <f>'[3]Boeckh (C)'!D43</f>
        <v>2373.4682892968749</v>
      </c>
      <c r="D31" s="133">
        <f t="shared" si="2"/>
        <v>2361.9441128175822</v>
      </c>
      <c r="E31" s="133">
        <f t="shared" si="3"/>
        <v>2360.2974963539036</v>
      </c>
      <c r="F31"/>
      <c r="G31"/>
      <c r="H31"/>
      <c r="I31"/>
      <c r="J31"/>
      <c r="K31"/>
      <c r="L31"/>
      <c r="M31" s="2"/>
      <c r="N31" s="12">
        <f t="shared" si="1"/>
        <v>2014.5</v>
      </c>
    </row>
    <row r="32" spans="1:14" x14ac:dyDescent="0.2">
      <c r="A32" s="21" t="str">
        <f t="shared" si="0"/>
        <v>9/30/2014</v>
      </c>
      <c r="B32" s="135"/>
      <c r="C32" s="313">
        <f>'[3]Boeckh (C)'!D44</f>
        <v>2390.5572240625002</v>
      </c>
      <c r="D32" s="133">
        <f t="shared" si="2"/>
        <v>2373.9492392567336</v>
      </c>
      <c r="E32" s="133">
        <f t="shared" si="3"/>
        <v>2371.965172706145</v>
      </c>
      <c r="F32"/>
      <c r="G32"/>
      <c r="H32"/>
      <c r="I32"/>
      <c r="J32"/>
      <c r="K32"/>
      <c r="L32"/>
      <c r="M32" s="2"/>
      <c r="N32" s="12">
        <f t="shared" si="1"/>
        <v>2014.75</v>
      </c>
    </row>
    <row r="33" spans="1:14" x14ac:dyDescent="0.2">
      <c r="A33" s="21" t="str">
        <f t="shared" si="0"/>
        <v>12/31/2014</v>
      </c>
      <c r="B33" s="101"/>
      <c r="C33" s="313">
        <f>'[3]Boeckh (C)'!D45</f>
        <v>2408.9965558593753</v>
      </c>
      <c r="D33" s="133">
        <f t="shared" si="2"/>
        <v>2385.9543656958849</v>
      </c>
      <c r="E33" s="133">
        <f t="shared" si="3"/>
        <v>2383.6905259705854</v>
      </c>
      <c r="F33"/>
      <c r="G33"/>
      <c r="H33"/>
      <c r="I33"/>
      <c r="J33"/>
      <c r="K33"/>
      <c r="L33"/>
      <c r="M33" s="2"/>
      <c r="N33" s="12">
        <f t="shared" si="1"/>
        <v>2015</v>
      </c>
    </row>
    <row r="34" spans="1:14" x14ac:dyDescent="0.2">
      <c r="A34" s="21" t="str">
        <f t="shared" si="0"/>
        <v>3/31/2015</v>
      </c>
      <c r="B34" s="101"/>
      <c r="C34" s="313">
        <f>'[3]Boeckh (C)'!D46</f>
        <v>2427.520652578125</v>
      </c>
      <c r="D34" s="133">
        <f t="shared" si="2"/>
        <v>2397.9594921350363</v>
      </c>
      <c r="E34" s="133">
        <f t="shared" si="3"/>
        <v>2395.4738412619381</v>
      </c>
      <c r="F34"/>
      <c r="G34"/>
      <c r="H34"/>
      <c r="I34"/>
      <c r="J34"/>
      <c r="K34"/>
      <c r="L34"/>
      <c r="M34" s="2"/>
      <c r="N34" s="12">
        <f t="shared" si="1"/>
        <v>2015.25</v>
      </c>
    </row>
    <row r="35" spans="1:14" x14ac:dyDescent="0.2">
      <c r="A35" s="21" t="str">
        <f t="shared" si="0"/>
        <v>6/30/2015</v>
      </c>
      <c r="B35" s="135"/>
      <c r="C35" s="313">
        <f>'[3]Boeckh (C)'!D47</f>
        <v>2439.2176879687504</v>
      </c>
      <c r="D35" s="133">
        <f t="shared" si="2"/>
        <v>2409.9646185741876</v>
      </c>
      <c r="E35" s="133">
        <f t="shared" si="3"/>
        <v>2407.3154051043266</v>
      </c>
      <c r="F35"/>
      <c r="G35"/>
      <c r="H35"/>
      <c r="I35"/>
      <c r="J35"/>
      <c r="K35"/>
      <c r="L35"/>
      <c r="M35" s="2"/>
      <c r="N35" s="12">
        <f t="shared" si="1"/>
        <v>2015.5</v>
      </c>
    </row>
    <row r="36" spans="1:14" x14ac:dyDescent="0.2">
      <c r="A36" s="21" t="str">
        <f t="shared" si="0"/>
        <v>9/30/2015</v>
      </c>
      <c r="B36" s="21"/>
      <c r="C36" s="313">
        <f>'[3]Boeckh (C)'!D48</f>
        <v>2447.2923714062499</v>
      </c>
      <c r="D36" s="133">
        <f>TREND($C$21:$C$53,$N$21:$N$53,$N36,TRUE)</f>
        <v>2421.969745013339</v>
      </c>
      <c r="E36" s="133">
        <f t="shared" si="3"/>
        <v>2419.2155054382511</v>
      </c>
      <c r="F36"/>
      <c r="G36"/>
      <c r="H36"/>
      <c r="I36"/>
      <c r="J36"/>
      <c r="K36"/>
      <c r="L36"/>
      <c r="M36" s="2"/>
      <c r="N36" s="12">
        <f t="shared" si="1"/>
        <v>2015.75</v>
      </c>
    </row>
    <row r="37" spans="1:14" x14ac:dyDescent="0.2">
      <c r="A37" s="21" t="str">
        <f t="shared" si="0"/>
        <v>12/31/2015</v>
      </c>
      <c r="B37" s="21"/>
      <c r="C37" s="313">
        <f>'[3]Boeckh (C)'!D49</f>
        <v>2450.9525792187501</v>
      </c>
      <c r="D37" s="133">
        <f t="shared" si="2"/>
        <v>2433.9748714524903</v>
      </c>
      <c r="E37" s="133">
        <f t="shared" si="3"/>
        <v>2431.1744316275899</v>
      </c>
      <c r="F37"/>
      <c r="G37"/>
      <c r="H37"/>
      <c r="I37"/>
      <c r="J37"/>
      <c r="K37"/>
      <c r="L37"/>
      <c r="M37" s="2"/>
      <c r="N37" s="12">
        <f t="shared" si="1"/>
        <v>2016</v>
      </c>
    </row>
    <row r="38" spans="1:14" x14ac:dyDescent="0.2">
      <c r="A38" s="21" t="str">
        <f t="shared" si="0"/>
        <v>3/31/2016</v>
      </c>
      <c r="B38" s="21"/>
      <c r="C38" s="313">
        <f>'[3]Boeckh (C)'!D50</f>
        <v>2448.9439421093748</v>
      </c>
      <c r="D38" s="133">
        <f t="shared" si="2"/>
        <v>2445.9799978916417</v>
      </c>
      <c r="E38" s="133">
        <f t="shared" si="3"/>
        <v>2443.1924744666362</v>
      </c>
      <c r="F38"/>
      <c r="G38"/>
      <c r="H38"/>
      <c r="I38"/>
      <c r="J38"/>
      <c r="K38"/>
      <c r="L38"/>
      <c r="M38" s="2"/>
      <c r="N38" s="12">
        <f t="shared" si="1"/>
        <v>2016.25</v>
      </c>
    </row>
    <row r="39" spans="1:14" x14ac:dyDescent="0.2">
      <c r="A39" s="21" t="str">
        <f t="shared" si="0"/>
        <v>6/30/2016</v>
      </c>
      <c r="B39" s="21"/>
      <c r="C39" s="313">
        <f>'[3]Boeckh (C)'!D51</f>
        <v>2444.5603125781249</v>
      </c>
      <c r="D39" s="133">
        <f t="shared" si="2"/>
        <v>2457.985124330793</v>
      </c>
      <c r="E39" s="133">
        <f t="shared" si="3"/>
        <v>2455.2699261871685</v>
      </c>
      <c r="F39"/>
      <c r="G39"/>
      <c r="H39"/>
      <c r="I39"/>
      <c r="J39"/>
      <c r="K39"/>
      <c r="L39"/>
      <c r="M39" s="2"/>
      <c r="N39" s="12">
        <f t="shared" si="1"/>
        <v>2016.5</v>
      </c>
    </row>
    <row r="40" spans="1:14" x14ac:dyDescent="0.2">
      <c r="A40" s="21" t="str">
        <f t="shared" si="0"/>
        <v>9/30/2016</v>
      </c>
      <c r="B40" s="21"/>
      <c r="C40" s="313">
        <f>'[3]Boeckh (C)'!D52</f>
        <v>2440.9017260156247</v>
      </c>
      <c r="D40" s="133">
        <f t="shared" si="2"/>
        <v>2469.9902507699444</v>
      </c>
      <c r="E40" s="133">
        <f t="shared" si="3"/>
        <v>2467.4070804655576</v>
      </c>
      <c r="F40"/>
      <c r="G40"/>
      <c r="H40"/>
      <c r="I40"/>
      <c r="J40"/>
      <c r="K40"/>
      <c r="L40"/>
      <c r="M40" s="2"/>
      <c r="N40" s="12">
        <f t="shared" si="1"/>
        <v>2016.75</v>
      </c>
    </row>
    <row r="41" spans="1:14" x14ac:dyDescent="0.2">
      <c r="A41" s="21" t="str">
        <f t="shared" si="0"/>
        <v>12/31/2016</v>
      </c>
      <c r="B41" s="21"/>
      <c r="C41" s="313">
        <f>'[3]Boeckh (C)'!D53</f>
        <v>2440.5554000781249</v>
      </c>
      <c r="D41" s="133">
        <f t="shared" si="2"/>
        <v>2481.9953772090958</v>
      </c>
      <c r="E41" s="133">
        <f t="shared" si="3"/>
        <v>2479.6042324299069</v>
      </c>
      <c r="F41"/>
      <c r="G41"/>
      <c r="H41"/>
      <c r="I41"/>
      <c r="J41"/>
      <c r="K41"/>
      <c r="L41"/>
      <c r="M41" s="2"/>
      <c r="N41" s="12">
        <f t="shared" si="1"/>
        <v>2017</v>
      </c>
    </row>
    <row r="42" spans="1:14" x14ac:dyDescent="0.2">
      <c r="A42" s="21" t="str">
        <f t="shared" si="0"/>
        <v>3/31/2017</v>
      </c>
      <c r="B42" s="21"/>
      <c r="C42" s="313">
        <f>'[3]Boeckh (C)'!D54</f>
        <v>2446.8926558593748</v>
      </c>
      <c r="D42" s="133">
        <f>TREND($C$21:$C$53,$N$21:$N$53,$N42,TRUE)</f>
        <v>2494.0005036482471</v>
      </c>
      <c r="E42" s="133">
        <f t="shared" si="3"/>
        <v>2491.8616786672269</v>
      </c>
      <c r="F42"/>
      <c r="G42"/>
      <c r="H42"/>
      <c r="I42"/>
      <c r="J42"/>
      <c r="K42"/>
      <c r="L42"/>
      <c r="M42" s="2"/>
      <c r="N42" s="12">
        <f t="shared" si="1"/>
        <v>2017.25</v>
      </c>
    </row>
    <row r="43" spans="1:14" x14ac:dyDescent="0.2">
      <c r="A43" s="21" t="str">
        <f t="shared" si="0"/>
        <v>6/30/2017</v>
      </c>
      <c r="B43" s="135"/>
      <c r="C43" s="313">
        <f>'[3]Boeckh (C)'!D55</f>
        <v>2460.3246798437499</v>
      </c>
      <c r="D43" s="133">
        <f t="shared" si="2"/>
        <v>2506.0056300873985</v>
      </c>
      <c r="E43" s="133">
        <f t="shared" si="3"/>
        <v>2504.1797172306515</v>
      </c>
      <c r="F43"/>
      <c r="G43"/>
      <c r="H43"/>
      <c r="I43"/>
      <c r="J43"/>
      <c r="K43"/>
      <c r="L43"/>
      <c r="M43" s="2"/>
      <c r="N43" s="12">
        <f t="shared" si="1"/>
        <v>2017.5</v>
      </c>
    </row>
    <row r="44" spans="1:14" x14ac:dyDescent="0.2">
      <c r="A44" s="21" t="str">
        <f t="shared" si="0"/>
        <v>9/30/2017</v>
      </c>
      <c r="B44" s="21"/>
      <c r="C44" s="313">
        <f>'[3]Boeckh (C)'!D56</f>
        <v>2478.5653454687499</v>
      </c>
      <c r="D44" s="133">
        <f t="shared" si="2"/>
        <v>2518.0107565265498</v>
      </c>
      <c r="E44" s="133">
        <f>GROWTH($C$21:$C$53,$N$21:$N$53,$N44,TRUE)</f>
        <v>2516.5586476466633</v>
      </c>
      <c r="F44"/>
      <c r="G44"/>
      <c r="H44"/>
      <c r="I44"/>
      <c r="J44"/>
      <c r="K44"/>
      <c r="L44"/>
      <c r="M44" s="2"/>
      <c r="N44" s="12">
        <f t="shared" si="1"/>
        <v>2017.75</v>
      </c>
    </row>
    <row r="45" spans="1:14" x14ac:dyDescent="0.2">
      <c r="A45" s="21" t="str">
        <f t="shared" si="0"/>
        <v>12/31/2017</v>
      </c>
      <c r="B45" s="21"/>
      <c r="C45" s="313">
        <f>'[3]Boeckh (C)'!D57</f>
        <v>2496.247973359375</v>
      </c>
      <c r="D45" s="133">
        <f t="shared" si="2"/>
        <v>2530.0158829657012</v>
      </c>
      <c r="E45" s="133">
        <f t="shared" si="3"/>
        <v>2528.9987709224511</v>
      </c>
      <c r="F45"/>
      <c r="G45"/>
      <c r="H45"/>
      <c r="I45"/>
      <c r="J45"/>
      <c r="K45"/>
      <c r="L45"/>
      <c r="M45" s="2"/>
      <c r="N45" s="12">
        <f t="shared" si="1"/>
        <v>2018</v>
      </c>
    </row>
    <row r="46" spans="1:14" x14ac:dyDescent="0.2">
      <c r="A46" s="21" t="str">
        <f t="shared" si="0"/>
        <v>3/31/2018</v>
      </c>
      <c r="B46" s="21"/>
      <c r="C46" s="313">
        <f>'[3]Boeckh (C)'!D58</f>
        <v>2515.35349359375</v>
      </c>
      <c r="D46" s="133">
        <f t="shared" si="2"/>
        <v>2542.0210094048525</v>
      </c>
      <c r="E46" s="133">
        <f t="shared" si="3"/>
        <v>2541.5003895531199</v>
      </c>
      <c r="F46"/>
      <c r="G46"/>
      <c r="H46"/>
      <c r="I46"/>
      <c r="J46"/>
      <c r="K46"/>
      <c r="L46"/>
      <c r="M46" s="2"/>
      <c r="N46" s="12">
        <f t="shared" si="1"/>
        <v>2018.25</v>
      </c>
    </row>
    <row r="47" spans="1:14" x14ac:dyDescent="0.2">
      <c r="A47" s="21" t="str">
        <f t="shared" si="0"/>
        <v>6/30/2018</v>
      </c>
      <c r="B47" s="21"/>
      <c r="C47" s="313">
        <f>'[3]Boeckh (C)'!D59</f>
        <v>2538.6056569531247</v>
      </c>
      <c r="D47" s="133">
        <f t="shared" si="2"/>
        <v>2554.0261358440039</v>
      </c>
      <c r="E47" s="133">
        <f t="shared" si="3"/>
        <v>2554.0638075291199</v>
      </c>
      <c r="F47"/>
      <c r="G47"/>
      <c r="H47"/>
      <c r="I47"/>
      <c r="J47"/>
      <c r="K47"/>
      <c r="L47"/>
      <c r="M47" s="2"/>
      <c r="N47" s="12">
        <f t="shared" si="1"/>
        <v>2018.5</v>
      </c>
    </row>
    <row r="48" spans="1:14" x14ac:dyDescent="0.2">
      <c r="A48" s="21" t="str">
        <f t="shared" si="0"/>
        <v>9/30/2018</v>
      </c>
      <c r="B48" s="135"/>
      <c r="C48" s="313">
        <f>'[3]Boeckh (C)'!D60</f>
        <v>2566.7190555468751</v>
      </c>
      <c r="D48" s="133">
        <f t="shared" si="2"/>
        <v>2566.0312622831552</v>
      </c>
      <c r="E48" s="133">
        <f t="shared" si="3"/>
        <v>2566.68933034362</v>
      </c>
      <c r="F48"/>
      <c r="G48"/>
      <c r="H48"/>
      <c r="I48"/>
      <c r="J48"/>
      <c r="K48"/>
      <c r="L48"/>
      <c r="M48" s="2"/>
      <c r="N48" s="12">
        <f t="shared" si="1"/>
        <v>2018.75</v>
      </c>
    </row>
    <row r="49" spans="1:14" x14ac:dyDescent="0.2">
      <c r="A49" s="21" t="str">
        <f t="shared" si="0"/>
        <v>12/31/2018</v>
      </c>
      <c r="B49" s="21"/>
      <c r="C49" s="313">
        <f>'[3]Boeckh (C)'!D61</f>
        <v>2599.9137418749997</v>
      </c>
      <c r="D49" s="133">
        <f t="shared" si="2"/>
        <v>2578.0363887223066</v>
      </c>
      <c r="E49" s="133">
        <f t="shared" si="3"/>
        <v>2579.3772649999341</v>
      </c>
      <c r="F49"/>
      <c r="G49"/>
      <c r="H49"/>
      <c r="I49"/>
      <c r="J49"/>
      <c r="K49"/>
      <c r="L49"/>
      <c r="M49" s="2"/>
      <c r="N49" s="12">
        <f t="shared" si="1"/>
        <v>2019</v>
      </c>
    </row>
    <row r="50" spans="1:14" x14ac:dyDescent="0.2">
      <c r="A50" s="21" t="str">
        <f t="shared" si="0"/>
        <v>3/31/2019</v>
      </c>
      <c r="B50" s="21"/>
      <c r="C50" s="313">
        <f>'[3]Boeckh (C)'!D62</f>
        <v>2625.4141056249996</v>
      </c>
      <c r="D50" s="133">
        <f t="shared" si="2"/>
        <v>2590.0415151614579</v>
      </c>
      <c r="E50" s="133">
        <f t="shared" si="3"/>
        <v>2592.1279200189892</v>
      </c>
      <c r="F50"/>
      <c r="G50"/>
      <c r="H50"/>
      <c r="I50"/>
      <c r="J50"/>
      <c r="K50"/>
      <c r="L50"/>
      <c r="M50" s="2"/>
      <c r="N50" s="12">
        <f t="shared" si="1"/>
        <v>2019.25</v>
      </c>
    </row>
    <row r="51" spans="1:14" x14ac:dyDescent="0.2">
      <c r="A51" s="21" t="str">
        <f t="shared" si="0"/>
        <v>6/30/2019</v>
      </c>
      <c r="B51" s="21"/>
      <c r="C51" s="313">
        <f>'[3]Boeckh (C)'!D63</f>
        <v>2639.3896677343746</v>
      </c>
      <c r="D51" s="133">
        <f t="shared" si="2"/>
        <v>2602.0466416006093</v>
      </c>
      <c r="E51" s="133">
        <f t="shared" si="3"/>
        <v>2604.9416054468261</v>
      </c>
      <c r="F51"/>
      <c r="G51"/>
      <c r="H51"/>
      <c r="I51"/>
      <c r="J51"/>
      <c r="K51"/>
      <c r="L51"/>
      <c r="M51" s="2"/>
      <c r="N51" s="12">
        <f t="shared" si="1"/>
        <v>2019.5</v>
      </c>
    </row>
    <row r="52" spans="1:14" x14ac:dyDescent="0.2">
      <c r="A52" s="21" t="str">
        <f t="shared" si="0"/>
        <v>9/30/2019</v>
      </c>
      <c r="B52" s="21"/>
      <c r="C52" s="313">
        <f>'[3]Boeckh (C)'!D64</f>
        <v>2642.4263885937498</v>
      </c>
      <c r="D52" s="133">
        <f t="shared" si="2"/>
        <v>2614.0517680397606</v>
      </c>
      <c r="E52" s="133">
        <f t="shared" si="3"/>
        <v>2617.8186328621382</v>
      </c>
      <c r="F52"/>
      <c r="G52"/>
      <c r="H52"/>
      <c r="I52"/>
      <c r="J52"/>
      <c r="K52"/>
      <c r="L52"/>
      <c r="M52" s="2"/>
      <c r="N52" s="12">
        <f t="shared" si="1"/>
        <v>2019.75</v>
      </c>
    </row>
    <row r="53" spans="1:14" x14ac:dyDescent="0.2">
      <c r="A53" s="21" t="str">
        <f>TEXT(N9,"m/d/yyyy")</f>
        <v>12/31/2019</v>
      </c>
      <c r="B53" s="21"/>
      <c r="C53" s="313">
        <f>'[3]Boeckh (C)'!D65</f>
        <v>2639.5573381250001</v>
      </c>
      <c r="D53" s="133">
        <f>TREND($C$21:$C$53,$N$21:$N$53,$N53,TRUE)</f>
        <v>2626.056894478912</v>
      </c>
      <c r="E53" s="133">
        <f t="shared" si="3"/>
        <v>2630.7593153838479</v>
      </c>
      <c r="F53"/>
      <c r="G53"/>
      <c r="H53"/>
      <c r="I53"/>
      <c r="J53"/>
      <c r="K53"/>
      <c r="L53"/>
      <c r="M53" s="2"/>
      <c r="N53" s="12">
        <f t="shared" si="1"/>
        <v>2020</v>
      </c>
    </row>
    <row r="54" spans="1:14" x14ac:dyDescent="0.2">
      <c r="A54" s="137"/>
      <c r="B54" s="136"/>
      <c r="C54" s="281"/>
      <c r="D54" s="134"/>
      <c r="E54" s="134"/>
      <c r="F54" s="118"/>
      <c r="G54" s="118"/>
      <c r="H54" s="118"/>
      <c r="I54" s="118"/>
      <c r="J54" s="118"/>
      <c r="K54" s="118"/>
      <c r="L54"/>
      <c r="M54" s="2"/>
    </row>
    <row r="55" spans="1:14" x14ac:dyDescent="0.2">
      <c r="A55" s="42"/>
      <c r="B55" s="122"/>
      <c r="C55" s="42"/>
      <c r="D55" s="42"/>
      <c r="E55" s="42"/>
      <c r="F55"/>
      <c r="G55"/>
      <c r="H55"/>
      <c r="I55"/>
      <c r="J55"/>
      <c r="K55"/>
      <c r="L55"/>
      <c r="M55" s="2"/>
    </row>
    <row r="56" spans="1:14" x14ac:dyDescent="0.2">
      <c r="A56" s="21" t="s">
        <v>292</v>
      </c>
      <c r="B56" s="21"/>
      <c r="C56" s="57"/>
      <c r="D56" s="28">
        <f>(D53-D49)/D53</f>
        <v>1.8286163509086545E-2</v>
      </c>
      <c r="E56" s="28">
        <f>LOGEST($C$34:$C$53,$N$34:$N$53,TRUE,TRUE)-1</f>
        <v>1.995184495046165E-2</v>
      </c>
      <c r="F56"/>
      <c r="G56"/>
      <c r="H56"/>
      <c r="I56"/>
      <c r="J56"/>
      <c r="K56"/>
      <c r="L56"/>
      <c r="M56" s="2"/>
    </row>
    <row r="57" spans="1:14" x14ac:dyDescent="0.2">
      <c r="A57" s="135" t="s">
        <v>293</v>
      </c>
      <c r="B57" s="135"/>
      <c r="C57" s="89"/>
      <c r="D57" s="119">
        <f>INDEX(LINEST($C$21:$C$53,$N$21:$N$53,TRUE,TRUE),3,1)</f>
        <v>0.95620294597561595</v>
      </c>
      <c r="E57" s="119">
        <f>INDEX(LOGEST($C$21:$C$53,$N$21:$N$53,TRUE,TRUE),3,1)</f>
        <v>0.95812662075334609</v>
      </c>
      <c r="F57"/>
      <c r="G57"/>
      <c r="H57"/>
      <c r="I57"/>
      <c r="J57"/>
      <c r="K57"/>
      <c r="L57"/>
      <c r="M57" s="2"/>
    </row>
    <row r="58" spans="1:14" ht="12" thickBot="1" x14ac:dyDescent="0.25">
      <c r="A58" s="139"/>
      <c r="B58" s="139"/>
      <c r="C58" s="139"/>
      <c r="D58" s="139"/>
      <c r="E58" s="139"/>
      <c r="F58"/>
      <c r="G58"/>
      <c r="H58"/>
      <c r="I58"/>
      <c r="J58"/>
      <c r="K58"/>
      <c r="L58"/>
      <c r="M58" s="2"/>
    </row>
    <row r="59" spans="1:14" ht="12" thickTop="1" x14ac:dyDescent="0.2">
      <c r="A59" s="57"/>
      <c r="B59" s="57"/>
      <c r="C59" s="57"/>
      <c r="D59" s="57"/>
      <c r="E59" s="57"/>
      <c r="F59"/>
      <c r="G59"/>
      <c r="H59"/>
      <c r="I59"/>
      <c r="J59"/>
      <c r="K59"/>
      <c r="L59"/>
      <c r="M59" s="2"/>
    </row>
    <row r="60" spans="1:14" x14ac:dyDescent="0.2">
      <c r="A60" s="57" t="s">
        <v>18</v>
      </c>
      <c r="B60" s="57"/>
      <c r="C60" s="21"/>
      <c r="D60" s="21"/>
      <c r="E60" s="21"/>
      <c r="F60"/>
      <c r="G60"/>
      <c r="H60"/>
      <c r="I60"/>
      <c r="J60"/>
      <c r="K60"/>
      <c r="L60"/>
      <c r="M60" s="2"/>
    </row>
    <row r="61" spans="1:14" x14ac:dyDescent="0.2">
      <c r="A61" s="57"/>
      <c r="B61" s="21" t="str">
        <f>C12&amp;" = Average Index for Austin, Corpus Christi, Dallas, El Paso, Fort Worth, Houston, Odessa, and San Antonio"</f>
        <v>(2) = Average Index for Austin, Corpus Christi, Dallas, El Paso, Fort Worth, Houston, Odessa, and San Antonio</v>
      </c>
      <c r="C61" s="57"/>
      <c r="D61" s="57"/>
      <c r="E61" s="57"/>
      <c r="F61"/>
      <c r="H61"/>
      <c r="J61"/>
      <c r="K61"/>
      <c r="L61"/>
      <c r="M61" s="2"/>
    </row>
    <row r="62" spans="1:14" x14ac:dyDescent="0.2">
      <c r="A62" s="122"/>
      <c r="B62" s="21" t="str">
        <f>D12&amp;" - "&amp;E12&amp;" = "&amp;C12&amp;" fitted to linear and exponential distributions"</f>
        <v>(3) - (4) = (2) fitted to linear and exponential distributions</v>
      </c>
      <c r="C62" s="122"/>
      <c r="D62" s="122"/>
      <c r="E62" s="122"/>
      <c r="F62" s="118"/>
      <c r="G62" s="118"/>
      <c r="H62" s="118"/>
      <c r="I62" s="118"/>
      <c r="J62" s="118"/>
      <c r="K62" s="118"/>
      <c r="L62"/>
      <c r="M62" s="2"/>
    </row>
    <row r="63" spans="1:14" x14ac:dyDescent="0.2">
      <c r="A63" s="122"/>
      <c r="B63" s="21"/>
      <c r="C63" s="122"/>
      <c r="D63" s="122"/>
      <c r="E63" s="122"/>
      <c r="F63" s="118"/>
      <c r="G63" s="118"/>
      <c r="H63" s="118"/>
      <c r="I63" s="118"/>
      <c r="J63" s="118"/>
      <c r="K63" s="118"/>
      <c r="L63"/>
      <c r="M63" s="2"/>
    </row>
    <row r="64" spans="1:14" x14ac:dyDescent="0.2">
      <c r="A64" s="122"/>
      <c r="B64" s="21"/>
      <c r="C64" s="122"/>
      <c r="D64" s="122"/>
      <c r="E64" s="122"/>
      <c r="F64" s="118"/>
      <c r="G64" s="118"/>
      <c r="H64" s="118"/>
      <c r="I64" s="118"/>
      <c r="J64" s="118"/>
      <c r="K64" s="118"/>
      <c r="L64"/>
      <c r="M64" s="2"/>
    </row>
    <row r="65" spans="1:13" x14ac:dyDescent="0.2">
      <c r="A65" s="122"/>
      <c r="B65" s="21"/>
      <c r="C65" s="122"/>
      <c r="D65" s="122"/>
      <c r="E65" s="122"/>
      <c r="F65" s="118"/>
      <c r="G65" s="118"/>
      <c r="H65" s="118"/>
      <c r="I65" s="118"/>
      <c r="J65" s="118"/>
      <c r="K65" s="118"/>
      <c r="L65"/>
      <c r="M65" s="2"/>
    </row>
    <row r="66" spans="1:13" x14ac:dyDescent="0.2">
      <c r="A66" s="122"/>
      <c r="B66" s="21"/>
      <c r="C66" s="122"/>
      <c r="D66" s="122"/>
      <c r="E66" s="122"/>
      <c r="F66" s="118"/>
      <c r="G66" s="118"/>
      <c r="H66" s="118"/>
      <c r="I66" s="118"/>
      <c r="J66" s="118"/>
      <c r="K66" s="118"/>
      <c r="L66"/>
      <c r="M66" s="2"/>
    </row>
    <row r="67" spans="1:13" x14ac:dyDescent="0.2">
      <c r="A67" s="122"/>
      <c r="B67" s="21"/>
      <c r="C67" s="122"/>
      <c r="D67" s="122"/>
      <c r="E67" s="122"/>
      <c r="F67" s="118"/>
      <c r="G67" s="118"/>
      <c r="H67" s="118"/>
      <c r="I67" s="118"/>
      <c r="J67" s="118"/>
      <c r="K67" s="118"/>
      <c r="L67"/>
      <c r="M67" s="2"/>
    </row>
    <row r="68" spans="1:13" ht="12" thickBot="1" x14ac:dyDescent="0.25">
      <c r="A68"/>
      <c r="D68"/>
      <c r="E68"/>
      <c r="F68"/>
      <c r="H68"/>
      <c r="J68"/>
      <c r="K68"/>
      <c r="L68"/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>
    <tabColor rgb="FF92D050"/>
  </sheetPr>
  <dimension ref="A1:N71"/>
  <sheetViews>
    <sheetView showGridLines="0" zoomScaleNormal="100" workbookViewId="0">
      <selection activeCell="E24" sqref="E24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4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47</v>
      </c>
      <c r="M1" s="1"/>
    </row>
    <row r="2" spans="1:14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K2"/>
      <c r="L2" s="7" t="s">
        <v>294</v>
      </c>
      <c r="M2" s="2"/>
    </row>
    <row r="3" spans="1:14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4" x14ac:dyDescent="0.2">
      <c r="A4" s="138" t="s">
        <v>268</v>
      </c>
      <c r="B4" s="21"/>
      <c r="C4" s="57"/>
      <c r="D4" s="57"/>
      <c r="E4" s="57"/>
      <c r="F4" s="57"/>
      <c r="G4"/>
      <c r="H4"/>
      <c r="I4"/>
      <c r="J4"/>
      <c r="K4"/>
      <c r="L4"/>
      <c r="M4" s="2"/>
    </row>
    <row r="5" spans="1:14" x14ac:dyDescent="0.2">
      <c r="A5" s="138" t="s">
        <v>312</v>
      </c>
      <c r="B5" s="21"/>
      <c r="C5" s="57"/>
      <c r="D5" s="57"/>
      <c r="E5" s="57"/>
      <c r="F5" s="57"/>
      <c r="G5"/>
      <c r="H5"/>
      <c r="I5"/>
      <c r="J5"/>
      <c r="K5"/>
      <c r="L5"/>
      <c r="M5" s="2"/>
    </row>
    <row r="6" spans="1:14" x14ac:dyDescent="0.2">
      <c r="A6" s="21"/>
      <c r="B6" s="57"/>
      <c r="C6" s="57"/>
      <c r="D6" s="57"/>
      <c r="E6" s="57"/>
      <c r="F6" s="57"/>
      <c r="G6"/>
      <c r="H6"/>
      <c r="I6"/>
      <c r="J6"/>
      <c r="K6"/>
      <c r="L6"/>
      <c r="M6" s="2"/>
    </row>
    <row r="7" spans="1:14" ht="12" thickBot="1" x14ac:dyDescent="0.25">
      <c r="A7" s="139"/>
      <c r="B7" s="139"/>
      <c r="C7" s="139"/>
      <c r="D7" s="139"/>
      <c r="E7" s="139"/>
      <c r="F7"/>
      <c r="G7"/>
      <c r="H7"/>
      <c r="I7"/>
      <c r="J7" s="47"/>
      <c r="K7" s="47"/>
      <c r="L7" s="47"/>
      <c r="M7" s="2"/>
    </row>
    <row r="8" spans="1:14" ht="12" thickTop="1" x14ac:dyDescent="0.2">
      <c r="A8" s="57"/>
      <c r="B8" s="57"/>
      <c r="C8" s="57"/>
      <c r="D8" s="57"/>
      <c r="E8" s="57"/>
      <c r="F8"/>
      <c r="G8"/>
      <c r="H8"/>
      <c r="I8"/>
      <c r="J8" s="47"/>
      <c r="K8" s="47"/>
      <c r="L8" s="47"/>
      <c r="M8" s="2"/>
      <c r="N8" t="s">
        <v>283</v>
      </c>
    </row>
    <row r="9" spans="1:14" x14ac:dyDescent="0.2">
      <c r="A9" s="57"/>
      <c r="B9" s="57"/>
      <c r="C9" s="21" t="s">
        <v>284</v>
      </c>
      <c r="D9" s="23" t="s">
        <v>285</v>
      </c>
      <c r="E9" s="57"/>
      <c r="F9"/>
      <c r="G9"/>
      <c r="H9"/>
      <c r="I9"/>
      <c r="J9"/>
      <c r="K9"/>
      <c r="L9"/>
      <c r="M9" s="2"/>
      <c r="N9" s="95">
        <f>'3.3b'!$N$9</f>
        <v>43830</v>
      </c>
    </row>
    <row r="10" spans="1:14" x14ac:dyDescent="0.2">
      <c r="A10" s="57" t="s">
        <v>270</v>
      </c>
      <c r="B10" s="57"/>
      <c r="C10" s="57" t="s">
        <v>272</v>
      </c>
      <c r="D10" s="57" t="s">
        <v>286</v>
      </c>
      <c r="E10" s="57"/>
      <c r="F10"/>
      <c r="G10"/>
      <c r="H10"/>
      <c r="I10"/>
      <c r="M10" s="2"/>
    </row>
    <row r="11" spans="1:14" x14ac:dyDescent="0.2">
      <c r="A11" s="136" t="s">
        <v>27</v>
      </c>
      <c r="B11" s="136"/>
      <c r="C11" s="136" t="s">
        <v>265</v>
      </c>
      <c r="D11" s="136" t="s">
        <v>290</v>
      </c>
      <c r="E11" s="136" t="s">
        <v>291</v>
      </c>
      <c r="F11"/>
      <c r="G11"/>
      <c r="H11"/>
      <c r="I11"/>
      <c r="M11" s="2"/>
      <c r="N11" s="9" t="s">
        <v>265</v>
      </c>
    </row>
    <row r="12" spans="1:14" x14ac:dyDescent="0.2">
      <c r="A12" s="140" t="str">
        <f>TEXT(COLUMN(),"(#)")</f>
        <v>(1)</v>
      </c>
      <c r="B12" s="140"/>
      <c r="C12" s="141" t="str">
        <f>TEXT(COLUMN()-1,"(#)")</f>
        <v>(2)</v>
      </c>
      <c r="D12" s="141" t="str">
        <f>TEXT(COLUMN()-1,"(#)")</f>
        <v>(3)</v>
      </c>
      <c r="E12" s="141" t="str">
        <f>TEXT(COLUMN()-1,"(#)")</f>
        <v>(4)</v>
      </c>
      <c r="F12"/>
      <c r="G12"/>
      <c r="H12"/>
      <c r="I12"/>
      <c r="M12" s="2"/>
    </row>
    <row r="13" spans="1:14" x14ac:dyDescent="0.2">
      <c r="A13" s="57"/>
      <c r="B13" s="57"/>
      <c r="C13" s="57"/>
      <c r="D13" s="57"/>
      <c r="E13" s="57"/>
      <c r="F13"/>
      <c r="G13"/>
      <c r="H13"/>
      <c r="I13"/>
      <c r="M13" s="2"/>
    </row>
    <row r="14" spans="1:14" x14ac:dyDescent="0.2">
      <c r="A14" s="122" t="str">
        <f t="shared" ref="A14:A60" si="0">TEXT(DATE(YEAR(A15+1),MONTH(A15+1)-3,1)-1,"m/d/yyyy")</f>
        <v>3/31/2008</v>
      </c>
      <c r="B14" s="54"/>
      <c r="C14" s="132"/>
      <c r="D14" s="133"/>
      <c r="E14" s="133"/>
      <c r="F14"/>
      <c r="G14"/>
      <c r="H14"/>
      <c r="I14"/>
      <c r="M14" s="2"/>
      <c r="N14" s="12">
        <f>YEAR(A14)+MONTH(A14)/12</f>
        <v>2008.25</v>
      </c>
    </row>
    <row r="15" spans="1:14" x14ac:dyDescent="0.2">
      <c r="A15" s="122" t="str">
        <f t="shared" si="0"/>
        <v>6/30/2008</v>
      </c>
      <c r="B15" s="54"/>
      <c r="C15" s="132"/>
      <c r="D15" s="133"/>
      <c r="E15" s="133"/>
      <c r="F15"/>
      <c r="G15"/>
      <c r="H15"/>
      <c r="I15"/>
      <c r="M15" s="2"/>
      <c r="N15" s="12">
        <f t="shared" ref="N15:N53" si="1">YEAR(A15)+MONTH(A15)/12</f>
        <v>2008.5</v>
      </c>
    </row>
    <row r="16" spans="1:14" x14ac:dyDescent="0.2">
      <c r="A16" s="122" t="str">
        <f t="shared" si="0"/>
        <v>9/30/2008</v>
      </c>
      <c r="B16" s="54"/>
      <c r="C16" s="132"/>
      <c r="D16" s="133"/>
      <c r="E16" s="133"/>
      <c r="F16"/>
      <c r="G16"/>
      <c r="H16"/>
      <c r="I16"/>
      <c r="M16" s="2"/>
      <c r="N16" s="12">
        <f t="shared" si="1"/>
        <v>2008.75</v>
      </c>
    </row>
    <row r="17" spans="1:14" x14ac:dyDescent="0.2">
      <c r="A17" s="122" t="str">
        <f t="shared" si="0"/>
        <v>12/31/2008</v>
      </c>
      <c r="B17" s="54"/>
      <c r="C17" s="132"/>
      <c r="D17" s="133"/>
      <c r="E17" s="133"/>
      <c r="F17"/>
      <c r="G17"/>
      <c r="H17"/>
      <c r="I17"/>
      <c r="M17" s="2"/>
      <c r="N17" s="12">
        <f t="shared" si="1"/>
        <v>2009</v>
      </c>
    </row>
    <row r="18" spans="1:14" x14ac:dyDescent="0.2">
      <c r="A18" s="122" t="str">
        <f t="shared" si="0"/>
        <v>3/31/2009</v>
      </c>
      <c r="B18" s="54"/>
      <c r="C18" s="132"/>
      <c r="D18" s="133"/>
      <c r="E18" s="133"/>
      <c r="F18"/>
      <c r="G18"/>
      <c r="H18"/>
      <c r="I18"/>
      <c r="M18" s="2"/>
      <c r="N18" s="12">
        <f t="shared" si="1"/>
        <v>2009.25</v>
      </c>
    </row>
    <row r="19" spans="1:14" x14ac:dyDescent="0.2">
      <c r="A19" s="122" t="str">
        <f t="shared" si="0"/>
        <v>6/30/2009</v>
      </c>
      <c r="B19" s="54"/>
      <c r="C19" s="132"/>
      <c r="D19" s="133"/>
      <c r="E19" s="133"/>
      <c r="F19"/>
      <c r="G19"/>
      <c r="H19"/>
      <c r="I19"/>
      <c r="M19" s="2"/>
      <c r="N19" s="12">
        <f t="shared" si="1"/>
        <v>2009.5</v>
      </c>
    </row>
    <row r="20" spans="1:14" x14ac:dyDescent="0.2">
      <c r="A20" s="122" t="str">
        <f t="shared" si="0"/>
        <v>9/30/2009</v>
      </c>
      <c r="B20" s="54"/>
      <c r="C20" s="132"/>
      <c r="D20" s="133"/>
      <c r="E20" s="133"/>
      <c r="F20"/>
      <c r="G20"/>
      <c r="H20"/>
      <c r="I20"/>
      <c r="M20" s="2"/>
      <c r="N20" s="12">
        <f t="shared" si="1"/>
        <v>2009.75</v>
      </c>
    </row>
    <row r="21" spans="1:14" x14ac:dyDescent="0.2">
      <c r="A21" s="122" t="str">
        <f t="shared" si="0"/>
        <v>12/31/2009</v>
      </c>
      <c r="B21" s="54"/>
      <c r="C21" s="214">
        <f>'[3]Boeckh (C)'!E25</f>
        <v>2253.4852844791667</v>
      </c>
      <c r="D21" s="133">
        <f>TREND($C$21:$C$61,$N$21:$N$61,$N21,TRUE)</f>
        <v>2152.2104499874404</v>
      </c>
      <c r="E21" s="133">
        <f>GROWTH($C$21:$C$61,$N$21:$N$61,$N21,TRUE)</f>
        <v>2160.1552680778095</v>
      </c>
      <c r="F21" s="105"/>
      <c r="G21"/>
      <c r="H21"/>
      <c r="I21"/>
      <c r="M21" s="2"/>
      <c r="N21" s="12">
        <f t="shared" si="1"/>
        <v>2010</v>
      </c>
    </row>
    <row r="22" spans="1:14" x14ac:dyDescent="0.2">
      <c r="A22" s="122" t="str">
        <f t="shared" si="0"/>
        <v>3/31/2010</v>
      </c>
      <c r="B22" s="54"/>
      <c r="C22" s="214">
        <f>'[3]Boeckh (C)'!E26</f>
        <v>2230.6006122395829</v>
      </c>
      <c r="D22" s="133">
        <f t="shared" ref="D22:D58" si="2">TREND($C$21:$C$61,$N$21:$N$61,$N22,TRUE)</f>
        <v>2165.1931755169935</v>
      </c>
      <c r="E22" s="133">
        <f t="shared" ref="E22:E60" si="3">GROWTH($C$21:$C$61,$N$21:$N$61,$N22,TRUE)</f>
        <v>2171.8570551270027</v>
      </c>
      <c r="F22" s="105"/>
      <c r="G22"/>
      <c r="H22"/>
      <c r="I22"/>
      <c r="M22" s="2"/>
      <c r="N22" s="12">
        <f t="shared" si="1"/>
        <v>2010.25</v>
      </c>
    </row>
    <row r="23" spans="1:14" x14ac:dyDescent="0.2">
      <c r="A23" s="122" t="str">
        <f t="shared" si="0"/>
        <v>6/30/2010</v>
      </c>
      <c r="B23" s="101"/>
      <c r="C23" s="214">
        <f>'[3]Boeckh (C)'!E27</f>
        <v>2198.6022721874997</v>
      </c>
      <c r="D23" s="133">
        <f t="shared" si="2"/>
        <v>2178.1759010465466</v>
      </c>
      <c r="E23" s="133">
        <f t="shared" si="3"/>
        <v>2183.6222319807011</v>
      </c>
      <c r="F23" s="105"/>
      <c r="G23"/>
      <c r="H23"/>
      <c r="I23"/>
      <c r="M23" s="2"/>
      <c r="N23" s="12">
        <f t="shared" si="1"/>
        <v>2010.5</v>
      </c>
    </row>
    <row r="24" spans="1:14" x14ac:dyDescent="0.2">
      <c r="A24" s="122" t="str">
        <f t="shared" si="0"/>
        <v>9/30/2010</v>
      </c>
      <c r="B24" s="57"/>
      <c r="C24" s="214">
        <f>'[3]Boeckh (C)'!E28</f>
        <v>2167.1941427916663</v>
      </c>
      <c r="D24" s="133">
        <f t="shared" si="2"/>
        <v>2191.1586265760998</v>
      </c>
      <c r="E24" s="133">
        <f t="shared" si="3"/>
        <v>2195.4511420280919</v>
      </c>
      <c r="F24" s="105"/>
      <c r="G24"/>
      <c r="H24"/>
      <c r="I24"/>
      <c r="M24" s="2"/>
      <c r="N24" s="12">
        <f t="shared" si="1"/>
        <v>2010.75</v>
      </c>
    </row>
    <row r="25" spans="1:14" x14ac:dyDescent="0.2">
      <c r="A25" s="122" t="str">
        <f t="shared" si="0"/>
        <v>12/31/2010</v>
      </c>
      <c r="B25" s="57"/>
      <c r="C25" s="214">
        <f>'[3]Boeckh (C)'!E29</f>
        <v>2144.3364395208332</v>
      </c>
      <c r="D25" s="133">
        <f t="shared" si="2"/>
        <v>2204.1413521056529</v>
      </c>
      <c r="E25" s="133">
        <f t="shared" si="3"/>
        <v>2207.344130518582</v>
      </c>
      <c r="F25" s="105"/>
      <c r="G25"/>
      <c r="H25"/>
      <c r="I25"/>
      <c r="M25" s="2"/>
      <c r="N25" s="12">
        <f t="shared" si="1"/>
        <v>2011</v>
      </c>
    </row>
    <row r="26" spans="1:14" x14ac:dyDescent="0.2">
      <c r="A26" s="122" t="str">
        <f t="shared" si="0"/>
        <v>3/31/2011</v>
      </c>
      <c r="B26" s="57"/>
      <c r="C26" s="214">
        <f>'[3]Boeckh (C)'!E30</f>
        <v>2143.2758905260416</v>
      </c>
      <c r="D26" s="133">
        <f t="shared" si="2"/>
        <v>2217.124077635206</v>
      </c>
      <c r="E26" s="133">
        <f t="shared" si="3"/>
        <v>2219.3015445717856</v>
      </c>
      <c r="F26" s="105"/>
      <c r="G26"/>
      <c r="H26"/>
      <c r="I26"/>
      <c r="M26" s="2"/>
      <c r="N26" s="12">
        <f t="shared" si="1"/>
        <v>2011.25</v>
      </c>
    </row>
    <row r="27" spans="1:14" x14ac:dyDescent="0.2">
      <c r="A27" s="122" t="str">
        <f t="shared" si="0"/>
        <v>6/30/2011</v>
      </c>
      <c r="B27" s="57"/>
      <c r="C27" s="214">
        <f>'[3]Boeckh (C)'!E31</f>
        <v>2155.0569833125001</v>
      </c>
      <c r="D27" s="133">
        <f t="shared" si="2"/>
        <v>2230.1068031647592</v>
      </c>
      <c r="E27" s="133">
        <f t="shared" si="3"/>
        <v>2231.3237331877144</v>
      </c>
      <c r="F27" s="105"/>
      <c r="G27"/>
      <c r="H27"/>
      <c r="I27"/>
      <c r="M27" s="2"/>
      <c r="N27" s="12">
        <f t="shared" si="1"/>
        <v>2011.5</v>
      </c>
    </row>
    <row r="28" spans="1:14" x14ac:dyDescent="0.2">
      <c r="A28" s="122" t="str">
        <f t="shared" si="0"/>
        <v>9/30/2011</v>
      </c>
      <c r="B28" s="57"/>
      <c r="C28" s="214">
        <f>'[3]Boeckh (C)'!E32</f>
        <v>2181.5434714583334</v>
      </c>
      <c r="D28" s="133">
        <f t="shared" si="2"/>
        <v>2243.0895286943123</v>
      </c>
      <c r="E28" s="133">
        <f t="shared" si="3"/>
        <v>2243.4110472569355</v>
      </c>
      <c r="F28" s="105"/>
      <c r="G28"/>
      <c r="H28"/>
      <c r="I28"/>
      <c r="M28" s="2"/>
      <c r="N28" s="12">
        <f t="shared" si="1"/>
        <v>2011.75</v>
      </c>
    </row>
    <row r="29" spans="1:14" x14ac:dyDescent="0.2">
      <c r="A29" s="122" t="str">
        <f t="shared" si="0"/>
        <v>12/31/2011</v>
      </c>
      <c r="B29" s="57"/>
      <c r="C29" s="214">
        <f>'[3]Boeckh (C)'!E33</f>
        <v>2220.5999619166669</v>
      </c>
      <c r="D29" s="133">
        <f t="shared" si="2"/>
        <v>2256.0722542238655</v>
      </c>
      <c r="E29" s="133">
        <f t="shared" si="3"/>
        <v>2255.5638395708734</v>
      </c>
      <c r="F29" s="105"/>
      <c r="G29"/>
      <c r="H29"/>
      <c r="I29"/>
      <c r="M29" s="2"/>
      <c r="N29" s="12">
        <f t="shared" si="1"/>
        <v>2012</v>
      </c>
    </row>
    <row r="30" spans="1:14" x14ac:dyDescent="0.2">
      <c r="A30" s="122" t="str">
        <f t="shared" si="0"/>
        <v>3/31/2012</v>
      </c>
      <c r="B30" s="57"/>
      <c r="C30" s="214">
        <f>'[3]Boeckh (C)'!E34</f>
        <v>2252.1624615364585</v>
      </c>
      <c r="D30" s="133">
        <f t="shared" si="2"/>
        <v>2269.0549797534186</v>
      </c>
      <c r="E30" s="133">
        <f t="shared" si="3"/>
        <v>2267.7824648320129</v>
      </c>
      <c r="F30" s="105"/>
      <c r="G30"/>
      <c r="H30"/>
      <c r="I30"/>
      <c r="M30" s="2"/>
      <c r="N30" s="12">
        <f t="shared" si="1"/>
        <v>2012.25</v>
      </c>
    </row>
    <row r="31" spans="1:14" x14ac:dyDescent="0.2">
      <c r="A31" s="122" t="str">
        <f t="shared" si="0"/>
        <v>6/30/2012</v>
      </c>
      <c r="B31" s="135"/>
      <c r="C31" s="214">
        <f>'[3]Boeckh (C)'!E35</f>
        <v>2277.3598000000002</v>
      </c>
      <c r="D31" s="133">
        <f t="shared" si="2"/>
        <v>2282.0377052829717</v>
      </c>
      <c r="E31" s="133">
        <f t="shared" si="3"/>
        <v>2280.0672796643157</v>
      </c>
      <c r="F31" s="105"/>
      <c r="G31"/>
      <c r="H31"/>
      <c r="I31"/>
      <c r="M31" s="2"/>
      <c r="N31" s="12">
        <f t="shared" si="1"/>
        <v>2012.5</v>
      </c>
    </row>
    <row r="32" spans="1:14" x14ac:dyDescent="0.2">
      <c r="A32" s="122" t="str">
        <f t="shared" si="0"/>
        <v>9/30/2012</v>
      </c>
      <c r="B32" s="135"/>
      <c r="C32" s="214">
        <f>'[3]Boeckh (C)'!E36</f>
        <v>2299.4267181249998</v>
      </c>
      <c r="D32" s="133">
        <f t="shared" si="2"/>
        <v>2295.0204308125249</v>
      </c>
      <c r="E32" s="133">
        <f t="shared" si="3"/>
        <v>2292.418642623596</v>
      </c>
      <c r="F32" s="105"/>
      <c r="G32"/>
      <c r="H32"/>
      <c r="I32"/>
      <c r="M32" s="2"/>
      <c r="N32" s="12">
        <f t="shared" si="1"/>
        <v>2012.75</v>
      </c>
    </row>
    <row r="33" spans="1:14" x14ac:dyDescent="0.2">
      <c r="A33" s="122" t="str">
        <f t="shared" si="0"/>
        <v>12/31/2012</v>
      </c>
      <c r="B33" s="101"/>
      <c r="C33" s="214">
        <f>'[3]Boeckh (C)'!E37</f>
        <v>2320.3744796874998</v>
      </c>
      <c r="D33" s="133">
        <f t="shared" si="2"/>
        <v>2308.003156342078</v>
      </c>
      <c r="E33" s="133">
        <f t="shared" si="3"/>
        <v>2304.836914208051</v>
      </c>
      <c r="F33" s="105"/>
      <c r="G33"/>
      <c r="H33"/>
      <c r="I33"/>
      <c r="M33" s="2"/>
      <c r="N33" s="12">
        <f t="shared" si="1"/>
        <v>2013</v>
      </c>
    </row>
    <row r="34" spans="1:14" x14ac:dyDescent="0.2">
      <c r="A34" s="122" t="str">
        <f t="shared" si="0"/>
        <v>3/31/2013</v>
      </c>
      <c r="B34" s="101"/>
      <c r="C34" s="214">
        <f>'[3]Boeckh (C)'!E38</f>
        <v>2337.9761750000002</v>
      </c>
      <c r="D34" s="133">
        <f t="shared" si="2"/>
        <v>2320.9858818716311</v>
      </c>
      <c r="E34" s="133">
        <f t="shared" si="3"/>
        <v>2317.3224568686865</v>
      </c>
      <c r="F34" s="105"/>
      <c r="G34"/>
      <c r="H34"/>
      <c r="I34"/>
      <c r="M34" s="2"/>
      <c r="N34" s="12">
        <f t="shared" si="1"/>
        <v>2013.25</v>
      </c>
    </row>
    <row r="35" spans="1:14" x14ac:dyDescent="0.2">
      <c r="A35" s="122" t="str">
        <f t="shared" si="0"/>
        <v>6/30/2013</v>
      </c>
      <c r="B35" s="135"/>
      <c r="C35" s="214">
        <f>'[3]Boeckh (C)'!E39</f>
        <v>2349.4933415625001</v>
      </c>
      <c r="D35" s="133">
        <f t="shared" si="2"/>
        <v>2333.9686074011843</v>
      </c>
      <c r="E35" s="133">
        <f t="shared" si="3"/>
        <v>2329.8756350199592</v>
      </c>
      <c r="F35" s="105"/>
      <c r="G35"/>
      <c r="H35"/>
      <c r="I35"/>
      <c r="M35" s="2"/>
      <c r="N35" s="12">
        <f t="shared" si="1"/>
        <v>2013.5</v>
      </c>
    </row>
    <row r="36" spans="1:14" x14ac:dyDescent="0.2">
      <c r="A36" s="122" t="str">
        <f t="shared" si="0"/>
        <v>9/30/2013</v>
      </c>
      <c r="B36" s="21"/>
      <c r="C36" s="214">
        <f>'[3]Boeckh (C)'!E40</f>
        <v>2359.7791646875003</v>
      </c>
      <c r="D36" s="133">
        <f t="shared" si="2"/>
        <v>2346.9513329307374</v>
      </c>
      <c r="E36" s="133">
        <f t="shared" si="3"/>
        <v>2342.4968150503796</v>
      </c>
      <c r="F36" s="105"/>
      <c r="G36"/>
      <c r="H36"/>
      <c r="I36"/>
      <c r="M36" s="2"/>
      <c r="N36" s="12">
        <f t="shared" si="1"/>
        <v>2013.75</v>
      </c>
    </row>
    <row r="37" spans="1:14" x14ac:dyDescent="0.2">
      <c r="A37" s="122" t="str">
        <f t="shared" si="0"/>
        <v>12/31/2013</v>
      </c>
      <c r="B37" s="21"/>
      <c r="C37" s="214">
        <f>'[3]Boeckh (C)'!E41</f>
        <v>2370.48975875</v>
      </c>
      <c r="D37" s="133">
        <f t="shared" si="2"/>
        <v>2359.9340584602905</v>
      </c>
      <c r="E37" s="133">
        <f t="shared" si="3"/>
        <v>2355.1863653332744</v>
      </c>
      <c r="F37" s="105"/>
      <c r="G37"/>
      <c r="H37"/>
      <c r="I37"/>
      <c r="M37" s="2"/>
      <c r="N37" s="12">
        <f t="shared" si="1"/>
        <v>2014</v>
      </c>
    </row>
    <row r="38" spans="1:14" x14ac:dyDescent="0.2">
      <c r="A38" s="122" t="str">
        <f t="shared" si="0"/>
        <v>3/31/2014</v>
      </c>
      <c r="B38" s="21"/>
      <c r="C38" s="214">
        <f>'[3]Boeckh (C)'!E42</f>
        <v>2388.1874668749997</v>
      </c>
      <c r="D38" s="133">
        <f>TREND($C$21:$C$61,$N$21:$N$61,$N38,TRUE)</f>
        <v>2372.9167839898437</v>
      </c>
      <c r="E38" s="133">
        <f t="shared" si="3"/>
        <v>2367.944656237436</v>
      </c>
      <c r="F38" s="105"/>
      <c r="G38"/>
      <c r="H38"/>
      <c r="I38"/>
      <c r="M38" s="2"/>
      <c r="N38" s="12">
        <f t="shared" si="1"/>
        <v>2014.25</v>
      </c>
    </row>
    <row r="39" spans="1:14" x14ac:dyDescent="0.2">
      <c r="A39" s="122" t="str">
        <f t="shared" si="0"/>
        <v>6/30/2014</v>
      </c>
      <c r="B39" s="21"/>
      <c r="C39" s="214">
        <f>'[3]Boeckh (C)'!E43</f>
        <v>2411.3442974999998</v>
      </c>
      <c r="D39" s="133">
        <f t="shared" si="2"/>
        <v>2385.8995095193968</v>
      </c>
      <c r="E39" s="133">
        <f t="shared" si="3"/>
        <v>2380.7720601380001</v>
      </c>
      <c r="F39" s="105"/>
      <c r="G39"/>
      <c r="H39"/>
      <c r="I39"/>
      <c r="M39" s="2"/>
      <c r="N39" s="12">
        <f t="shared" si="1"/>
        <v>2014.5</v>
      </c>
    </row>
    <row r="40" spans="1:14" x14ac:dyDescent="0.2">
      <c r="A40" s="122" t="str">
        <f t="shared" si="0"/>
        <v>9/30/2014</v>
      </c>
      <c r="B40" s="21"/>
      <c r="C40" s="214">
        <f>'[3]Boeckh (C)'!E44</f>
        <v>2431.1194746874999</v>
      </c>
      <c r="D40" s="133">
        <f t="shared" si="2"/>
        <v>2398.88223504895</v>
      </c>
      <c r="E40" s="133">
        <f t="shared" si="3"/>
        <v>2393.6689514272812</v>
      </c>
      <c r="F40" s="105"/>
      <c r="G40"/>
      <c r="H40"/>
      <c r="I40"/>
      <c r="M40" s="2"/>
      <c r="N40" s="12">
        <f t="shared" si="1"/>
        <v>2014.75</v>
      </c>
    </row>
    <row r="41" spans="1:14" x14ac:dyDescent="0.2">
      <c r="A41" s="122" t="str">
        <f t="shared" si="0"/>
        <v>12/31/2014</v>
      </c>
      <c r="B41" s="21"/>
      <c r="C41" s="214">
        <f>'[3]Boeckh (C)'!E45</f>
        <v>2450.8795553125001</v>
      </c>
      <c r="D41" s="133">
        <f t="shared" si="2"/>
        <v>2411.8649605785031</v>
      </c>
      <c r="E41" s="133">
        <f t="shared" si="3"/>
        <v>2406.6357065257666</v>
      </c>
      <c r="F41" s="105"/>
      <c r="G41"/>
      <c r="H41"/>
      <c r="I41"/>
      <c r="M41" s="2"/>
      <c r="N41" s="12">
        <f t="shared" si="1"/>
        <v>2015</v>
      </c>
    </row>
    <row r="42" spans="1:14" x14ac:dyDescent="0.2">
      <c r="A42" s="122" t="str">
        <f t="shared" si="0"/>
        <v>3/31/2015</v>
      </c>
      <c r="B42" s="21"/>
      <c r="C42" s="214">
        <f>'[3]Boeckh (C)'!E46</f>
        <v>2465.8835659375</v>
      </c>
      <c r="D42" s="133">
        <f t="shared" si="2"/>
        <v>2424.8476861080562</v>
      </c>
      <c r="E42" s="133">
        <f t="shared" si="3"/>
        <v>2419.6727038930017</v>
      </c>
      <c r="F42" s="105"/>
      <c r="G42"/>
      <c r="H42"/>
      <c r="I42"/>
      <c r="M42" s="2"/>
      <c r="N42" s="12">
        <f t="shared" si="1"/>
        <v>2015.25</v>
      </c>
    </row>
    <row r="43" spans="1:14" x14ac:dyDescent="0.2">
      <c r="A43" s="122" t="str">
        <f t="shared" si="0"/>
        <v>6/30/2015</v>
      </c>
      <c r="B43" s="135"/>
      <c r="C43" s="214">
        <f>'[3]Boeckh (C)'!E47</f>
        <v>2477.5474281249999</v>
      </c>
      <c r="D43" s="133">
        <f t="shared" si="2"/>
        <v>2437.8304116376094</v>
      </c>
      <c r="E43" s="133">
        <f t="shared" si="3"/>
        <v>2432.7803240387038</v>
      </c>
      <c r="F43" s="105"/>
      <c r="G43"/>
      <c r="H43"/>
      <c r="I43"/>
      <c r="M43" s="2"/>
      <c r="N43" s="12">
        <f t="shared" si="1"/>
        <v>2015.5</v>
      </c>
    </row>
    <row r="44" spans="1:14" x14ac:dyDescent="0.2">
      <c r="A44" s="122" t="str">
        <f t="shared" si="0"/>
        <v>9/30/2015</v>
      </c>
      <c r="B44" s="21"/>
      <c r="C44" s="214">
        <f>'[3]Boeckh (C)'!E48</f>
        <v>2486.8449137499997</v>
      </c>
      <c r="D44" s="133">
        <f t="shared" si="2"/>
        <v>2450.8131371671625</v>
      </c>
      <c r="E44" s="133">
        <f t="shared" si="3"/>
        <v>2445.9589495338341</v>
      </c>
      <c r="F44" s="105"/>
      <c r="G44"/>
      <c r="H44"/>
      <c r="I44"/>
      <c r="M44" s="2"/>
      <c r="N44" s="12">
        <f t="shared" si="1"/>
        <v>2015.75</v>
      </c>
    </row>
    <row r="45" spans="1:14" x14ac:dyDescent="0.2">
      <c r="A45" s="122" t="str">
        <f t="shared" si="0"/>
        <v>12/31/2015</v>
      </c>
      <c r="B45" s="21"/>
      <c r="C45" s="214">
        <f>'[3]Boeckh (C)'!E49</f>
        <v>2492.8528618749997</v>
      </c>
      <c r="D45" s="133">
        <f t="shared" si="2"/>
        <v>2463.7958626967156</v>
      </c>
      <c r="E45" s="133">
        <f t="shared" si="3"/>
        <v>2459.2089650218331</v>
      </c>
      <c r="F45" s="105"/>
      <c r="G45"/>
      <c r="H45"/>
      <c r="I45"/>
      <c r="M45" s="2"/>
      <c r="N45" s="12">
        <f t="shared" si="1"/>
        <v>2016</v>
      </c>
    </row>
    <row r="46" spans="1:14" x14ac:dyDescent="0.2">
      <c r="A46" s="122" t="str">
        <f t="shared" si="0"/>
        <v>3/31/2016</v>
      </c>
      <c r="B46" s="21"/>
      <c r="C46" s="214">
        <f>'[3]Boeckh (C)'!E50</f>
        <v>2493.6314934374996</v>
      </c>
      <c r="D46" s="133">
        <f t="shared" si="2"/>
        <v>2476.7785882262688</v>
      </c>
      <c r="E46" s="133">
        <f t="shared" si="3"/>
        <v>2472.530757229742</v>
      </c>
      <c r="F46" s="105"/>
      <c r="G46"/>
      <c r="H46"/>
      <c r="I46"/>
      <c r="M46" s="2"/>
      <c r="N46" s="12">
        <f t="shared" si="1"/>
        <v>2016.25</v>
      </c>
    </row>
    <row r="47" spans="1:14" x14ac:dyDescent="0.2">
      <c r="A47" s="122" t="str">
        <f t="shared" si="0"/>
        <v>6/30/2016</v>
      </c>
      <c r="B47" s="21"/>
      <c r="C47" s="214">
        <f>'[3]Boeckh (C)'!E51</f>
        <v>2490.8853659375</v>
      </c>
      <c r="D47" s="133">
        <f t="shared" si="2"/>
        <v>2489.7613137558219</v>
      </c>
      <c r="E47" s="133">
        <f t="shared" si="3"/>
        <v>2485.924714979561</v>
      </c>
      <c r="F47" s="105"/>
      <c r="G47"/>
      <c r="H47"/>
      <c r="I47"/>
      <c r="M47" s="2"/>
      <c r="N47" s="12">
        <f t="shared" si="1"/>
        <v>2016.5</v>
      </c>
    </row>
    <row r="48" spans="1:14" x14ac:dyDescent="0.2">
      <c r="A48" s="122" t="str">
        <f t="shared" si="0"/>
        <v>9/30/2016</v>
      </c>
      <c r="B48" s="135"/>
      <c r="C48" s="214">
        <f>'[3]Boeckh (C)'!E52</f>
        <v>2485.9081421874998</v>
      </c>
      <c r="D48" s="133">
        <f t="shared" si="2"/>
        <v>2502.744039285375</v>
      </c>
      <c r="E48" s="133">
        <f t="shared" si="3"/>
        <v>2499.3912291995616</v>
      </c>
      <c r="F48" s="105"/>
      <c r="G48"/>
      <c r="H48"/>
      <c r="I48"/>
      <c r="M48" s="2"/>
      <c r="N48" s="12">
        <f t="shared" si="1"/>
        <v>2016.75</v>
      </c>
    </row>
    <row r="49" spans="1:14" x14ac:dyDescent="0.2">
      <c r="A49" s="122" t="str">
        <f t="shared" si="0"/>
        <v>12/31/2016</v>
      </c>
      <c r="B49" s="21"/>
      <c r="C49" s="214">
        <f>'[3]Boeckh (C)'!E53</f>
        <v>2482.1426353124998</v>
      </c>
      <c r="D49" s="133">
        <f t="shared" si="2"/>
        <v>2515.7267648149282</v>
      </c>
      <c r="E49" s="133">
        <f t="shared" si="3"/>
        <v>2512.9306929357681</v>
      </c>
      <c r="F49" s="105"/>
      <c r="G49"/>
      <c r="H49"/>
      <c r="I49"/>
      <c r="M49" s="2"/>
      <c r="N49" s="12">
        <f t="shared" si="1"/>
        <v>2017</v>
      </c>
    </row>
    <row r="50" spans="1:14" x14ac:dyDescent="0.2">
      <c r="A50" s="122" t="str">
        <f t="shared" si="0"/>
        <v>3/31/2017</v>
      </c>
      <c r="B50" s="21"/>
      <c r="C50" s="214">
        <f>'[3]Boeckh (C)'!E54</f>
        <v>2484.2557490624999</v>
      </c>
      <c r="D50" s="133">
        <f t="shared" si="2"/>
        <v>2528.7094903444813</v>
      </c>
      <c r="E50" s="133">
        <f t="shared" si="3"/>
        <v>2526.5435013633228</v>
      </c>
      <c r="F50" s="105"/>
      <c r="G50"/>
      <c r="H50"/>
      <c r="I50"/>
      <c r="M50" s="2"/>
      <c r="N50" s="12">
        <f t="shared" si="1"/>
        <v>2017.25</v>
      </c>
    </row>
    <row r="51" spans="1:14" x14ac:dyDescent="0.2">
      <c r="A51" s="122" t="str">
        <f t="shared" si="0"/>
        <v>6/30/2017</v>
      </c>
      <c r="B51" s="21"/>
      <c r="C51" s="214">
        <f>'[3]Boeckh (C)'!E55</f>
        <v>2494.8181668749999</v>
      </c>
      <c r="D51" s="133">
        <f>TREND($C$21:$C$61,$N$21:$N$61,$N51,TRUE)</f>
        <v>2541.6922158740344</v>
      </c>
      <c r="E51" s="133">
        <f t="shared" si="3"/>
        <v>2540.2300517980725</v>
      </c>
      <c r="F51" s="105"/>
      <c r="G51"/>
      <c r="H51"/>
      <c r="I51"/>
      <c r="M51" s="2"/>
      <c r="N51" s="12">
        <f t="shared" si="1"/>
        <v>2017.5</v>
      </c>
    </row>
    <row r="52" spans="1:14" x14ac:dyDescent="0.2">
      <c r="A52" s="122" t="str">
        <f t="shared" si="0"/>
        <v>9/30/2017</v>
      </c>
      <c r="B52" s="122"/>
      <c r="C52" s="214">
        <f>'[3]Boeckh (C)'!E56</f>
        <v>2509.927030625</v>
      </c>
      <c r="D52" s="133">
        <f t="shared" si="2"/>
        <v>2554.6749414035876</v>
      </c>
      <c r="E52" s="133">
        <f t="shared" si="3"/>
        <v>2553.9907437082211</v>
      </c>
      <c r="F52" s="105"/>
      <c r="G52"/>
      <c r="H52"/>
      <c r="I52"/>
      <c r="M52" s="2"/>
      <c r="N52" s="12">
        <f t="shared" si="1"/>
        <v>2017.75</v>
      </c>
    </row>
    <row r="53" spans="1:14" x14ac:dyDescent="0.2">
      <c r="A53" s="122" t="str">
        <f t="shared" si="0"/>
        <v>12/31/2017</v>
      </c>
      <c r="B53" s="42"/>
      <c r="C53" s="214">
        <f>'[3]Boeckh (C)'!E57</f>
        <v>2528.3060978125</v>
      </c>
      <c r="D53" s="133">
        <f t="shared" si="2"/>
        <v>2567.6576669331407</v>
      </c>
      <c r="E53" s="133">
        <f t="shared" si="3"/>
        <v>2567.8259787258771</v>
      </c>
      <c r="F53" s="105"/>
      <c r="G53"/>
      <c r="H53"/>
      <c r="I53"/>
      <c r="M53" s="2"/>
      <c r="N53" s="12">
        <f t="shared" si="1"/>
        <v>2018</v>
      </c>
    </row>
    <row r="54" spans="1:14" x14ac:dyDescent="0.2">
      <c r="A54" s="122" t="str">
        <f t="shared" si="0"/>
        <v>3/31/2018</v>
      </c>
      <c r="B54" s="122"/>
      <c r="C54" s="214">
        <f>'[3]Boeckh (C)'!E58</f>
        <v>2547.1608884375</v>
      </c>
      <c r="D54" s="133">
        <f t="shared" si="2"/>
        <v>2580.6403924626939</v>
      </c>
      <c r="E54" s="133">
        <f t="shared" si="3"/>
        <v>2581.7361606588515</v>
      </c>
      <c r="F54" s="105"/>
      <c r="G54"/>
      <c r="H54"/>
      <c r="I54"/>
      <c r="M54" s="2"/>
      <c r="N54" s="12">
        <f t="shared" ref="N54:N60" si="4">YEAR(A54)+MONTH(A54)/12</f>
        <v>2018.25</v>
      </c>
    </row>
    <row r="55" spans="1:14" x14ac:dyDescent="0.2">
      <c r="A55" s="122" t="str">
        <f t="shared" si="0"/>
        <v>6/30/2018</v>
      </c>
      <c r="B55" s="122"/>
      <c r="C55" s="214">
        <f>'[3]Boeckh (C)'!E59</f>
        <v>2569.7896781250001</v>
      </c>
      <c r="D55" s="133">
        <f t="shared" si="2"/>
        <v>2593.623117992247</v>
      </c>
      <c r="E55" s="133">
        <f t="shared" si="3"/>
        <v>2595.7216955024073</v>
      </c>
      <c r="F55" s="105"/>
      <c r="G55"/>
      <c r="H55"/>
      <c r="I55"/>
      <c r="M55" s="2"/>
      <c r="N55" s="12">
        <f t="shared" si="4"/>
        <v>2018.5</v>
      </c>
    </row>
    <row r="56" spans="1:14" x14ac:dyDescent="0.2">
      <c r="A56" s="122" t="str">
        <f t="shared" si="0"/>
        <v>9/30/2018</v>
      </c>
      <c r="B56" s="122"/>
      <c r="C56" s="214">
        <f>'[3]Boeckh (C)'!E60</f>
        <v>2597.5666859375001</v>
      </c>
      <c r="D56" s="133">
        <f t="shared" si="2"/>
        <v>2606.6058435218001</v>
      </c>
      <c r="E56" s="133">
        <f t="shared" si="3"/>
        <v>2609.782991451179</v>
      </c>
      <c r="F56" s="105"/>
      <c r="G56"/>
      <c r="H56"/>
      <c r="I56"/>
      <c r="M56" s="2"/>
      <c r="N56" s="12">
        <f t="shared" si="4"/>
        <v>2018.75</v>
      </c>
    </row>
    <row r="57" spans="1:14" x14ac:dyDescent="0.2">
      <c r="A57" s="122" t="str">
        <f t="shared" si="0"/>
        <v>12/31/2018</v>
      </c>
      <c r="B57" s="42"/>
      <c r="C57" s="214">
        <f>'[3]Boeckh (C)'!E61</f>
        <v>2632.3446362499999</v>
      </c>
      <c r="D57" s="133">
        <f t="shared" si="2"/>
        <v>2619.5885690513533</v>
      </c>
      <c r="E57" s="133">
        <f t="shared" si="3"/>
        <v>2623.92045891098</v>
      </c>
      <c r="F57" s="105"/>
      <c r="G57"/>
      <c r="H57"/>
      <c r="I57"/>
      <c r="M57" s="2"/>
      <c r="N57" s="12">
        <f t="shared" si="4"/>
        <v>2019</v>
      </c>
    </row>
    <row r="58" spans="1:14" x14ac:dyDescent="0.2">
      <c r="A58" s="122" t="str">
        <f t="shared" si="0"/>
        <v>3/31/2019</v>
      </c>
      <c r="B58" s="122"/>
      <c r="C58" s="214">
        <f>'[3]Boeckh (C)'!E62</f>
        <v>2661.7983071875001</v>
      </c>
      <c r="D58" s="133">
        <f t="shared" si="2"/>
        <v>2632.5712945809064</v>
      </c>
      <c r="E58" s="133">
        <f>GROWTH($C$21:$C$61,$N$21:$N$61,$N58,TRUE)</f>
        <v>2638.1345105108539</v>
      </c>
      <c r="F58" s="105"/>
      <c r="G58"/>
      <c r="H58"/>
      <c r="I58"/>
      <c r="M58" s="2"/>
      <c r="N58" s="12">
        <f t="shared" si="4"/>
        <v>2019.25</v>
      </c>
    </row>
    <row r="59" spans="1:14" x14ac:dyDescent="0.2">
      <c r="A59" s="122" t="str">
        <f t="shared" si="0"/>
        <v>6/30/2019</v>
      </c>
      <c r="B59" s="122"/>
      <c r="C59" s="214">
        <f>'[3]Boeckh (C)'!E63</f>
        <v>2677.5675346874996</v>
      </c>
      <c r="D59" s="133">
        <f>TREND($C$21:$C$61,$N$21:$N$61,$N59,TRUE)</f>
        <v>2645.5540201104595</v>
      </c>
      <c r="E59" s="133">
        <f t="shared" si="3"/>
        <v>2652.4255611150797</v>
      </c>
      <c r="F59" s="105"/>
      <c r="G59"/>
      <c r="H59"/>
      <c r="I59"/>
      <c r="M59" s="2"/>
      <c r="N59" s="12">
        <f t="shared" si="4"/>
        <v>2019.5</v>
      </c>
    </row>
    <row r="60" spans="1:14" x14ac:dyDescent="0.2">
      <c r="A60" s="122" t="str">
        <f t="shared" si="0"/>
        <v>9/30/2019</v>
      </c>
      <c r="B60" s="122"/>
      <c r="C60" s="214">
        <f>'[3]Boeckh (C)'!E64</f>
        <v>2684.1566337499999</v>
      </c>
      <c r="D60" s="133">
        <f>TREND($C$21:$C$61,$N$21:$N$61,$N60,TRUE)</f>
        <v>2658.5367456400127</v>
      </c>
      <c r="E60" s="133">
        <f t="shared" si="3"/>
        <v>2666.7940278353562</v>
      </c>
      <c r="F60" s="105"/>
      <c r="G60"/>
      <c r="H60"/>
      <c r="I60"/>
      <c r="M60" s="2"/>
      <c r="N60" s="12">
        <f t="shared" si="4"/>
        <v>2019.75</v>
      </c>
    </row>
    <row r="61" spans="1:14" x14ac:dyDescent="0.2">
      <c r="A61" s="242" t="str">
        <f>TEXT(N9,"m/d/yyyy")</f>
        <v>12/31/2019</v>
      </c>
      <c r="B61" s="42"/>
      <c r="C61" s="214">
        <f>'[3]Boeckh (C)'!E65</f>
        <v>2679.7878162500001</v>
      </c>
      <c r="D61" s="133">
        <f>TREND($C$21:$C$61,$N$21:$N$61,$N61,TRUE)</f>
        <v>2671.5194711695658</v>
      </c>
      <c r="E61" s="133">
        <f>GROWTH($C$21:$C$61,$N$21:$N$61,$N61,TRUE)</f>
        <v>2681.2403300428632</v>
      </c>
      <c r="F61" s="105"/>
      <c r="G61"/>
      <c r="H61"/>
      <c r="I61"/>
      <c r="M61" s="2"/>
      <c r="N61" s="12">
        <f>YEAR(A61)+MONTH(A61)/12</f>
        <v>2020</v>
      </c>
    </row>
    <row r="62" spans="1:14" x14ac:dyDescent="0.2">
      <c r="A62" s="188"/>
      <c r="B62" s="219"/>
      <c r="C62" s="188"/>
      <c r="D62" s="188"/>
      <c r="E62" s="188"/>
      <c r="F62"/>
      <c r="G62"/>
      <c r="H62"/>
      <c r="I62"/>
      <c r="M62" s="2"/>
    </row>
    <row r="63" spans="1:14" x14ac:dyDescent="0.2">
      <c r="A63" s="47"/>
      <c r="B63" s="122"/>
      <c r="C63" s="214"/>
      <c r="D63" s="47"/>
      <c r="E63" s="47"/>
      <c r="F63"/>
      <c r="G63"/>
      <c r="H63"/>
      <c r="I63"/>
      <c r="M63" s="2"/>
    </row>
    <row r="64" spans="1:14" x14ac:dyDescent="0.2">
      <c r="A64" s="12" t="s">
        <v>292</v>
      </c>
      <c r="C64"/>
      <c r="D64" s="19">
        <f>(D61-D57)/D57</f>
        <v>1.9824068073796254E-2</v>
      </c>
      <c r="E64" s="19">
        <f>LOGEST($C$42:$C$61,$N$42:$N$61,TRUE,TRUE)-1</f>
        <v>1.9116858266878589E-2</v>
      </c>
      <c r="F64"/>
      <c r="G64"/>
      <c r="H64"/>
      <c r="I64"/>
      <c r="M64" s="2"/>
    </row>
    <row r="65" spans="1:13" x14ac:dyDescent="0.2">
      <c r="A65" s="135" t="s">
        <v>293</v>
      </c>
      <c r="B65" s="128"/>
      <c r="C65" s="89"/>
      <c r="D65" s="119">
        <f>INDEX(LINEST($C$21:$C$61,$N$21:$N$61,TRUE,TRUE),3,1)</f>
        <v>0.94222436242474072</v>
      </c>
      <c r="E65" s="119">
        <f>INDEX(LOGEST($C$21:$C$61,$N$21:$N$61,TRUE,TRUE),3,1)</f>
        <v>0.9370793424263425</v>
      </c>
      <c r="F65"/>
      <c r="G65"/>
      <c r="H65"/>
      <c r="I65"/>
      <c r="M65" s="2"/>
    </row>
    <row r="66" spans="1:13" ht="12" thickBot="1" x14ac:dyDescent="0.25">
      <c r="A66" s="6"/>
      <c r="B66" s="6"/>
      <c r="C66" s="6"/>
      <c r="D66" s="6"/>
      <c r="E66" s="6"/>
      <c r="F66"/>
      <c r="G66"/>
      <c r="H66"/>
      <c r="I66"/>
      <c r="M66" s="2"/>
    </row>
    <row r="67" spans="1:13" ht="12" thickTop="1" x14ac:dyDescent="0.2">
      <c r="A67"/>
      <c r="B67"/>
      <c r="C67"/>
      <c r="D67"/>
      <c r="E67"/>
      <c r="F67"/>
      <c r="G67"/>
      <c r="H67"/>
      <c r="I67"/>
      <c r="M67" s="2"/>
    </row>
    <row r="68" spans="1:13" x14ac:dyDescent="0.2">
      <c r="A68" t="s">
        <v>18</v>
      </c>
      <c r="B68"/>
      <c r="F68"/>
      <c r="G68"/>
      <c r="H68"/>
      <c r="I68"/>
      <c r="J68"/>
      <c r="K68"/>
      <c r="L68"/>
      <c r="M68" s="2"/>
    </row>
    <row r="69" spans="1:13" x14ac:dyDescent="0.2">
      <c r="A69"/>
      <c r="B69" s="21" t="str">
        <f>C12&amp;" = Average Index for Corpus Christi and Houston"</f>
        <v>(2) = Average Index for Corpus Christi and Houston</v>
      </c>
      <c r="C69"/>
      <c r="D69"/>
      <c r="E69"/>
      <c r="F69"/>
      <c r="G69"/>
      <c r="H69"/>
      <c r="I69"/>
      <c r="J69"/>
      <c r="K69"/>
      <c r="L69"/>
      <c r="M69" s="2"/>
    </row>
    <row r="70" spans="1:13" ht="12" thickBot="1" x14ac:dyDescent="0.25">
      <c r="A70" s="118"/>
      <c r="B70" s="21" t="str">
        <f>D12&amp;" - "&amp;E12&amp;" = "&amp;C12&amp;" fitted to linear and exponential distributions"</f>
        <v>(3) - (4) = (2) fitted to linear and exponential distributions</v>
      </c>
      <c r="C70" s="118"/>
      <c r="D70" s="118"/>
      <c r="E70" s="118"/>
      <c r="F70"/>
      <c r="G70"/>
      <c r="H70"/>
      <c r="I70"/>
      <c r="M70" s="2"/>
    </row>
    <row r="71" spans="1:13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0">
    <tabColor rgb="FF92D050"/>
  </sheetPr>
  <dimension ref="A1:N69"/>
  <sheetViews>
    <sheetView showGridLines="0" zoomScaleNormal="100" workbookViewId="0">
      <selection activeCell="L59" sqref="L59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5" style="12" customWidth="1"/>
    <col min="12" max="12" width="3.5" style="12" customWidth="1"/>
    <col min="13" max="16384" width="11.33203125" style="12"/>
  </cols>
  <sheetData>
    <row r="1" spans="1:14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47</v>
      </c>
      <c r="M1" s="1"/>
    </row>
    <row r="2" spans="1:14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L2" s="7" t="s">
        <v>295</v>
      </c>
      <c r="M2" s="2"/>
    </row>
    <row r="3" spans="1:14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4" x14ac:dyDescent="0.2">
      <c r="A4" s="124" t="s">
        <v>268</v>
      </c>
      <c r="C4"/>
      <c r="D4"/>
      <c r="E4"/>
      <c r="F4"/>
      <c r="G4"/>
      <c r="H4"/>
      <c r="I4"/>
      <c r="J4"/>
      <c r="K4"/>
      <c r="L4"/>
      <c r="M4" s="2"/>
    </row>
    <row r="5" spans="1:14" x14ac:dyDescent="0.2">
      <c r="A5" s="138" t="s">
        <v>296</v>
      </c>
      <c r="B5" s="21"/>
      <c r="C5" s="57"/>
      <c r="D5" s="57"/>
      <c r="E5" s="57"/>
      <c r="F5"/>
      <c r="G5"/>
      <c r="H5"/>
      <c r="I5"/>
      <c r="J5"/>
      <c r="K5"/>
      <c r="L5"/>
      <c r="M5" s="2"/>
    </row>
    <row r="6" spans="1:14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4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47"/>
      <c r="M7" s="2"/>
    </row>
    <row r="8" spans="1:14" ht="12" thickTop="1" x14ac:dyDescent="0.2">
      <c r="A8"/>
      <c r="B8"/>
      <c r="C8"/>
      <c r="D8"/>
      <c r="E8"/>
      <c r="F8"/>
      <c r="G8"/>
      <c r="H8"/>
      <c r="I8" s="47"/>
      <c r="J8"/>
      <c r="K8" s="47"/>
      <c r="L8" s="47"/>
      <c r="M8" s="2"/>
      <c r="N8" t="s">
        <v>283</v>
      </c>
    </row>
    <row r="9" spans="1:14" x14ac:dyDescent="0.2">
      <c r="A9"/>
      <c r="B9"/>
      <c r="C9" s="21"/>
      <c r="D9" s="10" t="s">
        <v>285</v>
      </c>
      <c r="E9"/>
      <c r="F9" s="10"/>
      <c r="G9"/>
      <c r="H9"/>
      <c r="I9"/>
      <c r="J9"/>
      <c r="K9"/>
      <c r="L9"/>
      <c r="M9" s="2"/>
      <c r="N9" s="102">
        <v>43830</v>
      </c>
    </row>
    <row r="10" spans="1:14" x14ac:dyDescent="0.2">
      <c r="A10" t="s">
        <v>270</v>
      </c>
      <c r="B10"/>
      <c r="C10" t="s">
        <v>273</v>
      </c>
      <c r="D10" t="s">
        <v>286</v>
      </c>
      <c r="E10"/>
      <c r="F10" t="s">
        <v>287</v>
      </c>
      <c r="G10"/>
      <c r="H10" t="s">
        <v>288</v>
      </c>
      <c r="I10"/>
      <c r="J10" t="s">
        <v>289</v>
      </c>
      <c r="K10"/>
      <c r="L10"/>
      <c r="M10" s="2"/>
    </row>
    <row r="11" spans="1:14" x14ac:dyDescent="0.2">
      <c r="A11" s="9" t="s">
        <v>27</v>
      </c>
      <c r="B11" s="9"/>
      <c r="C11" s="9" t="s">
        <v>276</v>
      </c>
      <c r="D11" s="9" t="s">
        <v>290</v>
      </c>
      <c r="E11" s="9" t="s">
        <v>291</v>
      </c>
      <c r="F11" s="9" t="s">
        <v>290</v>
      </c>
      <c r="G11" s="9" t="s">
        <v>291</v>
      </c>
      <c r="H11" s="9" t="s">
        <v>290</v>
      </c>
      <c r="I11" s="9" t="s">
        <v>291</v>
      </c>
      <c r="J11" s="9" t="s">
        <v>290</v>
      </c>
      <c r="K11" s="9" t="s">
        <v>291</v>
      </c>
      <c r="L11" s="47"/>
      <c r="M11" s="2"/>
      <c r="N11" s="9" t="s">
        <v>265</v>
      </c>
    </row>
    <row r="12" spans="1:14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4" x14ac:dyDescent="0.2">
      <c r="A14" s="21" t="str">
        <f>TEXT(DATE(YEAR(A15+1),MONTH(A15+1)-3,1)-1,"m/d/yyyy")</f>
        <v>9/30/2009</v>
      </c>
      <c r="B14" s="54"/>
      <c r="C14" s="282">
        <f>[3]CPI!H92</f>
        <v>179.3</v>
      </c>
      <c r="D14" s="133">
        <f>TREND($C$14:$C$55,$N$14:$N$55,$N14,TRUE)</f>
        <v>177.20470653377561</v>
      </c>
      <c r="E14" s="133">
        <f>GROWTH($C$14:$C$55,$N$14:$N$55,$N14,TRUE)</f>
        <v>177.40683324442401</v>
      </c>
      <c r="F14" s="133"/>
      <c r="G14" s="133"/>
      <c r="H14" s="34"/>
      <c r="I14" s="57"/>
      <c r="J14" s="34"/>
      <c r="K14" s="57"/>
      <c r="L14" s="57"/>
      <c r="M14" s="2"/>
      <c r="N14" s="12">
        <f>YEAR(A14)+MONTH(A14)/12</f>
        <v>2009.75</v>
      </c>
    </row>
    <row r="15" spans="1:14" x14ac:dyDescent="0.2">
      <c r="A15" s="21" t="str">
        <f t="shared" ref="A15:A53" si="1">TEXT(DATE(YEAR(A16+1),MONTH(A16+1)-3,1)-1,"m/d/yyyy")</f>
        <v>12/31/2009</v>
      </c>
      <c r="B15" s="54"/>
      <c r="C15" s="282">
        <f>[3]CPI!H93</f>
        <v>178.8</v>
      </c>
      <c r="D15" s="133">
        <f t="shared" ref="D15:D54" si="2">TREND($C$14:$C$55,$N$14:$N$55,$N15,TRUE)</f>
        <v>177.74058612214048</v>
      </c>
      <c r="E15" s="133">
        <f t="shared" ref="E15:E54" si="3">GROWTH($C$14:$C$55,$N$14:$N$55,$N15,TRUE)</f>
        <v>177.91297911556074</v>
      </c>
      <c r="F15" s="133"/>
      <c r="G15" s="133"/>
      <c r="H15" s="34"/>
      <c r="I15" s="57"/>
      <c r="J15" s="34"/>
      <c r="K15" s="57"/>
      <c r="L15" s="57"/>
      <c r="M15" s="2"/>
      <c r="N15" s="12">
        <f>YEAR(A15)+MONTH(A15)/12</f>
        <v>2010</v>
      </c>
    </row>
    <row r="16" spans="1:14" x14ac:dyDescent="0.2">
      <c r="A16" s="21" t="str">
        <f t="shared" si="1"/>
        <v>3/31/2010</v>
      </c>
      <c r="B16" s="54"/>
      <c r="C16" s="282">
        <f>[3]CPI!H94</f>
        <v>178.46</v>
      </c>
      <c r="D16" s="133">
        <f t="shared" si="2"/>
        <v>178.27646571050445</v>
      </c>
      <c r="E16" s="133">
        <f t="shared" si="3"/>
        <v>178.42056903278174</v>
      </c>
      <c r="F16" s="133"/>
      <c r="G16" s="133"/>
      <c r="H16" s="34"/>
      <c r="I16" s="57"/>
      <c r="J16" s="34"/>
      <c r="K16" s="57"/>
      <c r="L16" s="57"/>
      <c r="M16" s="2"/>
      <c r="N16" s="12">
        <f t="shared" ref="N16:N54" si="4">YEAR(A16)+MONTH(A16)/12</f>
        <v>2010.25</v>
      </c>
    </row>
    <row r="17" spans="1:14" x14ac:dyDescent="0.2">
      <c r="A17" s="21" t="str">
        <f t="shared" si="1"/>
        <v>6/30/2010</v>
      </c>
      <c r="B17" s="54"/>
      <c r="C17" s="282">
        <f>[3]CPI!H95</f>
        <v>178.56</v>
      </c>
      <c r="D17" s="133">
        <f t="shared" si="2"/>
        <v>178.81234529886842</v>
      </c>
      <c r="E17" s="133">
        <f t="shared" si="3"/>
        <v>178.92960711598451</v>
      </c>
      <c r="F17" s="133"/>
      <c r="G17" s="133"/>
      <c r="H17" s="34"/>
      <c r="I17" s="57"/>
      <c r="J17" s="34"/>
      <c r="K17" s="57"/>
      <c r="L17" s="57"/>
      <c r="M17" s="2"/>
      <c r="N17" s="12">
        <f t="shared" si="4"/>
        <v>2010.5</v>
      </c>
    </row>
    <row r="18" spans="1:14" x14ac:dyDescent="0.2">
      <c r="A18" s="21" t="str">
        <f t="shared" si="1"/>
        <v>9/30/2010</v>
      </c>
      <c r="B18" s="54"/>
      <c r="C18" s="282">
        <f>[3]CPI!H96</f>
        <v>178.59</v>
      </c>
      <c r="D18" s="133">
        <f t="shared" si="2"/>
        <v>179.34822488723239</v>
      </c>
      <c r="E18" s="133">
        <f t="shared" si="3"/>
        <v>179.44009749682061</v>
      </c>
      <c r="F18" s="133"/>
      <c r="G18" s="133"/>
      <c r="H18" s="34"/>
      <c r="I18" s="57"/>
      <c r="J18" s="34"/>
      <c r="K18" s="57"/>
      <c r="L18" s="57"/>
      <c r="M18" s="2"/>
      <c r="N18" s="12">
        <f t="shared" si="4"/>
        <v>2010.75</v>
      </c>
    </row>
    <row r="19" spans="1:14" x14ac:dyDescent="0.2">
      <c r="A19" s="21" t="str">
        <f t="shared" si="1"/>
        <v>12/31/2010</v>
      </c>
      <c r="B19" s="54"/>
      <c r="C19" s="282">
        <f>[3]CPI!H97</f>
        <v>178.72</v>
      </c>
      <c r="D19" s="133">
        <f t="shared" si="2"/>
        <v>179.88410447559636</v>
      </c>
      <c r="E19" s="133">
        <f t="shared" si="3"/>
        <v>179.95204431872946</v>
      </c>
      <c r="F19" s="133"/>
      <c r="G19" s="133"/>
      <c r="H19" s="34"/>
      <c r="I19" s="57"/>
      <c r="J19" s="34"/>
      <c r="K19" s="57"/>
      <c r="L19" s="57"/>
      <c r="M19" s="2"/>
      <c r="N19" s="12">
        <f t="shared" si="4"/>
        <v>2011</v>
      </c>
    </row>
    <row r="20" spans="1:14" x14ac:dyDescent="0.2">
      <c r="A20" s="21" t="str">
        <f t="shared" si="1"/>
        <v>3/31/2011</v>
      </c>
      <c r="B20" s="54"/>
      <c r="C20" s="282">
        <f>[3]CPI!H98</f>
        <v>178.97</v>
      </c>
      <c r="D20" s="133">
        <f t="shared" si="2"/>
        <v>180.41998406396033</v>
      </c>
      <c r="E20" s="133">
        <f t="shared" si="3"/>
        <v>180.46545173697228</v>
      </c>
      <c r="F20" s="133"/>
      <c r="G20" s="133"/>
      <c r="H20" s="34"/>
      <c r="I20" s="57"/>
      <c r="J20" s="34"/>
      <c r="K20" s="57"/>
      <c r="L20" s="57"/>
      <c r="M20" s="2"/>
      <c r="N20" s="12">
        <f t="shared" si="4"/>
        <v>2011.25</v>
      </c>
    </row>
    <row r="21" spans="1:14" x14ac:dyDescent="0.2">
      <c r="A21" s="21" t="str">
        <f t="shared" si="1"/>
        <v>6/30/2011</v>
      </c>
      <c r="B21" s="54"/>
      <c r="C21" s="282">
        <f>[3]CPI!H99</f>
        <v>179.61</v>
      </c>
      <c r="D21" s="133">
        <f t="shared" si="2"/>
        <v>180.9558636523243</v>
      </c>
      <c r="E21" s="133">
        <f t="shared" si="3"/>
        <v>180.98032391866357</v>
      </c>
      <c r="F21" s="133"/>
      <c r="G21" s="133"/>
      <c r="H21" s="34"/>
      <c r="I21" s="57"/>
      <c r="J21" s="34"/>
      <c r="K21" s="57"/>
      <c r="L21" s="57"/>
      <c r="M21" s="2"/>
      <c r="N21" s="12">
        <f t="shared" si="4"/>
        <v>2011.5</v>
      </c>
    </row>
    <row r="22" spans="1:14" x14ac:dyDescent="0.2">
      <c r="A22" s="21" t="str">
        <f t="shared" si="1"/>
        <v>9/30/2011</v>
      </c>
      <c r="B22" s="101"/>
      <c r="C22" s="282">
        <f>[3]CPI!H100</f>
        <v>180.52</v>
      </c>
      <c r="D22" s="133">
        <f t="shared" si="2"/>
        <v>181.49174324068827</v>
      </c>
      <c r="E22" s="133">
        <f t="shared" si="3"/>
        <v>181.4966650428085</v>
      </c>
      <c r="F22" s="133"/>
      <c r="G22" s="133"/>
      <c r="H22" s="34"/>
      <c r="I22" s="57"/>
      <c r="J22" s="34"/>
      <c r="K22" s="57"/>
      <c r="L22" s="57"/>
      <c r="M22" s="2"/>
      <c r="N22" s="12">
        <f t="shared" si="4"/>
        <v>2011.75</v>
      </c>
    </row>
    <row r="23" spans="1:14" x14ac:dyDescent="0.2">
      <c r="A23" s="21" t="str">
        <f t="shared" si="1"/>
        <v>12/31/2011</v>
      </c>
      <c r="B23" s="57"/>
      <c r="C23" s="282">
        <f>[3]CPI!H101</f>
        <v>181.55</v>
      </c>
      <c r="D23" s="133">
        <f t="shared" si="2"/>
        <v>182.02762282905223</v>
      </c>
      <c r="E23" s="133">
        <f t="shared" si="3"/>
        <v>182.01447930033456</v>
      </c>
      <c r="F23" s="133"/>
      <c r="G23" s="133"/>
      <c r="H23" s="57"/>
      <c r="I23" s="57"/>
      <c r="J23" s="57"/>
      <c r="K23" s="57"/>
      <c r="L23" s="57"/>
      <c r="M23" s="2"/>
      <c r="N23" s="12">
        <f t="shared" si="4"/>
        <v>2012</v>
      </c>
    </row>
    <row r="24" spans="1:14" x14ac:dyDescent="0.2">
      <c r="A24" s="21" t="str">
        <f t="shared" si="1"/>
        <v>3/31/2012</v>
      </c>
      <c r="B24" s="57"/>
      <c r="C24" s="282">
        <f>[3]CPI!H102</f>
        <v>182.78</v>
      </c>
      <c r="D24" s="133">
        <f t="shared" si="2"/>
        <v>182.5635024174162</v>
      </c>
      <c r="E24" s="133">
        <f t="shared" si="3"/>
        <v>182.53377089412587</v>
      </c>
      <c r="F24" s="133"/>
      <c r="G24" s="133"/>
      <c r="H24" s="57"/>
      <c r="I24" s="57"/>
      <c r="J24" s="57"/>
      <c r="K24" s="57"/>
      <c r="L24" s="57"/>
      <c r="M24" s="2"/>
      <c r="N24" s="12">
        <f t="shared" si="4"/>
        <v>2012.25</v>
      </c>
    </row>
    <row r="25" spans="1:14" x14ac:dyDescent="0.2">
      <c r="A25" s="21" t="str">
        <f t="shared" si="1"/>
        <v>6/30/2012</v>
      </c>
      <c r="B25" s="57"/>
      <c r="C25" s="282">
        <f>[3]CPI!H103</f>
        <v>183.87</v>
      </c>
      <c r="D25" s="133">
        <f t="shared" si="2"/>
        <v>183.09938200578017</v>
      </c>
      <c r="E25" s="133">
        <f t="shared" si="3"/>
        <v>183.05454403905765</v>
      </c>
      <c r="F25" s="133"/>
      <c r="G25" s="133"/>
      <c r="H25" s="57"/>
      <c r="I25" s="57"/>
      <c r="J25" s="57"/>
      <c r="K25" s="57"/>
      <c r="L25" s="57"/>
      <c r="M25" s="2"/>
      <c r="N25" s="12">
        <f t="shared" si="4"/>
        <v>2012.5</v>
      </c>
    </row>
    <row r="26" spans="1:14" x14ac:dyDescent="0.2">
      <c r="A26" s="21" t="str">
        <f t="shared" si="1"/>
        <v>9/30/2012</v>
      </c>
      <c r="B26" s="57"/>
      <c r="C26" s="282">
        <f>[3]CPI!H104</f>
        <v>184.57</v>
      </c>
      <c r="D26" s="133">
        <f t="shared" si="2"/>
        <v>183.63526159414414</v>
      </c>
      <c r="E26" s="133">
        <f t="shared" si="3"/>
        <v>183.57680296203009</v>
      </c>
      <c r="F26" s="133"/>
      <c r="G26" s="133"/>
      <c r="H26" s="57"/>
      <c r="I26" s="57"/>
      <c r="J26" s="57"/>
      <c r="K26" s="57"/>
      <c r="L26" s="57"/>
      <c r="M26" s="2"/>
      <c r="N26" s="12">
        <f t="shared" si="4"/>
        <v>2012.75</v>
      </c>
    </row>
    <row r="27" spans="1:14" x14ac:dyDescent="0.2">
      <c r="A27" s="21" t="str">
        <f t="shared" si="1"/>
        <v>12/31/2012</v>
      </c>
      <c r="B27" s="57"/>
      <c r="C27" s="282">
        <f>[3]CPI!H105</f>
        <v>185.03</v>
      </c>
      <c r="D27" s="133">
        <f t="shared" si="2"/>
        <v>184.17114118250811</v>
      </c>
      <c r="E27" s="133">
        <f t="shared" si="3"/>
        <v>184.10055190200299</v>
      </c>
      <c r="F27" s="133"/>
      <c r="G27" s="133"/>
      <c r="H27" s="57"/>
      <c r="I27" s="57"/>
      <c r="J27" s="57"/>
      <c r="K27" s="57"/>
      <c r="L27" s="57"/>
      <c r="M27" s="2"/>
      <c r="N27" s="12">
        <f t="shared" si="4"/>
        <v>2013</v>
      </c>
    </row>
    <row r="28" spans="1:14" x14ac:dyDescent="0.2">
      <c r="A28" s="21" t="str">
        <f t="shared" si="1"/>
        <v>3/31/2013</v>
      </c>
      <c r="B28" s="57"/>
      <c r="C28" s="282">
        <f>[3]CPI!H106</f>
        <v>185.38</v>
      </c>
      <c r="D28" s="133">
        <f t="shared" si="2"/>
        <v>184.70702077087208</v>
      </c>
      <c r="E28" s="133">
        <f t="shared" si="3"/>
        <v>184.62579511002991</v>
      </c>
      <c r="F28" s="133"/>
      <c r="G28" s="133"/>
      <c r="H28" s="57"/>
      <c r="I28" s="57"/>
      <c r="J28" s="57"/>
      <c r="K28" s="57"/>
      <c r="L28" s="57"/>
      <c r="M28" s="2"/>
      <c r="N28" s="12">
        <f t="shared" si="4"/>
        <v>2013.25</v>
      </c>
    </row>
    <row r="29" spans="1:14" x14ac:dyDescent="0.2">
      <c r="A29" s="21" t="str">
        <f t="shared" si="1"/>
        <v>6/30/2013</v>
      </c>
      <c r="B29" s="57"/>
      <c r="C29" s="282">
        <f>[3]CPI!H107</f>
        <v>185.51</v>
      </c>
      <c r="D29" s="133">
        <f t="shared" si="2"/>
        <v>185.24290035923605</v>
      </c>
      <c r="E29" s="133">
        <f t="shared" si="3"/>
        <v>185.15253684929277</v>
      </c>
      <c r="F29" s="133"/>
      <c r="G29" s="133"/>
      <c r="H29" s="57"/>
      <c r="I29" s="57"/>
      <c r="J29" s="57"/>
      <c r="K29" s="57"/>
      <c r="L29" s="57"/>
      <c r="M29" s="2"/>
      <c r="N29" s="12">
        <f t="shared" si="4"/>
        <v>2013.5</v>
      </c>
    </row>
    <row r="30" spans="1:14" x14ac:dyDescent="0.2">
      <c r="A30" s="21" t="str">
        <f t="shared" si="1"/>
        <v>9/30/2013</v>
      </c>
      <c r="B30" s="135"/>
      <c r="C30" s="282">
        <f>[3]CPI!H108</f>
        <v>185.82</v>
      </c>
      <c r="D30" s="133">
        <f t="shared" si="2"/>
        <v>185.77877994760001</v>
      </c>
      <c r="E30" s="133">
        <f t="shared" si="3"/>
        <v>185.68078139513642</v>
      </c>
      <c r="F30" s="133"/>
      <c r="G30" s="133"/>
      <c r="H30" s="28"/>
      <c r="I30" s="78"/>
      <c r="J30" s="28"/>
      <c r="K30" s="78"/>
      <c r="L30" s="78"/>
      <c r="M30" s="2"/>
      <c r="N30" s="12">
        <f t="shared" si="4"/>
        <v>2013.75</v>
      </c>
    </row>
    <row r="31" spans="1:14" x14ac:dyDescent="0.2">
      <c r="A31" s="21" t="str">
        <f t="shared" si="1"/>
        <v>12/31/2013</v>
      </c>
      <c r="B31" s="135"/>
      <c r="C31" s="282">
        <f>[3]CPI!H109</f>
        <v>186.03</v>
      </c>
      <c r="D31" s="133">
        <f t="shared" si="2"/>
        <v>186.31465953596398</v>
      </c>
      <c r="E31" s="133">
        <f t="shared" si="3"/>
        <v>186.21053303510345</v>
      </c>
      <c r="F31" s="133"/>
      <c r="G31" s="133"/>
      <c r="H31" s="28"/>
      <c r="I31" s="78"/>
      <c r="J31" s="28"/>
      <c r="K31" s="78"/>
      <c r="L31" s="78"/>
      <c r="M31" s="2"/>
      <c r="N31" s="12">
        <f t="shared" si="4"/>
        <v>2014</v>
      </c>
    </row>
    <row r="32" spans="1:14" x14ac:dyDescent="0.2">
      <c r="A32" s="21" t="str">
        <f t="shared" si="1"/>
        <v>3/31/2014</v>
      </c>
      <c r="B32" s="101"/>
      <c r="C32" s="282">
        <f>[3]CPI!H110</f>
        <v>186.43</v>
      </c>
      <c r="D32" s="133">
        <f t="shared" si="2"/>
        <v>186.85053912432795</v>
      </c>
      <c r="E32" s="133">
        <f t="shared" si="3"/>
        <v>186.74179606896891</v>
      </c>
      <c r="F32" s="133"/>
      <c r="G32" s="133"/>
      <c r="H32" s="28"/>
      <c r="I32" s="78"/>
      <c r="J32" s="28"/>
      <c r="K32" s="78"/>
      <c r="L32" s="78"/>
      <c r="M32" s="2"/>
      <c r="N32" s="12">
        <f t="shared" si="4"/>
        <v>2014.25</v>
      </c>
    </row>
    <row r="33" spans="1:14" x14ac:dyDescent="0.2">
      <c r="A33" s="21" t="str">
        <f t="shared" si="1"/>
        <v>6/30/2014</v>
      </c>
      <c r="B33" s="101"/>
      <c r="C33" s="282">
        <f>[3]CPI!H111</f>
        <v>186.87</v>
      </c>
      <c r="D33" s="133">
        <f t="shared" si="2"/>
        <v>187.38641871269192</v>
      </c>
      <c r="E33" s="133">
        <f t="shared" si="3"/>
        <v>187.27457480877507</v>
      </c>
      <c r="F33" s="133"/>
      <c r="G33" s="133"/>
      <c r="H33" s="28"/>
      <c r="I33" s="78"/>
      <c r="J33" s="28"/>
      <c r="K33" s="78"/>
      <c r="L33" s="78"/>
      <c r="M33" s="2"/>
      <c r="N33" s="12">
        <f t="shared" si="4"/>
        <v>2014.5</v>
      </c>
    </row>
    <row r="34" spans="1:14" x14ac:dyDescent="0.2">
      <c r="A34" s="21" t="str">
        <f t="shared" si="1"/>
        <v>9/30/2014</v>
      </c>
      <c r="B34" s="135"/>
      <c r="C34" s="282">
        <f>[3]CPI!H112</f>
        <v>187.59</v>
      </c>
      <c r="D34" s="133">
        <f t="shared" si="2"/>
        <v>187.92229830105589</v>
      </c>
      <c r="E34" s="133">
        <f t="shared" si="3"/>
        <v>187.80887357886672</v>
      </c>
      <c r="F34" s="133"/>
      <c r="G34" s="133"/>
      <c r="H34" s="34"/>
      <c r="I34" s="78"/>
      <c r="J34" s="34"/>
      <c r="K34" s="78"/>
      <c r="L34" s="78"/>
      <c r="M34" s="2"/>
      <c r="N34" s="12">
        <f t="shared" si="4"/>
        <v>2014.75</v>
      </c>
    </row>
    <row r="35" spans="1:14" x14ac:dyDescent="0.2">
      <c r="A35" s="21" t="str">
        <f t="shared" si="1"/>
        <v>12/31/2014</v>
      </c>
      <c r="B35" s="21"/>
      <c r="C35" s="282">
        <f>[3]CPI!H113</f>
        <v>188.62</v>
      </c>
      <c r="D35" s="133">
        <f t="shared" si="2"/>
        <v>188.45817788941986</v>
      </c>
      <c r="E35" s="133">
        <f t="shared" si="3"/>
        <v>188.34469671592609</v>
      </c>
      <c r="F35" s="133"/>
      <c r="G35" s="133"/>
      <c r="H35" s="57"/>
      <c r="I35" s="57"/>
      <c r="J35" s="57"/>
      <c r="K35" s="57"/>
      <c r="L35" s="57"/>
      <c r="M35" s="2"/>
      <c r="N35" s="12">
        <f t="shared" si="4"/>
        <v>2015</v>
      </c>
    </row>
    <row r="36" spans="1:14" x14ac:dyDescent="0.2">
      <c r="A36" s="21" t="str">
        <f t="shared" si="1"/>
        <v>3/31/2015</v>
      </c>
      <c r="B36" s="21"/>
      <c r="C36" s="282">
        <f>[3]CPI!H114</f>
        <v>189.46</v>
      </c>
      <c r="D36" s="133">
        <f t="shared" si="2"/>
        <v>188.99405747778383</v>
      </c>
      <c r="E36" s="133">
        <f t="shared" si="3"/>
        <v>188.88204856900856</v>
      </c>
      <c r="F36" s="133">
        <f>TREND($C$36:$C$55,$N$36:$N$55,$N36,TRUE)</f>
        <v>189.11085714285764</v>
      </c>
      <c r="G36" s="133">
        <f>GROWTH($C$36:$C$55,$N$36:$N$55,$N36,TRUE)</f>
        <v>189.15651492280068</v>
      </c>
      <c r="H36" s="57"/>
      <c r="I36" s="21"/>
      <c r="J36" s="57"/>
      <c r="K36" s="21"/>
      <c r="L36" s="21"/>
      <c r="M36" s="2"/>
      <c r="N36" s="12">
        <f t="shared" si="4"/>
        <v>2015.25</v>
      </c>
    </row>
    <row r="37" spans="1:14" x14ac:dyDescent="0.2">
      <c r="A37" s="21" t="str">
        <f t="shared" si="1"/>
        <v>6/30/2015</v>
      </c>
      <c r="B37" s="21"/>
      <c r="C37" s="282">
        <f>[3]CPI!H115</f>
        <v>189.59</v>
      </c>
      <c r="D37" s="133">
        <f t="shared" si="2"/>
        <v>189.5299370661478</v>
      </c>
      <c r="E37" s="133">
        <f t="shared" si="3"/>
        <v>189.42093349957565</v>
      </c>
      <c r="F37" s="133">
        <f t="shared" ref="F37:F55" si="5">TREND($C$36:$C$55,$N$36:$N$55,$N37,TRUE)</f>
        <v>189.63818796992473</v>
      </c>
      <c r="G37" s="133">
        <f t="shared" ref="G37:G55" si="6">GROWTH($C$36:$C$55,$N$36:$N$55,$N37,TRUE)</f>
        <v>189.67046450889626</v>
      </c>
      <c r="H37" s="133"/>
      <c r="I37" s="133"/>
      <c r="J37" s="78"/>
      <c r="K37" s="78"/>
      <c r="L37" s="78"/>
      <c r="M37" s="2"/>
      <c r="N37" s="12">
        <f t="shared" si="4"/>
        <v>2015.5</v>
      </c>
    </row>
    <row r="38" spans="1:14" x14ac:dyDescent="0.2">
      <c r="A38" s="21" t="str">
        <f t="shared" si="1"/>
        <v>9/30/2015</v>
      </c>
      <c r="B38" s="21"/>
      <c r="C38" s="282">
        <f>[3]CPI!H116</f>
        <v>190.03</v>
      </c>
      <c r="D38" s="133">
        <f t="shared" si="2"/>
        <v>190.06581665451176</v>
      </c>
      <c r="E38" s="133">
        <f t="shared" si="3"/>
        <v>189.96135588153425</v>
      </c>
      <c r="F38" s="133">
        <f t="shared" si="5"/>
        <v>190.16551879699273</v>
      </c>
      <c r="G38" s="133">
        <f t="shared" si="6"/>
        <v>190.18581052681594</v>
      </c>
      <c r="H38" s="133"/>
      <c r="I38" s="133"/>
      <c r="J38" s="78"/>
      <c r="K38" s="78"/>
      <c r="L38" s="78"/>
      <c r="M38" s="2"/>
      <c r="N38" s="12">
        <f t="shared" si="4"/>
        <v>2015.75</v>
      </c>
    </row>
    <row r="39" spans="1:14" x14ac:dyDescent="0.2">
      <c r="A39" s="21" t="str">
        <f t="shared" si="1"/>
        <v>12/31/2015</v>
      </c>
      <c r="B39" s="21"/>
      <c r="C39" s="282">
        <f>[3]CPI!H117</f>
        <v>190.5</v>
      </c>
      <c r="D39" s="133">
        <f t="shared" si="2"/>
        <v>190.60169624287573</v>
      </c>
      <c r="E39" s="133">
        <f t="shared" si="3"/>
        <v>190.50332010126928</v>
      </c>
      <c r="F39" s="133">
        <f t="shared" si="5"/>
        <v>190.69284962405982</v>
      </c>
      <c r="G39" s="133">
        <f t="shared" si="6"/>
        <v>190.70255677074732</v>
      </c>
      <c r="H39" s="133"/>
      <c r="I39" s="133"/>
      <c r="J39" s="78"/>
      <c r="K39" s="78"/>
      <c r="L39" s="78"/>
      <c r="M39" s="2"/>
      <c r="N39" s="12">
        <f t="shared" si="4"/>
        <v>2016</v>
      </c>
    </row>
    <row r="40" spans="1:14" x14ac:dyDescent="0.2">
      <c r="A40" s="21" t="str">
        <f t="shared" si="1"/>
        <v>3/31/2016</v>
      </c>
      <c r="B40" s="21"/>
      <c r="C40" s="282">
        <f>[3]CPI!H118</f>
        <v>190.95</v>
      </c>
      <c r="D40" s="133">
        <f t="shared" si="2"/>
        <v>191.1375758312397</v>
      </c>
      <c r="E40" s="133">
        <f t="shared" si="3"/>
        <v>191.04683055768024</v>
      </c>
      <c r="F40" s="133">
        <f t="shared" si="5"/>
        <v>191.22018045112782</v>
      </c>
      <c r="G40" s="133">
        <f t="shared" si="6"/>
        <v>191.22070704518973</v>
      </c>
      <c r="H40" s="133">
        <f>TREND($C$40:$C$55,$N$40:$N$55,$N40,TRUE)</f>
        <v>191.20904411764786</v>
      </c>
      <c r="I40" s="133">
        <f>GROWTH($C$40:$C$55,$N$40:$N$55,$N40,TRUE)</f>
        <v>191.24108995819341</v>
      </c>
      <c r="J40" s="42"/>
      <c r="K40" s="46"/>
      <c r="L40" s="46"/>
      <c r="M40" s="2"/>
      <c r="N40" s="12">
        <f t="shared" si="4"/>
        <v>2016.25</v>
      </c>
    </row>
    <row r="41" spans="1:14" x14ac:dyDescent="0.2">
      <c r="A41" s="21" t="str">
        <f t="shared" si="1"/>
        <v>6/30/2016</v>
      </c>
      <c r="B41" s="21"/>
      <c r="C41" s="282">
        <f>[3]CPI!H119</f>
        <v>192.03</v>
      </c>
      <c r="D41" s="133">
        <f t="shared" si="2"/>
        <v>191.67345541960367</v>
      </c>
      <c r="E41" s="133">
        <f t="shared" si="3"/>
        <v>191.59189166221677</v>
      </c>
      <c r="F41" s="133">
        <f t="shared" si="5"/>
        <v>191.74751127819582</v>
      </c>
      <c r="G41" s="133">
        <f t="shared" si="6"/>
        <v>191.74026516497685</v>
      </c>
      <c r="H41" s="133">
        <f t="shared" ref="H41:H55" si="7">TREND($C$40:$C$55,$N$40:$N$55,$N41,TRUE)</f>
        <v>191.73808823529453</v>
      </c>
      <c r="I41" s="133">
        <f t="shared" ref="I41:I55" si="8">GROWTH($C$40:$C$55,$N$40:$N$55,$N41,TRUE)</f>
        <v>191.75910243080344</v>
      </c>
      <c r="J41" s="133"/>
      <c r="K41" s="133"/>
      <c r="L41" s="133"/>
      <c r="M41" s="2"/>
      <c r="N41" s="12">
        <f t="shared" si="4"/>
        <v>2016.5</v>
      </c>
    </row>
    <row r="42" spans="1:14" x14ac:dyDescent="0.2">
      <c r="A42" s="21" t="str">
        <f t="shared" si="1"/>
        <v>9/30/2016</v>
      </c>
      <c r="B42" s="135"/>
      <c r="C42" s="282">
        <f>[3]CPI!H120</f>
        <v>192.82</v>
      </c>
      <c r="D42" s="133">
        <f t="shared" si="2"/>
        <v>192.20933500796764</v>
      </c>
      <c r="E42" s="133">
        <f t="shared" si="3"/>
        <v>192.13850783891448</v>
      </c>
      <c r="F42" s="133">
        <f t="shared" si="5"/>
        <v>192.27484210526291</v>
      </c>
      <c r="G42" s="133">
        <f t="shared" si="6"/>
        <v>192.26123495530956</v>
      </c>
      <c r="H42" s="133">
        <f t="shared" si="7"/>
        <v>192.2671323529421</v>
      </c>
      <c r="I42" s="133">
        <f t="shared" si="8"/>
        <v>192.27851803765537</v>
      </c>
      <c r="J42" s="133"/>
      <c r="K42" s="133"/>
      <c r="L42" s="133"/>
      <c r="M42" s="2"/>
      <c r="N42" s="12">
        <f t="shared" si="4"/>
        <v>2016.75</v>
      </c>
    </row>
    <row r="43" spans="1:14" x14ac:dyDescent="0.2">
      <c r="A43" s="21" t="str">
        <f t="shared" si="1"/>
        <v>12/31/2016</v>
      </c>
      <c r="B43" s="21"/>
      <c r="C43" s="282">
        <f>[3]CPI!H121</f>
        <v>193.56</v>
      </c>
      <c r="D43" s="133">
        <f>TREND($C$14:$C$55,$N$14:$N$55,$N43,TRUE)</f>
        <v>192.74521459633161</v>
      </c>
      <c r="E43" s="133">
        <f t="shared" si="3"/>
        <v>192.68668352443078</v>
      </c>
      <c r="F43" s="133">
        <f t="shared" si="5"/>
        <v>192.8021729323309</v>
      </c>
      <c r="G43" s="133">
        <f t="shared" si="6"/>
        <v>192.78362025178194</v>
      </c>
      <c r="H43" s="133">
        <f t="shared" si="7"/>
        <v>192.79617647058876</v>
      </c>
      <c r="I43" s="133">
        <f t="shared" si="8"/>
        <v>192.79934057940233</v>
      </c>
      <c r="J43" s="133"/>
      <c r="K43" s="133"/>
      <c r="L43" s="133"/>
      <c r="M43" s="2"/>
      <c r="N43" s="12">
        <f t="shared" si="4"/>
        <v>2017</v>
      </c>
    </row>
    <row r="44" spans="1:14" x14ac:dyDescent="0.2">
      <c r="A44" s="21" t="str">
        <f t="shared" si="1"/>
        <v>3/31/2017</v>
      </c>
      <c r="B44" s="21"/>
      <c r="C44" s="282">
        <f>[3]CPI!H122</f>
        <v>193.86</v>
      </c>
      <c r="D44" s="133">
        <f t="shared" si="2"/>
        <v>193.28109418469558</v>
      </c>
      <c r="E44" s="133">
        <f t="shared" si="3"/>
        <v>193.2364231680811</v>
      </c>
      <c r="F44" s="133">
        <f t="shared" si="5"/>
        <v>193.3295037593989</v>
      </c>
      <c r="G44" s="133">
        <f t="shared" si="6"/>
        <v>193.30742490040768</v>
      </c>
      <c r="H44" s="133">
        <f t="shared" si="7"/>
        <v>193.32522058823542</v>
      </c>
      <c r="I44" s="133">
        <f t="shared" si="8"/>
        <v>193.3215738669914</v>
      </c>
      <c r="J44" s="133">
        <f>TREND($C$44:$C$55,$N$44:$N$55,$N44,TRUE)</f>
        <v>192.86153846153866</v>
      </c>
      <c r="K44" s="133">
        <f>GROWTH($C$44:$C$55,$N$44:$N$55,$N44,TRUE)</f>
        <v>192.88637178769622</v>
      </c>
      <c r="L44" s="133"/>
      <c r="M44" s="2"/>
      <c r="N44" s="12">
        <f t="shared" si="4"/>
        <v>2017.25</v>
      </c>
    </row>
    <row r="45" spans="1:14" x14ac:dyDescent="0.2">
      <c r="A45" s="21" t="str">
        <f t="shared" si="1"/>
        <v>6/30/2017</v>
      </c>
      <c r="B45" s="21"/>
      <c r="C45" s="282">
        <f>[3]CPI!H123</f>
        <v>194.07</v>
      </c>
      <c r="D45" s="133">
        <f t="shared" si="2"/>
        <v>193.81697377305954</v>
      </c>
      <c r="E45" s="133">
        <f t="shared" si="3"/>
        <v>193.78773123187483</v>
      </c>
      <c r="F45" s="133">
        <f t="shared" si="5"/>
        <v>193.85683458646599</v>
      </c>
      <c r="G45" s="133">
        <f t="shared" si="6"/>
        <v>193.83265275765299</v>
      </c>
      <c r="H45" s="133">
        <f t="shared" si="7"/>
        <v>193.854264705883</v>
      </c>
      <c r="I45" s="133">
        <f t="shared" si="8"/>
        <v>193.84522172169457</v>
      </c>
      <c r="J45" s="133">
        <f t="shared" ref="J45:J55" si="9">TREND($C$44:$C$55,$N$44:$N$55,$N45,TRUE)</f>
        <v>193.45444055944063</v>
      </c>
      <c r="K45" s="133">
        <f t="shared" ref="K45:K54" si="10">GROWTH($C$44:$C$55,$N$44:$N$55,$N45,TRUE)</f>
        <v>193.46864988350362</v>
      </c>
      <c r="L45" s="133"/>
      <c r="M45" s="2"/>
      <c r="N45" s="12">
        <f t="shared" si="4"/>
        <v>2017.5</v>
      </c>
    </row>
    <row r="46" spans="1:14" x14ac:dyDescent="0.2">
      <c r="A46" s="21" t="str">
        <f t="shared" si="1"/>
        <v>9/30/2017</v>
      </c>
      <c r="B46" s="21"/>
      <c r="C46" s="282">
        <f>[3]CPI!H124</f>
        <v>194.2</v>
      </c>
      <c r="D46" s="133">
        <f t="shared" si="2"/>
        <v>194.35285336142351</v>
      </c>
      <c r="E46" s="133">
        <f t="shared" si="3"/>
        <v>194.3406121905515</v>
      </c>
      <c r="F46" s="133">
        <f t="shared" si="5"/>
        <v>194.38416541353399</v>
      </c>
      <c r="G46" s="133">
        <f t="shared" si="6"/>
        <v>194.35930769045962</v>
      </c>
      <c r="H46" s="133">
        <f t="shared" si="7"/>
        <v>194.38330882352966</v>
      </c>
      <c r="I46" s="133">
        <f t="shared" si="8"/>
        <v>194.3702879751323</v>
      </c>
      <c r="J46" s="133">
        <f t="shared" si="9"/>
        <v>194.0473426573426</v>
      </c>
      <c r="K46" s="133">
        <f t="shared" si="10"/>
        <v>194.05268573844066</v>
      </c>
      <c r="L46" s="133"/>
      <c r="M46" s="2"/>
      <c r="N46" s="12">
        <f t="shared" si="4"/>
        <v>2017.75</v>
      </c>
    </row>
    <row r="47" spans="1:14" x14ac:dyDescent="0.2">
      <c r="A47" s="21" t="str">
        <f t="shared" si="1"/>
        <v>12/31/2017</v>
      </c>
      <c r="B47" s="135"/>
      <c r="C47" s="282">
        <f>[3]CPI!H125</f>
        <v>194.18</v>
      </c>
      <c r="D47" s="133">
        <f t="shared" si="2"/>
        <v>194.88873294978748</v>
      </c>
      <c r="E47" s="133">
        <f t="shared" si="3"/>
        <v>194.89507053161728</v>
      </c>
      <c r="F47" s="133">
        <f t="shared" si="5"/>
        <v>194.91149624060199</v>
      </c>
      <c r="G47" s="133">
        <f t="shared" si="6"/>
        <v>194.88739357627873</v>
      </c>
      <c r="H47" s="133">
        <f t="shared" si="7"/>
        <v>194.91235294117723</v>
      </c>
      <c r="I47" s="133">
        <f t="shared" si="8"/>
        <v>194.89677646930443</v>
      </c>
      <c r="J47" s="133">
        <f t="shared" si="9"/>
        <v>194.64024475524457</v>
      </c>
      <c r="K47" s="133">
        <f t="shared" si="10"/>
        <v>194.63848465876285</v>
      </c>
      <c r="L47" s="133"/>
      <c r="M47" s="2"/>
      <c r="N47" s="12">
        <f t="shared" si="4"/>
        <v>2018</v>
      </c>
    </row>
    <row r="48" spans="1:14" x14ac:dyDescent="0.2">
      <c r="A48" s="21" t="str">
        <f t="shared" si="1"/>
        <v>3/31/2018</v>
      </c>
      <c r="B48" s="21"/>
      <c r="C48" s="282">
        <f>[3]CPI!H126</f>
        <v>194.71</v>
      </c>
      <c r="D48" s="133">
        <f t="shared" si="2"/>
        <v>195.42461253815145</v>
      </c>
      <c r="E48" s="133">
        <f t="shared" si="3"/>
        <v>195.45111075538125</v>
      </c>
      <c r="F48" s="133">
        <f t="shared" si="5"/>
        <v>195.43882706766908</v>
      </c>
      <c r="G48" s="133">
        <f t="shared" si="6"/>
        <v>195.41691430309405</v>
      </c>
      <c r="H48" s="133">
        <f t="shared" si="7"/>
        <v>195.4413970588239</v>
      </c>
      <c r="I48" s="133">
        <f t="shared" si="8"/>
        <v>195.42469105661752</v>
      </c>
      <c r="J48" s="133">
        <f t="shared" si="9"/>
        <v>195.23314685314654</v>
      </c>
      <c r="K48" s="133">
        <f t="shared" si="10"/>
        <v>195.22605196674607</v>
      </c>
      <c r="L48" s="133"/>
      <c r="M48" s="2"/>
      <c r="N48" s="12">
        <f t="shared" si="4"/>
        <v>2018.25</v>
      </c>
    </row>
    <row r="49" spans="1:14" x14ac:dyDescent="0.2">
      <c r="A49" s="21" t="str">
        <f t="shared" si="1"/>
        <v>6/30/2018</v>
      </c>
      <c r="B49" s="21"/>
      <c r="C49" s="282">
        <f>[3]CPI!H127</f>
        <v>195.24</v>
      </c>
      <c r="D49" s="133">
        <f t="shared" si="2"/>
        <v>195.96049212651542</v>
      </c>
      <c r="E49" s="133">
        <f t="shared" si="3"/>
        <v>196.00873737499194</v>
      </c>
      <c r="F49" s="133">
        <f>TREND($C$36:$C$55,$N$36:$N$55,$N49,TRUE)</f>
        <v>195.96615789473708</v>
      </c>
      <c r="G49" s="133">
        <f t="shared" si="6"/>
        <v>195.94787376945519</v>
      </c>
      <c r="H49" s="133">
        <f t="shared" si="7"/>
        <v>195.97044117647147</v>
      </c>
      <c r="I49" s="133">
        <f t="shared" si="8"/>
        <v>195.95403559991252</v>
      </c>
      <c r="J49" s="133">
        <f t="shared" si="9"/>
        <v>195.82604895104851</v>
      </c>
      <c r="K49" s="133">
        <f t="shared" si="10"/>
        <v>195.81539300073288</v>
      </c>
      <c r="L49" s="133"/>
      <c r="M49" s="2"/>
      <c r="N49" s="12">
        <f t="shared" si="4"/>
        <v>2018.5</v>
      </c>
    </row>
    <row r="50" spans="1:14" x14ac:dyDescent="0.2">
      <c r="A50" s="21" t="str">
        <f t="shared" si="1"/>
        <v>9/30/2018</v>
      </c>
      <c r="B50" s="21"/>
      <c r="C50" s="282">
        <f>[3]CPI!H128</f>
        <v>195.63</v>
      </c>
      <c r="D50" s="133">
        <f t="shared" si="2"/>
        <v>196.49637171487939</v>
      </c>
      <c r="E50" s="133">
        <f>GROWTH($C$14:$C$55,$N$14:$N$55,$N50,TRUE)</f>
        <v>196.56795491647409</v>
      </c>
      <c r="F50" s="133">
        <f t="shared" si="5"/>
        <v>196.49348872180417</v>
      </c>
      <c r="G50" s="133">
        <f t="shared" si="6"/>
        <v>196.48027588450447</v>
      </c>
      <c r="H50" s="133">
        <f t="shared" si="7"/>
        <v>196.49948529411813</v>
      </c>
      <c r="I50" s="133">
        <f t="shared" si="8"/>
        <v>196.4848139724956</v>
      </c>
      <c r="J50" s="133">
        <f t="shared" si="9"/>
        <v>196.41895104895139</v>
      </c>
      <c r="K50" s="133">
        <f t="shared" si="10"/>
        <v>196.40651311517902</v>
      </c>
      <c r="L50" s="133"/>
      <c r="M50" s="2"/>
      <c r="N50" s="12">
        <f t="shared" si="4"/>
        <v>2018.75</v>
      </c>
    </row>
    <row r="51" spans="1:14" x14ac:dyDescent="0.2">
      <c r="A51" s="21" t="str">
        <f t="shared" si="1"/>
        <v>12/31/2018</v>
      </c>
      <c r="B51" s="21"/>
      <c r="C51" s="282">
        <f>[3]CPI!H129</f>
        <v>196.26</v>
      </c>
      <c r="D51" s="133">
        <f t="shared" si="2"/>
        <v>197.03225130324336</v>
      </c>
      <c r="E51" s="133">
        <f t="shared" si="3"/>
        <v>197.1287679187659</v>
      </c>
      <c r="F51" s="133">
        <f t="shared" si="5"/>
        <v>197.02081954887217</v>
      </c>
      <c r="G51" s="133">
        <f t="shared" si="6"/>
        <v>197.01412456800341</v>
      </c>
      <c r="H51" s="133">
        <f t="shared" si="7"/>
        <v>197.0285294117657</v>
      </c>
      <c r="I51" s="133">
        <f t="shared" si="8"/>
        <v>197.0170300581625</v>
      </c>
      <c r="J51" s="133">
        <f t="shared" si="9"/>
        <v>197.01185314685335</v>
      </c>
      <c r="K51" s="133">
        <f t="shared" si="10"/>
        <v>196.99941768070681</v>
      </c>
      <c r="L51" s="133"/>
      <c r="M51" s="2"/>
      <c r="N51" s="12">
        <f t="shared" si="4"/>
        <v>2019</v>
      </c>
    </row>
    <row r="52" spans="1:14" x14ac:dyDescent="0.2">
      <c r="A52" s="21" t="str">
        <f t="shared" si="1"/>
        <v>3/31/2019</v>
      </c>
      <c r="B52" s="118"/>
      <c r="C52" s="282">
        <f>[3]CPI!H130</f>
        <v>197.08</v>
      </c>
      <c r="D52" s="133">
        <f t="shared" si="2"/>
        <v>197.56813089160732</v>
      </c>
      <c r="E52" s="133">
        <f t="shared" si="3"/>
        <v>197.69118093375329</v>
      </c>
      <c r="F52" s="133">
        <f t="shared" si="5"/>
        <v>197.54815037594017</v>
      </c>
      <c r="G52" s="133">
        <f t="shared" si="6"/>
        <v>197.54942375036654</v>
      </c>
      <c r="H52" s="133">
        <f t="shared" si="7"/>
        <v>197.55757352941237</v>
      </c>
      <c r="I52" s="133">
        <f t="shared" si="8"/>
        <v>197.55068775122953</v>
      </c>
      <c r="J52" s="133">
        <f t="shared" si="9"/>
        <v>197.60475524475532</v>
      </c>
      <c r="K52" s="133">
        <f t="shared" si="10"/>
        <v>197.59411208414838</v>
      </c>
      <c r="L52" s="133"/>
      <c r="M52" s="2"/>
      <c r="N52" s="12">
        <f t="shared" si="4"/>
        <v>2019.25</v>
      </c>
    </row>
    <row r="53" spans="1:14" x14ac:dyDescent="0.2">
      <c r="A53" s="21" t="str">
        <f t="shared" si="1"/>
        <v>6/30/2019</v>
      </c>
      <c r="B53" s="21"/>
      <c r="C53" s="282">
        <f>[3]CPI!H131</f>
        <v>198.2</v>
      </c>
      <c r="D53" s="133">
        <f t="shared" si="2"/>
        <v>198.10401047997129</v>
      </c>
      <c r="E53" s="133">
        <f t="shared" si="3"/>
        <v>198.25519852631078</v>
      </c>
      <c r="F53" s="133">
        <f t="shared" si="5"/>
        <v>198.07548120300726</v>
      </c>
      <c r="G53" s="133">
        <f t="shared" si="6"/>
        <v>198.08617737268483</v>
      </c>
      <c r="H53" s="133">
        <f t="shared" si="7"/>
        <v>198.08661764705903</v>
      </c>
      <c r="I53" s="133">
        <f t="shared" si="8"/>
        <v>198.0857909565616</v>
      </c>
      <c r="J53" s="133">
        <f t="shared" si="9"/>
        <v>198.19765734265729</v>
      </c>
      <c r="K53" s="133">
        <f t="shared" si="10"/>
        <v>198.19060172860023</v>
      </c>
      <c r="L53"/>
      <c r="M53" s="2"/>
      <c r="N53" s="12">
        <f t="shared" si="4"/>
        <v>2019.5</v>
      </c>
    </row>
    <row r="54" spans="1:14" x14ac:dyDescent="0.2">
      <c r="A54" s="21" t="str">
        <f>TEXT(DATE(YEAR(A55+1),MONTH(A55+1)-3,1)-1,"m/d/yyyy")</f>
        <v>9/30/2019</v>
      </c>
      <c r="B54" s="21"/>
      <c r="C54" s="282">
        <f>[3]CPI!H132</f>
        <v>199.66</v>
      </c>
      <c r="D54" s="133">
        <f t="shared" si="2"/>
        <v>198.63989006833526</v>
      </c>
      <c r="E54" s="133">
        <f t="shared" si="3"/>
        <v>198.82082527433596</v>
      </c>
      <c r="F54" s="133">
        <f t="shared" si="5"/>
        <v>198.60281203007526</v>
      </c>
      <c r="G54" s="133">
        <f t="shared" si="6"/>
        <v>198.62438938676019</v>
      </c>
      <c r="H54" s="133">
        <f t="shared" si="7"/>
        <v>198.6156617647066</v>
      </c>
      <c r="I54" s="133">
        <f t="shared" si="8"/>
        <v>198.62234358959992</v>
      </c>
      <c r="J54" s="133">
        <f t="shared" si="9"/>
        <v>198.79055944055926</v>
      </c>
      <c r="K54" s="133">
        <f t="shared" si="10"/>
        <v>198.78889203346674</v>
      </c>
      <c r="L54"/>
      <c r="M54" s="2"/>
      <c r="N54" s="12">
        <f t="shared" si="4"/>
        <v>2019.75</v>
      </c>
    </row>
    <row r="55" spans="1:14" x14ac:dyDescent="0.2">
      <c r="A55" s="21" t="str">
        <f>TEXT(N9,"m/d/yyyy")</f>
        <v>12/31/2019</v>
      </c>
      <c r="B55" s="21"/>
      <c r="C55" s="282">
        <f>[3]CPI!H133</f>
        <v>200.38</v>
      </c>
      <c r="D55" s="133">
        <f>TREND($C$14:$C$55,$N$14:$N$55,$N55,TRUE)</f>
        <v>199.17576965669923</v>
      </c>
      <c r="E55" s="133">
        <f>GROWTH($C$14:$C$55,$N$14:$N$55,$N55,TRUE)</f>
        <v>199.38806576878724</v>
      </c>
      <c r="F55" s="133">
        <f t="shared" si="5"/>
        <v>199.13014285714326</v>
      </c>
      <c r="G55" s="133">
        <f t="shared" si="6"/>
        <v>199.16406375512904</v>
      </c>
      <c r="H55" s="133">
        <f t="shared" si="7"/>
        <v>199.14470588235326</v>
      </c>
      <c r="I55" s="133">
        <f t="shared" si="8"/>
        <v>199.16034957639357</v>
      </c>
      <c r="J55" s="133">
        <f t="shared" si="9"/>
        <v>199.38346153846123</v>
      </c>
      <c r="K55" s="133">
        <f>GROWTH($C$44:$C$55,$N$44:$N$55,$N55,TRUE)</f>
        <v>199.388988434515</v>
      </c>
      <c r="L55" s="184"/>
      <c r="M55" s="2"/>
      <c r="N55" s="12">
        <f>YEAR(A55)+MONTH(A55)/12</f>
        <v>2020</v>
      </c>
    </row>
    <row r="56" spans="1:14" x14ac:dyDescent="0.2">
      <c r="A56" s="137"/>
      <c r="B56" s="136"/>
      <c r="C56" s="215"/>
      <c r="D56" s="134"/>
      <c r="E56" s="134"/>
      <c r="F56" s="134"/>
      <c r="G56" s="134"/>
      <c r="H56" s="134"/>
      <c r="I56" s="134"/>
      <c r="J56" s="134"/>
      <c r="K56" s="134"/>
      <c r="L56"/>
      <c r="M56" s="2"/>
    </row>
    <row r="57" spans="1:14" x14ac:dyDescent="0.2">
      <c r="A57" s="47"/>
      <c r="B57" s="122"/>
      <c r="C57" s="47"/>
      <c r="D57" s="47"/>
      <c r="E57" s="47"/>
      <c r="F57" s="47"/>
      <c r="G57" s="47"/>
      <c r="H57" s="47"/>
      <c r="I57" s="118"/>
      <c r="J57" s="47"/>
      <c r="K57" s="47"/>
      <c r="L57" s="47"/>
      <c r="M57" s="2"/>
    </row>
    <row r="58" spans="1:14" x14ac:dyDescent="0.2">
      <c r="A58" s="12" t="s">
        <v>292</v>
      </c>
      <c r="C58"/>
      <c r="D58" s="19">
        <f>(D55-D51)/D55</f>
        <v>1.0761943368666068E-2</v>
      </c>
      <c r="E58" s="19">
        <f>LOGEST($C$14:$C$55,$N$14:$N$55,TRUE,TRUE)-1</f>
        <v>1.1461025571633199E-2</v>
      </c>
      <c r="F58" s="19">
        <f>(F55-F51)/F55</f>
        <v>1.0592687164315065E-2</v>
      </c>
      <c r="G58" s="19">
        <f>LOGEST($C$36:$C$55,$N$36:$N$55,TRUE,TRUE)-1</f>
        <v>1.09126144728946E-2</v>
      </c>
      <c r="H58" s="19">
        <f>(H55-H51)/H55</f>
        <v>1.0626325521491462E-2</v>
      </c>
      <c r="I58" s="19">
        <f>LOGEST($C$40:$C$55,$N$40:$N$55,TRUE,TRUE)-1</f>
        <v>1.0878854064536592E-2</v>
      </c>
      <c r="J58" s="19">
        <f>(J55-J51)/J55</f>
        <v>1.1894709688097142E-2</v>
      </c>
      <c r="K58" s="19">
        <f>LOGEST($C$44:$C$55,$N$44:$N$55,TRUE,TRUE)-1</f>
        <v>1.2129836635765834E-2</v>
      </c>
      <c r="L58" s="19"/>
      <c r="M58" s="2"/>
    </row>
    <row r="59" spans="1:14" x14ac:dyDescent="0.2">
      <c r="A59" s="135" t="s">
        <v>293</v>
      </c>
      <c r="B59" s="128"/>
      <c r="C59" s="89"/>
      <c r="D59" s="119">
        <f>INDEX(LINEST($C$14:$C$55,$N$14:$N$55,TRUE,TRUE),3,1)</f>
        <v>0.98689126580239872</v>
      </c>
      <c r="E59" s="119">
        <f>INDEX(LOGEST($C$14:$C$55,$N$14:$N$55,TRUE,TRUE),3,1)</f>
        <v>0.98655531991529755</v>
      </c>
      <c r="F59" s="119">
        <f>INDEX(LINEST($C$36:$C$55,$N$36:$N$55,TRUE,TRUE),3,1)</f>
        <v>0.96153602314920883</v>
      </c>
      <c r="G59" s="119">
        <f>INDEX(LOGEST($C$36:$C$55,$N$36:$N$55,TRUE,TRUE),3,1)</f>
        <v>0.96325167557217417</v>
      </c>
      <c r="H59" s="119">
        <f>INDEX(LINEST($C$40:$C$55,$N$40:$N$55,TRUE,TRUE),3,1)</f>
        <v>0.92951113659488882</v>
      </c>
      <c r="I59" s="119">
        <f>INDEX(LOGEST($C$40:$C$55,$N$40:$N$55,TRUE,TRUE),3,1)</f>
        <v>0.93176892615452034</v>
      </c>
      <c r="J59" s="119">
        <f>INDEX(LINEST($C$44:$C$55,$N$44:$N$55,TRUE,TRUE),3,1)</f>
        <v>0.90234649470227657</v>
      </c>
      <c r="K59" s="119">
        <f>INDEX(LOGEST($C$44:$C$55,$N$44:$N$55,TRUE,TRUE),3,1)</f>
        <v>0.90454224661995319</v>
      </c>
      <c r="L59" s="119"/>
      <c r="M59" s="2"/>
    </row>
    <row r="60" spans="1:14" ht="12" thickBo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47"/>
      <c r="M60" s="2"/>
    </row>
    <row r="61" spans="1:14" ht="12" thickTop="1" x14ac:dyDescent="0.2">
      <c r="A61"/>
      <c r="B61"/>
      <c r="C61"/>
      <c r="D61"/>
      <c r="E61"/>
      <c r="F61"/>
      <c r="G61"/>
      <c r="H61"/>
      <c r="I61" s="47"/>
      <c r="J61"/>
      <c r="K61" s="47"/>
      <c r="L61" s="47"/>
      <c r="M61" s="2"/>
    </row>
    <row r="62" spans="1:14" x14ac:dyDescent="0.2">
      <c r="A62" t="s">
        <v>18</v>
      </c>
      <c r="B62"/>
      <c r="F62"/>
      <c r="G62"/>
      <c r="H62"/>
      <c r="I62"/>
      <c r="J62"/>
      <c r="K62"/>
      <c r="L62"/>
      <c r="M62" s="2"/>
    </row>
    <row r="63" spans="1:14" x14ac:dyDescent="0.2">
      <c r="A63"/>
      <c r="B63" s="21" t="str">
        <f>C12&amp;" = Weighted average of CPI for Lodging, Apparel, Furnishings, and Medical Care"</f>
        <v>(2) = Weighted average of CPI for Lodging, Apparel, Furnishings, and Medical Care</v>
      </c>
      <c r="C63"/>
      <c r="D63"/>
      <c r="E63"/>
      <c r="F63"/>
      <c r="H63"/>
      <c r="J63"/>
      <c r="K63"/>
      <c r="L63"/>
      <c r="M63" s="2"/>
    </row>
    <row r="64" spans="1:14" x14ac:dyDescent="0.2">
      <c r="A64"/>
      <c r="B64" s="21" t="str">
        <f>D12&amp;" - "&amp;K12&amp;" = "&amp;C12&amp;" fitted to linear and exponential distributions"</f>
        <v>(3) - (10) = (2) fitted to linear and exponential distributions</v>
      </c>
      <c r="D64"/>
      <c r="E64"/>
      <c r="F64"/>
      <c r="H64"/>
      <c r="J64"/>
      <c r="K64"/>
      <c r="L64"/>
      <c r="M64" s="2"/>
    </row>
    <row r="65" spans="1:13" x14ac:dyDescent="0.2">
      <c r="A65"/>
      <c r="B65" s="21"/>
      <c r="D65"/>
      <c r="E65"/>
      <c r="F65"/>
      <c r="H65"/>
      <c r="J65"/>
      <c r="K65"/>
      <c r="L65"/>
      <c r="M65" s="2"/>
    </row>
    <row r="66" spans="1:13" x14ac:dyDescent="0.2">
      <c r="A66"/>
      <c r="B66" s="21"/>
      <c r="D66"/>
      <c r="E66"/>
      <c r="F66"/>
      <c r="H66"/>
      <c r="J66"/>
      <c r="K66"/>
      <c r="L66"/>
      <c r="M66" s="2"/>
    </row>
    <row r="67" spans="1:13" x14ac:dyDescent="0.2">
      <c r="A67"/>
      <c r="B67" s="21"/>
      <c r="D67"/>
      <c r="E67"/>
      <c r="F67"/>
      <c r="H67"/>
      <c r="J67"/>
      <c r="K67"/>
      <c r="L67"/>
      <c r="M67" s="2"/>
    </row>
    <row r="68" spans="1:13" ht="12" thickBot="1" x14ac:dyDescent="0.25">
      <c r="A68" s="135"/>
      <c r="B68" s="128"/>
      <c r="C68" s="89"/>
      <c r="D68" s="119"/>
      <c r="E68" s="119"/>
      <c r="F68" s="119"/>
      <c r="G68" s="119"/>
      <c r="H68" s="119"/>
      <c r="I68" s="119"/>
      <c r="J68" s="119"/>
      <c r="K68" s="119"/>
      <c r="L68" s="119"/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rgb="FF92D050"/>
  </sheetPr>
  <dimension ref="A1:K72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6.6640625" customWidth="1"/>
    <col min="3" max="6" width="15.33203125" customWidth="1"/>
    <col min="7" max="9" width="11.33203125" customWidth="1"/>
    <col min="10" max="10" width="4" customWidth="1"/>
  </cols>
  <sheetData>
    <row r="1" spans="1:11" x14ac:dyDescent="0.2">
      <c r="A1" s="8" t="str">
        <f>'1'!$A$1</f>
        <v>Texas Windstorm Insurance Association</v>
      </c>
      <c r="B1" s="12"/>
      <c r="J1" s="7" t="s">
        <v>55</v>
      </c>
      <c r="K1" s="1"/>
    </row>
    <row r="2" spans="1:11" x14ac:dyDescent="0.2">
      <c r="A2" s="8" t="str">
        <f>'1'!$A$2</f>
        <v>Commercial Property - Wind &amp; Hail</v>
      </c>
      <c r="B2" s="12"/>
      <c r="J2" s="7" t="s">
        <v>21</v>
      </c>
      <c r="K2" s="2"/>
    </row>
    <row r="3" spans="1:11" x14ac:dyDescent="0.2">
      <c r="A3" s="8" t="str">
        <f>'1'!$A$3</f>
        <v>Rate Level Review</v>
      </c>
      <c r="B3" s="12"/>
      <c r="K3" s="2"/>
    </row>
    <row r="4" spans="1:11" x14ac:dyDescent="0.2">
      <c r="A4" t="s">
        <v>56</v>
      </c>
      <c r="B4" s="12"/>
      <c r="K4" s="2"/>
    </row>
    <row r="5" spans="1:11" x14ac:dyDescent="0.2">
      <c r="A5" s="57"/>
      <c r="B5" s="21"/>
      <c r="C5" s="57"/>
      <c r="D5" s="57"/>
      <c r="E5" s="57"/>
      <c r="K5" s="2"/>
    </row>
    <row r="6" spans="1:11" x14ac:dyDescent="0.2">
      <c r="K6" s="2"/>
    </row>
    <row r="7" spans="1:11" ht="12" thickBot="1" x14ac:dyDescent="0.25">
      <c r="A7" s="6"/>
      <c r="B7" s="6"/>
      <c r="C7" s="6"/>
      <c r="D7" s="6"/>
      <c r="E7" s="6"/>
      <c r="F7" s="6"/>
      <c r="K7" s="2"/>
    </row>
    <row r="8" spans="1:11" ht="12" thickTop="1" x14ac:dyDescent="0.2">
      <c r="K8" s="2"/>
    </row>
    <row r="9" spans="1:11" x14ac:dyDescent="0.2">
      <c r="C9" s="21" t="s">
        <v>33</v>
      </c>
      <c r="D9" t="s">
        <v>33</v>
      </c>
      <c r="E9" t="s">
        <v>28</v>
      </c>
      <c r="K9" s="2"/>
    </row>
    <row r="10" spans="1:11" x14ac:dyDescent="0.2">
      <c r="A10" t="s">
        <v>41</v>
      </c>
      <c r="C10" t="s">
        <v>28</v>
      </c>
      <c r="D10" t="s">
        <v>28</v>
      </c>
      <c r="E10" t="s">
        <v>57</v>
      </c>
      <c r="F10" t="s">
        <v>5</v>
      </c>
      <c r="K10" s="2"/>
    </row>
    <row r="11" spans="1:11" x14ac:dyDescent="0.2">
      <c r="A11" s="9" t="s">
        <v>42</v>
      </c>
      <c r="B11" s="9"/>
      <c r="C11" s="9" t="s">
        <v>34</v>
      </c>
      <c r="D11" s="9" t="s">
        <v>29</v>
      </c>
      <c r="E11" s="9" t="s">
        <v>58</v>
      </c>
      <c r="F11" s="9" t="s">
        <v>59</v>
      </c>
      <c r="K11" s="2"/>
    </row>
    <row r="12" spans="1:11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K12" s="2"/>
    </row>
    <row r="13" spans="1:11" x14ac:dyDescent="0.2">
      <c r="K13" s="2"/>
    </row>
    <row r="14" spans="1:11" x14ac:dyDescent="0.2">
      <c r="A14" s="210">
        <v>1980</v>
      </c>
      <c r="B14" s="24"/>
      <c r="C14" s="29">
        <f>'4.2'!E14</f>
        <v>12911</v>
      </c>
      <c r="D14" s="29">
        <f>'4.4'!G13</f>
        <v>1318</v>
      </c>
      <c r="E14" s="37">
        <f>ROUND(D14/C14,3)</f>
        <v>0.10199999999999999</v>
      </c>
      <c r="F14" s="36" t="s">
        <v>60</v>
      </c>
      <c r="K14" s="2"/>
    </row>
    <row r="15" spans="1:11" x14ac:dyDescent="0.2">
      <c r="A15" t="str">
        <f>TEXT(A14+1,"#")</f>
        <v>1981</v>
      </c>
      <c r="B15" s="24"/>
      <c r="C15" s="29">
        <f>'4.2'!E15</f>
        <v>2512</v>
      </c>
      <c r="D15" s="29">
        <f>'4.4'!G14</f>
        <v>543</v>
      </c>
      <c r="E15" s="37">
        <f t="shared" ref="E15:E51" si="0">ROUND(D15/C15,3)</f>
        <v>0.216</v>
      </c>
      <c r="F15" s="36"/>
      <c r="K15" s="2"/>
    </row>
    <row r="16" spans="1:11" x14ac:dyDescent="0.2">
      <c r="A16" t="str">
        <f t="shared" ref="A16:A46" si="1">TEXT(A15+1,"#")</f>
        <v>1982</v>
      </c>
      <c r="B16" s="24"/>
      <c r="C16" s="29">
        <f>'4.2'!E16</f>
        <v>796</v>
      </c>
      <c r="D16" s="29">
        <f>'4.4'!G15</f>
        <v>565</v>
      </c>
      <c r="E16" s="37">
        <f t="shared" si="0"/>
        <v>0.71</v>
      </c>
      <c r="F16" s="36"/>
      <c r="K16" s="2"/>
    </row>
    <row r="17" spans="1:11" x14ac:dyDescent="0.2">
      <c r="A17" t="str">
        <f t="shared" si="1"/>
        <v>1983</v>
      </c>
      <c r="B17" s="24"/>
      <c r="C17" s="29">
        <f>'4.2'!E17</f>
        <v>148999</v>
      </c>
      <c r="D17" s="29">
        <f>'4.4'!G16</f>
        <v>9127</v>
      </c>
      <c r="E17" s="37">
        <f t="shared" si="0"/>
        <v>6.0999999999999999E-2</v>
      </c>
      <c r="F17" s="36" t="s">
        <v>60</v>
      </c>
      <c r="K17" s="2"/>
    </row>
    <row r="18" spans="1:11" x14ac:dyDescent="0.2">
      <c r="A18" t="str">
        <f t="shared" si="1"/>
        <v>1984</v>
      </c>
      <c r="B18" s="24"/>
      <c r="C18" s="29">
        <f>'4.2'!E18</f>
        <v>999</v>
      </c>
      <c r="D18" s="29">
        <f>'4.4'!G17</f>
        <v>324</v>
      </c>
      <c r="E18" s="37">
        <f t="shared" si="0"/>
        <v>0.32400000000000001</v>
      </c>
      <c r="F18" s="36"/>
      <c r="K18" s="2"/>
    </row>
    <row r="19" spans="1:11" x14ac:dyDescent="0.2">
      <c r="A19" t="str">
        <f t="shared" si="1"/>
        <v>1985</v>
      </c>
      <c r="B19" s="24"/>
      <c r="C19" s="29">
        <f>'4.2'!E19</f>
        <v>512</v>
      </c>
      <c r="D19" s="29">
        <f>'4.4'!G18</f>
        <v>297</v>
      </c>
      <c r="E19" s="37">
        <f t="shared" si="0"/>
        <v>0.57999999999999996</v>
      </c>
      <c r="F19" s="36"/>
      <c r="K19" s="2"/>
    </row>
    <row r="20" spans="1:11" x14ac:dyDescent="0.2">
      <c r="A20" t="str">
        <f t="shared" si="1"/>
        <v>1986</v>
      </c>
      <c r="B20" s="24"/>
      <c r="C20" s="29">
        <f>'4.2'!E20</f>
        <v>881</v>
      </c>
      <c r="D20" s="29">
        <f>'4.4'!G19</f>
        <v>505</v>
      </c>
      <c r="E20" s="37">
        <f t="shared" si="0"/>
        <v>0.57299999999999995</v>
      </c>
      <c r="F20" s="36" t="s">
        <v>60</v>
      </c>
      <c r="K20" s="2"/>
    </row>
    <row r="21" spans="1:11" x14ac:dyDescent="0.2">
      <c r="A21" t="str">
        <f t="shared" si="1"/>
        <v>1987</v>
      </c>
      <c r="B21" s="24"/>
      <c r="C21" s="29">
        <f>'4.2'!E21</f>
        <v>1897</v>
      </c>
      <c r="D21" s="29">
        <f>'4.4'!G20</f>
        <v>1056</v>
      </c>
      <c r="E21" s="37">
        <f t="shared" si="0"/>
        <v>0.55700000000000005</v>
      </c>
      <c r="F21" s="36"/>
      <c r="K21" s="2"/>
    </row>
    <row r="22" spans="1:11" x14ac:dyDescent="0.2">
      <c r="A22" t="str">
        <f t="shared" si="1"/>
        <v>1988</v>
      </c>
      <c r="B22" s="24"/>
      <c r="C22" s="29">
        <f>'4.2'!E22</f>
        <v>1160</v>
      </c>
      <c r="D22" s="29">
        <f>'4.4'!G21</f>
        <v>357</v>
      </c>
      <c r="E22" s="37">
        <f t="shared" si="0"/>
        <v>0.308</v>
      </c>
      <c r="F22" s="36"/>
      <c r="K22" s="2"/>
    </row>
    <row r="23" spans="1:11" x14ac:dyDescent="0.2">
      <c r="A23" t="str">
        <f t="shared" si="1"/>
        <v>1989</v>
      </c>
      <c r="C23" s="29">
        <f>'4.2'!E23</f>
        <v>12296</v>
      </c>
      <c r="D23" s="29">
        <f>'4.4'!G22</f>
        <v>3528</v>
      </c>
      <c r="E23" s="37">
        <f t="shared" si="0"/>
        <v>0.28699999999999998</v>
      </c>
      <c r="F23" s="26" t="s">
        <v>60</v>
      </c>
      <c r="K23" s="2"/>
    </row>
    <row r="24" spans="1:11" x14ac:dyDescent="0.2">
      <c r="A24" t="str">
        <f t="shared" si="1"/>
        <v>1990</v>
      </c>
      <c r="C24" s="29">
        <f>'4.2'!E24</f>
        <v>335</v>
      </c>
      <c r="D24" s="29">
        <f>'4.4'!G23</f>
        <v>225</v>
      </c>
      <c r="E24" s="37">
        <f t="shared" si="0"/>
        <v>0.67200000000000004</v>
      </c>
      <c r="F24" s="26"/>
      <c r="K24" s="2"/>
    </row>
    <row r="25" spans="1:11" x14ac:dyDescent="0.2">
      <c r="A25" t="str">
        <f t="shared" si="1"/>
        <v>1991</v>
      </c>
      <c r="C25" s="29">
        <f>'4.2'!E25</f>
        <v>1217</v>
      </c>
      <c r="D25" s="29">
        <f>'4.4'!G24</f>
        <v>729</v>
      </c>
      <c r="E25" s="37">
        <f t="shared" si="0"/>
        <v>0.59899999999999998</v>
      </c>
      <c r="F25" s="26"/>
      <c r="K25" s="2"/>
    </row>
    <row r="26" spans="1:11" x14ac:dyDescent="0.2">
      <c r="A26" t="str">
        <f t="shared" si="1"/>
        <v>1992</v>
      </c>
      <c r="C26" s="29">
        <f>'4.2'!E26</f>
        <v>489</v>
      </c>
      <c r="D26" s="29">
        <f>'4.4'!G25</f>
        <v>554</v>
      </c>
      <c r="E26" s="37">
        <f t="shared" si="0"/>
        <v>1.133</v>
      </c>
      <c r="F26" s="26"/>
      <c r="K26" s="2"/>
    </row>
    <row r="27" spans="1:11" x14ac:dyDescent="0.2">
      <c r="A27" t="str">
        <f t="shared" si="1"/>
        <v>1993</v>
      </c>
      <c r="C27" s="29">
        <f>'4.2'!E27</f>
        <v>3375</v>
      </c>
      <c r="D27" s="29">
        <f>'4.4'!G26</f>
        <v>1375</v>
      </c>
      <c r="E27" s="37">
        <f t="shared" si="0"/>
        <v>0.40699999999999997</v>
      </c>
      <c r="F27" s="26"/>
      <c r="K27" s="2"/>
    </row>
    <row r="28" spans="1:11" x14ac:dyDescent="0.2">
      <c r="A28" t="str">
        <f t="shared" si="1"/>
        <v>1994</v>
      </c>
      <c r="C28" s="29">
        <f>'4.2'!E28</f>
        <v>679</v>
      </c>
      <c r="D28" s="29">
        <f>'4.4'!G27</f>
        <v>507</v>
      </c>
      <c r="E28" s="37">
        <f t="shared" si="0"/>
        <v>0.747</v>
      </c>
      <c r="F28" s="26"/>
      <c r="K28" s="2"/>
    </row>
    <row r="29" spans="1:11" x14ac:dyDescent="0.2">
      <c r="A29" t="str">
        <f t="shared" si="1"/>
        <v>1995</v>
      </c>
      <c r="C29" s="29">
        <f>'4.2'!E29</f>
        <v>2977</v>
      </c>
      <c r="D29" s="29">
        <f>'4.4'!G28</f>
        <v>903</v>
      </c>
      <c r="E29" s="37">
        <f t="shared" si="0"/>
        <v>0.30299999999999999</v>
      </c>
      <c r="F29" s="26"/>
      <c r="K29" s="2"/>
    </row>
    <row r="30" spans="1:11" x14ac:dyDescent="0.2">
      <c r="A30" t="str">
        <f t="shared" si="1"/>
        <v>1996</v>
      </c>
      <c r="C30" s="29">
        <f>'4.2'!E30</f>
        <v>1166</v>
      </c>
      <c r="D30" s="29">
        <f>'4.4'!G29</f>
        <v>582</v>
      </c>
      <c r="E30" s="37">
        <f t="shared" si="0"/>
        <v>0.499</v>
      </c>
      <c r="F30" s="26"/>
      <c r="K30" s="2"/>
    </row>
    <row r="31" spans="1:11" x14ac:dyDescent="0.2">
      <c r="A31" t="str">
        <f t="shared" si="1"/>
        <v>1997</v>
      </c>
      <c r="C31" s="29">
        <f>'4.2'!E31</f>
        <v>2964</v>
      </c>
      <c r="D31" s="29">
        <f>'4.4'!G30</f>
        <v>1343</v>
      </c>
      <c r="E31" s="37">
        <f t="shared" si="0"/>
        <v>0.45300000000000001</v>
      </c>
      <c r="F31" s="26"/>
      <c r="K31" s="2"/>
    </row>
    <row r="32" spans="1:11" x14ac:dyDescent="0.2">
      <c r="A32" t="str">
        <f t="shared" si="1"/>
        <v>1998</v>
      </c>
      <c r="B32" s="21"/>
      <c r="C32" s="29">
        <f>'4.2'!E32</f>
        <v>22401</v>
      </c>
      <c r="D32" s="29">
        <f>'4.4'!G31</f>
        <v>4732</v>
      </c>
      <c r="E32" s="37">
        <f t="shared" si="0"/>
        <v>0.21099999999999999</v>
      </c>
      <c r="F32" s="26"/>
      <c r="K32" s="2"/>
    </row>
    <row r="33" spans="1:11" x14ac:dyDescent="0.2">
      <c r="A33" t="str">
        <f t="shared" si="1"/>
        <v>1999</v>
      </c>
      <c r="B33" s="21"/>
      <c r="C33" s="29">
        <f>'4.2'!E33</f>
        <v>8773</v>
      </c>
      <c r="D33" s="29">
        <f>'4.4'!G32</f>
        <v>2388</v>
      </c>
      <c r="E33" s="37">
        <f t="shared" si="0"/>
        <v>0.27200000000000002</v>
      </c>
      <c r="F33" s="26" t="s">
        <v>60</v>
      </c>
      <c r="K33" s="2"/>
    </row>
    <row r="34" spans="1:11" x14ac:dyDescent="0.2">
      <c r="A34" t="str">
        <f t="shared" si="1"/>
        <v>2000</v>
      </c>
      <c r="B34" s="21"/>
      <c r="C34" s="29">
        <f>'4.2'!E34</f>
        <v>6227</v>
      </c>
      <c r="D34" s="29">
        <f>'4.4'!G33</f>
        <v>1885</v>
      </c>
      <c r="E34" s="37">
        <f t="shared" si="0"/>
        <v>0.30299999999999999</v>
      </c>
      <c r="F34" s="26"/>
      <c r="K34" s="2"/>
    </row>
    <row r="35" spans="1:11" x14ac:dyDescent="0.2">
      <c r="A35" t="str">
        <f t="shared" si="1"/>
        <v>2001</v>
      </c>
      <c r="C35" s="29">
        <f>'4.2'!E35</f>
        <v>24605</v>
      </c>
      <c r="D35" s="29">
        <f>'4.4'!G34</f>
        <v>1880</v>
      </c>
      <c r="E35" s="37">
        <f t="shared" si="0"/>
        <v>7.5999999999999998E-2</v>
      </c>
      <c r="F35" s="26"/>
      <c r="K35" s="2"/>
    </row>
    <row r="36" spans="1:11" x14ac:dyDescent="0.2">
      <c r="A36" t="str">
        <f t="shared" si="1"/>
        <v>2002</v>
      </c>
      <c r="C36" s="29">
        <f>'4.2'!E36</f>
        <v>5167</v>
      </c>
      <c r="D36" s="29">
        <f>'4.4'!G35</f>
        <v>5226</v>
      </c>
      <c r="E36" s="37">
        <f t="shared" si="0"/>
        <v>1.0109999999999999</v>
      </c>
      <c r="F36" s="26"/>
      <c r="K36" s="2"/>
    </row>
    <row r="37" spans="1:11" x14ac:dyDescent="0.2">
      <c r="A37" t="str">
        <f t="shared" si="1"/>
        <v>2003</v>
      </c>
      <c r="C37" s="29">
        <f>'4.2'!E37</f>
        <v>155001</v>
      </c>
      <c r="D37" s="29">
        <f>'4.4'!G36</f>
        <v>5122</v>
      </c>
      <c r="E37" s="37">
        <f t="shared" si="0"/>
        <v>3.3000000000000002E-2</v>
      </c>
      <c r="F37" s="26" t="s">
        <v>60</v>
      </c>
      <c r="K37" s="2"/>
    </row>
    <row r="38" spans="1:11" x14ac:dyDescent="0.2">
      <c r="A38" t="str">
        <f t="shared" si="1"/>
        <v>2004</v>
      </c>
      <c r="C38" s="29">
        <f>'4.2'!E38</f>
        <v>5167</v>
      </c>
      <c r="D38" s="29">
        <f>'4.4'!G37</f>
        <v>1471</v>
      </c>
      <c r="E38" s="37">
        <f t="shared" si="0"/>
        <v>0.28499999999999998</v>
      </c>
      <c r="F38" s="26"/>
      <c r="K38" s="2"/>
    </row>
    <row r="39" spans="1:11" x14ac:dyDescent="0.2">
      <c r="A39" t="str">
        <f t="shared" si="1"/>
        <v>2005</v>
      </c>
      <c r="C39" s="29">
        <f>'4.2'!E39</f>
        <v>154981</v>
      </c>
      <c r="D39" s="29">
        <f>'4.4'!G38</f>
        <v>20235</v>
      </c>
      <c r="E39" s="37">
        <f t="shared" si="0"/>
        <v>0.13100000000000001</v>
      </c>
      <c r="F39" s="111" t="s">
        <v>60</v>
      </c>
      <c r="K39" s="2"/>
    </row>
    <row r="40" spans="1:11" x14ac:dyDescent="0.2">
      <c r="A40" t="str">
        <f t="shared" si="1"/>
        <v>2006</v>
      </c>
      <c r="C40" s="29">
        <f>'4.2'!E40</f>
        <v>4276</v>
      </c>
      <c r="D40" s="29">
        <f>'4.4'!G39</f>
        <v>1110</v>
      </c>
      <c r="E40" s="37">
        <f t="shared" si="0"/>
        <v>0.26</v>
      </c>
      <c r="F40" s="111"/>
      <c r="K40" s="2"/>
    </row>
    <row r="41" spans="1:11" x14ac:dyDescent="0.2">
      <c r="A41" t="str">
        <f t="shared" si="1"/>
        <v>2007</v>
      </c>
      <c r="C41" s="29">
        <f>'4.2'!E41</f>
        <v>15745</v>
      </c>
      <c r="D41" s="29">
        <f>'4.4'!G40</f>
        <v>4941</v>
      </c>
      <c r="E41" s="37">
        <f t="shared" si="0"/>
        <v>0.314</v>
      </c>
      <c r="F41" s="111" t="s">
        <v>60</v>
      </c>
      <c r="K41" s="2"/>
    </row>
    <row r="42" spans="1:11" x14ac:dyDescent="0.2">
      <c r="A42" t="str">
        <f t="shared" si="1"/>
        <v>2008</v>
      </c>
      <c r="C42" s="29">
        <f>'4.2'!E42</f>
        <v>2583017</v>
      </c>
      <c r="D42" s="29">
        <f>'4.4'!G41</f>
        <v>346615</v>
      </c>
      <c r="E42" s="37">
        <f t="shared" si="0"/>
        <v>0.13400000000000001</v>
      </c>
      <c r="F42" s="111" t="s">
        <v>60</v>
      </c>
      <c r="K42" s="2"/>
    </row>
    <row r="43" spans="1:11" x14ac:dyDescent="0.2">
      <c r="A43" t="str">
        <f t="shared" si="1"/>
        <v>2009</v>
      </c>
      <c r="C43" s="29">
        <f>'4.2'!E43</f>
        <v>18005</v>
      </c>
      <c r="D43" s="29">
        <f>'4.4'!G42</f>
        <v>2219</v>
      </c>
      <c r="E43" s="37">
        <f t="shared" si="0"/>
        <v>0.123</v>
      </c>
      <c r="F43" s="36"/>
      <c r="K43" s="2"/>
    </row>
    <row r="44" spans="1:11" x14ac:dyDescent="0.2">
      <c r="A44" t="str">
        <f t="shared" si="1"/>
        <v>2010</v>
      </c>
      <c r="B44" s="21"/>
      <c r="C44" s="29">
        <f>'4.2'!E44</f>
        <v>96089</v>
      </c>
      <c r="D44" s="29">
        <f>'4.4'!G43</f>
        <v>4274</v>
      </c>
      <c r="E44" s="37">
        <f t="shared" si="0"/>
        <v>4.3999999999999997E-2</v>
      </c>
      <c r="F44" s="111"/>
      <c r="K44" s="2"/>
    </row>
    <row r="45" spans="1:11" x14ac:dyDescent="0.2">
      <c r="A45" t="str">
        <f t="shared" si="1"/>
        <v>2011</v>
      </c>
      <c r="B45" s="21"/>
      <c r="C45" s="29">
        <f>'4.2'!E45</f>
        <v>67497</v>
      </c>
      <c r="D45" s="29">
        <f>'4.4'!G44</f>
        <v>15111</v>
      </c>
      <c r="E45" s="37">
        <f t="shared" si="0"/>
        <v>0.224</v>
      </c>
      <c r="F45" s="111"/>
      <c r="K45" s="2"/>
    </row>
    <row r="46" spans="1:11" x14ac:dyDescent="0.2">
      <c r="A46" t="str">
        <f t="shared" si="1"/>
        <v>2012</v>
      </c>
      <c r="B46" s="21"/>
      <c r="C46" s="29">
        <f>'4.2'!E46</f>
        <v>70825</v>
      </c>
      <c r="D46" s="29">
        <f>'4.4'!G45</f>
        <v>15832</v>
      </c>
      <c r="E46" s="37">
        <f t="shared" si="0"/>
        <v>0.224</v>
      </c>
      <c r="F46" s="111"/>
      <c r="K46" s="2"/>
    </row>
    <row r="47" spans="1:11" x14ac:dyDescent="0.2">
      <c r="A47" s="47" t="str">
        <f>TEXT(A46+1,"#")</f>
        <v>2013</v>
      </c>
      <c r="B47" s="122"/>
      <c r="C47" s="29">
        <f>'4.2'!E47</f>
        <v>70825</v>
      </c>
      <c r="D47" s="29">
        <f>'4.4'!G46</f>
        <v>13827</v>
      </c>
      <c r="E47" s="37">
        <f t="shared" si="0"/>
        <v>0.19500000000000001</v>
      </c>
      <c r="F47" s="44"/>
      <c r="K47" s="2"/>
    </row>
    <row r="48" spans="1:11" x14ac:dyDescent="0.2">
      <c r="A48" s="42" t="str">
        <f>TEXT(A47+1,"#")</f>
        <v>2014</v>
      </c>
      <c r="B48" s="122"/>
      <c r="C48" s="29">
        <f>'4.2'!E48</f>
        <v>6991</v>
      </c>
      <c r="D48" s="29">
        <f>'4.4'!G47</f>
        <v>6804</v>
      </c>
      <c r="E48" s="37">
        <f t="shared" si="0"/>
        <v>0.97299999999999998</v>
      </c>
      <c r="F48" s="45"/>
      <c r="K48" s="2"/>
    </row>
    <row r="49" spans="1:11" x14ac:dyDescent="0.2">
      <c r="A49" s="42" t="str">
        <f>TEXT(A48+1,"#")</f>
        <v>2015</v>
      </c>
      <c r="B49" s="122"/>
      <c r="C49" s="29">
        <f>'4.2'!E49</f>
        <v>138385</v>
      </c>
      <c r="D49" s="29">
        <f>'4.4'!G48</f>
        <v>39918</v>
      </c>
      <c r="E49" s="37">
        <f t="shared" si="0"/>
        <v>0.28799999999999998</v>
      </c>
      <c r="F49" s="44"/>
      <c r="K49" s="2"/>
    </row>
    <row r="50" spans="1:11" x14ac:dyDescent="0.2">
      <c r="A50" s="42" t="str">
        <f>TEXT(A49+1,"#")</f>
        <v>2016</v>
      </c>
      <c r="B50" s="122"/>
      <c r="C50" s="29">
        <f>'4.2'!E50</f>
        <v>28152</v>
      </c>
      <c r="D50" s="29">
        <f>'4.4'!G49</f>
        <v>15445</v>
      </c>
      <c r="E50" s="37">
        <f t="shared" si="0"/>
        <v>0.54900000000000004</v>
      </c>
      <c r="F50" s="44"/>
      <c r="K50" s="2"/>
    </row>
    <row r="51" spans="1:11" x14ac:dyDescent="0.2">
      <c r="A51" s="101">
        <v>2017</v>
      </c>
      <c r="B51" s="122"/>
      <c r="C51" s="29">
        <f>'4.2'!E51</f>
        <v>1445037.1029319642</v>
      </c>
      <c r="D51" s="29">
        <f>'4.4'!G50</f>
        <v>289745</v>
      </c>
      <c r="E51" s="37">
        <f t="shared" si="0"/>
        <v>0.20100000000000001</v>
      </c>
      <c r="F51" s="44" t="s">
        <v>60</v>
      </c>
      <c r="K51" s="2"/>
    </row>
    <row r="52" spans="1:11" x14ac:dyDescent="0.2">
      <c r="A52" s="48">
        <v>2018</v>
      </c>
      <c r="B52" s="47"/>
      <c r="C52" s="177">
        <f>'4.2'!E52</f>
        <v>11956</v>
      </c>
      <c r="D52" s="177">
        <f>'4.4'!G51</f>
        <v>6800</v>
      </c>
      <c r="E52" s="180">
        <f>ROUND(D52/C52,3)</f>
        <v>0.56899999999999995</v>
      </c>
      <c r="F52" s="47"/>
      <c r="K52" s="2"/>
    </row>
    <row r="53" spans="1:11" ht="12" thickBot="1" x14ac:dyDescent="0.25">
      <c r="A53" s="331">
        <v>2019</v>
      </c>
      <c r="B53" s="6"/>
      <c r="C53" s="264">
        <f>'4.2'!E53</f>
        <v>18010</v>
      </c>
      <c r="D53" s="264">
        <f>'4.4'!G52</f>
        <v>8445</v>
      </c>
      <c r="E53" s="263">
        <f>ROUND(D53/C53,3)</f>
        <v>0.46899999999999997</v>
      </c>
      <c r="F53" s="6"/>
      <c r="K53" s="2"/>
    </row>
    <row r="54" spans="1:11" ht="12" thickTop="1" x14ac:dyDescent="0.2">
      <c r="B54" s="21"/>
      <c r="K54" s="2"/>
    </row>
    <row r="55" spans="1:11" x14ac:dyDescent="0.2">
      <c r="A55" t="s">
        <v>62</v>
      </c>
      <c r="C55" s="18">
        <f>SUM(C14:C53)</f>
        <v>5153297.1029319642</v>
      </c>
      <c r="D55" s="18">
        <f>SUM(D14:D53)</f>
        <v>837863</v>
      </c>
      <c r="E55" s="37">
        <f>ROUND(D55/C55,3)</f>
        <v>0.16300000000000001</v>
      </c>
      <c r="F55" s="18"/>
      <c r="K55" s="2"/>
    </row>
    <row r="56" spans="1:11" x14ac:dyDescent="0.2">
      <c r="K56" s="2"/>
    </row>
    <row r="57" spans="1:11" x14ac:dyDescent="0.2">
      <c r="A57" t="s">
        <v>61</v>
      </c>
      <c r="C57" s="18">
        <f>SUMIF($F$14:$F$53,"H",C$14:C$53)</f>
        <v>4537641.1029319642</v>
      </c>
      <c r="D57" s="18">
        <f>SUMIF($F$14:$F$53,"H",D$14:D$53)</f>
        <v>683524</v>
      </c>
      <c r="E57" s="37">
        <f>ROUND(D57/C57,3)</f>
        <v>0.151</v>
      </c>
      <c r="K57" s="2"/>
    </row>
    <row r="58" spans="1:11" x14ac:dyDescent="0.2">
      <c r="K58" s="2"/>
    </row>
    <row r="59" spans="1:11" x14ac:dyDescent="0.2">
      <c r="A59" t="s">
        <v>63</v>
      </c>
      <c r="K59" s="2"/>
    </row>
    <row r="60" spans="1:11" x14ac:dyDescent="0.2">
      <c r="B60" t="s">
        <v>8</v>
      </c>
      <c r="C60" s="18">
        <f>C55-C57</f>
        <v>615656</v>
      </c>
      <c r="D60" s="18">
        <f>D55-D57</f>
        <v>154339</v>
      </c>
      <c r="E60" s="37">
        <f>ROUND(D60/C60,3)</f>
        <v>0.251</v>
      </c>
      <c r="K60" s="2"/>
    </row>
    <row r="61" spans="1:11" x14ac:dyDescent="0.2">
      <c r="B61" t="s">
        <v>64</v>
      </c>
      <c r="C61" s="18">
        <f>SUMIF($F$41:$F$53,"&lt;&gt;H",C$41:C$53)</f>
        <v>526735</v>
      </c>
      <c r="D61" s="18">
        <f>SUMIF($F$41:$F$53,"&lt;&gt;H",D$41:D$53)</f>
        <v>128675</v>
      </c>
      <c r="E61" s="37">
        <f>ROUND(D61/C61,3)</f>
        <v>0.24399999999999999</v>
      </c>
      <c r="K61" s="2"/>
    </row>
    <row r="62" spans="1:11" ht="12" thickBot="1" x14ac:dyDescent="0.25">
      <c r="A62" s="6"/>
      <c r="B62" s="6"/>
      <c r="C62" s="6"/>
      <c r="D62" s="6"/>
      <c r="E62" s="6"/>
      <c r="F62" s="6"/>
      <c r="K62" s="2"/>
    </row>
    <row r="63" spans="1:11" ht="12" thickTop="1" x14ac:dyDescent="0.2">
      <c r="K63" s="2"/>
    </row>
    <row r="64" spans="1:11" x14ac:dyDescent="0.2">
      <c r="A64" t="s">
        <v>18</v>
      </c>
      <c r="K64" s="2"/>
    </row>
    <row r="65" spans="1:11" x14ac:dyDescent="0.2">
      <c r="B65" s="21" t="str">
        <f>C12&amp;" "&amp;'4.2'!$K$1&amp;", "&amp;'4.2'!$K$2</f>
        <v>(2) Exhibit 4, Sheet 2</v>
      </c>
      <c r="D65" s="21"/>
      <c r="K65" s="2"/>
    </row>
    <row r="66" spans="1:11" x14ac:dyDescent="0.2">
      <c r="B66" s="21" t="str">
        <f>D12&amp;" "&amp;'4.4'!$J$1&amp;", "&amp;'4.4'!$J$2</f>
        <v>(3) Exhibit 4, Sheet 4</v>
      </c>
      <c r="K66" s="2"/>
    </row>
    <row r="67" spans="1:11" x14ac:dyDescent="0.2">
      <c r="B67" s="21" t="str">
        <f>E12&amp;" = "&amp;D12&amp;" / "&amp;C12</f>
        <v>(4) = (3) / (2)</v>
      </c>
      <c r="K67" s="2"/>
    </row>
    <row r="68" spans="1:11" x14ac:dyDescent="0.2">
      <c r="B68" s="21" t="str">
        <f>F12&amp;" ""H"" indicates hurricane year"</f>
        <v>(5) "H" indicates hurricane year</v>
      </c>
      <c r="K68" s="2"/>
    </row>
    <row r="69" spans="1:11" x14ac:dyDescent="0.2">
      <c r="K69" s="2"/>
    </row>
    <row r="70" spans="1:11" ht="12" thickBot="1" x14ac:dyDescent="0.25">
      <c r="K70" s="2"/>
    </row>
    <row r="71" spans="1:11" ht="12" hidden="1" thickBot="1" x14ac:dyDescent="0.25">
      <c r="K71" s="2"/>
    </row>
    <row r="72" spans="1:11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92D050"/>
  </sheetPr>
  <dimension ref="A1:M72"/>
  <sheetViews>
    <sheetView showGridLines="0" zoomScaleNormal="100" workbookViewId="0">
      <selection activeCell="F72" sqref="F72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6" width="13.6640625" customWidth="1"/>
    <col min="7" max="7" width="11.33203125" customWidth="1"/>
    <col min="8" max="9" width="11.33203125" hidden="1" customWidth="1"/>
    <col min="10" max="10" width="11.33203125" customWidth="1"/>
    <col min="11" max="11" width="2.332031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55</v>
      </c>
      <c r="L1" s="1"/>
    </row>
    <row r="2" spans="1:13" x14ac:dyDescent="0.2">
      <c r="A2" s="8" t="str">
        <f>'1'!$A$2</f>
        <v>Commercial Property - Wind &amp; Hail</v>
      </c>
      <c r="B2" s="12"/>
      <c r="K2" s="7" t="s">
        <v>65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66</v>
      </c>
      <c r="B4" s="12"/>
      <c r="L4" s="2"/>
    </row>
    <row r="5" spans="1:13" x14ac:dyDescent="0.2">
      <c r="A5" s="57"/>
      <c r="B5" s="21"/>
      <c r="C5" s="57"/>
      <c r="D5" s="57"/>
      <c r="E5" s="57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F7" s="42"/>
      <c r="L7" s="2"/>
    </row>
    <row r="8" spans="1:13" ht="12" thickTop="1" x14ac:dyDescent="0.2">
      <c r="F8" s="42"/>
      <c r="L8" s="2"/>
    </row>
    <row r="9" spans="1:13" x14ac:dyDescent="0.2">
      <c r="C9" s="21" t="s">
        <v>67</v>
      </c>
      <c r="E9" t="s">
        <v>12</v>
      </c>
      <c r="F9" s="42"/>
      <c r="L9" s="2"/>
      <c r="M9" s="26"/>
    </row>
    <row r="10" spans="1:13" x14ac:dyDescent="0.2">
      <c r="A10" t="s">
        <v>41</v>
      </c>
      <c r="C10" t="s">
        <v>34</v>
      </c>
      <c r="D10" t="s">
        <v>44</v>
      </c>
      <c r="E10" t="s">
        <v>28</v>
      </c>
      <c r="F10" s="42"/>
      <c r="L10" s="2"/>
      <c r="M10" t="s">
        <v>237</v>
      </c>
    </row>
    <row r="11" spans="1:13" x14ac:dyDescent="0.2">
      <c r="A11" s="9" t="s">
        <v>42</v>
      </c>
      <c r="B11" s="9"/>
      <c r="C11" s="9" t="str">
        <f>"at "&amp;TEXT(M11,"m/d/yy")</f>
        <v>at 12/31/19</v>
      </c>
      <c r="D11" s="9" t="s">
        <v>30</v>
      </c>
      <c r="E11" s="9" t="s">
        <v>34</v>
      </c>
      <c r="F11" s="42"/>
      <c r="L11" s="2"/>
      <c r="M11" s="49">
        <f>'2.1'!$L$8</f>
        <v>43830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43"/>
      <c r="L12" s="2"/>
    </row>
    <row r="13" spans="1:13" x14ac:dyDescent="0.2">
      <c r="F13" s="42"/>
      <c r="L13" s="2"/>
    </row>
    <row r="14" spans="1:13" x14ac:dyDescent="0.2">
      <c r="A14" s="24">
        <v>1980</v>
      </c>
      <c r="E14" s="265">
        <v>12911</v>
      </c>
      <c r="F14" s="42"/>
      <c r="L14" s="2"/>
    </row>
    <row r="15" spans="1:13" x14ac:dyDescent="0.2">
      <c r="A15" t="str">
        <f>TEXT(A14+1,"#")</f>
        <v>1981</v>
      </c>
      <c r="B15" s="24"/>
      <c r="C15" s="29"/>
      <c r="D15" s="29"/>
      <c r="E15" s="36">
        <v>2512</v>
      </c>
      <c r="F15" s="44"/>
      <c r="L15" s="2"/>
    </row>
    <row r="16" spans="1:13" x14ac:dyDescent="0.2">
      <c r="A16" t="str">
        <f>TEXT(A15+1,"#")</f>
        <v>1982</v>
      </c>
      <c r="B16" s="24"/>
      <c r="C16" s="29"/>
      <c r="D16" s="29"/>
      <c r="E16" s="36">
        <v>796</v>
      </c>
      <c r="F16" s="44"/>
      <c r="L16" s="2"/>
    </row>
    <row r="17" spans="1:12" x14ac:dyDescent="0.2">
      <c r="A17" t="str">
        <f t="shared" ref="A17:A51" si="0">TEXT(A16+1,"#")</f>
        <v>1983</v>
      </c>
      <c r="B17" s="24"/>
      <c r="C17" s="29"/>
      <c r="D17" s="29"/>
      <c r="E17" s="36">
        <v>148999</v>
      </c>
      <c r="F17" s="44"/>
      <c r="L17" s="2"/>
    </row>
    <row r="18" spans="1:12" x14ac:dyDescent="0.2">
      <c r="A18" t="str">
        <f t="shared" si="0"/>
        <v>1984</v>
      </c>
      <c r="B18" s="24"/>
      <c r="C18" s="29"/>
      <c r="D18" s="29"/>
      <c r="E18" s="36">
        <v>999</v>
      </c>
      <c r="F18" s="44"/>
      <c r="L18" s="2"/>
    </row>
    <row r="19" spans="1:12" x14ac:dyDescent="0.2">
      <c r="A19" t="str">
        <f t="shared" si="0"/>
        <v>1985</v>
      </c>
      <c r="B19" s="24"/>
      <c r="C19" s="29"/>
      <c r="D19" s="29"/>
      <c r="E19" s="36">
        <v>512</v>
      </c>
      <c r="F19" s="44"/>
      <c r="L19" s="2"/>
    </row>
    <row r="20" spans="1:12" x14ac:dyDescent="0.2">
      <c r="A20" t="str">
        <f t="shared" si="0"/>
        <v>1986</v>
      </c>
      <c r="B20" s="24"/>
      <c r="C20" s="29"/>
      <c r="D20" s="29"/>
      <c r="E20" s="36">
        <v>881</v>
      </c>
      <c r="F20" s="44"/>
      <c r="L20" s="2"/>
    </row>
    <row r="21" spans="1:12" x14ac:dyDescent="0.2">
      <c r="A21" t="str">
        <f t="shared" si="0"/>
        <v>1987</v>
      </c>
      <c r="B21" s="24"/>
      <c r="C21" s="29"/>
      <c r="D21" s="29"/>
      <c r="E21" s="36">
        <v>1897</v>
      </c>
      <c r="F21" s="44"/>
      <c r="L21" s="2"/>
    </row>
    <row r="22" spans="1:12" x14ac:dyDescent="0.2">
      <c r="A22" t="str">
        <f t="shared" si="0"/>
        <v>1988</v>
      </c>
      <c r="B22" s="24"/>
      <c r="C22" s="29"/>
      <c r="D22" s="29"/>
      <c r="E22" s="36">
        <v>1160</v>
      </c>
      <c r="F22" s="44"/>
      <c r="L22" s="2"/>
    </row>
    <row r="23" spans="1:12" x14ac:dyDescent="0.2">
      <c r="A23" t="str">
        <f t="shared" si="0"/>
        <v>1989</v>
      </c>
      <c r="B23" s="24"/>
      <c r="C23" s="29"/>
      <c r="D23" s="29"/>
      <c r="E23" s="36">
        <v>12296</v>
      </c>
      <c r="F23" s="44"/>
      <c r="L23" s="2"/>
    </row>
    <row r="24" spans="1:12" x14ac:dyDescent="0.2">
      <c r="A24" t="str">
        <f t="shared" si="0"/>
        <v>1990</v>
      </c>
      <c r="C24" s="29"/>
      <c r="D24" s="29"/>
      <c r="E24" s="36">
        <v>335</v>
      </c>
      <c r="F24" s="45"/>
      <c r="L24" s="2"/>
    </row>
    <row r="25" spans="1:12" x14ac:dyDescent="0.2">
      <c r="A25" t="str">
        <f t="shared" si="0"/>
        <v>1991</v>
      </c>
      <c r="C25" s="29"/>
      <c r="D25" s="29"/>
      <c r="E25" s="36">
        <v>1217</v>
      </c>
      <c r="F25" s="45"/>
      <c r="L25" s="2"/>
    </row>
    <row r="26" spans="1:12" x14ac:dyDescent="0.2">
      <c r="A26" t="str">
        <f t="shared" si="0"/>
        <v>1992</v>
      </c>
      <c r="C26" s="29"/>
      <c r="D26" s="29"/>
      <c r="E26" s="36">
        <v>489</v>
      </c>
      <c r="F26" s="45"/>
      <c r="L26" s="2"/>
    </row>
    <row r="27" spans="1:12" x14ac:dyDescent="0.2">
      <c r="A27" t="str">
        <f t="shared" si="0"/>
        <v>1993</v>
      </c>
      <c r="C27" s="29"/>
      <c r="D27" s="29"/>
      <c r="E27" s="36">
        <v>3375</v>
      </c>
      <c r="F27" s="45"/>
      <c r="L27" s="2"/>
    </row>
    <row r="28" spans="1:12" x14ac:dyDescent="0.2">
      <c r="A28" t="str">
        <f t="shared" si="0"/>
        <v>1994</v>
      </c>
      <c r="C28" s="29"/>
      <c r="D28" s="29"/>
      <c r="E28" s="36">
        <v>679</v>
      </c>
      <c r="F28" s="45"/>
      <c r="L28" s="2"/>
    </row>
    <row r="29" spans="1:12" x14ac:dyDescent="0.2">
      <c r="A29" t="str">
        <f t="shared" si="0"/>
        <v>1995</v>
      </c>
      <c r="C29" s="29"/>
      <c r="D29" s="29"/>
      <c r="E29" s="36">
        <v>2977</v>
      </c>
      <c r="F29" s="45"/>
      <c r="L29" s="2"/>
    </row>
    <row r="30" spans="1:12" x14ac:dyDescent="0.2">
      <c r="A30" t="str">
        <f t="shared" si="0"/>
        <v>1996</v>
      </c>
      <c r="C30" s="29"/>
      <c r="D30" s="29"/>
      <c r="E30" s="36">
        <v>1166</v>
      </c>
      <c r="F30" s="45"/>
      <c r="L30" s="2"/>
    </row>
    <row r="31" spans="1:12" x14ac:dyDescent="0.2">
      <c r="A31" t="str">
        <f t="shared" si="0"/>
        <v>1997</v>
      </c>
      <c r="C31" s="29"/>
      <c r="D31" s="29"/>
      <c r="E31" s="36">
        <v>2964</v>
      </c>
      <c r="F31" s="45"/>
      <c r="L31" s="2"/>
    </row>
    <row r="32" spans="1:12" x14ac:dyDescent="0.2">
      <c r="A32" t="str">
        <f t="shared" si="0"/>
        <v>1998</v>
      </c>
      <c r="C32" s="29"/>
      <c r="D32" s="29"/>
      <c r="E32" s="36">
        <v>22401</v>
      </c>
      <c r="F32" s="45"/>
      <c r="L32" s="2"/>
    </row>
    <row r="33" spans="1:12" x14ac:dyDescent="0.2">
      <c r="A33" t="str">
        <f t="shared" si="0"/>
        <v>1999</v>
      </c>
      <c r="B33" s="21"/>
      <c r="C33" s="29"/>
      <c r="D33" s="29"/>
      <c r="E33" s="36">
        <v>8773</v>
      </c>
      <c r="F33" s="45"/>
      <c r="L33" s="2"/>
    </row>
    <row r="34" spans="1:12" x14ac:dyDescent="0.2">
      <c r="A34" t="str">
        <f t="shared" si="0"/>
        <v>2000</v>
      </c>
      <c r="C34" s="18"/>
      <c r="E34" s="36">
        <v>6227</v>
      </c>
      <c r="F34" s="45"/>
      <c r="L34" s="2"/>
    </row>
    <row r="35" spans="1:12" x14ac:dyDescent="0.2">
      <c r="A35" t="str">
        <f t="shared" si="0"/>
        <v>2001</v>
      </c>
      <c r="B35" s="21"/>
      <c r="C35" s="29"/>
      <c r="D35" s="29"/>
      <c r="E35" s="36">
        <v>24605</v>
      </c>
      <c r="F35" s="45"/>
      <c r="L35" s="2"/>
    </row>
    <row r="36" spans="1:12" x14ac:dyDescent="0.2">
      <c r="A36" t="str">
        <f t="shared" si="0"/>
        <v>2002</v>
      </c>
      <c r="B36" s="21"/>
      <c r="C36" s="29"/>
      <c r="D36" s="37"/>
      <c r="E36" s="36">
        <v>5167</v>
      </c>
      <c r="F36" s="45"/>
      <c r="L36" s="2"/>
    </row>
    <row r="37" spans="1:12" x14ac:dyDescent="0.2">
      <c r="A37" t="str">
        <f t="shared" si="0"/>
        <v>2003</v>
      </c>
      <c r="C37" s="29"/>
      <c r="D37" s="37"/>
      <c r="E37" s="36">
        <v>155001</v>
      </c>
      <c r="F37" s="45"/>
      <c r="L37" s="2"/>
    </row>
    <row r="38" spans="1:12" x14ac:dyDescent="0.2">
      <c r="A38" t="str">
        <f t="shared" si="0"/>
        <v>2004</v>
      </c>
      <c r="C38" s="29"/>
      <c r="D38" s="37"/>
      <c r="E38" s="223">
        <v>5167</v>
      </c>
      <c r="F38" s="45"/>
      <c r="L38" s="2"/>
    </row>
    <row r="39" spans="1:12" x14ac:dyDescent="0.2">
      <c r="A39" t="str">
        <f t="shared" si="0"/>
        <v>2005</v>
      </c>
      <c r="C39" s="29"/>
      <c r="D39" s="37"/>
      <c r="E39" s="223">
        <v>154981</v>
      </c>
      <c r="F39" s="45"/>
      <c r="L39" s="2"/>
    </row>
    <row r="40" spans="1:12" x14ac:dyDescent="0.2">
      <c r="A40" t="str">
        <f t="shared" si="0"/>
        <v>2006</v>
      </c>
      <c r="E40" s="223">
        <v>4276</v>
      </c>
      <c r="F40" s="44"/>
      <c r="L40" s="2"/>
    </row>
    <row r="41" spans="1:12" x14ac:dyDescent="0.2">
      <c r="A41" t="str">
        <f t="shared" si="0"/>
        <v>2007</v>
      </c>
      <c r="C41" s="29"/>
      <c r="D41" s="37"/>
      <c r="E41" s="223">
        <v>15745</v>
      </c>
      <c r="F41" s="42"/>
      <c r="L41" s="2"/>
    </row>
    <row r="42" spans="1:12" x14ac:dyDescent="0.2">
      <c r="A42" t="str">
        <f t="shared" si="0"/>
        <v>2008</v>
      </c>
      <c r="E42" s="223">
        <v>2583017</v>
      </c>
      <c r="F42" s="42"/>
      <c r="L42" s="2"/>
    </row>
    <row r="43" spans="1:12" x14ac:dyDescent="0.2">
      <c r="A43" t="str">
        <f t="shared" si="0"/>
        <v>2009</v>
      </c>
      <c r="B43" s="48"/>
      <c r="E43" s="29">
        <f>'4.3'!I14</f>
        <v>18005</v>
      </c>
      <c r="F43" s="42"/>
      <c r="L43" s="2"/>
    </row>
    <row r="44" spans="1:12" x14ac:dyDescent="0.2">
      <c r="A44" t="str">
        <f t="shared" si="0"/>
        <v>2010</v>
      </c>
      <c r="C44" s="253"/>
      <c r="D44" s="37"/>
      <c r="E44" s="29">
        <f>'4.3'!I15</f>
        <v>96089</v>
      </c>
      <c r="F44" s="42"/>
      <c r="L44" s="2"/>
    </row>
    <row r="45" spans="1:12" x14ac:dyDescent="0.2">
      <c r="A45" t="str">
        <f t="shared" si="0"/>
        <v>2011</v>
      </c>
      <c r="E45" s="29">
        <f>'4.3'!I16</f>
        <v>67497</v>
      </c>
      <c r="F45" s="46"/>
      <c r="L45" s="2"/>
    </row>
    <row r="46" spans="1:12" x14ac:dyDescent="0.2">
      <c r="A46" t="str">
        <f t="shared" si="0"/>
        <v>2012</v>
      </c>
      <c r="B46" s="48"/>
      <c r="C46" s="29">
        <f>'4.3'!I16</f>
        <v>67497</v>
      </c>
      <c r="D46" s="349">
        <f>'4.3'!I48</f>
        <v>1</v>
      </c>
      <c r="E46" s="29">
        <f>'4.3'!I17</f>
        <v>70825</v>
      </c>
      <c r="F46" s="42"/>
      <c r="L46" s="2"/>
    </row>
    <row r="47" spans="1:12" x14ac:dyDescent="0.2">
      <c r="A47" t="str">
        <f t="shared" si="0"/>
        <v>2013</v>
      </c>
      <c r="C47" s="29">
        <f>'4.3'!I17</f>
        <v>70825</v>
      </c>
      <c r="D47" s="349">
        <f>'4.3'!I48</f>
        <v>1</v>
      </c>
      <c r="E47" s="29">
        <f>ROUND(C47*D47,0)</f>
        <v>70825</v>
      </c>
      <c r="F47" s="42"/>
      <c r="L47" s="2"/>
    </row>
    <row r="48" spans="1:12" x14ac:dyDescent="0.2">
      <c r="A48" t="str">
        <f t="shared" si="0"/>
        <v>2014</v>
      </c>
      <c r="C48" s="29">
        <f>'4.3'!H18</f>
        <v>7012</v>
      </c>
      <c r="D48" s="349">
        <f>'4.3'!H48</f>
        <v>0.997</v>
      </c>
      <c r="E48" s="29">
        <f t="shared" ref="E48:E53" si="1">ROUND(C48*D48,0)</f>
        <v>6991</v>
      </c>
      <c r="F48" s="42"/>
      <c r="L48" s="2"/>
    </row>
    <row r="49" spans="1:12" x14ac:dyDescent="0.2">
      <c r="A49" t="str">
        <f t="shared" si="0"/>
        <v>2015</v>
      </c>
      <c r="C49" s="29">
        <f>'4.3'!G19</f>
        <v>138801</v>
      </c>
      <c r="D49" s="349">
        <f>'4.3'!G48</f>
        <v>0.997</v>
      </c>
      <c r="E49" s="29">
        <f t="shared" si="1"/>
        <v>138385</v>
      </c>
      <c r="F49" s="42"/>
      <c r="L49" s="2"/>
    </row>
    <row r="50" spans="1:12" x14ac:dyDescent="0.2">
      <c r="A50" t="str">
        <f t="shared" si="0"/>
        <v>2016</v>
      </c>
      <c r="C50" s="29">
        <f>'4.3'!F20</f>
        <v>28523</v>
      </c>
      <c r="D50" s="349">
        <f>'4.3'!F48</f>
        <v>0.98699999999999999</v>
      </c>
      <c r="E50" s="29">
        <f t="shared" si="1"/>
        <v>28152</v>
      </c>
      <c r="F50" s="42"/>
      <c r="L50" s="2"/>
    </row>
    <row r="51" spans="1:12" x14ac:dyDescent="0.2">
      <c r="A51" t="str">
        <f t="shared" si="0"/>
        <v>2017</v>
      </c>
      <c r="C51" s="29">
        <f>'4.3'!E21</f>
        <v>1445588</v>
      </c>
      <c r="D51" s="349">
        <f>E51/C51</f>
        <v>0.99961891142702086</v>
      </c>
      <c r="E51" s="46">
        <f>('[7]1.1'!$C$20+'[7]1.1'!$C$21+'[7]1.1'!$F$20+'[7]1.1'!$F$21)/1000</f>
        <v>1445037.1029319642</v>
      </c>
      <c r="L51" s="2"/>
    </row>
    <row r="52" spans="1:12" x14ac:dyDescent="0.2">
      <c r="A52" s="48">
        <v>2018</v>
      </c>
      <c r="B52" s="47"/>
      <c r="C52" s="29">
        <f>'4.3'!D22</f>
        <v>12326</v>
      </c>
      <c r="D52" s="349">
        <f>'4.3'!D48</f>
        <v>0.97</v>
      </c>
      <c r="E52" s="29">
        <f t="shared" si="1"/>
        <v>11956</v>
      </c>
      <c r="F52" s="42"/>
      <c r="L52" s="2"/>
    </row>
    <row r="53" spans="1:12" ht="12" thickBot="1" x14ac:dyDescent="0.25">
      <c r="A53" s="331">
        <v>2019</v>
      </c>
      <c r="B53" s="6"/>
      <c r="C53" s="264">
        <f>'4.3'!C23</f>
        <v>18155</v>
      </c>
      <c r="D53" s="335">
        <f>'4.3'!C48</f>
        <v>0.99199999999999999</v>
      </c>
      <c r="E53" s="264">
        <f t="shared" si="1"/>
        <v>18010</v>
      </c>
      <c r="F53" s="42"/>
      <c r="L53" s="2"/>
    </row>
    <row r="54" spans="1:12" ht="12" thickTop="1" x14ac:dyDescent="0.2">
      <c r="L54" s="2"/>
    </row>
    <row r="55" spans="1:12" x14ac:dyDescent="0.2">
      <c r="A55" t="s">
        <v>18</v>
      </c>
      <c r="L55" s="2"/>
    </row>
    <row r="56" spans="1:12" x14ac:dyDescent="0.2">
      <c r="B56" s="21" t="str">
        <f>C12&amp;" "&amp;'4.3'!$K$1&amp;", "&amp;'4.3'!$K$2</f>
        <v>(2) Exhibit 4, Sheet 3</v>
      </c>
      <c r="D56" s="21"/>
      <c r="L56" s="2"/>
    </row>
    <row r="57" spans="1:12" x14ac:dyDescent="0.2">
      <c r="B57" s="21" t="str">
        <f>D12&amp;" "&amp;'4.3'!$K$1&amp;", "&amp;'4.3'!$K$2</f>
        <v>(3) Exhibit 4, Sheet 3</v>
      </c>
      <c r="L57" s="2"/>
    </row>
    <row r="58" spans="1:12" x14ac:dyDescent="0.2">
      <c r="B58" s="21" t="str">
        <f>E12&amp;" "&amp;A46&amp;" - "&amp;A53&amp;": "&amp;C12&amp;" * "&amp;D12&amp;"; "&amp;A14&amp;" - "&amp;A45&amp;": from prior TWIA annual statements"</f>
        <v>(4) 2012 - 2019: (2) * (3); 1980 - 2011: from prior TWIA annual statements</v>
      </c>
      <c r="C58" s="21"/>
      <c r="L58" s="2"/>
    </row>
    <row r="59" spans="1:12" x14ac:dyDescent="0.2">
      <c r="B59" s="21"/>
      <c r="F59" s="42"/>
      <c r="L59" s="2"/>
    </row>
    <row r="60" spans="1:12" x14ac:dyDescent="0.2">
      <c r="C60" s="18"/>
      <c r="D60" s="18"/>
      <c r="E60" s="37"/>
      <c r="F60" s="42"/>
      <c r="L60" s="2"/>
    </row>
    <row r="61" spans="1:12" x14ac:dyDescent="0.2">
      <c r="C61" s="18"/>
      <c r="D61" s="18"/>
      <c r="E61" s="37"/>
      <c r="F61" s="42"/>
      <c r="L61" s="2"/>
    </row>
    <row r="62" spans="1:12" x14ac:dyDescent="0.2">
      <c r="C62" s="18"/>
      <c r="D62" s="18"/>
      <c r="E62" s="37"/>
      <c r="F62" s="42"/>
      <c r="L62" s="2"/>
    </row>
    <row r="63" spans="1:12" x14ac:dyDescent="0.2">
      <c r="C63" s="18"/>
      <c r="D63" s="18"/>
      <c r="E63" s="37"/>
      <c r="F63" s="42"/>
      <c r="L63" s="2"/>
    </row>
    <row r="64" spans="1:12" x14ac:dyDescent="0.2">
      <c r="C64" s="18"/>
      <c r="D64" s="18"/>
      <c r="E64" s="37"/>
      <c r="F64" s="42"/>
      <c r="L64" s="2"/>
    </row>
    <row r="65" spans="1:12" x14ac:dyDescent="0.2">
      <c r="C65" s="18"/>
      <c r="D65" s="18"/>
      <c r="E65" s="37"/>
      <c r="F65" s="42"/>
      <c r="L65" s="2"/>
    </row>
    <row r="66" spans="1:12" x14ac:dyDescent="0.2">
      <c r="C66" s="18"/>
      <c r="D66" s="18"/>
      <c r="E66" s="37"/>
      <c r="F66" s="42"/>
      <c r="L66" s="2"/>
    </row>
    <row r="67" spans="1:12" x14ac:dyDescent="0.2">
      <c r="C67" s="18"/>
      <c r="D67" s="18"/>
      <c r="E67" s="37"/>
      <c r="F67" s="42"/>
      <c r="L67" s="2"/>
    </row>
    <row r="68" spans="1:12" x14ac:dyDescent="0.2">
      <c r="C68" s="18"/>
      <c r="D68" s="18"/>
      <c r="E68" s="37"/>
      <c r="L68" s="2"/>
    </row>
    <row r="69" spans="1:12" x14ac:dyDescent="0.2">
      <c r="L69" s="2"/>
    </row>
    <row r="70" spans="1:12" ht="12" thickBot="1" x14ac:dyDescent="0.25">
      <c r="L70" s="2"/>
    </row>
    <row r="71" spans="1:12" ht="12" hidden="1" thickBot="1" x14ac:dyDescent="0.25">
      <c r="F71" s="5"/>
      <c r="G71" s="5"/>
      <c r="H71" s="5"/>
      <c r="I71" s="5"/>
      <c r="J71" s="5"/>
      <c r="K71" s="5"/>
      <c r="L71" s="3"/>
    </row>
    <row r="72" spans="1:12" ht="12" thickBot="1" x14ac:dyDescent="0.25">
      <c r="A72" s="4"/>
      <c r="B72" s="5"/>
      <c r="C72" s="5"/>
      <c r="D72" s="5"/>
      <c r="E72" s="5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92D050"/>
  </sheetPr>
  <dimension ref="A1:T69"/>
  <sheetViews>
    <sheetView showGridLines="0" zoomScaleNormal="100" workbookViewId="0">
      <selection activeCell="I17" sqref="I17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10" width="12.6640625" customWidth="1"/>
    <col min="11" max="11" width="4.6640625" customWidth="1"/>
    <col min="12" max="13" width="11.33203125" customWidth="1"/>
    <col min="15" max="19" width="11.33203125" customWidth="1"/>
  </cols>
  <sheetData>
    <row r="1" spans="1:20" x14ac:dyDescent="0.2">
      <c r="A1" s="8" t="str">
        <f>'1'!$A$1</f>
        <v>Texas Windstorm Insurance Association</v>
      </c>
      <c r="B1" s="12"/>
      <c r="J1" s="47"/>
      <c r="K1" s="7" t="s">
        <v>55</v>
      </c>
      <c r="L1" s="1"/>
    </row>
    <row r="2" spans="1:20" x14ac:dyDescent="0.2">
      <c r="A2" s="8" t="str">
        <f>'1'!$A$2</f>
        <v>Commercial Property - Wind &amp; Hail</v>
      </c>
      <c r="B2" s="12"/>
      <c r="J2" s="47"/>
      <c r="K2" s="7" t="s">
        <v>68</v>
      </c>
      <c r="L2" s="2"/>
    </row>
    <row r="3" spans="1:20" x14ac:dyDescent="0.2">
      <c r="A3" s="8" t="str">
        <f>'1'!$A$3</f>
        <v>Rate Level Review</v>
      </c>
      <c r="B3" s="12"/>
      <c r="J3" s="47"/>
      <c r="L3" s="2"/>
    </row>
    <row r="4" spans="1:20" x14ac:dyDescent="0.2">
      <c r="A4" t="s">
        <v>69</v>
      </c>
      <c r="B4" s="12"/>
      <c r="J4" s="47"/>
      <c r="L4" s="2"/>
    </row>
    <row r="5" spans="1:20" x14ac:dyDescent="0.2">
      <c r="A5" s="57" t="s">
        <v>70</v>
      </c>
      <c r="B5" s="21"/>
      <c r="C5" s="57"/>
      <c r="D5" s="57"/>
      <c r="E5" s="57"/>
      <c r="J5" s="47"/>
      <c r="L5" s="2"/>
    </row>
    <row r="6" spans="1:20" x14ac:dyDescent="0.2">
      <c r="J6" s="47"/>
      <c r="L6" s="2"/>
    </row>
    <row r="7" spans="1:20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47"/>
      <c r="L7" s="2"/>
    </row>
    <row r="8" spans="1:20" ht="12" thickTop="1" x14ac:dyDescent="0.2">
      <c r="J8" s="47"/>
      <c r="L8" s="2"/>
    </row>
    <row r="9" spans="1:20" x14ac:dyDescent="0.2">
      <c r="C9" s="23" t="s">
        <v>48</v>
      </c>
      <c r="J9" s="47"/>
      <c r="L9" s="2"/>
      <c r="M9" s="26"/>
    </row>
    <row r="10" spans="1:20" x14ac:dyDescent="0.2">
      <c r="A10" t="s">
        <v>41</v>
      </c>
      <c r="J10" s="47"/>
      <c r="L10" s="2"/>
      <c r="M10" t="s">
        <v>49</v>
      </c>
      <c r="P10" t="s">
        <v>526</v>
      </c>
    </row>
    <row r="11" spans="1:20" x14ac:dyDescent="0.2">
      <c r="A11" s="9" t="s">
        <v>42</v>
      </c>
      <c r="B11" s="9"/>
      <c r="C11" s="25">
        <f>$M$11</f>
        <v>12</v>
      </c>
      <c r="D11" s="25">
        <f t="shared" ref="D11:I11" si="0">C11+12</f>
        <v>24</v>
      </c>
      <c r="E11" s="25">
        <f t="shared" si="0"/>
        <v>36</v>
      </c>
      <c r="F11" s="25">
        <f t="shared" si="0"/>
        <v>48</v>
      </c>
      <c r="G11" s="25">
        <f t="shared" si="0"/>
        <v>60</v>
      </c>
      <c r="H11" s="25">
        <f t="shared" si="0"/>
        <v>72</v>
      </c>
      <c r="I11" s="25">
        <f t="shared" si="0"/>
        <v>84</v>
      </c>
      <c r="J11" s="48"/>
      <c r="L11" s="2"/>
      <c r="M11" s="108">
        <v>12</v>
      </c>
      <c r="P11" s="25" t="s">
        <v>297</v>
      </c>
      <c r="Q11" s="25" t="s">
        <v>299</v>
      </c>
      <c r="R11" s="25" t="s">
        <v>298</v>
      </c>
      <c r="S11" s="25" t="s">
        <v>67</v>
      </c>
    </row>
    <row r="12" spans="1:20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31"/>
      <c r="L12" s="2"/>
    </row>
    <row r="13" spans="1:20" ht="11.25" customHeight="1" x14ac:dyDescent="0.2">
      <c r="J13" s="47"/>
      <c r="L13" s="2"/>
    </row>
    <row r="14" spans="1:20" ht="11.25" customHeight="1" x14ac:dyDescent="0.2">
      <c r="A14" t="str">
        <f t="shared" ref="A14:A22" si="2">TEXT(A15-1,"#")</f>
        <v>2010</v>
      </c>
      <c r="B14" s="24"/>
      <c r="C14" s="36">
        <v>15215</v>
      </c>
      <c r="D14" s="36">
        <v>18166</v>
      </c>
      <c r="E14" s="36">
        <v>18173</v>
      </c>
      <c r="F14" s="36">
        <v>18522</v>
      </c>
      <c r="G14" s="36">
        <v>18361</v>
      </c>
      <c r="H14" s="36">
        <v>18267</v>
      </c>
      <c r="I14" s="29">
        <f>S14</f>
        <v>18005</v>
      </c>
      <c r="J14" s="177"/>
      <c r="L14" s="2"/>
      <c r="O14" s="273">
        <f t="shared" ref="O14:O21" si="3">O15-1</f>
        <v>2010</v>
      </c>
      <c r="P14" s="274">
        <v>18005</v>
      </c>
      <c r="Q14" s="275">
        <v>0</v>
      </c>
      <c r="R14" s="275">
        <v>0</v>
      </c>
      <c r="S14" s="276">
        <f>SUM(P14:R14)</f>
        <v>18005</v>
      </c>
      <c r="T14" s="105"/>
    </row>
    <row r="15" spans="1:20" ht="11.25" customHeight="1" x14ac:dyDescent="0.2">
      <c r="A15" t="str">
        <f t="shared" si="2"/>
        <v>2011</v>
      </c>
      <c r="B15" s="24"/>
      <c r="C15" s="36">
        <v>94870</v>
      </c>
      <c r="D15" s="36">
        <v>96967</v>
      </c>
      <c r="E15" s="36">
        <v>97503</v>
      </c>
      <c r="F15" s="36">
        <v>96828</v>
      </c>
      <c r="G15" s="36">
        <v>96263</v>
      </c>
      <c r="H15" s="36">
        <v>95964</v>
      </c>
      <c r="I15" s="29">
        <f>S15</f>
        <v>96089</v>
      </c>
      <c r="J15" s="177"/>
      <c r="L15" s="2"/>
      <c r="O15" s="273">
        <f t="shared" si="3"/>
        <v>2011</v>
      </c>
      <c r="P15" s="274">
        <v>96089</v>
      </c>
      <c r="Q15" s="274">
        <v>0</v>
      </c>
      <c r="R15" s="274">
        <v>0</v>
      </c>
      <c r="S15" s="276">
        <f t="shared" ref="S15:S22" si="4">SUM(P15:R15)</f>
        <v>96089</v>
      </c>
      <c r="T15" s="105"/>
    </row>
    <row r="16" spans="1:20" ht="11.25" customHeight="1" x14ac:dyDescent="0.2">
      <c r="A16" t="str">
        <f t="shared" si="2"/>
        <v>2012</v>
      </c>
      <c r="B16" s="24"/>
      <c r="C16" s="36">
        <v>62722</v>
      </c>
      <c r="D16" s="36">
        <v>69764</v>
      </c>
      <c r="E16" s="36">
        <v>67287</v>
      </c>
      <c r="F16" s="36">
        <v>66724</v>
      </c>
      <c r="G16" s="36">
        <v>66328</v>
      </c>
      <c r="H16" s="224">
        <v>67658</v>
      </c>
      <c r="I16" s="29">
        <f>S16</f>
        <v>67497</v>
      </c>
      <c r="J16" s="177"/>
      <c r="L16" s="2"/>
      <c r="O16" s="273">
        <f t="shared" si="3"/>
        <v>2012</v>
      </c>
      <c r="P16" s="274">
        <v>66741</v>
      </c>
      <c r="Q16" s="275">
        <v>747</v>
      </c>
      <c r="R16" s="275">
        <v>9</v>
      </c>
      <c r="S16" s="276">
        <f t="shared" si="4"/>
        <v>67497</v>
      </c>
      <c r="T16" s="105"/>
    </row>
    <row r="17" spans="1:20" ht="11.25" customHeight="1" x14ac:dyDescent="0.2">
      <c r="A17" t="str">
        <f t="shared" si="2"/>
        <v>2013</v>
      </c>
      <c r="B17" s="24"/>
      <c r="C17" s="36">
        <v>77204</v>
      </c>
      <c r="D17" s="36">
        <v>75204</v>
      </c>
      <c r="E17" s="36">
        <v>72860</v>
      </c>
      <c r="F17" s="36">
        <v>71823</v>
      </c>
      <c r="G17" s="224">
        <v>71286</v>
      </c>
      <c r="H17" s="224">
        <v>71068</v>
      </c>
      <c r="I17" s="29">
        <f>S17</f>
        <v>70825</v>
      </c>
      <c r="J17" s="177"/>
      <c r="L17" s="2"/>
      <c r="O17" s="273">
        <f t="shared" si="3"/>
        <v>2013</v>
      </c>
      <c r="P17" s="274">
        <v>70811</v>
      </c>
      <c r="Q17" s="275">
        <v>0</v>
      </c>
      <c r="R17" s="275">
        <v>14</v>
      </c>
      <c r="S17" s="276">
        <f t="shared" si="4"/>
        <v>70825</v>
      </c>
      <c r="T17" s="105"/>
    </row>
    <row r="18" spans="1:20" ht="11.25" customHeight="1" x14ac:dyDescent="0.2">
      <c r="A18" t="str">
        <f t="shared" si="2"/>
        <v>2014</v>
      </c>
      <c r="B18" s="24"/>
      <c r="C18" s="36">
        <v>6739</v>
      </c>
      <c r="D18" s="36">
        <v>7854</v>
      </c>
      <c r="E18" s="36">
        <v>7298</v>
      </c>
      <c r="F18" s="224">
        <v>7261</v>
      </c>
      <c r="G18" s="224">
        <v>7068</v>
      </c>
      <c r="H18" s="29">
        <f>S18</f>
        <v>7012</v>
      </c>
      <c r="I18" s="29"/>
      <c r="J18" s="177"/>
      <c r="L18" s="2"/>
      <c r="O18" s="273">
        <f t="shared" si="3"/>
        <v>2014</v>
      </c>
      <c r="P18" s="274">
        <v>7002</v>
      </c>
      <c r="Q18" s="275">
        <v>3</v>
      </c>
      <c r="R18" s="275">
        <v>7</v>
      </c>
      <c r="S18" s="276">
        <f t="shared" si="4"/>
        <v>7012</v>
      </c>
      <c r="T18" s="105"/>
    </row>
    <row r="19" spans="1:20" ht="11.25" customHeight="1" x14ac:dyDescent="0.2">
      <c r="A19" t="str">
        <f t="shared" si="2"/>
        <v>2015</v>
      </c>
      <c r="B19" s="24"/>
      <c r="C19" s="36">
        <v>147927</v>
      </c>
      <c r="D19" s="36">
        <v>139955</v>
      </c>
      <c r="E19" s="224">
        <v>140459</v>
      </c>
      <c r="F19" s="224">
        <v>139777</v>
      </c>
      <c r="G19" s="29">
        <f>S19</f>
        <v>138801</v>
      </c>
      <c r="H19" s="36"/>
      <c r="I19" s="36"/>
      <c r="J19" s="44"/>
      <c r="L19" s="2"/>
      <c r="O19" s="273">
        <f t="shared" si="3"/>
        <v>2015</v>
      </c>
      <c r="P19" s="274">
        <v>138583</v>
      </c>
      <c r="Q19" s="275">
        <v>86</v>
      </c>
      <c r="R19" s="275">
        <v>132</v>
      </c>
      <c r="S19" s="276">
        <f t="shared" si="4"/>
        <v>138801</v>
      </c>
      <c r="T19" s="105"/>
    </row>
    <row r="20" spans="1:20" ht="11.25" customHeight="1" x14ac:dyDescent="0.2">
      <c r="A20" t="str">
        <f t="shared" si="2"/>
        <v>2016</v>
      </c>
      <c r="B20" s="24"/>
      <c r="C20" s="36">
        <v>31292</v>
      </c>
      <c r="D20" s="224">
        <v>29612</v>
      </c>
      <c r="E20" s="224">
        <v>28908</v>
      </c>
      <c r="F20" s="29">
        <f>S20</f>
        <v>28523</v>
      </c>
      <c r="G20" s="36"/>
      <c r="H20" s="36"/>
      <c r="I20" s="36"/>
      <c r="J20" s="44"/>
      <c r="L20" s="2"/>
      <c r="O20" s="273">
        <f t="shared" si="3"/>
        <v>2016</v>
      </c>
      <c r="P20" s="274">
        <v>28409</v>
      </c>
      <c r="Q20" s="274">
        <v>9</v>
      </c>
      <c r="R20" s="274">
        <v>105</v>
      </c>
      <c r="S20" s="276">
        <f t="shared" si="4"/>
        <v>28523</v>
      </c>
      <c r="T20" s="105"/>
    </row>
    <row r="21" spans="1:20" ht="11.25" customHeight="1" x14ac:dyDescent="0.2">
      <c r="A21" t="str">
        <f t="shared" si="2"/>
        <v>2017</v>
      </c>
      <c r="B21" s="24"/>
      <c r="C21" s="224">
        <v>1278467</v>
      </c>
      <c r="D21" s="224">
        <v>1373877</v>
      </c>
      <c r="E21" s="29">
        <f>S21</f>
        <v>1445588</v>
      </c>
      <c r="F21" s="36"/>
      <c r="G21" s="36"/>
      <c r="H21" s="36"/>
      <c r="I21" s="36"/>
      <c r="J21" s="44"/>
      <c r="L21" s="2"/>
      <c r="O21" s="273">
        <f t="shared" si="3"/>
        <v>2017</v>
      </c>
      <c r="P21" s="274">
        <v>1338484</v>
      </c>
      <c r="Q21" s="275">
        <v>50532</v>
      </c>
      <c r="R21" s="275">
        <v>56572</v>
      </c>
      <c r="S21" s="276">
        <f t="shared" si="4"/>
        <v>1445588</v>
      </c>
      <c r="T21" s="105"/>
    </row>
    <row r="22" spans="1:20" ht="11.25" customHeight="1" x14ac:dyDescent="0.2">
      <c r="A22" t="str">
        <f t="shared" si="2"/>
        <v>2018</v>
      </c>
      <c r="B22" s="24"/>
      <c r="C22" s="224">
        <v>13197</v>
      </c>
      <c r="D22" s="29">
        <f>S22</f>
        <v>12326</v>
      </c>
      <c r="E22" s="144"/>
      <c r="F22" s="36"/>
      <c r="G22" s="36"/>
      <c r="H22" s="36"/>
      <c r="I22" s="36"/>
      <c r="J22" s="44"/>
      <c r="L22" s="2"/>
      <c r="M22" t="s">
        <v>237</v>
      </c>
      <c r="O22" s="273">
        <f>O23-1</f>
        <v>2018</v>
      </c>
      <c r="P22" s="274">
        <v>11663</v>
      </c>
      <c r="Q22" s="274">
        <v>396</v>
      </c>
      <c r="R22" s="275">
        <v>267</v>
      </c>
      <c r="S22" s="276">
        <f t="shared" si="4"/>
        <v>12326</v>
      </c>
      <c r="T22" s="105"/>
    </row>
    <row r="23" spans="1:20" ht="11.25" customHeight="1" x14ac:dyDescent="0.2">
      <c r="A23" t="str">
        <f>TEXT(YEAR($M$23),"#")</f>
        <v>2019</v>
      </c>
      <c r="B23" s="24"/>
      <c r="C23" s="294">
        <f>S23</f>
        <v>18155</v>
      </c>
      <c r="D23" s="29"/>
      <c r="E23" s="144"/>
      <c r="F23" s="36"/>
      <c r="G23" s="36"/>
      <c r="H23" s="36"/>
      <c r="I23" s="36"/>
      <c r="J23" s="44"/>
      <c r="L23" s="2"/>
      <c r="M23" s="102">
        <v>43830</v>
      </c>
      <c r="O23" s="273">
        <v>2019</v>
      </c>
      <c r="P23" s="274">
        <v>12936</v>
      </c>
      <c r="Q23" s="274">
        <v>1313</v>
      </c>
      <c r="R23" s="274">
        <v>3906</v>
      </c>
      <c r="S23" s="276">
        <f>SUM(P23:R23)</f>
        <v>18155</v>
      </c>
    </row>
    <row r="24" spans="1:20" x14ac:dyDescent="0.2">
      <c r="A24" s="9"/>
      <c r="B24" s="25"/>
      <c r="C24" s="30"/>
      <c r="D24" s="143"/>
      <c r="E24" s="143"/>
      <c r="F24" s="70"/>
      <c r="G24" s="70"/>
      <c r="H24" s="70"/>
      <c r="I24" s="70"/>
      <c r="J24" s="47"/>
      <c r="L24" s="2"/>
      <c r="Q24" s="352"/>
      <c r="R24" s="353"/>
    </row>
    <row r="25" spans="1:20" ht="11.25" customHeight="1" x14ac:dyDescent="0.2">
      <c r="J25" s="47"/>
      <c r="L25" s="2"/>
    </row>
    <row r="26" spans="1:20" ht="11.25" customHeight="1" x14ac:dyDescent="0.2">
      <c r="C26" s="23" t="s">
        <v>50</v>
      </c>
      <c r="J26" s="47"/>
      <c r="L26" s="2"/>
      <c r="P26" s="18">
        <f>SUM(P14:P23)</f>
        <v>1788723</v>
      </c>
      <c r="Q26" s="18">
        <f>SUM(Q14:Q24)</f>
        <v>53086</v>
      </c>
      <c r="R26" s="18">
        <f>SUM(R14:R24)</f>
        <v>61012</v>
      </c>
      <c r="S26" s="18">
        <f>SUM(S14:S23)</f>
        <v>1902821</v>
      </c>
    </row>
    <row r="27" spans="1:20" ht="11.25" customHeight="1" x14ac:dyDescent="0.2">
      <c r="A27" t="s">
        <v>41</v>
      </c>
      <c r="J27" s="47"/>
      <c r="L27" s="2"/>
    </row>
    <row r="28" spans="1:20" ht="11.25" customHeight="1" x14ac:dyDescent="0.2">
      <c r="A28" s="9" t="s">
        <v>42</v>
      </c>
      <c r="B28" s="9"/>
      <c r="C28" s="9" t="str">
        <f t="shared" ref="C28:H28" si="5">C11&amp;" - "&amp;D11</f>
        <v>12 - 24</v>
      </c>
      <c r="D28" s="9" t="str">
        <f t="shared" si="5"/>
        <v>24 - 36</v>
      </c>
      <c r="E28" s="9" t="str">
        <f t="shared" si="5"/>
        <v>36 - 48</v>
      </c>
      <c r="F28" s="9" t="str">
        <f t="shared" si="5"/>
        <v>48 - 60</v>
      </c>
      <c r="G28" s="9" t="str">
        <f t="shared" si="5"/>
        <v>60 - 72</v>
      </c>
      <c r="H28" s="9" t="str">
        <f t="shared" si="5"/>
        <v>72 - 84</v>
      </c>
      <c r="I28" s="9" t="str">
        <f>I11&amp;" - Ult"</f>
        <v>84 - Ult</v>
      </c>
      <c r="J28" s="47"/>
      <c r="L28" s="2"/>
      <c r="O28" s="240"/>
      <c r="P28" s="241"/>
      <c r="Q28" s="240"/>
      <c r="R28" s="240"/>
      <c r="S28" s="241"/>
    </row>
    <row r="29" spans="1:20" ht="11.25" customHeight="1" x14ac:dyDescent="0.2">
      <c r="A29" s="13" t="str">
        <f>TEXT(COLUMN(),"(#)")</f>
        <v>(1)</v>
      </c>
      <c r="B29" s="13"/>
      <c r="C29" s="11" t="str">
        <f t="shared" ref="C29:I29" si="6">TEXT(COLUMN()-1,"(#)")</f>
        <v>(2)</v>
      </c>
      <c r="D29" s="11" t="str">
        <f t="shared" si="6"/>
        <v>(3)</v>
      </c>
      <c r="E29" s="11" t="str">
        <f t="shared" si="6"/>
        <v>(4)</v>
      </c>
      <c r="F29" s="11" t="str">
        <f t="shared" si="6"/>
        <v>(5)</v>
      </c>
      <c r="G29" s="11" t="str">
        <f t="shared" si="6"/>
        <v>(6)</v>
      </c>
      <c r="H29" s="11" t="str">
        <f t="shared" si="6"/>
        <v>(7)</v>
      </c>
      <c r="I29" s="11" t="str">
        <f t="shared" si="6"/>
        <v>(8)</v>
      </c>
      <c r="J29" s="131"/>
      <c r="L29" s="2"/>
      <c r="O29" s="240"/>
      <c r="P29" s="241"/>
      <c r="Q29" s="240"/>
      <c r="R29" s="240"/>
      <c r="S29" s="241"/>
    </row>
    <row r="30" spans="1:20" ht="11.25" customHeight="1" x14ac:dyDescent="0.2">
      <c r="J30" s="47"/>
      <c r="L30" s="2"/>
      <c r="O30" s="240"/>
      <c r="P30" s="241"/>
      <c r="Q30" s="240"/>
      <c r="R30" s="240"/>
      <c r="S30" s="241"/>
    </row>
    <row r="31" spans="1:20" ht="11.25" customHeight="1" x14ac:dyDescent="0.2">
      <c r="A31" t="str">
        <f t="shared" ref="A31:A39" si="7">A14</f>
        <v>2010</v>
      </c>
      <c r="B31" s="24"/>
      <c r="C31" s="37">
        <f>IF(ISNUMBER(C14),D14/C14,"")</f>
        <v>1.1939533355241538</v>
      </c>
      <c r="D31" s="37">
        <f>IF(ISNUMBER(E14),E14/D14,"")</f>
        <v>1.0003853352416603</v>
      </c>
      <c r="E31" s="37">
        <f>IF(ISNUMBER(F14),F14/E14,"")</f>
        <v>1.0192043140923348</v>
      </c>
      <c r="F31" s="37">
        <f>IF(ISNUMBER(G14),G14/F14,"")</f>
        <v>0.99130763416477707</v>
      </c>
      <c r="G31" s="37">
        <f>IF(ISNUMBER(H14),H14/G14,"")</f>
        <v>0.99488045313436091</v>
      </c>
      <c r="H31" s="37">
        <f>IF(ISNUMBER(I14),I14/H14,"")</f>
        <v>0.98565719603656865</v>
      </c>
      <c r="I31" s="37"/>
      <c r="J31" s="180"/>
      <c r="L31" s="2"/>
      <c r="O31" s="240"/>
      <c r="P31" s="241"/>
      <c r="Q31" s="240"/>
      <c r="R31" s="240"/>
      <c r="S31" s="241"/>
    </row>
    <row r="32" spans="1:20" ht="11.25" customHeight="1" x14ac:dyDescent="0.2">
      <c r="A32" t="str">
        <f t="shared" si="7"/>
        <v>2011</v>
      </c>
      <c r="B32" s="24"/>
      <c r="C32" s="37">
        <f t="shared" ref="C32:C38" si="8">IF(ISNUMBER(C15),D15/C15,"")</f>
        <v>1.022103931696005</v>
      </c>
      <c r="D32" s="37">
        <f t="shared" ref="D32:H39" si="9">IF(ISNUMBER(E15),E15/D15,"")</f>
        <v>1.0055276537378697</v>
      </c>
      <c r="E32" s="37">
        <f>IF(ISNUMBER(F15),F15/E15,"")</f>
        <v>0.99307713608812032</v>
      </c>
      <c r="F32" s="37">
        <f>IF(ISNUMBER(G15),G15/F15,"")</f>
        <v>0.99416491097616388</v>
      </c>
      <c r="G32" s="37">
        <f t="shared" si="9"/>
        <v>0.99689392601518756</v>
      </c>
      <c r="H32" s="37">
        <f>IF(ISNUMBER(I15),I15/H15,"")</f>
        <v>1.0013025717977575</v>
      </c>
      <c r="I32" s="37"/>
      <c r="J32" s="180"/>
      <c r="L32" s="2"/>
      <c r="O32" s="240"/>
      <c r="P32" s="241"/>
      <c r="Q32" s="240"/>
      <c r="R32" s="240"/>
      <c r="S32" s="241"/>
    </row>
    <row r="33" spans="1:19" ht="11.25" customHeight="1" x14ac:dyDescent="0.2">
      <c r="A33" t="str">
        <f t="shared" si="7"/>
        <v>2012</v>
      </c>
      <c r="B33" s="24"/>
      <c r="C33" s="37">
        <f t="shared" si="8"/>
        <v>1.1122732055738018</v>
      </c>
      <c r="D33" s="37">
        <f t="shared" si="9"/>
        <v>0.96449458173269886</v>
      </c>
      <c r="E33" s="37">
        <f>IF(ISNUMBER(F16),F16/E16,"")</f>
        <v>0.9916328562723854</v>
      </c>
      <c r="F33" s="37">
        <f t="shared" si="9"/>
        <v>0.99406510401055093</v>
      </c>
      <c r="G33" s="37">
        <f t="shared" si="9"/>
        <v>1.0200518634664093</v>
      </c>
      <c r="H33" s="37">
        <f>IF(ISNUMBER(I16),I16/H16,"")</f>
        <v>0.99762038487688076</v>
      </c>
      <c r="I33" s="37"/>
      <c r="J33" s="180"/>
      <c r="L33" s="2"/>
      <c r="O33" s="240"/>
      <c r="P33" s="241"/>
      <c r="Q33" s="240"/>
      <c r="R33" s="240"/>
      <c r="S33" s="241"/>
    </row>
    <row r="34" spans="1:19" ht="11.25" customHeight="1" x14ac:dyDescent="0.2">
      <c r="A34" t="str">
        <f t="shared" si="7"/>
        <v>2013</v>
      </c>
      <c r="B34" s="24"/>
      <c r="C34" s="37">
        <f t="shared" si="8"/>
        <v>0.97409460649707269</v>
      </c>
      <c r="D34" s="37">
        <f t="shared" si="9"/>
        <v>0.96883144513589703</v>
      </c>
      <c r="E34" s="37">
        <f t="shared" si="9"/>
        <v>0.98576722481471313</v>
      </c>
      <c r="F34" s="37">
        <f t="shared" si="9"/>
        <v>0.99252328641243059</v>
      </c>
      <c r="G34" s="37">
        <f t="shared" si="9"/>
        <v>0.99694189602446481</v>
      </c>
      <c r="H34" s="37">
        <f t="shared" si="9"/>
        <v>0.99658073957336635</v>
      </c>
      <c r="I34" s="37"/>
      <c r="J34" s="180"/>
      <c r="L34" s="2"/>
      <c r="O34" s="240"/>
      <c r="P34" s="241"/>
      <c r="Q34" s="241"/>
      <c r="R34" s="241"/>
      <c r="S34" s="241"/>
    </row>
    <row r="35" spans="1:19" ht="11.25" customHeight="1" x14ac:dyDescent="0.2">
      <c r="A35" t="str">
        <f t="shared" si="7"/>
        <v>2014</v>
      </c>
      <c r="B35" s="24"/>
      <c r="C35" s="37">
        <f t="shared" si="8"/>
        <v>1.1654548152544888</v>
      </c>
      <c r="D35" s="37">
        <f t="shared" si="9"/>
        <v>0.92920804685510572</v>
      </c>
      <c r="E35" s="37">
        <f t="shared" si="9"/>
        <v>0.99493011784050422</v>
      </c>
      <c r="F35" s="37">
        <f t="shared" si="9"/>
        <v>0.97341963916815866</v>
      </c>
      <c r="G35" s="37">
        <f>IF(ISNUMBER(H18),H18/G18,"")</f>
        <v>0.99207696661007361</v>
      </c>
      <c r="H35" s="37" t="str">
        <f t="shared" si="9"/>
        <v/>
      </c>
      <c r="I35" s="37"/>
      <c r="J35" s="180"/>
      <c r="L35" s="2"/>
      <c r="O35" s="240"/>
      <c r="P35" s="241"/>
      <c r="Q35" s="240"/>
      <c r="R35" s="240"/>
      <c r="S35" s="241"/>
    </row>
    <row r="36" spans="1:19" ht="11.25" customHeight="1" x14ac:dyDescent="0.2">
      <c r="A36" t="str">
        <f t="shared" si="7"/>
        <v>2015</v>
      </c>
      <c r="B36" s="24"/>
      <c r="C36" s="37">
        <f t="shared" si="8"/>
        <v>0.94610855354330181</v>
      </c>
      <c r="D36" s="37">
        <f t="shared" si="9"/>
        <v>1.0036011575149155</v>
      </c>
      <c r="E36" s="37">
        <f t="shared" si="9"/>
        <v>0.99514449056308252</v>
      </c>
      <c r="F36" s="37">
        <f>IF(ISNUMBER(G19),G19/F19,"")</f>
        <v>0.99301744922269042</v>
      </c>
      <c r="G36" s="37" t="str">
        <f t="shared" si="9"/>
        <v/>
      </c>
      <c r="H36" s="37" t="str">
        <f t="shared" si="9"/>
        <v/>
      </c>
      <c r="I36" s="37"/>
      <c r="J36" s="180"/>
      <c r="L36" s="2"/>
      <c r="O36" s="240"/>
      <c r="P36" s="241"/>
      <c r="Q36" s="241"/>
      <c r="R36" s="240"/>
      <c r="S36" s="241"/>
    </row>
    <row r="37" spans="1:19" ht="11.25" customHeight="1" x14ac:dyDescent="0.2">
      <c r="A37" t="str">
        <f t="shared" si="7"/>
        <v>2016</v>
      </c>
      <c r="B37" s="24"/>
      <c r="C37" s="37">
        <f t="shared" si="8"/>
        <v>0.9463121564617154</v>
      </c>
      <c r="D37" s="37">
        <f t="shared" si="9"/>
        <v>0.97622585438335807</v>
      </c>
      <c r="E37" s="37">
        <f>IF(ISNUMBER(F20),F20/E20,"")</f>
        <v>0.98668188736681883</v>
      </c>
      <c r="F37" s="37" t="str">
        <f t="shared" si="9"/>
        <v/>
      </c>
      <c r="G37" s="37" t="str">
        <f t="shared" si="9"/>
        <v/>
      </c>
      <c r="H37" s="37" t="str">
        <f t="shared" si="9"/>
        <v/>
      </c>
      <c r="I37" s="37"/>
      <c r="J37" s="180"/>
      <c r="L37" s="2"/>
      <c r="O37" s="240"/>
      <c r="P37" s="241"/>
      <c r="Q37" s="241"/>
      <c r="R37" s="241"/>
      <c r="S37" s="241"/>
    </row>
    <row r="38" spans="1:19" ht="11.25" customHeight="1" x14ac:dyDescent="0.2">
      <c r="A38" t="str">
        <f t="shared" si="7"/>
        <v>2017</v>
      </c>
      <c r="B38" s="48"/>
      <c r="C38" s="180">
        <f t="shared" si="8"/>
        <v>1.0746284417196532</v>
      </c>
      <c r="D38" s="180">
        <f>IF(ISNUMBER(E21),E21/D21,"")</f>
        <v>1.0521960845112044</v>
      </c>
      <c r="E38" s="180" t="str">
        <f t="shared" si="9"/>
        <v/>
      </c>
      <c r="F38" s="180" t="str">
        <f t="shared" si="9"/>
        <v/>
      </c>
      <c r="G38" s="180" t="str">
        <f t="shared" si="9"/>
        <v/>
      </c>
      <c r="H38" s="180" t="str">
        <f t="shared" si="9"/>
        <v/>
      </c>
      <c r="I38" s="37"/>
      <c r="J38" s="180"/>
      <c r="L38" s="2"/>
    </row>
    <row r="39" spans="1:19" ht="11.25" customHeight="1" x14ac:dyDescent="0.2">
      <c r="A39" t="str">
        <f t="shared" si="7"/>
        <v>2018</v>
      </c>
      <c r="B39" s="48"/>
      <c r="C39" s="180">
        <f>IF(ISNUMBER(C22),D22/C22,"")</f>
        <v>0.93400015154959459</v>
      </c>
      <c r="D39" s="180" t="str">
        <f t="shared" si="9"/>
        <v/>
      </c>
      <c r="E39" s="180" t="str">
        <f t="shared" si="9"/>
        <v/>
      </c>
      <c r="F39" s="180" t="str">
        <f t="shared" si="9"/>
        <v/>
      </c>
      <c r="G39" s="180" t="str">
        <f t="shared" si="9"/>
        <v/>
      </c>
      <c r="H39" s="180" t="str">
        <f t="shared" si="9"/>
        <v/>
      </c>
      <c r="I39" s="37"/>
      <c r="J39" s="180"/>
      <c r="L39" s="2"/>
      <c r="P39" s="18"/>
      <c r="Q39" s="18"/>
      <c r="R39" s="18"/>
      <c r="S39" s="18"/>
    </row>
    <row r="40" spans="1:19" x14ac:dyDescent="0.2">
      <c r="A40" s="9"/>
      <c r="B40" s="25"/>
      <c r="C40" s="38"/>
      <c r="D40" s="38"/>
      <c r="E40" s="38"/>
      <c r="F40" s="38"/>
      <c r="G40" s="38"/>
      <c r="H40" s="38"/>
      <c r="I40" s="38"/>
      <c r="J40" s="47"/>
      <c r="L40" s="2"/>
    </row>
    <row r="41" spans="1:19" ht="11.25" customHeight="1" x14ac:dyDescent="0.2">
      <c r="C41" s="18"/>
      <c r="J41" s="47"/>
      <c r="L41" s="2"/>
    </row>
    <row r="42" spans="1:19" x14ac:dyDescent="0.2">
      <c r="A42" t="s">
        <v>51</v>
      </c>
      <c r="B42" s="24"/>
      <c r="C42" s="39">
        <f t="shared" ref="C42:H42" si="10">AVERAGE(C31:C39)</f>
        <v>1.0409921330910874</v>
      </c>
      <c r="D42" s="39">
        <f t="shared" si="10"/>
        <v>0.98755876988908864</v>
      </c>
      <c r="E42" s="39">
        <f t="shared" si="10"/>
        <v>0.99520543243399417</v>
      </c>
      <c r="F42" s="39">
        <f t="shared" si="10"/>
        <v>0.98974967065912844</v>
      </c>
      <c r="G42" s="39">
        <f t="shared" si="10"/>
        <v>1.0001690210500993</v>
      </c>
      <c r="H42" s="39">
        <f t="shared" si="10"/>
        <v>0.99529022307114323</v>
      </c>
      <c r="I42" s="39"/>
      <c r="J42" s="181"/>
      <c r="L42" s="2"/>
    </row>
    <row r="43" spans="1:19" x14ac:dyDescent="0.2">
      <c r="A43" t="s">
        <v>75</v>
      </c>
      <c r="B43" s="21"/>
      <c r="C43" s="40">
        <f t="shared" ref="C43:H43" si="11">(SUM(C31:C39)-MAX(C31:C39)-MIN(C31:C39))/(COUNT(C31:C39)-2)</f>
        <v>1.0344251015351482</v>
      </c>
      <c r="D43" s="40">
        <f t="shared" si="11"/>
        <v>0.98651100462439978</v>
      </c>
      <c r="E43" s="40">
        <f t="shared" si="11"/>
        <v>0.99229329762618224</v>
      </c>
      <c r="F43" s="40">
        <f t="shared" si="11"/>
        <v>0.99272836845261192</v>
      </c>
      <c r="G43" s="40">
        <f t="shared" si="11"/>
        <v>0.9962387583913378</v>
      </c>
      <c r="H43" s="40">
        <f t="shared" si="11"/>
        <v>0.99710056222512344</v>
      </c>
      <c r="J43" s="47"/>
      <c r="L43" s="2"/>
    </row>
    <row r="44" spans="1:19" x14ac:dyDescent="0.2">
      <c r="A44" t="s">
        <v>76</v>
      </c>
      <c r="C44" s="39">
        <f>AVERAGE(C37:C39)</f>
        <v>0.98498024991032107</v>
      </c>
      <c r="D44" s="39">
        <f>AVERAGE(D36:D38)</f>
        <v>1.010674365469826</v>
      </c>
      <c r="E44" s="39">
        <f>AVERAGE(E35:E37)</f>
        <v>0.99225216525680182</v>
      </c>
      <c r="F44" s="39">
        <f>AVERAGE(F34:F36)</f>
        <v>0.98632012493442645</v>
      </c>
      <c r="G44" s="39">
        <f>AVERAGE(G33:G35)</f>
        <v>1.0030235753669825</v>
      </c>
      <c r="H44" s="39">
        <f>AVERAGE(H32:H34)</f>
        <v>0.99850123208266817</v>
      </c>
      <c r="J44" s="47"/>
      <c r="L44" s="2"/>
    </row>
    <row r="45" spans="1:19" x14ac:dyDescent="0.2">
      <c r="A45" t="s">
        <v>52</v>
      </c>
      <c r="B45" s="24"/>
      <c r="C45" s="39">
        <f>AVERAGE(C35:C39)</f>
        <v>1.0133008237057508</v>
      </c>
      <c r="D45" s="39">
        <f>AVERAGE(D34:D38)</f>
        <v>0.98601251768009612</v>
      </c>
      <c r="E45" s="39">
        <f>AVERAGE(E33:E37)</f>
        <v>0.99083131537150082</v>
      </c>
      <c r="F45" s="39">
        <f>AVERAGE(F32:F36)</f>
        <v>0.98943807795799876</v>
      </c>
      <c r="G45" s="39">
        <f>AVERAGE(G31:G35)</f>
        <v>1.0001690210500993</v>
      </c>
      <c r="H45" s="39">
        <f>AVERAGE(H31:H34)</f>
        <v>0.99529022307114323</v>
      </c>
      <c r="I45" s="39"/>
      <c r="J45" s="181"/>
      <c r="L45" s="2"/>
    </row>
    <row r="46" spans="1:19" x14ac:dyDescent="0.2">
      <c r="A46" t="s">
        <v>196</v>
      </c>
      <c r="C46" s="116">
        <v>1.0409999999999999</v>
      </c>
      <c r="D46" s="116">
        <v>0.97699999999999998</v>
      </c>
      <c r="E46" s="116">
        <v>0.996</v>
      </c>
      <c r="F46" s="116">
        <v>0.99</v>
      </c>
      <c r="G46" s="116">
        <v>1</v>
      </c>
      <c r="H46" s="116">
        <v>0.997</v>
      </c>
      <c r="I46" s="116">
        <v>1</v>
      </c>
      <c r="J46" s="182"/>
      <c r="L46" s="2"/>
    </row>
    <row r="47" spans="1:19" x14ac:dyDescent="0.2">
      <c r="A47" t="s">
        <v>53</v>
      </c>
      <c r="C47" s="110">
        <f>ROUND(AVERAGE(C42:C46),3)</f>
        <v>1.0229999999999999</v>
      </c>
      <c r="D47" s="110">
        <f>ROUND(AVERAGE(D42:D46),3)</f>
        <v>0.99</v>
      </c>
      <c r="E47" s="110">
        <f t="shared" ref="E47:I47" si="12">ROUND(AVERAGE(E42:E46),3)</f>
        <v>0.99299999999999999</v>
      </c>
      <c r="F47" s="110">
        <f t="shared" si="12"/>
        <v>0.99</v>
      </c>
      <c r="G47" s="110">
        <f t="shared" si="12"/>
        <v>1</v>
      </c>
      <c r="H47" s="110">
        <f t="shared" si="12"/>
        <v>0.997</v>
      </c>
      <c r="I47" s="110">
        <f t="shared" si="12"/>
        <v>1</v>
      </c>
      <c r="J47" s="183"/>
      <c r="L47" s="2"/>
    </row>
    <row r="48" spans="1:19" x14ac:dyDescent="0.2">
      <c r="A48" t="s">
        <v>54</v>
      </c>
      <c r="C48" s="40">
        <f>ROUND(C47*D48,3)</f>
        <v>0.99199999999999999</v>
      </c>
      <c r="D48" s="40">
        <f t="shared" ref="D48:H48" si="13">ROUND(D47*E48,3)</f>
        <v>0.97</v>
      </c>
      <c r="E48" s="40">
        <f t="shared" si="13"/>
        <v>0.98</v>
      </c>
      <c r="F48" s="40">
        <f t="shared" si="13"/>
        <v>0.98699999999999999</v>
      </c>
      <c r="G48" s="40">
        <f t="shared" si="13"/>
        <v>0.997</v>
      </c>
      <c r="H48" s="40">
        <f t="shared" si="13"/>
        <v>0.997</v>
      </c>
      <c r="I48" s="40">
        <f>I47</f>
        <v>1</v>
      </c>
      <c r="J48" s="120"/>
      <c r="L48" s="2"/>
    </row>
    <row r="49" spans="1:12" ht="12" thickBot="1" x14ac:dyDescent="0.25">
      <c r="A49" s="6"/>
      <c r="B49" s="6"/>
      <c r="C49" s="6"/>
      <c r="D49" s="6"/>
      <c r="E49" s="6"/>
      <c r="F49" s="6"/>
      <c r="G49" s="6"/>
      <c r="H49" s="6"/>
      <c r="I49" s="6"/>
      <c r="J49" s="47"/>
      <c r="L49" s="2"/>
    </row>
    <row r="50" spans="1:12" ht="12" thickTop="1" x14ac:dyDescent="0.2">
      <c r="J50" s="47"/>
      <c r="L50" s="2"/>
    </row>
    <row r="51" spans="1:12" x14ac:dyDescent="0.2">
      <c r="J51" s="47"/>
      <c r="L51" s="2"/>
    </row>
    <row r="52" spans="1:12" x14ac:dyDescent="0.2">
      <c r="J52" s="47"/>
      <c r="L52" s="2"/>
    </row>
    <row r="53" spans="1:12" x14ac:dyDescent="0.2">
      <c r="J53" s="47"/>
      <c r="L53" s="2"/>
    </row>
    <row r="54" spans="1:12" x14ac:dyDescent="0.2">
      <c r="J54" s="47"/>
      <c r="L54" s="2"/>
    </row>
    <row r="55" spans="1:12" x14ac:dyDescent="0.2">
      <c r="J55" s="47"/>
      <c r="L55" s="2"/>
    </row>
    <row r="56" spans="1:12" x14ac:dyDescent="0.2">
      <c r="J56" s="47"/>
      <c r="L56" s="2"/>
    </row>
    <row r="57" spans="1:12" x14ac:dyDescent="0.2">
      <c r="J57" s="47"/>
      <c r="L57" s="2"/>
    </row>
    <row r="58" spans="1:12" x14ac:dyDescent="0.2">
      <c r="J58" s="47"/>
      <c r="L58" s="2"/>
    </row>
    <row r="59" spans="1:12" x14ac:dyDescent="0.2">
      <c r="J59" s="47"/>
      <c r="L59" s="2"/>
    </row>
    <row r="60" spans="1:12" x14ac:dyDescent="0.2">
      <c r="J60" s="47"/>
      <c r="L60" s="2"/>
    </row>
    <row r="61" spans="1:12" x14ac:dyDescent="0.2">
      <c r="J61" s="47"/>
      <c r="L61" s="2"/>
    </row>
    <row r="62" spans="1:12" x14ac:dyDescent="0.2">
      <c r="J62" s="47"/>
      <c r="L62" s="2"/>
    </row>
    <row r="63" spans="1:12" x14ac:dyDescent="0.2">
      <c r="J63" s="47"/>
      <c r="L63" s="2"/>
    </row>
    <row r="64" spans="1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92D050"/>
  </sheetPr>
  <dimension ref="A1:S72"/>
  <sheetViews>
    <sheetView showGridLines="0" zoomScaleNormal="100" workbookViewId="0">
      <selection activeCell="A5" sqref="A5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7" width="14" customWidth="1"/>
    <col min="8" max="9" width="11.33203125" customWidth="1"/>
    <col min="10" max="10" width="8.1640625" customWidth="1"/>
    <col min="13" max="13" width="12.33203125" bestFit="1" customWidth="1"/>
    <col min="14" max="14" width="15.1640625" bestFit="1" customWidth="1"/>
    <col min="15" max="15" width="14.1640625" bestFit="1" customWidth="1"/>
  </cols>
  <sheetData>
    <row r="1" spans="1:19" x14ac:dyDescent="0.2">
      <c r="A1" s="8" t="str">
        <f>'1'!$A$1</f>
        <v>Texas Windstorm Insurance Association</v>
      </c>
      <c r="B1" s="12"/>
      <c r="J1" s="7" t="s">
        <v>55</v>
      </c>
      <c r="K1" s="1"/>
    </row>
    <row r="2" spans="1:19" x14ac:dyDescent="0.2">
      <c r="A2" s="8" t="str">
        <f>'1'!$A$2</f>
        <v>Commercial Property - Wind &amp; Hail</v>
      </c>
      <c r="B2" s="12"/>
      <c r="J2" s="7" t="s">
        <v>71</v>
      </c>
      <c r="K2" s="2"/>
    </row>
    <row r="3" spans="1:19" x14ac:dyDescent="0.2">
      <c r="A3" s="8" t="str">
        <f>'1'!$A$3</f>
        <v>Rate Level Review</v>
      </c>
      <c r="B3" s="12"/>
      <c r="K3" s="2"/>
    </row>
    <row r="4" spans="1:19" x14ac:dyDescent="0.2">
      <c r="A4" t="s">
        <v>251</v>
      </c>
      <c r="B4" s="12"/>
      <c r="K4" s="2"/>
    </row>
    <row r="5" spans="1:19" x14ac:dyDescent="0.2">
      <c r="A5" s="57"/>
      <c r="B5" s="21"/>
      <c r="C5" s="57"/>
      <c r="D5" s="57"/>
      <c r="E5" s="57"/>
      <c r="K5" s="2"/>
    </row>
    <row r="6" spans="1:19" x14ac:dyDescent="0.2">
      <c r="K6" s="2"/>
    </row>
    <row r="7" spans="1:19" ht="12" thickBot="1" x14ac:dyDescent="0.25">
      <c r="A7" s="6"/>
      <c r="B7" s="6"/>
      <c r="C7" s="6"/>
      <c r="D7" s="6"/>
      <c r="E7" s="6"/>
      <c r="F7" s="6"/>
      <c r="G7" s="6"/>
      <c r="I7" s="18"/>
      <c r="K7" s="2"/>
    </row>
    <row r="8" spans="1:19" ht="12" thickTop="1" x14ac:dyDescent="0.2">
      <c r="K8" s="2"/>
    </row>
    <row r="9" spans="1:19" x14ac:dyDescent="0.2">
      <c r="C9" s="21" t="s">
        <v>67</v>
      </c>
      <c r="E9" t="s">
        <v>12</v>
      </c>
      <c r="K9" s="2"/>
      <c r="L9" s="26"/>
    </row>
    <row r="10" spans="1:19" x14ac:dyDescent="0.2">
      <c r="A10" t="s">
        <v>41</v>
      </c>
      <c r="C10" t="s">
        <v>72</v>
      </c>
      <c r="D10" t="s">
        <v>44</v>
      </c>
      <c r="E10" t="s">
        <v>28</v>
      </c>
      <c r="F10" t="s">
        <v>67</v>
      </c>
      <c r="G10" t="s">
        <v>67</v>
      </c>
      <c r="K10" s="2"/>
      <c r="L10" s="21"/>
      <c r="O10" t="s">
        <v>492</v>
      </c>
      <c r="P10" t="s">
        <v>493</v>
      </c>
    </row>
    <row r="11" spans="1:19" x14ac:dyDescent="0.2">
      <c r="A11" s="9" t="s">
        <v>42</v>
      </c>
      <c r="B11" s="9"/>
      <c r="C11" s="9" t="str">
        <f>"at "&amp;TEXT('4.2'!$M$11,"m/d/yy")</f>
        <v>at 12/31/19</v>
      </c>
      <c r="D11" s="9" t="s">
        <v>30</v>
      </c>
      <c r="E11" s="9" t="s">
        <v>484</v>
      </c>
      <c r="F11" s="9" t="s">
        <v>483</v>
      </c>
      <c r="G11" s="9" t="s">
        <v>29</v>
      </c>
      <c r="K11" s="2"/>
      <c r="L11" s="49"/>
      <c r="O11" s="9" t="s">
        <v>483</v>
      </c>
      <c r="P11" s="9" t="s">
        <v>483</v>
      </c>
    </row>
    <row r="12" spans="1:19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K12" s="2"/>
    </row>
    <row r="13" spans="1:19" x14ac:dyDescent="0.2">
      <c r="A13" s="359">
        <v>1980</v>
      </c>
      <c r="G13" s="265">
        <v>1318</v>
      </c>
      <c r="K13" s="2"/>
      <c r="N13" t="s">
        <v>412</v>
      </c>
      <c r="O13" s="355">
        <v>1995</v>
      </c>
      <c r="P13" s="355">
        <v>1</v>
      </c>
    </row>
    <row r="14" spans="1:19" x14ac:dyDescent="0.2">
      <c r="A14" s="360">
        <v>1981</v>
      </c>
      <c r="B14" s="24"/>
      <c r="C14" s="29"/>
      <c r="D14" s="29"/>
      <c r="E14" s="29"/>
      <c r="F14" s="29"/>
      <c r="G14" s="36">
        <v>543</v>
      </c>
      <c r="K14" s="2"/>
      <c r="N14" t="s">
        <v>413</v>
      </c>
      <c r="O14" s="18">
        <v>3951</v>
      </c>
      <c r="P14" s="355">
        <v>0</v>
      </c>
      <c r="S14" s="83"/>
    </row>
    <row r="15" spans="1:19" x14ac:dyDescent="0.2">
      <c r="A15" t="str">
        <f>TEXT(A14+1,"#")</f>
        <v>1982</v>
      </c>
      <c r="B15" s="24"/>
      <c r="C15" s="29"/>
      <c r="D15" s="29"/>
      <c r="E15" s="29"/>
      <c r="F15" s="29"/>
      <c r="G15" s="36">
        <v>565</v>
      </c>
      <c r="K15" s="2"/>
      <c r="N15" t="s">
        <v>416</v>
      </c>
      <c r="O15" s="18">
        <v>14386</v>
      </c>
      <c r="P15" s="355">
        <v>0</v>
      </c>
      <c r="S15" s="83"/>
    </row>
    <row r="16" spans="1:19" x14ac:dyDescent="0.2">
      <c r="A16" t="str">
        <f t="shared" ref="A16:A46" si="0">TEXT(A15+1,"#")</f>
        <v>1983</v>
      </c>
      <c r="B16" s="24"/>
      <c r="C16" s="29"/>
      <c r="D16" s="29"/>
      <c r="E16" s="29"/>
      <c r="F16" s="29"/>
      <c r="G16" s="36">
        <v>9127</v>
      </c>
      <c r="K16" s="2"/>
      <c r="N16" t="s">
        <v>436</v>
      </c>
      <c r="O16" s="18">
        <v>14961</v>
      </c>
      <c r="P16" s="355">
        <v>0</v>
      </c>
      <c r="S16" s="83"/>
    </row>
    <row r="17" spans="1:19" x14ac:dyDescent="0.2">
      <c r="A17" t="str">
        <f t="shared" si="0"/>
        <v>1984</v>
      </c>
      <c r="B17" s="24"/>
      <c r="C17" s="29"/>
      <c r="D17" s="29"/>
      <c r="E17" s="29"/>
      <c r="F17" s="29"/>
      <c r="G17" s="36">
        <v>324</v>
      </c>
      <c r="K17" s="2"/>
      <c r="N17" t="s">
        <v>437</v>
      </c>
      <c r="O17" s="18">
        <v>12922</v>
      </c>
      <c r="P17" s="355">
        <v>4</v>
      </c>
      <c r="S17" s="83"/>
    </row>
    <row r="18" spans="1:19" x14ac:dyDescent="0.2">
      <c r="A18" t="str">
        <f t="shared" si="0"/>
        <v>1985</v>
      </c>
      <c r="B18" s="24"/>
      <c r="C18" s="29"/>
      <c r="D18" s="29"/>
      <c r="E18" s="29"/>
      <c r="F18" s="29"/>
      <c r="G18" s="36">
        <v>297</v>
      </c>
      <c r="K18" s="2"/>
      <c r="N18" t="s">
        <v>479</v>
      </c>
      <c r="O18" s="18">
        <v>5796</v>
      </c>
      <c r="P18" s="355">
        <v>0</v>
      </c>
      <c r="S18" s="83"/>
    </row>
    <row r="19" spans="1:19" x14ac:dyDescent="0.2">
      <c r="A19" t="str">
        <f t="shared" si="0"/>
        <v>1986</v>
      </c>
      <c r="B19" s="24"/>
      <c r="C19" s="29"/>
      <c r="D19" s="29"/>
      <c r="E19" s="223">
        <v>270</v>
      </c>
      <c r="F19" s="223">
        <v>235</v>
      </c>
      <c r="G19" s="29">
        <f>E19+F19</f>
        <v>505</v>
      </c>
      <c r="K19" s="2"/>
      <c r="N19" t="s">
        <v>480</v>
      </c>
      <c r="O19" s="18">
        <v>37019</v>
      </c>
      <c r="P19" s="355">
        <v>34</v>
      </c>
      <c r="S19" s="83"/>
    </row>
    <row r="20" spans="1:19" x14ac:dyDescent="0.2">
      <c r="A20" t="str">
        <f t="shared" si="0"/>
        <v>1987</v>
      </c>
      <c r="B20" s="24"/>
      <c r="C20" s="29"/>
      <c r="D20" s="29"/>
      <c r="E20" s="223">
        <v>652</v>
      </c>
      <c r="F20" s="223">
        <v>404</v>
      </c>
      <c r="G20" s="29">
        <f>E20+F20</f>
        <v>1056</v>
      </c>
      <c r="K20" s="2"/>
      <c r="N20" t="s">
        <v>481</v>
      </c>
      <c r="O20" s="18">
        <v>14882</v>
      </c>
      <c r="P20" s="355">
        <v>3</v>
      </c>
      <c r="S20" s="83"/>
    </row>
    <row r="21" spans="1:19" x14ac:dyDescent="0.2">
      <c r="A21" t="str">
        <f t="shared" si="0"/>
        <v>1988</v>
      </c>
      <c r="B21" s="24"/>
      <c r="C21" s="29"/>
      <c r="D21" s="29"/>
      <c r="E21" s="223">
        <v>235</v>
      </c>
      <c r="F21" s="223">
        <v>122</v>
      </c>
      <c r="G21" s="29">
        <f>E21+F21</f>
        <v>357</v>
      </c>
      <c r="K21" s="2"/>
      <c r="N21" t="s">
        <v>482</v>
      </c>
      <c r="O21" s="18">
        <v>249300</v>
      </c>
      <c r="P21" s="355">
        <v>17203</v>
      </c>
      <c r="S21" s="83"/>
    </row>
    <row r="22" spans="1:19" x14ac:dyDescent="0.2">
      <c r="A22" t="str">
        <f t="shared" si="0"/>
        <v>1989</v>
      </c>
      <c r="B22" s="24"/>
      <c r="C22" s="29"/>
      <c r="D22" s="29"/>
      <c r="E22" s="36">
        <v>2727</v>
      </c>
      <c r="F22" s="36">
        <v>801</v>
      </c>
      <c r="G22" s="29">
        <f>E22+F22</f>
        <v>3528</v>
      </c>
      <c r="K22" s="2"/>
      <c r="N22" s="47" t="s">
        <v>494</v>
      </c>
      <c r="O22" s="56">
        <v>6280</v>
      </c>
      <c r="P22" s="392">
        <v>98</v>
      </c>
      <c r="S22" s="83"/>
    </row>
    <row r="23" spans="1:19" x14ac:dyDescent="0.2">
      <c r="A23" t="str">
        <f t="shared" si="0"/>
        <v>1990</v>
      </c>
      <c r="C23" s="29"/>
      <c r="D23" s="29"/>
      <c r="E23" s="36">
        <v>119</v>
      </c>
      <c r="F23" s="36">
        <v>106</v>
      </c>
      <c r="G23" s="29">
        <f>E23+F23</f>
        <v>225</v>
      </c>
      <c r="K23" s="2"/>
      <c r="N23" s="25">
        <v>2019</v>
      </c>
      <c r="O23" s="27">
        <v>7053</v>
      </c>
      <c r="P23" s="27">
        <v>1325</v>
      </c>
      <c r="S23" s="83"/>
    </row>
    <row r="24" spans="1:19" x14ac:dyDescent="0.2">
      <c r="A24" t="str">
        <f t="shared" si="0"/>
        <v>1991</v>
      </c>
      <c r="C24" s="29"/>
      <c r="D24" s="29"/>
      <c r="E24" s="36">
        <v>403</v>
      </c>
      <c r="F24" s="36">
        <v>326</v>
      </c>
      <c r="G24" s="29">
        <f t="shared" ref="G24:G44" si="1">E24+F24</f>
        <v>729</v>
      </c>
      <c r="K24" s="2"/>
      <c r="N24" t="s">
        <v>8</v>
      </c>
      <c r="O24" s="83">
        <f>SUM(O13:O23)</f>
        <v>368545</v>
      </c>
      <c r="P24" s="83">
        <f>SUM(P13:P23)</f>
        <v>18668</v>
      </c>
    </row>
    <row r="25" spans="1:19" x14ac:dyDescent="0.2">
      <c r="A25" t="str">
        <f t="shared" si="0"/>
        <v>1992</v>
      </c>
      <c r="C25" s="29"/>
      <c r="D25" s="29"/>
      <c r="E25" s="36">
        <v>270</v>
      </c>
      <c r="F25" s="36">
        <v>284</v>
      </c>
      <c r="G25" s="29">
        <f t="shared" si="1"/>
        <v>554</v>
      </c>
      <c r="K25" s="2"/>
    </row>
    <row r="26" spans="1:19" x14ac:dyDescent="0.2">
      <c r="A26" t="str">
        <f t="shared" si="0"/>
        <v>1993</v>
      </c>
      <c r="C26" s="29"/>
      <c r="D26" s="29"/>
      <c r="E26" s="36">
        <v>806</v>
      </c>
      <c r="F26" s="36">
        <v>569</v>
      </c>
      <c r="G26" s="29">
        <f t="shared" si="1"/>
        <v>1375</v>
      </c>
      <c r="K26" s="2"/>
    </row>
    <row r="27" spans="1:19" x14ac:dyDescent="0.2">
      <c r="A27" t="str">
        <f t="shared" si="0"/>
        <v>1994</v>
      </c>
      <c r="C27" s="29"/>
      <c r="D27" s="29"/>
      <c r="E27" s="36">
        <v>192</v>
      </c>
      <c r="F27" s="36">
        <v>315</v>
      </c>
      <c r="G27" s="29">
        <f t="shared" si="1"/>
        <v>507</v>
      </c>
      <c r="K27" s="2"/>
    </row>
    <row r="28" spans="1:19" x14ac:dyDescent="0.2">
      <c r="A28" t="str">
        <f t="shared" si="0"/>
        <v>1995</v>
      </c>
      <c r="C28" s="29"/>
      <c r="D28" s="29"/>
      <c r="E28" s="36">
        <v>698</v>
      </c>
      <c r="F28" s="36">
        <v>205</v>
      </c>
      <c r="G28" s="29">
        <f t="shared" si="1"/>
        <v>903</v>
      </c>
      <c r="K28" s="2"/>
      <c r="N28" s="358" t="s">
        <v>495</v>
      </c>
    </row>
    <row r="29" spans="1:19" x14ac:dyDescent="0.2">
      <c r="A29" t="str">
        <f t="shared" si="0"/>
        <v>1996</v>
      </c>
      <c r="C29" s="29"/>
      <c r="D29" s="29"/>
      <c r="E29" s="36">
        <v>355</v>
      </c>
      <c r="F29" s="36">
        <v>227</v>
      </c>
      <c r="G29" s="29">
        <f t="shared" si="1"/>
        <v>582</v>
      </c>
      <c r="K29" s="2"/>
      <c r="N29" s="136" t="s">
        <v>492</v>
      </c>
      <c r="O29" s="136" t="s">
        <v>496</v>
      </c>
    </row>
    <row r="30" spans="1:19" x14ac:dyDescent="0.2">
      <c r="A30" t="str">
        <f t="shared" si="0"/>
        <v>1997</v>
      </c>
      <c r="C30" s="29"/>
      <c r="D30" s="29"/>
      <c r="E30" s="36">
        <v>892</v>
      </c>
      <c r="F30" s="36">
        <v>451</v>
      </c>
      <c r="G30" s="29">
        <f t="shared" si="1"/>
        <v>1343</v>
      </c>
      <c r="K30" s="2"/>
      <c r="M30" s="48" t="s">
        <v>497</v>
      </c>
      <c r="N30" s="356">
        <f>'[8]1.1'!$G$21</f>
        <v>10451858.453900013</v>
      </c>
      <c r="O30" s="356">
        <f>'[8]1.1'!$J$21</f>
        <v>531412.69000000041</v>
      </c>
    </row>
    <row r="31" spans="1:19" x14ac:dyDescent="0.2">
      <c r="A31" t="str">
        <f t="shared" si="0"/>
        <v>1998</v>
      </c>
      <c r="C31" s="29"/>
      <c r="D31" s="29"/>
      <c r="E31" s="36">
        <v>3920</v>
      </c>
      <c r="F31" s="36">
        <v>812</v>
      </c>
      <c r="G31" s="29">
        <f t="shared" si="1"/>
        <v>4732</v>
      </c>
      <c r="K31" s="2"/>
      <c r="M31" s="48" t="s">
        <v>498</v>
      </c>
      <c r="N31" s="356">
        <f>'[8]1.1'!$G$22</f>
        <v>229360935.56806254</v>
      </c>
      <c r="O31" s="356">
        <f>'[8]1.1'!$J$22</f>
        <v>29997050.339402918</v>
      </c>
    </row>
    <row r="32" spans="1:19" x14ac:dyDescent="0.2">
      <c r="A32" t="str">
        <f t="shared" si="0"/>
        <v>1999</v>
      </c>
      <c r="B32" s="21"/>
      <c r="C32" s="29"/>
      <c r="D32" s="29"/>
      <c r="E32" s="36">
        <v>1757</v>
      </c>
      <c r="F32" s="36">
        <v>631</v>
      </c>
      <c r="G32" s="29">
        <f t="shared" si="1"/>
        <v>2388</v>
      </c>
      <c r="K32" s="2"/>
    </row>
    <row r="33" spans="1:12" x14ac:dyDescent="0.2">
      <c r="A33" t="str">
        <f t="shared" si="0"/>
        <v>2000</v>
      </c>
      <c r="E33" s="36">
        <v>1209</v>
      </c>
      <c r="F33" s="36">
        <v>676</v>
      </c>
      <c r="G33" s="29">
        <f>E33+F33</f>
        <v>1885</v>
      </c>
      <c r="K33" s="2"/>
    </row>
    <row r="34" spans="1:12" x14ac:dyDescent="0.2">
      <c r="A34" t="str">
        <f t="shared" si="0"/>
        <v>2001</v>
      </c>
      <c r="B34" s="21"/>
      <c r="C34" s="29"/>
      <c r="D34" s="29"/>
      <c r="E34" s="36">
        <v>1207</v>
      </c>
      <c r="F34" s="36">
        <v>673</v>
      </c>
      <c r="G34" s="29">
        <f t="shared" si="1"/>
        <v>1880</v>
      </c>
      <c r="K34" s="2"/>
    </row>
    <row r="35" spans="1:12" x14ac:dyDescent="0.2">
      <c r="A35" t="str">
        <f t="shared" si="0"/>
        <v>2002</v>
      </c>
      <c r="B35" s="21"/>
      <c r="C35" s="29"/>
      <c r="D35" s="37"/>
      <c r="E35" s="36">
        <v>3643</v>
      </c>
      <c r="F35" s="36">
        <v>1583</v>
      </c>
      <c r="G35" s="29">
        <f t="shared" si="1"/>
        <v>5226</v>
      </c>
      <c r="K35" s="2"/>
    </row>
    <row r="36" spans="1:12" x14ac:dyDescent="0.2">
      <c r="A36" t="str">
        <f t="shared" si="0"/>
        <v>2003</v>
      </c>
      <c r="C36" s="29"/>
      <c r="D36" s="37"/>
      <c r="E36" s="36">
        <v>3239</v>
      </c>
      <c r="F36" s="36">
        <v>1883</v>
      </c>
      <c r="G36" s="29">
        <f t="shared" si="1"/>
        <v>5122</v>
      </c>
      <c r="K36" s="2"/>
    </row>
    <row r="37" spans="1:12" x14ac:dyDescent="0.2">
      <c r="A37" t="str">
        <f t="shared" si="0"/>
        <v>2004</v>
      </c>
      <c r="C37" s="29"/>
      <c r="D37" s="37"/>
      <c r="E37" s="36">
        <v>844</v>
      </c>
      <c r="F37" s="36">
        <v>627</v>
      </c>
      <c r="G37" s="29">
        <f t="shared" si="1"/>
        <v>1471</v>
      </c>
      <c r="K37" s="2"/>
    </row>
    <row r="38" spans="1:12" x14ac:dyDescent="0.2">
      <c r="A38" t="str">
        <f t="shared" si="0"/>
        <v>2005</v>
      </c>
      <c r="C38" s="29"/>
      <c r="D38" s="37"/>
      <c r="E38" s="223">
        <v>15229</v>
      </c>
      <c r="F38" s="36">
        <v>5006</v>
      </c>
      <c r="G38" s="29">
        <f t="shared" si="1"/>
        <v>20235</v>
      </c>
      <c r="K38" s="2"/>
      <c r="L38" t="s">
        <v>237</v>
      </c>
    </row>
    <row r="39" spans="1:12" x14ac:dyDescent="0.2">
      <c r="A39" t="str">
        <f t="shared" si="0"/>
        <v>2006</v>
      </c>
      <c r="C39" s="29"/>
      <c r="D39" s="37"/>
      <c r="E39" s="223">
        <v>860</v>
      </c>
      <c r="F39" s="36">
        <v>250</v>
      </c>
      <c r="G39" s="29">
        <f t="shared" si="1"/>
        <v>1110</v>
      </c>
      <c r="K39" s="2"/>
      <c r="L39" s="49">
        <f>'2.1'!$L$8</f>
        <v>43830</v>
      </c>
    </row>
    <row r="40" spans="1:12" x14ac:dyDescent="0.2">
      <c r="A40" t="str">
        <f t="shared" si="0"/>
        <v>2007</v>
      </c>
      <c r="C40" s="29"/>
      <c r="D40" s="37"/>
      <c r="E40" s="255">
        <v>2489</v>
      </c>
      <c r="F40" s="223">
        <v>2452</v>
      </c>
      <c r="G40" s="29">
        <f>E40+F40</f>
        <v>4941</v>
      </c>
      <c r="K40" s="2"/>
    </row>
    <row r="41" spans="1:12" x14ac:dyDescent="0.2">
      <c r="A41" t="str">
        <f t="shared" si="0"/>
        <v>2008</v>
      </c>
      <c r="C41" s="29">
        <f>'4.5'!R14</f>
        <v>99668</v>
      </c>
      <c r="D41" s="39">
        <f>D42</f>
        <v>1</v>
      </c>
      <c r="E41" s="177">
        <f>ROUND(C41*D41,0)</f>
        <v>99668</v>
      </c>
      <c r="F41" s="255">
        <v>246947</v>
      </c>
      <c r="G41" s="29">
        <f>E41+F41</f>
        <v>346615</v>
      </c>
      <c r="K41" s="2"/>
    </row>
    <row r="42" spans="1:12" x14ac:dyDescent="0.2">
      <c r="A42" t="str">
        <f t="shared" si="0"/>
        <v>2009</v>
      </c>
      <c r="B42" s="48"/>
      <c r="C42" s="29">
        <f>'4.5'!R15</f>
        <v>223</v>
      </c>
      <c r="D42" s="37">
        <f>'4.5'!I$49</f>
        <v>1</v>
      </c>
      <c r="E42" s="177">
        <f t="shared" ref="E42:E49" si="2">ROUND(C42*D42,0)</f>
        <v>223</v>
      </c>
      <c r="F42" s="357">
        <f>O13+P13</f>
        <v>1996</v>
      </c>
      <c r="G42" s="29">
        <f t="shared" si="1"/>
        <v>2219</v>
      </c>
      <c r="K42" s="2"/>
    </row>
    <row r="43" spans="1:12" x14ac:dyDescent="0.2">
      <c r="A43" t="str">
        <f t="shared" si="0"/>
        <v>2010</v>
      </c>
      <c r="C43" s="29">
        <f>'4.5'!R16</f>
        <v>323</v>
      </c>
      <c r="D43" s="37">
        <f>'4.5'!I$49</f>
        <v>1</v>
      </c>
      <c r="E43" s="177">
        <f t="shared" si="2"/>
        <v>323</v>
      </c>
      <c r="F43" s="357">
        <f t="shared" ref="F43:F51" si="3">O14+P14</f>
        <v>3951</v>
      </c>
      <c r="G43" s="29">
        <f>E43+F43</f>
        <v>4274</v>
      </c>
      <c r="K43" s="2"/>
    </row>
    <row r="44" spans="1:12" x14ac:dyDescent="0.2">
      <c r="A44" t="str">
        <f t="shared" si="0"/>
        <v>2011</v>
      </c>
      <c r="C44" s="29">
        <f>'4.5'!R17</f>
        <v>725</v>
      </c>
      <c r="D44" s="37">
        <f>'4.5'!I$49</f>
        <v>1</v>
      </c>
      <c r="E44" s="177">
        <f t="shared" si="2"/>
        <v>725</v>
      </c>
      <c r="F44" s="357">
        <f t="shared" si="3"/>
        <v>14386</v>
      </c>
      <c r="G44" s="29">
        <f t="shared" si="1"/>
        <v>15111</v>
      </c>
      <c r="K44" s="2"/>
    </row>
    <row r="45" spans="1:12" x14ac:dyDescent="0.2">
      <c r="A45" t="str">
        <f t="shared" si="0"/>
        <v>2012</v>
      </c>
      <c r="B45" s="48"/>
      <c r="C45" s="29">
        <f>'4.5'!R18</f>
        <v>871</v>
      </c>
      <c r="D45" s="37">
        <f>'4.5'!I$49</f>
        <v>1</v>
      </c>
      <c r="E45" s="177">
        <f t="shared" si="2"/>
        <v>871</v>
      </c>
      <c r="F45" s="357">
        <f t="shared" si="3"/>
        <v>14961</v>
      </c>
      <c r="G45" s="29">
        <f t="shared" ref="G45:G49" si="4">E45+F45</f>
        <v>15832</v>
      </c>
      <c r="K45" s="2"/>
    </row>
    <row r="46" spans="1:12" x14ac:dyDescent="0.2">
      <c r="A46" t="str">
        <f t="shared" si="0"/>
        <v>2013</v>
      </c>
      <c r="C46" s="29">
        <f>'4.5'!R19</f>
        <v>901</v>
      </c>
      <c r="D46" s="37">
        <f>'4.5'!I$49</f>
        <v>1</v>
      </c>
      <c r="E46" s="177">
        <f t="shared" si="2"/>
        <v>901</v>
      </c>
      <c r="F46" s="357">
        <f t="shared" si="3"/>
        <v>12926</v>
      </c>
      <c r="G46" s="29">
        <f t="shared" si="4"/>
        <v>13827</v>
      </c>
      <c r="K46" s="2"/>
    </row>
    <row r="47" spans="1:12" x14ac:dyDescent="0.2">
      <c r="A47" t="str">
        <f>TEXT(A46+1,"#")</f>
        <v>2014</v>
      </c>
      <c r="C47" s="29">
        <f>'4.5'!R20</f>
        <v>1028</v>
      </c>
      <c r="D47" s="37">
        <f>'4.5'!H$49</f>
        <v>0.98099999999999998</v>
      </c>
      <c r="E47" s="177">
        <f t="shared" si="2"/>
        <v>1008</v>
      </c>
      <c r="F47" s="357">
        <f t="shared" si="3"/>
        <v>5796</v>
      </c>
      <c r="G47" s="29">
        <f t="shared" si="4"/>
        <v>6804</v>
      </c>
      <c r="K47" s="2"/>
    </row>
    <row r="48" spans="1:12" x14ac:dyDescent="0.2">
      <c r="A48" t="str">
        <f>TEXT(A47+1,"#")</f>
        <v>2015</v>
      </c>
      <c r="C48" s="29">
        <f>'4.5'!R21</f>
        <v>2944</v>
      </c>
      <c r="D48" s="37">
        <f>'4.5'!G$49</f>
        <v>0.97299999999999998</v>
      </c>
      <c r="E48" s="177">
        <f t="shared" si="2"/>
        <v>2865</v>
      </c>
      <c r="F48" s="357">
        <f t="shared" si="3"/>
        <v>37053</v>
      </c>
      <c r="G48" s="29">
        <f t="shared" si="4"/>
        <v>39918</v>
      </c>
      <c r="K48" s="2"/>
    </row>
    <row r="49" spans="1:11" x14ac:dyDescent="0.2">
      <c r="A49" t="str">
        <f>TEXT(A48+1,"#")</f>
        <v>2016</v>
      </c>
      <c r="C49" s="29">
        <f>'4.5'!R22</f>
        <v>571</v>
      </c>
      <c r="D49" s="37">
        <f>'4.5'!F$49</f>
        <v>0.98099999999999998</v>
      </c>
      <c r="E49" s="177">
        <f t="shared" si="2"/>
        <v>560</v>
      </c>
      <c r="F49" s="357">
        <f>O20+P20</f>
        <v>14885</v>
      </c>
      <c r="G49" s="29">
        <f t="shared" si="4"/>
        <v>15445</v>
      </c>
      <c r="K49" s="2"/>
    </row>
    <row r="50" spans="1:11" x14ac:dyDescent="0.2">
      <c r="A50" t="str">
        <f>TEXT(A49+1,"#")</f>
        <v>2017</v>
      </c>
      <c r="C50" s="29">
        <f>'4.5'!R23</f>
        <v>21865</v>
      </c>
      <c r="D50" s="180">
        <f>'4.5'!E$49</f>
        <v>1.0629999999999999</v>
      </c>
      <c r="E50" s="177">
        <f>ROUND(C50*D50,0)</f>
        <v>23242</v>
      </c>
      <c r="F50" s="357">
        <f>O21+P21</f>
        <v>266503</v>
      </c>
      <c r="G50" s="29">
        <f>E50+F50</f>
        <v>289745</v>
      </c>
      <c r="K50" s="2"/>
    </row>
    <row r="51" spans="1:11" x14ac:dyDescent="0.2">
      <c r="A51" s="47" t="str">
        <f>TEXT(A50+1,"#")</f>
        <v>2018</v>
      </c>
      <c r="B51" s="47"/>
      <c r="C51" s="29">
        <f>'4.5'!R24</f>
        <v>361</v>
      </c>
      <c r="D51" s="180">
        <f>'4.5'!D$49</f>
        <v>1.169</v>
      </c>
      <c r="E51" s="177">
        <f>ROUND(C51*D51,0)</f>
        <v>422</v>
      </c>
      <c r="F51" s="357">
        <f t="shared" si="3"/>
        <v>6378</v>
      </c>
      <c r="G51" s="177">
        <f>E51+F51</f>
        <v>6800</v>
      </c>
      <c r="K51" s="2"/>
    </row>
    <row r="52" spans="1:11" x14ac:dyDescent="0.2">
      <c r="A52" s="25">
        <v>2019</v>
      </c>
      <c r="B52" s="9"/>
      <c r="C52" s="30">
        <f>'4.5'!R25</f>
        <v>48</v>
      </c>
      <c r="D52" s="38">
        <f>'4.5'!C$49</f>
        <v>1.403</v>
      </c>
      <c r="E52" s="30">
        <f>ROUND(C52*D52,0)</f>
        <v>67</v>
      </c>
      <c r="F52" s="254">
        <f t="shared" ref="F52" si="5">O23+P23</f>
        <v>8378</v>
      </c>
      <c r="G52" s="30">
        <f>E52+F52</f>
        <v>8445</v>
      </c>
      <c r="K52" s="2"/>
    </row>
    <row r="53" spans="1:11" x14ac:dyDescent="0.2">
      <c r="C53" s="29"/>
      <c r="K53" s="2"/>
    </row>
    <row r="54" spans="1:11" x14ac:dyDescent="0.2">
      <c r="A54" t="s">
        <v>18</v>
      </c>
      <c r="F54" s="42"/>
      <c r="K54" s="2"/>
    </row>
    <row r="55" spans="1:11" x14ac:dyDescent="0.2">
      <c r="B55" s="21" t="str">
        <f>C12&amp;" "&amp;'4.5'!$J$1&amp;", "&amp;'4.5'!$J$2</f>
        <v>(2) Exhibit 4, Sheet 5</v>
      </c>
      <c r="D55" s="21"/>
      <c r="K55" s="2"/>
    </row>
    <row r="56" spans="1:11" x14ac:dyDescent="0.2">
      <c r="B56" s="21" t="str">
        <f>D12&amp;" "&amp;'4.5'!$J$1&amp;", "&amp;'4.5'!$J$2</f>
        <v>(3) Exhibit 4, Sheet 5</v>
      </c>
      <c r="K56" s="2"/>
    </row>
    <row r="57" spans="1:11" x14ac:dyDescent="0.2">
      <c r="B57" s="21" t="str">
        <f>E12&amp;" "&amp;A41&amp;" - "&amp;A52&amp;": "&amp;C12&amp;" * "&amp;D12&amp;"; "&amp;A19&amp;" - "&amp;A40&amp;": from TWIA's annual statements"</f>
        <v>(4) 2008 - 2019: (2) * (3); 1986 - 2007: from TWIA's annual statements</v>
      </c>
      <c r="K57" s="2"/>
    </row>
    <row r="58" spans="1:11" x14ac:dyDescent="0.2">
      <c r="B58" s="21" t="str">
        <f>F12&amp;" From TWIA's annual statements"</f>
        <v>(5) From TWIA's annual statements</v>
      </c>
      <c r="K58" s="2"/>
    </row>
    <row r="59" spans="1:11" x14ac:dyDescent="0.2">
      <c r="B59" s="57" t="str">
        <f>G12&amp;" "&amp;A19&amp;" - "&amp;A52&amp;": "&amp;E12&amp;" + "&amp;F12&amp;"; prior years from prior TWIA annual statements"</f>
        <v>(6) 1986 - 2019: (4) + (5); prior years from prior TWIA annual statements</v>
      </c>
      <c r="C59" s="57"/>
      <c r="D59" s="57"/>
      <c r="E59" s="57"/>
      <c r="F59" s="57"/>
      <c r="G59" s="57"/>
      <c r="H59" s="57"/>
      <c r="I59" s="57"/>
      <c r="K59" s="2"/>
    </row>
    <row r="60" spans="1:11" x14ac:dyDescent="0.2">
      <c r="C60" s="18"/>
      <c r="F60" s="42"/>
      <c r="K60" s="2"/>
    </row>
    <row r="61" spans="1:11" x14ac:dyDescent="0.2">
      <c r="K61" s="2"/>
    </row>
    <row r="62" spans="1:11" x14ac:dyDescent="0.2">
      <c r="K62" s="2"/>
    </row>
    <row r="63" spans="1:11" x14ac:dyDescent="0.2">
      <c r="K63" s="2"/>
    </row>
    <row r="64" spans="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t="12" hidden="1" thickBot="1" x14ac:dyDescent="0.25">
      <c r="K71" s="2"/>
    </row>
    <row r="72" spans="1:11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92D050"/>
  </sheetPr>
  <dimension ref="A1:U71"/>
  <sheetViews>
    <sheetView showGridLines="0" zoomScaleNormal="100" workbookViewId="0">
      <selection activeCell="C47" sqref="C47:I47"/>
    </sheetView>
  </sheetViews>
  <sheetFormatPr defaultColWidth="11.33203125" defaultRowHeight="11.25" x14ac:dyDescent="0.2"/>
  <cols>
    <col min="1" max="1" width="9.5" bestFit="1" customWidth="1"/>
    <col min="2" max="2" width="11.33203125" customWidth="1"/>
    <col min="3" max="9" width="12.6640625" customWidth="1"/>
    <col min="10" max="10" width="10.6640625" customWidth="1"/>
    <col min="11" max="12" width="11.33203125" customWidth="1"/>
    <col min="13" max="13" width="13.6640625" customWidth="1"/>
    <col min="14" max="14" width="13.33203125" customWidth="1"/>
    <col min="15" max="15" width="25.83203125" customWidth="1"/>
  </cols>
  <sheetData>
    <row r="1" spans="1:21" x14ac:dyDescent="0.2">
      <c r="A1" s="8" t="str">
        <f>'1'!$A$1</f>
        <v>Texas Windstorm Insurance Association</v>
      </c>
      <c r="B1" s="12"/>
      <c r="J1" s="7" t="s">
        <v>55</v>
      </c>
      <c r="K1" s="1"/>
    </row>
    <row r="2" spans="1:21" x14ac:dyDescent="0.2">
      <c r="A2" s="8" t="str">
        <f>'1'!$A$2</f>
        <v>Commercial Property - Wind &amp; Hail</v>
      </c>
      <c r="B2" s="12"/>
      <c r="J2" s="7" t="s">
        <v>73</v>
      </c>
      <c r="K2" s="2"/>
    </row>
    <row r="3" spans="1:21" x14ac:dyDescent="0.2">
      <c r="A3" s="8" t="str">
        <f>'1'!$A$3</f>
        <v>Rate Level Review</v>
      </c>
      <c r="B3" s="12"/>
      <c r="K3" s="2"/>
    </row>
    <row r="4" spans="1:21" x14ac:dyDescent="0.2">
      <c r="A4" t="s">
        <v>74</v>
      </c>
      <c r="B4" s="12"/>
      <c r="K4" s="2"/>
    </row>
    <row r="5" spans="1:21" x14ac:dyDescent="0.2">
      <c r="A5" s="57" t="s">
        <v>485</v>
      </c>
      <c r="B5" s="21"/>
      <c r="C5" s="57"/>
      <c r="D5" s="57"/>
      <c r="E5" s="57"/>
      <c r="K5" s="2"/>
    </row>
    <row r="6" spans="1:21" x14ac:dyDescent="0.2">
      <c r="K6" s="2"/>
    </row>
    <row r="7" spans="1:21" ht="12" thickBot="1" x14ac:dyDescent="0.25">
      <c r="A7" s="6"/>
      <c r="B7" s="6"/>
      <c r="C7" s="6"/>
      <c r="D7" s="6"/>
      <c r="E7" s="6"/>
      <c r="F7" s="6"/>
      <c r="G7" s="6"/>
      <c r="H7" s="6"/>
      <c r="I7" s="6"/>
      <c r="K7" s="2"/>
    </row>
    <row r="8" spans="1:21" ht="12" thickTop="1" x14ac:dyDescent="0.2">
      <c r="K8" s="2"/>
    </row>
    <row r="9" spans="1:21" x14ac:dyDescent="0.2">
      <c r="C9" s="23" t="s">
        <v>48</v>
      </c>
      <c r="K9" s="2"/>
      <c r="L9" s="26"/>
      <c r="O9" s="57" t="s">
        <v>407</v>
      </c>
    </row>
    <row r="10" spans="1:21" x14ac:dyDescent="0.2">
      <c r="A10" t="s">
        <v>41</v>
      </c>
      <c r="K10" s="2"/>
      <c r="L10" t="s">
        <v>49</v>
      </c>
      <c r="O10" t="s">
        <v>491</v>
      </c>
    </row>
    <row r="11" spans="1:21" x14ac:dyDescent="0.2">
      <c r="A11" s="9" t="s">
        <v>42</v>
      </c>
      <c r="B11" s="9"/>
      <c r="C11" s="25">
        <f>$L$11</f>
        <v>12</v>
      </c>
      <c r="D11" s="25">
        <f t="shared" ref="D11:I11" si="0">C11+12</f>
        <v>24</v>
      </c>
      <c r="E11" s="25">
        <f t="shared" si="0"/>
        <v>36</v>
      </c>
      <c r="F11" s="25">
        <f t="shared" si="0"/>
        <v>48</v>
      </c>
      <c r="G11" s="25">
        <f t="shared" si="0"/>
        <v>60</v>
      </c>
      <c r="H11" s="25">
        <f t="shared" si="0"/>
        <v>72</v>
      </c>
      <c r="I11" s="25">
        <f t="shared" si="0"/>
        <v>84</v>
      </c>
      <c r="K11" s="2"/>
      <c r="L11" s="108">
        <v>12</v>
      </c>
      <c r="O11" s="25" t="s">
        <v>297</v>
      </c>
      <c r="P11" s="25" t="s">
        <v>299</v>
      </c>
      <c r="Q11" s="25" t="s">
        <v>298</v>
      </c>
      <c r="R11" s="25" t="s">
        <v>67</v>
      </c>
    </row>
    <row r="12" spans="1:21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K12" s="2"/>
      <c r="O12" t="s">
        <v>500</v>
      </c>
      <c r="P12" t="s">
        <v>501</v>
      </c>
      <c r="Q12" t="s">
        <v>502</v>
      </c>
      <c r="T12" s="57"/>
      <c r="U12" s="57"/>
    </row>
    <row r="13" spans="1:21" x14ac:dyDescent="0.2">
      <c r="K13" s="2"/>
    </row>
    <row r="14" spans="1:21" x14ac:dyDescent="0.2">
      <c r="A14" t="str">
        <f>TEXT(A15-1,"#")</f>
        <v>2009</v>
      </c>
      <c r="B14" s="24"/>
      <c r="C14" s="36">
        <v>7335</v>
      </c>
      <c r="D14" s="36">
        <v>359</v>
      </c>
      <c r="E14" s="36">
        <v>226</v>
      </c>
      <c r="F14" s="36">
        <v>231</v>
      </c>
      <c r="G14" s="36">
        <v>223</v>
      </c>
      <c r="H14" s="36">
        <v>223</v>
      </c>
      <c r="I14" s="29">
        <f>$R15</f>
        <v>223</v>
      </c>
      <c r="K14" s="2"/>
      <c r="N14" s="261">
        <f>N15-1</f>
        <v>2008</v>
      </c>
      <c r="O14" s="113">
        <v>96405</v>
      </c>
      <c r="P14" s="113">
        <v>1055</v>
      </c>
      <c r="Q14" s="113">
        <v>2208</v>
      </c>
      <c r="R14" s="18">
        <f>SUM(O14:Q14)</f>
        <v>99668</v>
      </c>
      <c r="T14" s="224"/>
      <c r="U14" s="280"/>
    </row>
    <row r="15" spans="1:21" x14ac:dyDescent="0.2">
      <c r="A15" t="str">
        <f t="shared" ref="A15:A22" si="2">TEXT(A16-1,"#")</f>
        <v>2010</v>
      </c>
      <c r="B15" s="24"/>
      <c r="C15" s="36">
        <v>391</v>
      </c>
      <c r="D15" s="36">
        <v>312</v>
      </c>
      <c r="E15" s="36">
        <v>322</v>
      </c>
      <c r="F15" s="36">
        <v>316</v>
      </c>
      <c r="G15" s="36">
        <v>335</v>
      </c>
      <c r="H15" s="36">
        <v>324</v>
      </c>
      <c r="I15" s="29">
        <f>$R16</f>
        <v>323</v>
      </c>
      <c r="K15" s="2"/>
      <c r="N15" s="261">
        <f t="shared" ref="N15:N24" si="3">N16-1</f>
        <v>2009</v>
      </c>
      <c r="O15" s="113">
        <v>223</v>
      </c>
      <c r="P15" s="113">
        <v>0</v>
      </c>
      <c r="Q15" s="113">
        <v>0</v>
      </c>
      <c r="R15" s="18">
        <f t="shared" ref="R15:R22" si="4">SUM(O15:Q15)</f>
        <v>223</v>
      </c>
      <c r="T15" s="224"/>
      <c r="U15" s="280"/>
    </row>
    <row r="16" spans="1:21" x14ac:dyDescent="0.2">
      <c r="A16" t="str">
        <f t="shared" si="2"/>
        <v>2011</v>
      </c>
      <c r="B16" s="24"/>
      <c r="C16" s="36">
        <v>515</v>
      </c>
      <c r="D16" s="36">
        <v>592</v>
      </c>
      <c r="E16" s="36">
        <v>609</v>
      </c>
      <c r="F16" s="36">
        <v>682</v>
      </c>
      <c r="G16" s="36">
        <v>629</v>
      </c>
      <c r="H16" s="224">
        <v>745</v>
      </c>
      <c r="I16" s="29">
        <f>$R17</f>
        <v>725</v>
      </c>
      <c r="K16" s="2"/>
      <c r="N16" s="261">
        <f t="shared" si="3"/>
        <v>2010</v>
      </c>
      <c r="O16" s="113">
        <v>323</v>
      </c>
      <c r="P16" s="265">
        <v>0</v>
      </c>
      <c r="Q16" s="265">
        <v>0</v>
      </c>
      <c r="R16" s="18">
        <f t="shared" si="4"/>
        <v>323</v>
      </c>
      <c r="T16" s="224"/>
      <c r="U16" s="280"/>
    </row>
    <row r="17" spans="1:21" x14ac:dyDescent="0.2">
      <c r="A17" t="str">
        <f t="shared" si="2"/>
        <v>2012</v>
      </c>
      <c r="B17" s="24"/>
      <c r="C17" s="36">
        <v>516</v>
      </c>
      <c r="D17" s="36">
        <v>679</v>
      </c>
      <c r="E17" s="36">
        <v>719</v>
      </c>
      <c r="F17" s="36">
        <v>632</v>
      </c>
      <c r="G17" s="224">
        <v>917</v>
      </c>
      <c r="H17" s="224">
        <v>880</v>
      </c>
      <c r="I17" s="29">
        <f>$R18</f>
        <v>871</v>
      </c>
      <c r="K17" s="2"/>
      <c r="N17" s="261">
        <f t="shared" si="3"/>
        <v>2011</v>
      </c>
      <c r="O17" s="113">
        <v>725</v>
      </c>
      <c r="P17" s="265">
        <v>0</v>
      </c>
      <c r="Q17" s="265">
        <v>0</v>
      </c>
      <c r="R17" s="18">
        <f t="shared" si="4"/>
        <v>725</v>
      </c>
      <c r="T17" s="224"/>
      <c r="U17" s="280"/>
    </row>
    <row r="18" spans="1:21" x14ac:dyDescent="0.2">
      <c r="A18" t="str">
        <f t="shared" si="2"/>
        <v>2013</v>
      </c>
      <c r="B18" s="24"/>
      <c r="C18" s="36">
        <v>802</v>
      </c>
      <c r="D18" s="36">
        <v>806</v>
      </c>
      <c r="E18" s="36">
        <v>715</v>
      </c>
      <c r="F18" s="224">
        <v>1089</v>
      </c>
      <c r="G18" s="224">
        <v>991</v>
      </c>
      <c r="H18" s="262">
        <v>971</v>
      </c>
      <c r="I18" s="29">
        <f>$R19</f>
        <v>901</v>
      </c>
      <c r="K18" s="2"/>
      <c r="N18" s="261">
        <f t="shared" si="3"/>
        <v>2012</v>
      </c>
      <c r="O18" s="113">
        <v>829</v>
      </c>
      <c r="P18" s="265">
        <v>39</v>
      </c>
      <c r="Q18" s="265">
        <v>3</v>
      </c>
      <c r="R18" s="18">
        <f t="shared" si="4"/>
        <v>871</v>
      </c>
      <c r="T18" s="224"/>
      <c r="U18" s="280"/>
    </row>
    <row r="19" spans="1:21" x14ac:dyDescent="0.2">
      <c r="A19" t="str">
        <f t="shared" si="2"/>
        <v>2014</v>
      </c>
      <c r="B19" s="24"/>
      <c r="C19" s="36">
        <v>516</v>
      </c>
      <c r="D19" s="36">
        <v>493</v>
      </c>
      <c r="E19" s="224">
        <v>1085</v>
      </c>
      <c r="F19" s="224">
        <v>1266</v>
      </c>
      <c r="G19" s="262">
        <v>1077</v>
      </c>
      <c r="H19" s="29">
        <f>R20</f>
        <v>1028</v>
      </c>
      <c r="I19" s="36"/>
      <c r="K19" s="2"/>
      <c r="N19" s="261">
        <f t="shared" si="3"/>
        <v>2013</v>
      </c>
      <c r="O19" s="113">
        <v>901</v>
      </c>
      <c r="P19" s="265">
        <v>0</v>
      </c>
      <c r="Q19" s="265">
        <v>0</v>
      </c>
      <c r="R19" s="18">
        <f t="shared" si="4"/>
        <v>901</v>
      </c>
      <c r="T19" s="224"/>
      <c r="U19" s="280"/>
    </row>
    <row r="20" spans="1:21" x14ac:dyDescent="0.2">
      <c r="A20" t="str">
        <f t="shared" si="2"/>
        <v>2015</v>
      </c>
      <c r="B20" s="24"/>
      <c r="C20" s="36">
        <v>973</v>
      </c>
      <c r="D20" s="224">
        <v>1818</v>
      </c>
      <c r="E20" s="224">
        <v>2355</v>
      </c>
      <c r="F20" s="262">
        <v>2749</v>
      </c>
      <c r="G20" s="29">
        <f>R21</f>
        <v>2944</v>
      </c>
      <c r="H20" s="36"/>
      <c r="I20" s="36"/>
      <c r="K20" s="2"/>
      <c r="N20" s="261">
        <f t="shared" si="3"/>
        <v>2014</v>
      </c>
      <c r="O20" s="113">
        <v>1017</v>
      </c>
      <c r="P20" s="265">
        <v>9</v>
      </c>
      <c r="Q20" s="265">
        <v>2</v>
      </c>
      <c r="R20" s="18">
        <f t="shared" si="4"/>
        <v>1028</v>
      </c>
      <c r="T20" s="224"/>
      <c r="U20" s="280"/>
    </row>
    <row r="21" spans="1:21" x14ac:dyDescent="0.2">
      <c r="A21" t="str">
        <f t="shared" si="2"/>
        <v>2016</v>
      </c>
      <c r="B21" s="24"/>
      <c r="C21" s="224">
        <v>412</v>
      </c>
      <c r="D21" s="224">
        <v>678</v>
      </c>
      <c r="E21" s="262">
        <v>746</v>
      </c>
      <c r="F21" s="29">
        <f>R22</f>
        <v>571</v>
      </c>
      <c r="G21" s="36"/>
      <c r="H21" s="36"/>
      <c r="I21" s="36"/>
      <c r="K21" s="2"/>
      <c r="N21" s="261">
        <f t="shared" si="3"/>
        <v>2015</v>
      </c>
      <c r="O21" s="113">
        <v>2679</v>
      </c>
      <c r="P21" s="265">
        <v>230</v>
      </c>
      <c r="Q21" s="265">
        <v>35</v>
      </c>
      <c r="R21" s="18">
        <f t="shared" si="4"/>
        <v>2944</v>
      </c>
      <c r="T21" s="224"/>
      <c r="U21" s="280"/>
    </row>
    <row r="22" spans="1:21" x14ac:dyDescent="0.2">
      <c r="A22" s="47" t="str">
        <f t="shared" si="2"/>
        <v>2017</v>
      </c>
      <c r="B22" s="48"/>
      <c r="C22" s="259">
        <v>891</v>
      </c>
      <c r="D22" s="262">
        <v>16490</v>
      </c>
      <c r="E22" s="29">
        <f>R23</f>
        <v>21865</v>
      </c>
      <c r="F22" s="44"/>
      <c r="G22" s="44"/>
      <c r="H22" s="44"/>
      <c r="I22" s="44"/>
      <c r="K22" s="2"/>
      <c r="L22" t="s">
        <v>237</v>
      </c>
      <c r="N22" s="261">
        <f t="shared" si="3"/>
        <v>2016</v>
      </c>
      <c r="O22" s="113">
        <v>484</v>
      </c>
      <c r="P22" s="265">
        <v>58</v>
      </c>
      <c r="Q22" s="265">
        <v>29</v>
      </c>
      <c r="R22" s="18">
        <f t="shared" si="4"/>
        <v>571</v>
      </c>
      <c r="T22" s="224"/>
      <c r="U22" s="280"/>
    </row>
    <row r="23" spans="1:21" x14ac:dyDescent="0.2">
      <c r="A23" s="47" t="str">
        <f>TEXT(A24-1,"#")</f>
        <v>2018</v>
      </c>
      <c r="B23" s="48"/>
      <c r="C23" s="262">
        <v>301</v>
      </c>
      <c r="D23" s="177">
        <f>R24</f>
        <v>361</v>
      </c>
      <c r="E23" s="44"/>
      <c r="F23" s="44"/>
      <c r="G23" s="44"/>
      <c r="H23" s="44"/>
      <c r="I23" s="44"/>
      <c r="K23" s="2"/>
      <c r="L23" s="202">
        <v>43830</v>
      </c>
      <c r="N23" s="261">
        <f t="shared" si="3"/>
        <v>2017</v>
      </c>
      <c r="O23" s="354">
        <v>6905</v>
      </c>
      <c r="P23" s="265">
        <v>7602</v>
      </c>
      <c r="Q23" s="265">
        <v>7358</v>
      </c>
      <c r="R23" s="18">
        <f>SUM(O23:Q23)</f>
        <v>21865</v>
      </c>
      <c r="T23" s="224"/>
      <c r="U23" s="280"/>
    </row>
    <row r="24" spans="1:21" s="227" customFormat="1" x14ac:dyDescent="0.2">
      <c r="A24" s="47" t="str">
        <f>TEXT(YEAR($L$23),"#")</f>
        <v>2019</v>
      </c>
      <c r="B24" s="48"/>
      <c r="C24" s="293">
        <f>R25</f>
        <v>48</v>
      </c>
      <c r="D24" s="177"/>
      <c r="E24" s="44"/>
      <c r="F24" s="44"/>
      <c r="G24" s="44"/>
      <c r="H24" s="44"/>
      <c r="I24" s="44"/>
      <c r="K24" s="229"/>
      <c r="N24" s="261">
        <f t="shared" si="3"/>
        <v>2018</v>
      </c>
      <c r="O24" s="354">
        <v>117</v>
      </c>
      <c r="P24" s="265">
        <v>228</v>
      </c>
      <c r="Q24" s="265">
        <v>16</v>
      </c>
      <c r="R24" s="18">
        <f>SUM(O24:Q24)</f>
        <v>361</v>
      </c>
    </row>
    <row r="25" spans="1:21" x14ac:dyDescent="0.2">
      <c r="A25" s="9"/>
      <c r="B25" s="231"/>
      <c r="C25" s="30"/>
      <c r="D25" s="231"/>
      <c r="E25" s="231"/>
      <c r="F25" s="231"/>
      <c r="G25" s="231"/>
      <c r="H25" s="231"/>
      <c r="I25" s="231"/>
      <c r="K25" s="2"/>
      <c r="N25">
        <v>2019</v>
      </c>
      <c r="O25" s="113">
        <v>7</v>
      </c>
      <c r="P25" s="265">
        <v>34</v>
      </c>
      <c r="Q25" s="265">
        <v>7</v>
      </c>
      <c r="R25" s="18">
        <f>SUM(O25:Q25)</f>
        <v>48</v>
      </c>
    </row>
    <row r="26" spans="1:21" s="227" customFormat="1" x14ac:dyDescent="0.2">
      <c r="K26" s="229"/>
      <c r="M26"/>
      <c r="N26" s="227" t="s">
        <v>408</v>
      </c>
      <c r="O26" s="239">
        <f>SUM(O14:O25)</f>
        <v>110615</v>
      </c>
      <c r="P26" s="239">
        <f>SUM(P14:P25)</f>
        <v>9255</v>
      </c>
      <c r="Q26" s="239">
        <f>SUM(Q14:Q25)</f>
        <v>9658</v>
      </c>
      <c r="R26" s="239">
        <f>SUM(R14:R25)</f>
        <v>129528</v>
      </c>
      <c r="S26"/>
      <c r="T26"/>
    </row>
    <row r="27" spans="1:21" s="227" customFormat="1" x14ac:dyDescent="0.2">
      <c r="C27" s="230" t="s">
        <v>50</v>
      </c>
      <c r="K27" s="229"/>
    </row>
    <row r="28" spans="1:21" s="227" customFormat="1" x14ac:dyDescent="0.2">
      <c r="A28" s="227" t="s">
        <v>41</v>
      </c>
      <c r="K28" s="229"/>
    </row>
    <row r="29" spans="1:21" s="227" customFormat="1" x14ac:dyDescent="0.2">
      <c r="A29" s="231" t="s">
        <v>42</v>
      </c>
      <c r="B29" s="231"/>
      <c r="C29" s="231" t="str">
        <f t="shared" ref="C29:H29" si="5">C11&amp;" - "&amp;D11</f>
        <v>12 - 24</v>
      </c>
      <c r="D29" s="231" t="str">
        <f t="shared" si="5"/>
        <v>24 - 36</v>
      </c>
      <c r="E29" s="231" t="str">
        <f t="shared" si="5"/>
        <v>36 - 48</v>
      </c>
      <c r="F29" s="231" t="str">
        <f t="shared" si="5"/>
        <v>48 - 60</v>
      </c>
      <c r="G29" s="231" t="str">
        <f t="shared" si="5"/>
        <v>60 - 72</v>
      </c>
      <c r="H29" s="231" t="str">
        <f t="shared" si="5"/>
        <v>72 - 84</v>
      </c>
      <c r="I29" s="231" t="str">
        <f>I11&amp;" - Ult"</f>
        <v>84 - Ult</v>
      </c>
      <c r="K29" s="229"/>
    </row>
    <row r="30" spans="1:21" s="227" customFormat="1" x14ac:dyDescent="0.2">
      <c r="A30" s="232" t="str">
        <f>TEXT(COLUMN(),"(#)")</f>
        <v>(1)</v>
      </c>
      <c r="B30" s="232"/>
      <c r="C30" s="233" t="str">
        <f t="shared" ref="C30:I30" si="6">TEXT(COLUMN()-1,"(#)")</f>
        <v>(2)</v>
      </c>
      <c r="D30" s="233" t="str">
        <f t="shared" si="6"/>
        <v>(3)</v>
      </c>
      <c r="E30" s="233" t="str">
        <f t="shared" si="6"/>
        <v>(4)</v>
      </c>
      <c r="F30" s="233" t="str">
        <f t="shared" si="6"/>
        <v>(5)</v>
      </c>
      <c r="G30" s="233" t="str">
        <f t="shared" si="6"/>
        <v>(6)</v>
      </c>
      <c r="H30" s="233" t="str">
        <f t="shared" si="6"/>
        <v>(7)</v>
      </c>
      <c r="I30" s="233" t="str">
        <f t="shared" si="6"/>
        <v>(8)</v>
      </c>
      <c r="K30" s="229"/>
    </row>
    <row r="31" spans="1:21" s="227" customFormat="1" x14ac:dyDescent="0.2">
      <c r="K31" s="229"/>
      <c r="N31" s="239"/>
      <c r="O31" s="239"/>
      <c r="P31" s="239"/>
      <c r="Q31" s="239"/>
      <c r="R31" s="239"/>
    </row>
    <row r="32" spans="1:21" s="227" customFormat="1" x14ac:dyDescent="0.2">
      <c r="A32" s="228" t="str">
        <f t="shared" ref="A32:A41" si="7">A14</f>
        <v>2009</v>
      </c>
      <c r="B32" s="234"/>
      <c r="C32" s="37">
        <f t="shared" ref="C32:H32" si="8">IF(ISNUMBER(D14),D14/C14,"")</f>
        <v>4.894342194955692E-2</v>
      </c>
      <c r="D32" s="37">
        <f t="shared" si="8"/>
        <v>0.62952646239554322</v>
      </c>
      <c r="E32" s="37">
        <f t="shared" si="8"/>
        <v>1.0221238938053097</v>
      </c>
      <c r="F32" s="37">
        <f t="shared" si="8"/>
        <v>0.96536796536796532</v>
      </c>
      <c r="G32" s="37">
        <f t="shared" si="8"/>
        <v>1</v>
      </c>
      <c r="H32" s="37">
        <f t="shared" si="8"/>
        <v>1</v>
      </c>
      <c r="I32" s="37"/>
      <c r="K32" s="229"/>
      <c r="M32" s="239"/>
      <c r="N32" s="239"/>
      <c r="O32" s="239"/>
      <c r="P32" s="239"/>
      <c r="Q32" s="239"/>
      <c r="R32" s="239"/>
    </row>
    <row r="33" spans="1:19" s="227" customFormat="1" x14ac:dyDescent="0.2">
      <c r="A33" s="228" t="str">
        <f t="shared" si="7"/>
        <v>2010</v>
      </c>
      <c r="B33" s="234"/>
      <c r="C33" s="37">
        <f t="shared" ref="C33:H36" si="9">IF(ISNUMBER(D15),D15/C15,"")</f>
        <v>0.79795396419437337</v>
      </c>
      <c r="D33" s="37">
        <f t="shared" si="9"/>
        <v>1.0320512820512822</v>
      </c>
      <c r="E33" s="37">
        <f t="shared" si="9"/>
        <v>0.98136645962732916</v>
      </c>
      <c r="F33" s="37">
        <f t="shared" si="9"/>
        <v>1.0601265822784811</v>
      </c>
      <c r="G33" s="37">
        <f t="shared" si="9"/>
        <v>0.96716417910447761</v>
      </c>
      <c r="H33" s="37">
        <f t="shared" si="9"/>
        <v>0.99691358024691357</v>
      </c>
      <c r="I33" s="37"/>
      <c r="K33" s="229"/>
      <c r="M33" s="239"/>
      <c r="N33" s="239"/>
      <c r="O33" s="239"/>
      <c r="P33" s="239"/>
      <c r="Q33" s="239"/>
      <c r="R33" s="239"/>
    </row>
    <row r="34" spans="1:19" s="227" customFormat="1" x14ac:dyDescent="0.2">
      <c r="A34" s="228" t="str">
        <f t="shared" si="7"/>
        <v>2011</v>
      </c>
      <c r="B34" s="234"/>
      <c r="C34" s="37">
        <f t="shared" si="9"/>
        <v>1.149514563106796</v>
      </c>
      <c r="D34" s="37">
        <f t="shared" si="9"/>
        <v>1.0287162162162162</v>
      </c>
      <c r="E34" s="37">
        <f t="shared" si="9"/>
        <v>1.1198686371100164</v>
      </c>
      <c r="F34" s="37">
        <f t="shared" si="9"/>
        <v>0.92228739002932547</v>
      </c>
      <c r="G34" s="37">
        <f t="shared" si="9"/>
        <v>1.1844197138314785</v>
      </c>
      <c r="H34" s="37">
        <f t="shared" si="9"/>
        <v>0.97315436241610742</v>
      </c>
      <c r="I34" s="37"/>
      <c r="K34" s="229"/>
      <c r="M34" s="239"/>
      <c r="N34" s="239"/>
      <c r="O34" s="239"/>
      <c r="P34" s="239"/>
      <c r="Q34" s="239"/>
      <c r="R34" s="239"/>
    </row>
    <row r="35" spans="1:19" s="227" customFormat="1" x14ac:dyDescent="0.2">
      <c r="A35" s="228" t="str">
        <f t="shared" si="7"/>
        <v>2012</v>
      </c>
      <c r="B35" s="234"/>
      <c r="C35" s="37">
        <f t="shared" si="9"/>
        <v>1.3158914728682169</v>
      </c>
      <c r="D35" s="37">
        <f t="shared" si="9"/>
        <v>1.0589101620029455</v>
      </c>
      <c r="E35" s="37">
        <f t="shared" si="9"/>
        <v>0.87899860917941586</v>
      </c>
      <c r="F35" s="37">
        <f t="shared" si="9"/>
        <v>1.4509493670886076</v>
      </c>
      <c r="G35" s="37">
        <f t="shared" si="9"/>
        <v>0.95965103598691381</v>
      </c>
      <c r="H35" s="37">
        <f>IF(ISNUMBER(I17),I17/H17,"")</f>
        <v>0.98977272727272725</v>
      </c>
      <c r="I35" s="37"/>
      <c r="K35" s="229"/>
      <c r="M35" s="239"/>
      <c r="N35" s="239"/>
      <c r="O35" s="239"/>
      <c r="P35" s="239"/>
      <c r="Q35" s="239"/>
      <c r="R35" s="239"/>
    </row>
    <row r="36" spans="1:19" s="227" customFormat="1" x14ac:dyDescent="0.2">
      <c r="A36" s="228" t="str">
        <f t="shared" si="7"/>
        <v>2013</v>
      </c>
      <c r="B36" s="234"/>
      <c r="C36" s="37">
        <f t="shared" ref="C36:C39" si="10">IF(ISNUMBER(D18),D18/C18,"")</f>
        <v>1.0049875311720697</v>
      </c>
      <c r="D36" s="37">
        <f t="shared" si="9"/>
        <v>0.88709677419354838</v>
      </c>
      <c r="E36" s="37">
        <f t="shared" si="9"/>
        <v>1.523076923076923</v>
      </c>
      <c r="F36" s="37">
        <f t="shared" si="9"/>
        <v>0.91000918273645548</v>
      </c>
      <c r="G36" s="37">
        <f t="shared" si="9"/>
        <v>0.97981836528758826</v>
      </c>
      <c r="H36" s="37">
        <f>IF(ISNUMBER(I18),I18/H18,"")</f>
        <v>0.92790937178166844</v>
      </c>
      <c r="I36" s="37"/>
      <c r="K36" s="229"/>
      <c r="M36" s="239"/>
      <c r="N36" s="239"/>
      <c r="O36" s="239"/>
      <c r="P36" s="239"/>
      <c r="Q36" s="239"/>
      <c r="R36" s="239"/>
    </row>
    <row r="37" spans="1:19" s="227" customFormat="1" x14ac:dyDescent="0.2">
      <c r="A37" s="228" t="str">
        <f t="shared" si="7"/>
        <v>2014</v>
      </c>
      <c r="B37" s="234"/>
      <c r="C37" s="37">
        <f t="shared" si="10"/>
        <v>0.95542635658914732</v>
      </c>
      <c r="D37" s="37">
        <f>IF(ISNUMBER(E19),E19/D19,"")</f>
        <v>2.2008113590263694</v>
      </c>
      <c r="E37" s="37">
        <f>IF(ISNUMBER(F19),F19/E19,"")</f>
        <v>1.1668202764976958</v>
      </c>
      <c r="F37" s="37">
        <f>IF(ISNUMBER(G19),G19/F19,"")</f>
        <v>0.85071090047393361</v>
      </c>
      <c r="G37" s="37">
        <f>IF(ISNUMBER(H19),H19/G19,"")</f>
        <v>0.95450324976787371</v>
      </c>
      <c r="H37" s="37" t="str">
        <f>IF(ISNUMBER(I19),I19/#REF!,"")</f>
        <v/>
      </c>
      <c r="I37" s="37"/>
      <c r="K37" s="229"/>
      <c r="M37" s="239"/>
      <c r="N37" s="239"/>
      <c r="O37" s="239"/>
      <c r="P37" s="239"/>
      <c r="Q37" s="239"/>
      <c r="R37" s="239"/>
    </row>
    <row r="38" spans="1:19" s="227" customFormat="1" x14ac:dyDescent="0.2">
      <c r="A38" s="228" t="str">
        <f t="shared" si="7"/>
        <v>2015</v>
      </c>
      <c r="B38" s="234"/>
      <c r="C38" s="37">
        <f t="shared" si="10"/>
        <v>1.868448098663926</v>
      </c>
      <c r="D38" s="37">
        <f>IF(ISNUMBER(E20),E20/D20,"")</f>
        <v>1.2953795379537953</v>
      </c>
      <c r="E38" s="37">
        <f>IF(ISNUMBER(F20),F20/E20,"")</f>
        <v>1.1673036093418259</v>
      </c>
      <c r="F38" s="37">
        <f>IF(ISNUMBER(G20),G20/F20,"")</f>
        <v>1.0709348854128775</v>
      </c>
      <c r="G38" s="37" t="str">
        <f>IF(ISNUMBER(H20),H20/#REF!,"")</f>
        <v/>
      </c>
      <c r="H38" s="37" t="str">
        <f>IF(ISNUMBER(I20),I20/H20,"")</f>
        <v/>
      </c>
      <c r="I38" s="37"/>
      <c r="K38" s="229"/>
      <c r="M38" s="239"/>
      <c r="N38" s="239"/>
      <c r="O38" s="239"/>
      <c r="P38" s="239"/>
      <c r="Q38" s="239"/>
      <c r="R38" s="239"/>
    </row>
    <row r="39" spans="1:19" s="227" customFormat="1" x14ac:dyDescent="0.2">
      <c r="A39" s="228" t="str">
        <f t="shared" si="7"/>
        <v>2016</v>
      </c>
      <c r="B39" s="260"/>
      <c r="C39" s="180">
        <f t="shared" si="10"/>
        <v>1.645631067961165</v>
      </c>
      <c r="D39" s="180">
        <f>IF(ISNUMBER(E21),E21/D21,"")</f>
        <v>1.1002949852507375</v>
      </c>
      <c r="E39" s="180">
        <f>IF(ISNUMBER(F21),F21/E21,"")</f>
        <v>0.76541554959785518</v>
      </c>
      <c r="F39" s="180" t="str">
        <f>IF(ISNUMBER(G21),G21/#REF!,"")</f>
        <v/>
      </c>
      <c r="G39" s="180" t="str">
        <f>IF(ISNUMBER(H21),H21/G21,"")</f>
        <v/>
      </c>
      <c r="H39" s="180" t="str">
        <f>IF(ISNUMBER(I21),I21/H21,"")</f>
        <v/>
      </c>
      <c r="I39" s="180"/>
      <c r="K39" s="229"/>
      <c r="M39" s="239"/>
      <c r="N39" s="239"/>
      <c r="O39" s="239"/>
      <c r="P39" s="239"/>
      <c r="Q39" s="239"/>
      <c r="R39" s="239"/>
    </row>
    <row r="40" spans="1:19" s="227" customFormat="1" x14ac:dyDescent="0.2">
      <c r="A40" s="228" t="str">
        <f t="shared" si="7"/>
        <v>2017</v>
      </c>
      <c r="B40" s="260"/>
      <c r="C40" s="180">
        <f>IF(ISNUMBER(D22),D22/C22,"")</f>
        <v>18.50729517396184</v>
      </c>
      <c r="D40" s="180">
        <f>IF(ISNUMBER(E22),E22/D22,"")</f>
        <v>1.3259551243177683</v>
      </c>
      <c r="E40" s="180" t="str">
        <f>IF(ISNUMBER(F22),F22/#REF!,"")</f>
        <v/>
      </c>
      <c r="F40" s="180" t="str">
        <f>IF(ISNUMBER(G22),G22/F22,"")</f>
        <v/>
      </c>
      <c r="G40" s="180" t="str">
        <f>IF(ISNUMBER(H22),H22/G22,"")</f>
        <v/>
      </c>
      <c r="H40" s="180" t="str">
        <f>IF(ISNUMBER(I22),I22/H22,"")</f>
        <v/>
      </c>
      <c r="I40" s="180"/>
      <c r="K40" s="229"/>
      <c r="M40" s="239"/>
      <c r="N40" s="239"/>
      <c r="O40" s="239"/>
      <c r="P40" s="239"/>
      <c r="Q40" s="239"/>
      <c r="R40" s="239"/>
      <c r="S40" s="239"/>
    </row>
    <row r="41" spans="1:19" s="227" customFormat="1" x14ac:dyDescent="0.2">
      <c r="A41" s="231" t="str">
        <f t="shared" si="7"/>
        <v>2018</v>
      </c>
      <c r="B41" s="236"/>
      <c r="C41" s="38">
        <f>IF(ISNUMBER(D23),D23/C23,"")</f>
        <v>1.1993355481727574</v>
      </c>
      <c r="D41" s="38"/>
      <c r="E41" s="38"/>
      <c r="F41" s="38"/>
      <c r="G41" s="38"/>
      <c r="H41" s="38"/>
      <c r="I41" s="38"/>
      <c r="K41" s="229"/>
      <c r="M41" s="239"/>
      <c r="N41" s="239"/>
      <c r="O41" s="239"/>
      <c r="P41" s="239"/>
      <c r="Q41" s="239"/>
      <c r="R41" s="239"/>
      <c r="S41" s="239"/>
    </row>
    <row r="42" spans="1:19" s="227" customFormat="1" x14ac:dyDescent="0.2">
      <c r="A42" s="228"/>
      <c r="B42" s="260"/>
      <c r="C42" s="180"/>
      <c r="D42" s="180"/>
      <c r="E42" s="180"/>
      <c r="F42" s="180"/>
      <c r="G42" s="180"/>
      <c r="H42" s="180"/>
      <c r="I42" s="180"/>
      <c r="K42" s="229"/>
      <c r="M42" s="239"/>
      <c r="S42" s="239"/>
    </row>
    <row r="43" spans="1:19" s="227" customFormat="1" x14ac:dyDescent="0.2">
      <c r="A43" s="227" t="s">
        <v>51</v>
      </c>
      <c r="B43" s="234"/>
      <c r="C43" s="227">
        <f>AVERAGE(C32:C41)</f>
        <v>2.8493427198639849</v>
      </c>
      <c r="D43" s="227">
        <f>AVERAGE(D32:D40)</f>
        <v>1.1731935448231341</v>
      </c>
      <c r="E43" s="227">
        <f>AVERAGE(E32:E40)</f>
        <v>1.0781217447795464</v>
      </c>
      <c r="F43" s="227">
        <f>AVERAGE(F32:F40)</f>
        <v>1.0329123247696639</v>
      </c>
      <c r="G43" s="227">
        <f>AVERAGE(G32:G40)</f>
        <v>1.0075927573297221</v>
      </c>
      <c r="H43" s="227">
        <f>AVERAGE(H32:H40)</f>
        <v>0.97755000834348338</v>
      </c>
      <c r="K43" s="229"/>
    </row>
    <row r="44" spans="1:19" s="227" customFormat="1" x14ac:dyDescent="0.2">
      <c r="A44" s="227" t="s">
        <v>75</v>
      </c>
      <c r="B44" s="235"/>
      <c r="C44" s="227">
        <f>(SUM(C32:C41)-MAX(C32:C41)-MIN(C32:C41))/(COUNT(C32:C41)-2)</f>
        <v>1.2421485753410566</v>
      </c>
      <c r="D44" s="227">
        <f>(SUM(D32:D41)-MAX(D32:D41)-MIN(D32:D41))/(COUNT(D32:D41)-2)</f>
        <v>1.104057725998042</v>
      </c>
      <c r="E44" s="227">
        <f t="shared" ref="E44:H44" si="11">(SUM(E32:E41)-MAX(E32:E41)-MIN(E32:E41))/(COUNT(E32:E41)-2)</f>
        <v>1.0560802475935989</v>
      </c>
      <c r="F44" s="227">
        <f t="shared" si="11"/>
        <v>0.98574520116502118</v>
      </c>
      <c r="G44" s="227">
        <f t="shared" si="11"/>
        <v>0.97665839509474495</v>
      </c>
      <c r="H44" s="227">
        <f t="shared" si="11"/>
        <v>0.98661355664524952</v>
      </c>
      <c r="K44" s="229"/>
    </row>
    <row r="45" spans="1:19" s="227" customFormat="1" x14ac:dyDescent="0.2">
      <c r="A45" s="227" t="s">
        <v>76</v>
      </c>
      <c r="C45" s="227">
        <f>AVERAGE(C39:C41)</f>
        <v>7.1174205966985875</v>
      </c>
      <c r="D45" s="227">
        <f>AVERAGE(D38:D40)</f>
        <v>1.240543215840767</v>
      </c>
      <c r="E45" s="227">
        <f>AVERAGE(E37:E39)</f>
        <v>1.0331798118124589</v>
      </c>
      <c r="F45" s="227">
        <f>AVERAGE(F36:F38)</f>
        <v>0.94388498954108879</v>
      </c>
      <c r="G45" s="227">
        <f>AVERAGE(G35:G37)</f>
        <v>0.96465755034745859</v>
      </c>
      <c r="H45" s="227">
        <f>AVERAGE(H34:H36)</f>
        <v>0.96361215382350096</v>
      </c>
      <c r="K45" s="229"/>
    </row>
    <row r="46" spans="1:19" s="227" customFormat="1" x14ac:dyDescent="0.2">
      <c r="A46" s="227" t="s">
        <v>52</v>
      </c>
      <c r="B46" s="234"/>
      <c r="C46" s="227">
        <f>AVERAGE(C37:C41)</f>
        <v>4.8352272490697672</v>
      </c>
      <c r="D46" s="227">
        <f>AVERAGE(D36:D40)</f>
        <v>1.3619075561484437</v>
      </c>
      <c r="E46" s="227">
        <f>AVERAGE(E35:E39)</f>
        <v>1.1003229935387433</v>
      </c>
      <c r="F46" s="227">
        <f>AVERAGE(F34:F38)</f>
        <v>1.0409783451482399</v>
      </c>
      <c r="G46" s="227">
        <f>AVERAGE(G33:G37)</f>
        <v>1.0091113087956665</v>
      </c>
      <c r="H46" s="227">
        <f>AVERAGE(H33:H36)</f>
        <v>0.97193751042935417</v>
      </c>
      <c r="K46" s="229"/>
    </row>
    <row r="47" spans="1:19" s="227" customFormat="1" x14ac:dyDescent="0.2">
      <c r="A47" s="227" t="s">
        <v>196</v>
      </c>
      <c r="B47" s="235"/>
      <c r="C47" s="237">
        <v>1.1499999999999999</v>
      </c>
      <c r="D47" s="237">
        <v>1.03</v>
      </c>
      <c r="E47" s="237">
        <v>1.151</v>
      </c>
      <c r="F47" s="237">
        <v>1.0369999999999999</v>
      </c>
      <c r="G47" s="237">
        <v>1.0009999999999999</v>
      </c>
      <c r="H47" s="237">
        <v>1.0069999999999999</v>
      </c>
      <c r="I47" s="237">
        <v>1</v>
      </c>
      <c r="K47" s="229"/>
    </row>
    <row r="48" spans="1:19" s="227" customFormat="1" x14ac:dyDescent="0.2">
      <c r="A48" s="227" t="s">
        <v>53</v>
      </c>
      <c r="C48" s="270">
        <v>1.2</v>
      </c>
      <c r="D48" s="270">
        <v>1.1000000000000001</v>
      </c>
      <c r="E48" s="270">
        <f>ROUND(AVERAGE(E43:E47),3)</f>
        <v>1.0840000000000001</v>
      </c>
      <c r="F48" s="270">
        <f>ROUND(AVERAGE(F43:F47),3)</f>
        <v>1.008</v>
      </c>
      <c r="G48" s="270">
        <f>ROUND(AVERAGE(G43:G47),3)</f>
        <v>0.99199999999999999</v>
      </c>
      <c r="H48" s="270">
        <f>ROUND(AVERAGE(H43:H47),3)</f>
        <v>0.98099999999999998</v>
      </c>
      <c r="I48" s="270">
        <f>ROUND(AVERAGE(I43:I47),3)</f>
        <v>1</v>
      </c>
      <c r="K48" s="229"/>
    </row>
    <row r="49" spans="1:20" s="227" customFormat="1" x14ac:dyDescent="0.2">
      <c r="A49" s="227" t="s">
        <v>54</v>
      </c>
      <c r="C49" s="227">
        <f t="shared" ref="C49:H49" si="12">ROUND(C48*D49,3)</f>
        <v>1.403</v>
      </c>
      <c r="D49" s="227">
        <f t="shared" si="12"/>
        <v>1.169</v>
      </c>
      <c r="E49" s="227">
        <f t="shared" si="12"/>
        <v>1.0629999999999999</v>
      </c>
      <c r="F49" s="227">
        <f t="shared" si="12"/>
        <v>0.98099999999999998</v>
      </c>
      <c r="G49" s="227">
        <f t="shared" si="12"/>
        <v>0.97299999999999998</v>
      </c>
      <c r="H49" s="227">
        <f t="shared" si="12"/>
        <v>0.98099999999999998</v>
      </c>
      <c r="I49" s="227">
        <f>I48</f>
        <v>1</v>
      </c>
      <c r="K49" s="229"/>
    </row>
    <row r="50" spans="1:20" s="227" customFormat="1" ht="12" thickBot="1" x14ac:dyDescent="0.25">
      <c r="A50" s="238"/>
      <c r="B50" s="238"/>
      <c r="C50" s="238"/>
      <c r="D50" s="238"/>
      <c r="E50" s="238"/>
      <c r="F50" s="238"/>
      <c r="G50" s="238"/>
      <c r="H50" s="238"/>
      <c r="I50" s="238"/>
      <c r="K50" s="229"/>
    </row>
    <row r="51" spans="1:20" ht="12" thickTop="1" x14ac:dyDescent="0.2">
      <c r="K51" s="2"/>
      <c r="M51" s="227"/>
      <c r="S51" s="227"/>
      <c r="T51" s="227"/>
    </row>
    <row r="52" spans="1:20" x14ac:dyDescent="0.2">
      <c r="K52" s="2"/>
    </row>
    <row r="53" spans="1:20" s="227" customFormat="1" x14ac:dyDescent="0.2">
      <c r="K53" s="229"/>
      <c r="M53"/>
      <c r="S53"/>
      <c r="T53"/>
    </row>
    <row r="54" spans="1:20" x14ac:dyDescent="0.2">
      <c r="K54" s="2"/>
      <c r="M54" s="239">
        <v>250000</v>
      </c>
      <c r="S54" s="227"/>
      <c r="T54" s="227"/>
    </row>
    <row r="55" spans="1:20" x14ac:dyDescent="0.2">
      <c r="K55" s="2"/>
    </row>
    <row r="56" spans="1:20" x14ac:dyDescent="0.2">
      <c r="K56" s="2"/>
    </row>
    <row r="57" spans="1:20" x14ac:dyDescent="0.2">
      <c r="K57" s="2"/>
    </row>
    <row r="58" spans="1:20" x14ac:dyDescent="0.2">
      <c r="K58" s="2"/>
    </row>
    <row r="59" spans="1:20" x14ac:dyDescent="0.2">
      <c r="K59" s="2"/>
    </row>
    <row r="60" spans="1:20" x14ac:dyDescent="0.2">
      <c r="K60" s="2"/>
    </row>
    <row r="61" spans="1:20" x14ac:dyDescent="0.2">
      <c r="K61" s="2"/>
    </row>
    <row r="62" spans="1:20" x14ac:dyDescent="0.2">
      <c r="K62" s="2"/>
    </row>
    <row r="63" spans="1:20" x14ac:dyDescent="0.2">
      <c r="K63" s="2"/>
    </row>
    <row r="64" spans="1:20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ignoredErrors>
    <ignoredError sqref="E40 F39 G38 H37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tabColor rgb="FF92D050"/>
  </sheetPr>
  <dimension ref="A1:I33"/>
  <sheetViews>
    <sheetView showGridLines="0" zoomScaleNormal="100" workbookViewId="0">
      <selection activeCell="G29" sqref="G29"/>
    </sheetView>
  </sheetViews>
  <sheetFormatPr defaultColWidth="11.33203125" defaultRowHeight="11.25" x14ac:dyDescent="0.2"/>
  <cols>
    <col min="1" max="1" width="2.5" bestFit="1" customWidth="1"/>
    <col min="2" max="2" width="50.33203125" customWidth="1"/>
    <col min="3" max="5" width="12.6640625" customWidth="1"/>
    <col min="6" max="7" width="11.33203125" customWidth="1"/>
    <col min="8" max="8" width="7.6640625" customWidth="1"/>
  </cols>
  <sheetData>
    <row r="1" spans="1:9" x14ac:dyDescent="0.2">
      <c r="A1" s="8" t="str">
        <f>'1'!$A$1</f>
        <v>Texas Windstorm Insurance Association</v>
      </c>
      <c r="B1" s="12"/>
      <c r="H1" s="7" t="s">
        <v>78</v>
      </c>
      <c r="I1" s="1"/>
    </row>
    <row r="2" spans="1:9" x14ac:dyDescent="0.2">
      <c r="A2" s="8" t="str">
        <f>'1'!$A$2</f>
        <v>Commercial Property - Wind &amp; Hail</v>
      </c>
      <c r="B2" s="12"/>
      <c r="H2" s="7"/>
      <c r="I2" s="2"/>
    </row>
    <row r="3" spans="1:9" x14ac:dyDescent="0.2">
      <c r="A3" s="8" t="str">
        <f>'1'!$A$3</f>
        <v>Rate Level Review</v>
      </c>
      <c r="B3" s="12"/>
      <c r="I3" s="2"/>
    </row>
    <row r="4" spans="1:9" x14ac:dyDescent="0.2">
      <c r="A4" t="s">
        <v>77</v>
      </c>
      <c r="B4" s="12"/>
      <c r="I4" s="2"/>
    </row>
    <row r="5" spans="1:9" x14ac:dyDescent="0.2">
      <c r="A5" s="57"/>
      <c r="B5" s="21"/>
      <c r="C5" s="57"/>
      <c r="D5" s="57"/>
      <c r="E5" s="57"/>
      <c r="I5" s="2"/>
    </row>
    <row r="6" spans="1:9" x14ac:dyDescent="0.2">
      <c r="I6" s="2"/>
    </row>
    <row r="7" spans="1:9" ht="12" thickBot="1" x14ac:dyDescent="0.25">
      <c r="A7" s="6"/>
      <c r="B7" s="6"/>
      <c r="C7" s="6"/>
      <c r="D7" s="6"/>
      <c r="E7" s="6"/>
      <c r="F7" s="42"/>
      <c r="G7" s="42"/>
      <c r="H7" s="42"/>
      <c r="I7" s="2"/>
    </row>
    <row r="8" spans="1:9" ht="12" thickTop="1" x14ac:dyDescent="0.2">
      <c r="F8" s="42"/>
      <c r="G8" s="42"/>
      <c r="H8" s="42"/>
      <c r="I8" s="2"/>
    </row>
    <row r="9" spans="1:9" x14ac:dyDescent="0.2">
      <c r="C9" s="12" t="s">
        <v>12</v>
      </c>
      <c r="E9" t="s">
        <v>12</v>
      </c>
      <c r="F9" s="42"/>
      <c r="G9" s="42"/>
      <c r="H9" s="42"/>
      <c r="I9" s="2"/>
    </row>
    <row r="10" spans="1:9" x14ac:dyDescent="0.2">
      <c r="C10" t="s">
        <v>34</v>
      </c>
      <c r="D10" t="s">
        <v>29</v>
      </c>
      <c r="E10" t="s">
        <v>10</v>
      </c>
      <c r="F10" s="42"/>
      <c r="G10" s="42"/>
      <c r="H10" s="42"/>
      <c r="I10" s="2"/>
    </row>
    <row r="11" spans="1:9" x14ac:dyDescent="0.2">
      <c r="A11" s="9" t="s">
        <v>79</v>
      </c>
      <c r="B11" s="9"/>
      <c r="C11" s="9" t="s">
        <v>11</v>
      </c>
      <c r="D11" s="9" t="s">
        <v>30</v>
      </c>
      <c r="E11" s="9" t="s">
        <v>11</v>
      </c>
      <c r="F11" s="42"/>
      <c r="G11" s="42"/>
      <c r="H11" s="42"/>
      <c r="I11" s="2"/>
    </row>
    <row r="12" spans="1:9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43"/>
      <c r="G12" s="43"/>
      <c r="H12" s="43"/>
      <c r="I12" s="2"/>
    </row>
    <row r="13" spans="1:9" x14ac:dyDescent="0.2">
      <c r="F13" s="42"/>
      <c r="G13" s="42"/>
      <c r="H13" s="42"/>
      <c r="I13" s="2"/>
    </row>
    <row r="14" spans="1:9" x14ac:dyDescent="0.2">
      <c r="A14" t="s">
        <v>317</v>
      </c>
      <c r="C14" s="22">
        <f>'6.1'!E40</f>
        <v>0.47199999999999998</v>
      </c>
      <c r="D14" s="52">
        <f>'4.1'!$E$57</f>
        <v>0.151</v>
      </c>
      <c r="E14" s="17">
        <f>ROUND(C14*(1+D14),3)</f>
        <v>0.54300000000000004</v>
      </c>
      <c r="F14" s="50"/>
      <c r="G14" s="50"/>
      <c r="H14" s="51"/>
      <c r="I14" s="2"/>
    </row>
    <row r="15" spans="1:9" x14ac:dyDescent="0.2">
      <c r="C15" s="22"/>
      <c r="D15" s="22"/>
      <c r="E15" s="22"/>
      <c r="F15" s="50"/>
      <c r="G15" s="50"/>
      <c r="H15" s="51"/>
      <c r="I15" s="2"/>
    </row>
    <row r="16" spans="1:9" x14ac:dyDescent="0.2">
      <c r="A16" s="10" t="s">
        <v>80</v>
      </c>
      <c r="C16" s="22"/>
      <c r="D16" s="22"/>
      <c r="E16" s="22"/>
      <c r="F16" s="50"/>
      <c r="G16" s="50"/>
      <c r="H16" s="51"/>
      <c r="I16" s="2"/>
    </row>
    <row r="17" spans="1:9" x14ac:dyDescent="0.2">
      <c r="B17" t="s">
        <v>81</v>
      </c>
      <c r="C17" s="22">
        <f>'7.1'!$E$34</f>
        <v>0.56000000000000005</v>
      </c>
      <c r="D17" s="52">
        <f>D$14</f>
        <v>0.151</v>
      </c>
      <c r="E17" s="17">
        <f>ROUND(C17*(1+D17),3)</f>
        <v>0.64500000000000002</v>
      </c>
      <c r="F17" s="42"/>
      <c r="G17" s="42"/>
      <c r="H17" s="42"/>
      <c r="I17" s="2"/>
    </row>
    <row r="18" spans="1:9" x14ac:dyDescent="0.2">
      <c r="B18" t="s">
        <v>82</v>
      </c>
      <c r="C18" s="22">
        <f>'8.1'!$E$34</f>
        <v>0.51900000000000002</v>
      </c>
      <c r="D18" s="52">
        <f>D$14</f>
        <v>0.151</v>
      </c>
      <c r="E18" s="17">
        <f>ROUND(C18*(1+D18),3)</f>
        <v>0.59699999999999998</v>
      </c>
      <c r="F18" s="42"/>
      <c r="G18" s="42"/>
      <c r="H18" s="42"/>
      <c r="I18" s="2"/>
    </row>
    <row r="19" spans="1:9" x14ac:dyDescent="0.2">
      <c r="F19" s="42"/>
      <c r="G19" s="42"/>
      <c r="H19" s="42"/>
      <c r="I19" s="2"/>
    </row>
    <row r="20" spans="1:9" x14ac:dyDescent="0.2">
      <c r="B20" t="s">
        <v>83</v>
      </c>
      <c r="C20" s="19">
        <f>ROUND(AVERAGE(C17:C18),3)</f>
        <v>0.54</v>
      </c>
      <c r="D20" s="52">
        <f>D$14</f>
        <v>0.151</v>
      </c>
      <c r="E20" s="17">
        <f>ROUND(C20*(1+D20),3)</f>
        <v>0.622</v>
      </c>
      <c r="F20" s="42"/>
      <c r="G20" s="42"/>
      <c r="H20" s="42"/>
      <c r="I20" s="2"/>
    </row>
    <row r="21" spans="1:9" ht="12" thickBot="1" x14ac:dyDescent="0.25">
      <c r="A21" s="6"/>
      <c r="B21" s="6"/>
      <c r="C21" s="6"/>
      <c r="D21" s="6"/>
      <c r="E21" s="6"/>
      <c r="I21" s="2"/>
    </row>
    <row r="22" spans="1:9" ht="12" thickTop="1" x14ac:dyDescent="0.2">
      <c r="I22" s="2"/>
    </row>
    <row r="23" spans="1:9" x14ac:dyDescent="0.2">
      <c r="A23" t="s">
        <v>18</v>
      </c>
      <c r="I23" s="2"/>
    </row>
    <row r="24" spans="1:9" x14ac:dyDescent="0.2">
      <c r="B24" s="21" t="str">
        <f>C12&amp;" "&amp;'6.1'!$J$1&amp;" - "&amp;'8.1'!$J$1&amp;", "&amp;'6.1'!$J$2</f>
        <v>(2) Exhibit 6 - Exhibit 8, Sheet 1</v>
      </c>
      <c r="I24" s="2"/>
    </row>
    <row r="25" spans="1:9" x14ac:dyDescent="0.2">
      <c r="B25" s="21" t="str">
        <f>D12&amp;" "&amp;'4.1'!$J$1&amp;", "&amp;'4.1'!$J$2</f>
        <v>(3) Exhibit 4, Sheet 1</v>
      </c>
      <c r="I25" s="2"/>
    </row>
    <row r="26" spans="1:9" x14ac:dyDescent="0.2">
      <c r="B26" s="12" t="str">
        <f>E12&amp;" = "&amp;C12&amp;" * [1 + "&amp;D12&amp;"]"</f>
        <v>(4) = (2) * [1 + (3)]</v>
      </c>
      <c r="I26" s="2"/>
    </row>
    <row r="27" spans="1:9" x14ac:dyDescent="0.2">
      <c r="B27" s="21"/>
      <c r="I27" s="2"/>
    </row>
    <row r="28" spans="1:9" x14ac:dyDescent="0.2">
      <c r="B28" s="21"/>
      <c r="I28" s="2"/>
    </row>
    <row r="29" spans="1:9" x14ac:dyDescent="0.2">
      <c r="I29" s="2"/>
    </row>
    <row r="30" spans="1:9" x14ac:dyDescent="0.2">
      <c r="I30" s="2"/>
    </row>
    <row r="31" spans="1:9" x14ac:dyDescent="0.2">
      <c r="I31" s="2"/>
    </row>
    <row r="32" spans="1:9" ht="12" thickBot="1" x14ac:dyDescent="0.25">
      <c r="I32" s="2"/>
    </row>
    <row r="33" spans="1:9" ht="12" thickBot="1" x14ac:dyDescent="0.25">
      <c r="A33" s="4"/>
      <c r="B33" s="5"/>
      <c r="C33" s="5"/>
      <c r="D33" s="5"/>
      <c r="E33" s="5"/>
      <c r="F33" s="5"/>
      <c r="G33" s="5"/>
      <c r="H33" s="5"/>
      <c r="I3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0FC5C-1C50-4FF6-B781-81D5BE9493CF}">
  <sheetPr>
    <tabColor rgb="FF92D050"/>
  </sheetPr>
  <dimension ref="A1:I43"/>
  <sheetViews>
    <sheetView showGridLines="0" tabSelected="1" workbookViewId="0">
      <selection activeCell="D29" sqref="D29"/>
    </sheetView>
  </sheetViews>
  <sheetFormatPr defaultRowHeight="11.25" x14ac:dyDescent="0.2"/>
  <cols>
    <col min="1" max="1" width="15" style="11" customWidth="1"/>
    <col min="2" max="2" width="62.83203125" customWidth="1"/>
    <col min="3" max="3" width="1.83203125" customWidth="1"/>
    <col min="4" max="4" width="53.1640625" bestFit="1" customWidth="1"/>
    <col min="5" max="5" width="2.6640625" customWidth="1"/>
    <col min="7" max="7" width="1.1640625" customWidth="1"/>
    <col min="8" max="8" width="8.33203125" bestFit="1" customWidth="1"/>
    <col min="9" max="9" width="15.6640625" style="24" bestFit="1" customWidth="1"/>
  </cols>
  <sheetData>
    <row r="1" spans="1:9" ht="12" thickBot="1" x14ac:dyDescent="0.25"/>
    <row r="2" spans="1:9" x14ac:dyDescent="0.2">
      <c r="A2" s="432" t="s">
        <v>0</v>
      </c>
      <c r="B2" s="433"/>
      <c r="C2" s="433"/>
      <c r="D2" s="433"/>
      <c r="E2" s="433"/>
      <c r="F2" s="433"/>
      <c r="G2" s="433"/>
      <c r="H2" s="434"/>
    </row>
    <row r="3" spans="1:9" x14ac:dyDescent="0.2">
      <c r="A3" s="435" t="s">
        <v>560</v>
      </c>
      <c r="B3" s="47"/>
      <c r="C3" s="47"/>
      <c r="D3" s="47"/>
      <c r="E3" s="47"/>
      <c r="F3" s="47"/>
      <c r="G3" s="47"/>
      <c r="H3" s="436"/>
    </row>
    <row r="4" spans="1:9" x14ac:dyDescent="0.2">
      <c r="A4" s="435" t="s">
        <v>1</v>
      </c>
      <c r="B4" s="47"/>
      <c r="C4" s="47"/>
      <c r="D4" s="47"/>
      <c r="E4" s="47"/>
      <c r="F4" s="47"/>
      <c r="G4" s="47"/>
      <c r="H4" s="436"/>
    </row>
    <row r="5" spans="1:9" x14ac:dyDescent="0.2">
      <c r="A5" s="437"/>
      <c r="B5" s="47"/>
      <c r="C5" s="47"/>
      <c r="D5" s="47"/>
      <c r="E5" s="47"/>
      <c r="F5" s="47"/>
      <c r="G5" s="47"/>
      <c r="H5" s="436"/>
    </row>
    <row r="6" spans="1:9" x14ac:dyDescent="0.2">
      <c r="A6" s="461" t="s">
        <v>561</v>
      </c>
      <c r="B6" s="462"/>
      <c r="C6" s="462"/>
      <c r="D6" s="462"/>
      <c r="E6" s="462"/>
      <c r="F6" s="462"/>
      <c r="G6" s="462"/>
      <c r="H6" s="463"/>
      <c r="I6" s="8"/>
    </row>
    <row r="7" spans="1:9" x14ac:dyDescent="0.2">
      <c r="A7" s="437"/>
      <c r="B7" s="47"/>
      <c r="C7" s="47"/>
      <c r="D7" s="47"/>
      <c r="E7" s="47"/>
      <c r="F7" s="47"/>
      <c r="G7" s="47"/>
      <c r="H7" s="436"/>
    </row>
    <row r="8" spans="1:9" x14ac:dyDescent="0.2">
      <c r="A8" s="438"/>
      <c r="B8" s="47"/>
      <c r="C8" s="47"/>
      <c r="D8" s="47"/>
      <c r="E8" s="47"/>
      <c r="F8" s="47"/>
      <c r="G8" s="47"/>
      <c r="H8" s="436"/>
    </row>
    <row r="9" spans="1:9" x14ac:dyDescent="0.2">
      <c r="A9" s="439" t="s">
        <v>562</v>
      </c>
      <c r="B9" s="430" t="s">
        <v>563</v>
      </c>
      <c r="C9" s="47"/>
      <c r="D9" s="430" t="s">
        <v>564</v>
      </c>
      <c r="E9" s="47"/>
      <c r="F9" s="430" t="s">
        <v>565</v>
      </c>
      <c r="G9" s="440"/>
      <c r="H9" s="441" t="s">
        <v>566</v>
      </c>
      <c r="I9" s="8"/>
    </row>
    <row r="10" spans="1:9" x14ac:dyDescent="0.2">
      <c r="A10" s="442">
        <v>1</v>
      </c>
      <c r="B10" s="47" t="s">
        <v>2</v>
      </c>
      <c r="C10" s="47"/>
      <c r="D10" s="47" t="str">
        <f>'[1]1'!$A$5</f>
        <v>By Method for Projecting Hurricane Loss &amp; LAE</v>
      </c>
      <c r="E10" s="47"/>
      <c r="F10" s="47" t="s">
        <v>4</v>
      </c>
      <c r="G10" s="47"/>
      <c r="H10" s="443"/>
      <c r="I10" s="431"/>
    </row>
    <row r="11" spans="1:9" x14ac:dyDescent="0.2">
      <c r="A11" s="442">
        <v>2.1</v>
      </c>
      <c r="B11" s="47" t="s">
        <v>19</v>
      </c>
      <c r="C11" s="47"/>
      <c r="D11" s="47">
        <f>'[1]2.1'!$A$5</f>
        <v>0</v>
      </c>
      <c r="E11" s="47"/>
      <c r="F11" s="47" t="s">
        <v>20</v>
      </c>
      <c r="G11" s="47"/>
      <c r="H11" s="436" t="s">
        <v>21</v>
      </c>
      <c r="I11"/>
    </row>
    <row r="12" spans="1:9" x14ac:dyDescent="0.2">
      <c r="A12" s="442">
        <v>2.2000000000000002</v>
      </c>
      <c r="B12" s="47" t="s">
        <v>40</v>
      </c>
      <c r="C12" s="47"/>
      <c r="D12" s="47"/>
      <c r="E12" s="47"/>
      <c r="F12" s="47" t="s">
        <v>20</v>
      </c>
      <c r="G12" s="47"/>
      <c r="H12" s="436" t="s">
        <v>65</v>
      </c>
      <c r="I12"/>
    </row>
    <row r="13" spans="1:9" x14ac:dyDescent="0.2">
      <c r="A13" s="442">
        <v>2.2999999999999998</v>
      </c>
      <c r="B13" s="47" t="s">
        <v>580</v>
      </c>
      <c r="C13" s="47"/>
      <c r="D13" s="47"/>
      <c r="E13" s="47"/>
      <c r="F13" s="47" t="s">
        <v>20</v>
      </c>
      <c r="G13" s="47"/>
      <c r="H13" s="436" t="s">
        <v>68</v>
      </c>
      <c r="I13"/>
    </row>
    <row r="14" spans="1:9" x14ac:dyDescent="0.2">
      <c r="A14" s="442">
        <v>2.4</v>
      </c>
      <c r="B14" s="47" t="s">
        <v>301</v>
      </c>
      <c r="C14" s="47"/>
      <c r="D14" s="47"/>
      <c r="E14" s="47"/>
      <c r="F14" s="47" t="s">
        <v>20</v>
      </c>
      <c r="G14" s="47"/>
      <c r="H14" s="436" t="s">
        <v>71</v>
      </c>
      <c r="I14"/>
    </row>
    <row r="15" spans="1:9" x14ac:dyDescent="0.2">
      <c r="A15" s="442">
        <v>3.1</v>
      </c>
      <c r="B15" s="47" t="s">
        <v>46</v>
      </c>
      <c r="C15" s="47"/>
      <c r="D15" s="47" t="s">
        <v>235</v>
      </c>
      <c r="E15" s="47"/>
      <c r="F15" s="47" t="s">
        <v>47</v>
      </c>
      <c r="G15" s="47"/>
      <c r="H15" s="444" t="s">
        <v>21</v>
      </c>
      <c r="I15"/>
    </row>
    <row r="16" spans="1:9" x14ac:dyDescent="0.2">
      <c r="A16" s="442" t="s">
        <v>567</v>
      </c>
      <c r="B16" s="47" t="s">
        <v>261</v>
      </c>
      <c r="C16" s="47"/>
      <c r="D16" s="47" t="str">
        <f>'[1]3.2 premium trend'!$A$5</f>
        <v>TWIA Commercial Earned Premium at Present Rates</v>
      </c>
      <c r="E16" s="47"/>
      <c r="F16" s="47" t="s">
        <v>47</v>
      </c>
      <c r="G16" s="47"/>
      <c r="H16" s="444" t="s">
        <v>21</v>
      </c>
      <c r="I16"/>
    </row>
    <row r="17" spans="1:9" x14ac:dyDescent="0.2">
      <c r="A17" s="442" t="s">
        <v>568</v>
      </c>
      <c r="B17" s="47" t="s">
        <v>268</v>
      </c>
      <c r="C17" s="47"/>
      <c r="D17" s="47" t="str">
        <f>'[1]3.3a'!$A$5</f>
        <v>Summary of Indices and Calculation of Prospective Loss Costs</v>
      </c>
      <c r="E17" s="47"/>
      <c r="F17" s="47" t="s">
        <v>47</v>
      </c>
      <c r="G17" s="47"/>
      <c r="H17" s="436" t="s">
        <v>267</v>
      </c>
      <c r="I17"/>
    </row>
    <row r="18" spans="1:9" x14ac:dyDescent="0.2">
      <c r="A18" s="442" t="s">
        <v>569</v>
      </c>
      <c r="B18" s="47" t="s">
        <v>268</v>
      </c>
      <c r="C18" s="47"/>
      <c r="D18" s="47" t="str">
        <f>'[1]3.3b'!$A$5</f>
        <v>Boeckh Commercial Construction Index Trend (Statewide)</v>
      </c>
      <c r="E18" s="47"/>
      <c r="F18" s="47" t="s">
        <v>47</v>
      </c>
      <c r="G18" s="47"/>
      <c r="H18" s="436" t="s">
        <v>282</v>
      </c>
      <c r="I18"/>
    </row>
    <row r="19" spans="1:9" x14ac:dyDescent="0.2">
      <c r="A19" s="442" t="s">
        <v>570</v>
      </c>
      <c r="B19" s="47" t="s">
        <v>268</v>
      </c>
      <c r="C19" s="47"/>
      <c r="D19" s="47" t="str">
        <f>'[1]3.3c'!$A$5</f>
        <v>Boeckh Commercial Construction Index Trend (Coastal)</v>
      </c>
      <c r="E19" s="47"/>
      <c r="F19" s="47" t="s">
        <v>47</v>
      </c>
      <c r="G19" s="47"/>
      <c r="H19" s="436" t="s">
        <v>294</v>
      </c>
      <c r="I19"/>
    </row>
    <row r="20" spans="1:9" x14ac:dyDescent="0.2">
      <c r="A20" s="442" t="s">
        <v>571</v>
      </c>
      <c r="B20" s="47" t="s">
        <v>268</v>
      </c>
      <c r="C20" s="47"/>
      <c r="D20" s="47" t="str">
        <f>'[1]3.3d'!$A$5</f>
        <v>Modified Consumer Price Index - External Trend</v>
      </c>
      <c r="E20" s="47"/>
      <c r="F20" s="47" t="s">
        <v>47</v>
      </c>
      <c r="G20" s="47"/>
      <c r="H20" s="436" t="s">
        <v>295</v>
      </c>
      <c r="I20"/>
    </row>
    <row r="21" spans="1:9" x14ac:dyDescent="0.2">
      <c r="A21" s="442">
        <v>4.0999999999999996</v>
      </c>
      <c r="B21" s="47" t="s">
        <v>56</v>
      </c>
      <c r="C21" s="47"/>
      <c r="D21" s="445"/>
      <c r="E21" s="47"/>
      <c r="F21" s="47" t="s">
        <v>55</v>
      </c>
      <c r="G21" s="47"/>
      <c r="H21" s="436" t="s">
        <v>21</v>
      </c>
      <c r="I21"/>
    </row>
    <row r="22" spans="1:9" x14ac:dyDescent="0.2">
      <c r="A22" s="442">
        <v>4.2</v>
      </c>
      <c r="B22" s="47" t="s">
        <v>66</v>
      </c>
      <c r="C22" s="47"/>
      <c r="D22" s="445"/>
      <c r="E22" s="47"/>
      <c r="F22" s="47" t="s">
        <v>55</v>
      </c>
      <c r="G22" s="47"/>
      <c r="H22" s="436" t="s">
        <v>65</v>
      </c>
      <c r="I22"/>
    </row>
    <row r="23" spans="1:9" x14ac:dyDescent="0.2">
      <c r="A23" s="442">
        <v>4.3</v>
      </c>
      <c r="B23" s="47" t="s">
        <v>69</v>
      </c>
      <c r="C23" s="47"/>
      <c r="D23" s="47" t="s">
        <v>70</v>
      </c>
      <c r="E23" s="47"/>
      <c r="F23" s="47" t="s">
        <v>55</v>
      </c>
      <c r="G23" s="47"/>
      <c r="H23" s="436" t="s">
        <v>68</v>
      </c>
      <c r="I23"/>
    </row>
    <row r="24" spans="1:9" x14ac:dyDescent="0.2">
      <c r="A24" s="442">
        <v>4.4000000000000004</v>
      </c>
      <c r="B24" s="47" t="s">
        <v>251</v>
      </c>
      <c r="C24" s="47"/>
      <c r="D24" s="445"/>
      <c r="E24" s="47"/>
      <c r="F24" s="47" t="s">
        <v>55</v>
      </c>
      <c r="G24" s="47"/>
      <c r="H24" s="436" t="s">
        <v>71</v>
      </c>
      <c r="I24"/>
    </row>
    <row r="25" spans="1:9" x14ac:dyDescent="0.2">
      <c r="A25" s="442">
        <v>4.5</v>
      </c>
      <c r="B25" s="47" t="s">
        <v>74</v>
      </c>
      <c r="C25" s="47"/>
      <c r="D25" s="47" t="s">
        <v>485</v>
      </c>
      <c r="E25" s="47"/>
      <c r="F25" s="47" t="s">
        <v>55</v>
      </c>
      <c r="G25" s="47"/>
      <c r="H25" s="436" t="s">
        <v>73</v>
      </c>
      <c r="I25"/>
    </row>
    <row r="26" spans="1:9" x14ac:dyDescent="0.2">
      <c r="A26" s="442">
        <v>5</v>
      </c>
      <c r="B26" s="47" t="s">
        <v>77</v>
      </c>
      <c r="C26" s="47"/>
      <c r="D26" s="445"/>
      <c r="E26" s="47"/>
      <c r="F26" s="47" t="s">
        <v>78</v>
      </c>
      <c r="G26" s="47"/>
      <c r="H26" s="443"/>
      <c r="I26" s="431"/>
    </row>
    <row r="27" spans="1:9" x14ac:dyDescent="0.2">
      <c r="A27" s="442">
        <v>6.1</v>
      </c>
      <c r="B27" s="47" t="s">
        <v>227</v>
      </c>
      <c r="C27" s="47"/>
      <c r="D27" s="47" t="s">
        <v>582</v>
      </c>
      <c r="E27" s="47"/>
      <c r="F27" s="47" t="s">
        <v>84</v>
      </c>
      <c r="G27" s="47"/>
      <c r="H27" s="436" t="s">
        <v>21</v>
      </c>
      <c r="I27"/>
    </row>
    <row r="28" spans="1:9" x14ac:dyDescent="0.2">
      <c r="A28" s="442" t="s">
        <v>572</v>
      </c>
      <c r="B28" s="47" t="s">
        <v>227</v>
      </c>
      <c r="C28" s="47"/>
      <c r="D28" s="47" t="s">
        <v>583</v>
      </c>
      <c r="E28" s="47"/>
      <c r="F28" s="47" t="s">
        <v>84</v>
      </c>
      <c r="G28" s="47"/>
      <c r="H28" s="436" t="s">
        <v>65</v>
      </c>
      <c r="I28"/>
    </row>
    <row r="29" spans="1:9" x14ac:dyDescent="0.2">
      <c r="A29" s="442">
        <v>6.3</v>
      </c>
      <c r="B29" s="47" t="s">
        <v>227</v>
      </c>
      <c r="C29" s="47"/>
      <c r="D29" s="47"/>
      <c r="E29" s="47"/>
      <c r="F29" s="47" t="s">
        <v>84</v>
      </c>
      <c r="G29" s="47"/>
      <c r="H29" s="436" t="s">
        <v>68</v>
      </c>
      <c r="I29"/>
    </row>
    <row r="30" spans="1:9" x14ac:dyDescent="0.2">
      <c r="A30" s="442">
        <v>6.4</v>
      </c>
      <c r="B30" s="47" t="s">
        <v>227</v>
      </c>
      <c r="C30" s="47"/>
      <c r="D30" s="47" t="str">
        <f>+'[1]6.4'!A5</f>
        <v>Tier 1 -- Territory 8 (Galveston County)</v>
      </c>
      <c r="E30" s="47"/>
      <c r="F30" s="47" t="s">
        <v>84</v>
      </c>
      <c r="G30" s="47"/>
      <c r="H30" s="436" t="s">
        <v>71</v>
      </c>
      <c r="I30"/>
    </row>
    <row r="31" spans="1:9" x14ac:dyDescent="0.2">
      <c r="A31" s="442">
        <v>6.5</v>
      </c>
      <c r="B31" s="47" t="s">
        <v>227</v>
      </c>
      <c r="C31" s="47"/>
      <c r="D31" s="47" t="str">
        <f>+'[1]6.5'!A5</f>
        <v>Tier 1 -- Territory 9 (Nueces County)</v>
      </c>
      <c r="E31" s="47"/>
      <c r="F31" s="47" t="s">
        <v>84</v>
      </c>
      <c r="G31" s="47"/>
      <c r="H31" s="436" t="s">
        <v>73</v>
      </c>
      <c r="I31"/>
    </row>
    <row r="32" spans="1:9" x14ac:dyDescent="0.2">
      <c r="A32" s="442">
        <v>6.6</v>
      </c>
      <c r="B32" s="47" t="s">
        <v>227</v>
      </c>
      <c r="C32" s="47"/>
      <c r="D32" s="47" t="str">
        <f>+'[1]6.6'!A5</f>
        <v>Tier 1 -- Territory 10 (Other Tier 1)</v>
      </c>
      <c r="E32" s="47"/>
      <c r="F32" s="47" t="s">
        <v>84</v>
      </c>
      <c r="G32" s="47"/>
      <c r="H32" s="436" t="s">
        <v>107</v>
      </c>
      <c r="I32"/>
    </row>
    <row r="33" spans="1:9" x14ac:dyDescent="0.2">
      <c r="A33" s="442">
        <v>6.7</v>
      </c>
      <c r="B33" s="47" t="s">
        <v>227</v>
      </c>
      <c r="C33" s="47"/>
      <c r="D33" s="47" t="str">
        <f>+'[1]6.7'!A5</f>
        <v>Tier 2 (Territories 1 and 11)</v>
      </c>
      <c r="E33" s="47"/>
      <c r="F33" s="47" t="s">
        <v>84</v>
      </c>
      <c r="G33" s="47"/>
      <c r="H33" s="436" t="s">
        <v>108</v>
      </c>
      <c r="I33"/>
    </row>
    <row r="34" spans="1:9" x14ac:dyDescent="0.2">
      <c r="A34" s="442">
        <v>7.1</v>
      </c>
      <c r="B34" s="47" t="s">
        <v>137</v>
      </c>
      <c r="C34" s="47"/>
      <c r="D34" s="47"/>
      <c r="E34" s="47"/>
      <c r="F34" s="47" t="s">
        <v>364</v>
      </c>
      <c r="G34" s="47"/>
      <c r="H34" s="436" t="s">
        <v>21</v>
      </c>
      <c r="I34"/>
    </row>
    <row r="35" spans="1:9" x14ac:dyDescent="0.2">
      <c r="A35" s="442">
        <v>7.2</v>
      </c>
      <c r="B35" s="47" t="s">
        <v>138</v>
      </c>
      <c r="C35" s="47"/>
      <c r="D35" s="47"/>
      <c r="E35" s="47"/>
      <c r="F35" s="47" t="s">
        <v>364</v>
      </c>
      <c r="G35" s="47"/>
      <c r="H35" s="436" t="s">
        <v>65</v>
      </c>
      <c r="I35"/>
    </row>
    <row r="36" spans="1:9" x14ac:dyDescent="0.2">
      <c r="A36" s="442">
        <v>8.1</v>
      </c>
      <c r="B36" s="47" t="s">
        <v>140</v>
      </c>
      <c r="C36" s="47"/>
      <c r="D36" s="47"/>
      <c r="E36" s="47"/>
      <c r="F36" s="47" t="s">
        <v>136</v>
      </c>
      <c r="G36" s="47"/>
      <c r="H36" s="436" t="s">
        <v>21</v>
      </c>
      <c r="I36"/>
    </row>
    <row r="37" spans="1:9" x14ac:dyDescent="0.2">
      <c r="A37" s="442">
        <v>8.1999999999999993</v>
      </c>
      <c r="B37" s="47" t="s">
        <v>141</v>
      </c>
      <c r="C37" s="47"/>
      <c r="D37" s="47"/>
      <c r="E37" s="47"/>
      <c r="F37" s="47" t="s">
        <v>136</v>
      </c>
      <c r="G37" s="47"/>
      <c r="H37" s="436" t="s">
        <v>65</v>
      </c>
      <c r="I37"/>
    </row>
    <row r="38" spans="1:9" x14ac:dyDescent="0.2">
      <c r="A38" s="442">
        <v>9</v>
      </c>
      <c r="B38" s="47" t="s">
        <v>579</v>
      </c>
      <c r="C38" s="47"/>
      <c r="D38" s="47"/>
      <c r="E38" s="47"/>
      <c r="F38" s="47" t="s">
        <v>139</v>
      </c>
      <c r="G38" s="47"/>
      <c r="H38" s="443"/>
      <c r="I38" s="431"/>
    </row>
    <row r="39" spans="1:9" x14ac:dyDescent="0.2">
      <c r="A39" s="442">
        <v>10.1</v>
      </c>
      <c r="B39" s="47" t="s">
        <v>573</v>
      </c>
      <c r="C39" s="47"/>
      <c r="D39" s="47" t="str">
        <f>+'[2]10.1a'!A5</f>
        <v>Tier 1 -- Territory 8 (Galveston County)</v>
      </c>
      <c r="E39" s="47"/>
      <c r="F39" s="47" t="s">
        <v>142</v>
      </c>
      <c r="G39" s="47"/>
      <c r="H39" s="436" t="s">
        <v>21</v>
      </c>
      <c r="I39"/>
    </row>
    <row r="40" spans="1:9" x14ac:dyDescent="0.2">
      <c r="A40" s="442">
        <v>10.199999999999999</v>
      </c>
      <c r="B40" s="47" t="s">
        <v>214</v>
      </c>
      <c r="C40" s="47"/>
      <c r="D40" s="47"/>
      <c r="E40" s="47"/>
      <c r="F40" s="47" t="s">
        <v>142</v>
      </c>
      <c r="G40" s="47"/>
      <c r="H40" s="436" t="s">
        <v>65</v>
      </c>
      <c r="I40"/>
    </row>
    <row r="41" spans="1:9" x14ac:dyDescent="0.2">
      <c r="A41" s="442">
        <v>11.1</v>
      </c>
      <c r="B41" s="47" t="s">
        <v>460</v>
      </c>
      <c r="C41" s="47"/>
      <c r="D41" s="47"/>
      <c r="E41" s="47"/>
      <c r="F41" s="47" t="s">
        <v>160</v>
      </c>
      <c r="G41" s="47"/>
      <c r="H41" s="436" t="s">
        <v>21</v>
      </c>
      <c r="I41"/>
    </row>
    <row r="42" spans="1:9" x14ac:dyDescent="0.2">
      <c r="A42" s="442">
        <v>11.2</v>
      </c>
      <c r="B42" s="47" t="s">
        <v>380</v>
      </c>
      <c r="C42" s="47"/>
      <c r="D42" s="47" t="str">
        <f>+'[1]11.2'!A5</f>
        <v>Using Average of AIR and  RMS Hurricane Models</v>
      </c>
      <c r="E42" s="47"/>
      <c r="F42" s="47" t="s">
        <v>160</v>
      </c>
      <c r="G42" s="47"/>
      <c r="H42" s="436" t="s">
        <v>65</v>
      </c>
      <c r="I42"/>
    </row>
    <row r="43" spans="1:9" ht="12" thickBot="1" x14ac:dyDescent="0.25">
      <c r="A43" s="446">
        <v>12</v>
      </c>
      <c r="B43" s="447" t="s">
        <v>180</v>
      </c>
      <c r="C43" s="447"/>
      <c r="D43" s="447"/>
      <c r="E43" s="447"/>
      <c r="F43" s="447" t="s">
        <v>161</v>
      </c>
      <c r="G43" s="447"/>
      <c r="H43" s="448"/>
      <c r="I43" s="431"/>
    </row>
  </sheetData>
  <mergeCells count="1">
    <mergeCell ref="A6:H6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>
    <tabColor rgb="FF92D050"/>
  </sheetPr>
  <dimension ref="A1:N54"/>
  <sheetViews>
    <sheetView showGridLines="0" zoomScaleNormal="100" workbookViewId="0">
      <selection activeCell="J21" sqref="J21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3" width="15.33203125" customWidth="1"/>
    <col min="4" max="4" width="19.1640625" style="11" customWidth="1"/>
    <col min="5" max="5" width="16.83203125" customWidth="1"/>
    <col min="6" max="6" width="15.83203125" customWidth="1"/>
    <col min="7" max="8" width="11.33203125" customWidth="1"/>
    <col min="9" max="9" width="11.33203125" hidden="1" customWidth="1"/>
    <col min="10" max="10" width="12.33203125" customWidth="1"/>
  </cols>
  <sheetData>
    <row r="1" spans="1:14" x14ac:dyDescent="0.2">
      <c r="A1" s="8" t="str">
        <f>'1'!$A$1</f>
        <v>Texas Windstorm Insurance Association</v>
      </c>
      <c r="B1" s="12"/>
      <c r="J1" s="7" t="s">
        <v>84</v>
      </c>
      <c r="K1" s="1"/>
    </row>
    <row r="2" spans="1:14" x14ac:dyDescent="0.2">
      <c r="A2" s="8" t="str">
        <f>'1'!$A$2</f>
        <v>Commercial Property - Wind &amp; Hail</v>
      </c>
      <c r="B2" s="12"/>
      <c r="J2" s="7" t="s">
        <v>21</v>
      </c>
      <c r="K2" s="2"/>
    </row>
    <row r="3" spans="1:14" x14ac:dyDescent="0.2">
      <c r="A3" s="8" t="str">
        <f>'1'!$A$3</f>
        <v>Rate Level Review</v>
      </c>
      <c r="B3" s="12"/>
      <c r="K3" s="2"/>
    </row>
    <row r="4" spans="1:14" x14ac:dyDescent="0.2">
      <c r="A4" t="s">
        <v>227</v>
      </c>
      <c r="B4" s="12"/>
      <c r="E4" s="47"/>
      <c r="F4" s="47"/>
      <c r="K4" s="2"/>
      <c r="L4" s="11" t="s">
        <v>86</v>
      </c>
      <c r="M4" s="11" t="s">
        <v>87</v>
      </c>
      <c r="N4" s="11" t="s">
        <v>89</v>
      </c>
    </row>
    <row r="5" spans="1:14" x14ac:dyDescent="0.2">
      <c r="A5" s="57" t="str">
        <f>YEAR($L$5)&amp;" - "&amp;YEAR($M$5)&amp;" -- Hurricane Years Only"</f>
        <v>1970 - 2019 -- Hurricane Years Only</v>
      </c>
      <c r="B5" s="21"/>
      <c r="C5" s="57"/>
      <c r="D5" s="141"/>
      <c r="E5" s="42"/>
      <c r="F5" s="47"/>
      <c r="K5" s="2"/>
      <c r="L5" s="102">
        <v>25569</v>
      </c>
      <c r="M5" s="102">
        <v>43830</v>
      </c>
      <c r="N5" s="85">
        <f>ROUND(YEAR(M5)-YEAR(L5)+(MONTH(M5)-MONTH(L5)+1)/12,1)</f>
        <v>50</v>
      </c>
    </row>
    <row r="6" spans="1:14" x14ac:dyDescent="0.2">
      <c r="E6" s="47"/>
      <c r="F6" s="47"/>
      <c r="K6" s="2"/>
    </row>
    <row r="7" spans="1:14" ht="12" thickBot="1" x14ac:dyDescent="0.25">
      <c r="A7" s="6"/>
      <c r="B7" s="6"/>
      <c r="C7" s="6"/>
      <c r="D7" s="335"/>
      <c r="E7" s="6"/>
      <c r="F7" s="6"/>
      <c r="G7" s="47"/>
      <c r="H7" s="47"/>
      <c r="I7" s="47"/>
      <c r="K7" s="2"/>
    </row>
    <row r="8" spans="1:14" ht="12" thickTop="1" x14ac:dyDescent="0.2">
      <c r="E8" s="42"/>
      <c r="F8" s="42"/>
      <c r="K8" s="2"/>
    </row>
    <row r="9" spans="1:14" x14ac:dyDescent="0.2">
      <c r="C9" s="21" t="s">
        <v>37</v>
      </c>
      <c r="E9" s="7" t="s">
        <v>532</v>
      </c>
      <c r="F9" s="42"/>
      <c r="K9" s="2"/>
      <c r="L9" s="26"/>
    </row>
    <row r="10" spans="1:14" x14ac:dyDescent="0.2">
      <c r="A10" t="s">
        <v>41</v>
      </c>
      <c r="C10" t="s">
        <v>35</v>
      </c>
      <c r="D10" s="402" t="s">
        <v>529</v>
      </c>
      <c r="E10" s="7" t="s">
        <v>67</v>
      </c>
      <c r="F10" s="403" t="s">
        <v>533</v>
      </c>
      <c r="K10" s="2"/>
    </row>
    <row r="11" spans="1:14" x14ac:dyDescent="0.2">
      <c r="A11" s="9" t="s">
        <v>42</v>
      </c>
      <c r="B11" s="9"/>
      <c r="C11" s="9" t="s">
        <v>36</v>
      </c>
      <c r="D11" s="401" t="s">
        <v>530</v>
      </c>
      <c r="E11" s="401" t="s">
        <v>58</v>
      </c>
      <c r="F11" s="401" t="s">
        <v>58</v>
      </c>
      <c r="K11" s="2"/>
    </row>
    <row r="12" spans="1:14" x14ac:dyDescent="0.2">
      <c r="C12" s="13" t="str">
        <f>TEXT(COLUMN()-2,"(#)")</f>
        <v>(1)</v>
      </c>
      <c r="D12" s="11" t="str">
        <f>TEXT(COLUMN()-2,"(#)")</f>
        <v>(2)</v>
      </c>
      <c r="E12" s="7" t="str">
        <f>TEXT(COLUMN()-2,"(#)")</f>
        <v>(3)</v>
      </c>
      <c r="F12" s="7" t="str">
        <f>TEXT(COLUMN()-2,"(#)")</f>
        <v>(4)</v>
      </c>
      <c r="K12" s="2"/>
    </row>
    <row r="13" spans="1:14" x14ac:dyDescent="0.2">
      <c r="C13" s="13"/>
      <c r="E13" s="7"/>
      <c r="F13" s="7"/>
      <c r="K13" s="2"/>
    </row>
    <row r="14" spans="1:14" x14ac:dyDescent="0.2">
      <c r="A14" s="210">
        <v>1970</v>
      </c>
      <c r="C14" s="29">
        <f>VLOOKUP($A14,'6.2 - industry'!$A$12:$G$64,5,0)</f>
        <v>50792436</v>
      </c>
      <c r="D14" s="11">
        <v>1</v>
      </c>
      <c r="E14" s="58">
        <f>VLOOKUP($A14,'6.2 - industry'!$A$12:$G$64,7,0)</f>
        <v>0.45500000000000002</v>
      </c>
      <c r="F14" s="59">
        <f>MAX((E14-$E$29),0)/D14</f>
        <v>0.35200000000000004</v>
      </c>
      <c r="K14" s="2"/>
    </row>
    <row r="15" spans="1:14" x14ac:dyDescent="0.2">
      <c r="A15" s="210">
        <v>1971</v>
      </c>
      <c r="C15" s="29">
        <f>VLOOKUP($A15,'6.2 - industry'!$A$12:$G$64,5,0)</f>
        <v>54869287</v>
      </c>
      <c r="D15" s="11">
        <v>1</v>
      </c>
      <c r="E15" s="58">
        <f>VLOOKUP($A15,'6.2 - industry'!$A$12:$G$64,7,0)</f>
        <v>1.0189999999999999</v>
      </c>
      <c r="F15" s="59">
        <f t="shared" ref="F15:F25" si="0">MAX((E15-$E$29),0)/D15</f>
        <v>0.91599999999999993</v>
      </c>
      <c r="K15" s="2"/>
    </row>
    <row r="16" spans="1:14" ht="9.9499999999999993" customHeight="1" x14ac:dyDescent="0.2">
      <c r="A16" s="210">
        <v>1980</v>
      </c>
      <c r="B16" s="54"/>
      <c r="C16" s="29">
        <f>VLOOKUP($A16,'6.2 - industry'!$A$12:$G$64,5,0)</f>
        <v>60963960</v>
      </c>
      <c r="D16" s="398">
        <v>1</v>
      </c>
      <c r="E16" s="58">
        <f>VLOOKUP($A16,'6.2 - industry'!$A$12:$G$64,7,0)</f>
        <v>0.63</v>
      </c>
      <c r="F16" s="59">
        <f t="shared" si="0"/>
        <v>0.52700000000000002</v>
      </c>
      <c r="K16" s="2"/>
    </row>
    <row r="17" spans="1:14" x14ac:dyDescent="0.2">
      <c r="A17" s="91">
        <v>1983</v>
      </c>
      <c r="B17" s="54"/>
      <c r="C17" s="29">
        <f>VLOOKUP($A17,'6.2 - industry'!$A$12:$G$64,5,0)</f>
        <v>35764935.15661446</v>
      </c>
      <c r="D17" s="398">
        <v>1</v>
      </c>
      <c r="E17" s="58">
        <f>VLOOKUP($A17,'6.2 - industry'!$A$12:$G$64,7,0)</f>
        <v>4.1959999999999997</v>
      </c>
      <c r="F17" s="59">
        <f t="shared" si="0"/>
        <v>4.093</v>
      </c>
      <c r="K17" s="2"/>
    </row>
    <row r="18" spans="1:14" x14ac:dyDescent="0.2">
      <c r="A18" s="91">
        <v>1986</v>
      </c>
      <c r="B18" s="54"/>
      <c r="C18" s="29">
        <f>VLOOKUP($A18,'6.2 - industry'!$A$12:$G$64,5,0)</f>
        <v>46088240.799836323</v>
      </c>
      <c r="D18" s="398">
        <v>1</v>
      </c>
      <c r="E18" s="58">
        <f>VLOOKUP($A18,'6.2 - industry'!$A$12:$G$64,7,0)</f>
        <v>8.6999999999999994E-2</v>
      </c>
      <c r="F18" s="59">
        <f t="shared" si="0"/>
        <v>0</v>
      </c>
      <c r="K18" s="2"/>
    </row>
    <row r="19" spans="1:14" x14ac:dyDescent="0.2">
      <c r="A19" s="91">
        <v>1989</v>
      </c>
      <c r="C19" s="29">
        <f>VLOOKUP($A19,'6.2 - industry'!$A$12:$G$64,5,0)</f>
        <v>73039733.594208673</v>
      </c>
      <c r="D19" s="399">
        <v>2</v>
      </c>
      <c r="E19" s="58">
        <f>VLOOKUP($A19,'6.2 - industry'!$A$12:$G$64,7,0)</f>
        <v>7.3999999999999996E-2</v>
      </c>
      <c r="F19" s="59">
        <f t="shared" si="0"/>
        <v>0</v>
      </c>
      <c r="K19" s="2"/>
    </row>
    <row r="20" spans="1:14" x14ac:dyDescent="0.2">
      <c r="A20" s="292">
        <v>1999</v>
      </c>
      <c r="B20" s="54"/>
      <c r="C20" s="29">
        <f>VLOOKUP($A20,'6.2 - industry'!$A$12:$G$64,5,0)</f>
        <v>167481108.91175157</v>
      </c>
      <c r="D20" s="398">
        <v>1</v>
      </c>
      <c r="E20" s="58">
        <f>VLOOKUP($A20,'6.2 - industry'!$A$12:$G$64,7,0)</f>
        <v>8.3000000000000004E-2</v>
      </c>
      <c r="F20" s="59">
        <f t="shared" si="0"/>
        <v>0</v>
      </c>
      <c r="K20" s="2"/>
      <c r="L20" s="57"/>
      <c r="M20" s="57"/>
      <c r="N20" s="57"/>
    </row>
    <row r="21" spans="1:14" x14ac:dyDescent="0.2">
      <c r="A21" s="292">
        <v>2003</v>
      </c>
      <c r="B21" s="54"/>
      <c r="C21" s="29">
        <f>VLOOKUP($A21,'6.2 - industry'!$A$12:$G$64,5,0)</f>
        <v>191179434.88597447</v>
      </c>
      <c r="D21" s="398">
        <v>1</v>
      </c>
      <c r="E21" s="58">
        <f>VLOOKUP($A21,'6.2 - industry'!$A$12:$G$64,7,0)</f>
        <v>0.22800000000000001</v>
      </c>
      <c r="F21" s="59">
        <f t="shared" si="0"/>
        <v>0.125</v>
      </c>
      <c r="K21" s="2"/>
    </row>
    <row r="22" spans="1:14" x14ac:dyDescent="0.2">
      <c r="A22" s="292">
        <v>2005</v>
      </c>
      <c r="B22" s="54"/>
      <c r="C22" s="29">
        <f>VLOOKUP($A22,'6.2 - industry'!$A$12:$G$64,5,0)</f>
        <v>253206422.73627645</v>
      </c>
      <c r="D22" s="398">
        <v>1</v>
      </c>
      <c r="E22" s="58">
        <f>VLOOKUP($A22,'6.2 - industry'!$A$12:$G$64,7,0)</f>
        <v>1.724</v>
      </c>
      <c r="F22" s="59">
        <f t="shared" si="0"/>
        <v>1.621</v>
      </c>
      <c r="K22" s="2"/>
    </row>
    <row r="23" spans="1:14" x14ac:dyDescent="0.2">
      <c r="A23" s="292">
        <v>2007</v>
      </c>
      <c r="C23" s="29">
        <f>VLOOKUP($A23,'6.2 - industry'!$A$12:$G$64,5,0)</f>
        <v>329330445.81613469</v>
      </c>
      <c r="D23" s="398">
        <v>1</v>
      </c>
      <c r="E23" s="58">
        <f>VLOOKUP($A23,'6.2 - industry'!$A$12:$G$64,7,0)</f>
        <v>0.15</v>
      </c>
      <c r="F23" s="59">
        <f t="shared" si="0"/>
        <v>4.7E-2</v>
      </c>
      <c r="K23" s="2"/>
    </row>
    <row r="24" spans="1:14" x14ac:dyDescent="0.2">
      <c r="A24" s="292">
        <v>2008</v>
      </c>
      <c r="C24" s="29">
        <f>VLOOKUP($A24,'6.2 - industry'!$A$12:$G$64,5,0)</f>
        <v>298516833.06224489</v>
      </c>
      <c r="D24" s="398">
        <v>2</v>
      </c>
      <c r="E24" s="60">
        <f>VLOOKUP($A24,'6.2 - industry'!$A$12:$G$64,7,0)</f>
        <v>4.7320000000000002</v>
      </c>
      <c r="F24" s="59">
        <f t="shared" si="0"/>
        <v>2.3145000000000002</v>
      </c>
      <c r="K24" s="2"/>
    </row>
    <row r="25" spans="1:14" x14ac:dyDescent="0.2">
      <c r="A25" s="292">
        <v>2017</v>
      </c>
      <c r="B25" s="101"/>
      <c r="C25" s="177">
        <f>VLOOKUP($A25,'6.2 - industry'!$A$12:$G$64,5,0)</f>
        <v>194491877.50000042</v>
      </c>
      <c r="D25" s="400">
        <v>1</v>
      </c>
      <c r="E25" s="60">
        <f>VLOOKUP($A25,'6.2 - industry'!$A$12:$G$64,7,0)</f>
        <v>5.0469999999999997</v>
      </c>
      <c r="F25" s="59">
        <f t="shared" si="0"/>
        <v>4.944</v>
      </c>
      <c r="K25" s="2"/>
    </row>
    <row r="26" spans="1:14" x14ac:dyDescent="0.2">
      <c r="A26" s="330"/>
      <c r="B26" s="9"/>
      <c r="C26" s="30"/>
      <c r="D26" s="396"/>
      <c r="E26" s="65"/>
      <c r="F26" s="65"/>
      <c r="K26" s="2"/>
    </row>
    <row r="27" spans="1:14" x14ac:dyDescent="0.2">
      <c r="A27" t="s">
        <v>534</v>
      </c>
      <c r="E27" s="19">
        <f>AVERAGE(E14:E25)</f>
        <v>1.5354166666666667</v>
      </c>
      <c r="F27" s="19">
        <f>AVERAGE(F14:F25)</f>
        <v>1.2449583333333332</v>
      </c>
      <c r="K27" s="2"/>
    </row>
    <row r="28" spans="1:14" x14ac:dyDescent="0.2">
      <c r="C28" s="36"/>
      <c r="D28" s="364"/>
      <c r="E28" s="44"/>
      <c r="F28" s="44"/>
      <c r="K28" s="2"/>
    </row>
    <row r="29" spans="1:14" x14ac:dyDescent="0.2">
      <c r="A29" s="62" t="s">
        <v>90</v>
      </c>
      <c r="B29" t="s">
        <v>95</v>
      </c>
      <c r="C29" s="36"/>
      <c r="D29" s="364"/>
      <c r="E29" s="58">
        <f>'6.2 - industry'!$G$68</f>
        <v>0.10299999999999999</v>
      </c>
      <c r="F29" s="42"/>
      <c r="K29" s="2"/>
    </row>
    <row r="30" spans="1:14" x14ac:dyDescent="0.2">
      <c r="E30" s="42"/>
      <c r="F30" s="42"/>
      <c r="K30" s="2"/>
    </row>
    <row r="31" spans="1:14" x14ac:dyDescent="0.2">
      <c r="A31" s="62" t="s">
        <v>513</v>
      </c>
      <c r="B31" t="s">
        <v>531</v>
      </c>
      <c r="E31" s="61">
        <f>AVERAGE(F14:F25)</f>
        <v>1.2449583333333332</v>
      </c>
      <c r="F31" s="42"/>
      <c r="K31" s="2"/>
    </row>
    <row r="32" spans="1:14" x14ac:dyDescent="0.2">
      <c r="A32" s="375" t="s">
        <v>514</v>
      </c>
      <c r="B32" t="s">
        <v>515</v>
      </c>
      <c r="E32" s="61">
        <f>E31</f>
        <v>1.2449583333333332</v>
      </c>
      <c r="F32" s="42"/>
      <c r="K32" s="2"/>
    </row>
    <row r="33" spans="1:12" x14ac:dyDescent="0.2">
      <c r="K33" s="2"/>
      <c r="L33" s="105"/>
    </row>
    <row r="34" spans="1:12" x14ac:dyDescent="0.2">
      <c r="A34" s="62" t="s">
        <v>93</v>
      </c>
      <c r="B34" t="s">
        <v>316</v>
      </c>
      <c r="E34" s="42"/>
      <c r="K34" s="2"/>
    </row>
    <row r="35" spans="1:12" x14ac:dyDescent="0.2">
      <c r="B35" t="str">
        <f>"(a) "&amp;'9'!A50&amp;" ("&amp;'9'!C50&amp;")"</f>
        <v>(a) 50.0-Year (1/1/1970 - 12/31/2019)</v>
      </c>
      <c r="E35" s="78">
        <f>'9'!G50</f>
        <v>0.28000000000000003</v>
      </c>
      <c r="F35" s="42" t="str">
        <f>"(1 Hurricane Every "&amp;TEXT(1/E35,"0.0")&amp;" years)"</f>
        <v>(1 Hurricane Every 3.6 years)</v>
      </c>
      <c r="K35" s="2"/>
    </row>
    <row r="36" spans="1:12" x14ac:dyDescent="0.2">
      <c r="B36" t="str">
        <f>"(b) "&amp;'9'!A51&amp;" ("&amp;'9'!C51&amp;")"</f>
        <v>(b) 169-Year (1/1/1851 - 12/31/2019)</v>
      </c>
      <c r="E36" s="78">
        <f>'9'!G51</f>
        <v>0.379</v>
      </c>
      <c r="F36" s="42" t="str">
        <f>"(1 Hurricane Every "&amp;TEXT(1/E36,"0.0")&amp;" years)"</f>
        <v>(1 Hurricane Every 2.6 years)</v>
      </c>
      <c r="K36" s="2"/>
    </row>
    <row r="37" spans="1:12" x14ac:dyDescent="0.2">
      <c r="E37" s="42"/>
      <c r="F37" s="42"/>
      <c r="K37" s="2"/>
    </row>
    <row r="38" spans="1:12" x14ac:dyDescent="0.2">
      <c r="A38" s="62"/>
      <c r="B38" t="s">
        <v>315</v>
      </c>
      <c r="E38" s="172">
        <f>ROUND(E36,3)</f>
        <v>0.379</v>
      </c>
      <c r="F38" s="42" t="str">
        <f>"(1 Hurricane Every "&amp;TEXT(1/E38,"0.0")&amp;" years)"</f>
        <v>(1 Hurricane Every 2.6 years)</v>
      </c>
      <c r="K38" s="2"/>
    </row>
    <row r="39" spans="1:12" x14ac:dyDescent="0.2">
      <c r="E39" s="42"/>
      <c r="F39" s="42"/>
      <c r="K39" s="2"/>
    </row>
    <row r="40" spans="1:12" x14ac:dyDescent="0.2">
      <c r="A40" s="62" t="s">
        <v>92</v>
      </c>
      <c r="B40" t="s">
        <v>117</v>
      </c>
      <c r="E40" s="61">
        <f>ROUND(E38*E31,3)</f>
        <v>0.47199999999999998</v>
      </c>
      <c r="F40" s="42"/>
      <c r="K40" s="2"/>
    </row>
    <row r="41" spans="1:12" ht="12" thickBot="1" x14ac:dyDescent="0.25">
      <c r="A41" s="6"/>
      <c r="B41" s="6"/>
      <c r="C41" s="6"/>
      <c r="D41" s="335"/>
      <c r="E41" s="6"/>
      <c r="F41" s="47"/>
      <c r="K41" s="2"/>
    </row>
    <row r="42" spans="1:12" ht="12" thickTop="1" x14ac:dyDescent="0.2">
      <c r="E42" s="47"/>
      <c r="F42" s="47"/>
      <c r="K42" s="2"/>
    </row>
    <row r="43" spans="1:12" x14ac:dyDescent="0.2">
      <c r="A43" t="s">
        <v>18</v>
      </c>
      <c r="E43" s="56"/>
      <c r="F43" s="47"/>
      <c r="K43" s="2"/>
    </row>
    <row r="44" spans="1:12" x14ac:dyDescent="0.2">
      <c r="B44" s="21" t="str">
        <f>C12&amp;" "&amp;'6.2 - industry'!$J$1&amp;", "&amp;'6.2 - industry'!$J$2&amp;".  1999 year ending "&amp;TEXT('6.2 - industry'!$L$40,"m/d/""99""")&amp;"; all other accident years ending "&amp;TEXT('6.2 - industry'!$L$39,"m/d/xx")</f>
        <v>(1) Exhibit 6, Sheet 2.  1999 year ending 12/31/99; all other accident years ending 9/30/xx</v>
      </c>
      <c r="C44" s="57"/>
      <c r="E44" s="47"/>
      <c r="F44" s="47"/>
      <c r="K44" s="2"/>
    </row>
    <row r="45" spans="1:12" x14ac:dyDescent="0.2">
      <c r="B45" s="21" t="str">
        <f>E12&amp;" "&amp;'6.2 - industry'!$J$1&amp;", "&amp;'6.2 - industry'!$J$2&amp;".  1999 year ending "&amp;TEXT('6.2 - industry'!$L$40,"m/d/""99""")&amp;"; all other accident years ending "&amp;TEXT('6.2 - industry'!$L$39,"m/d/xx")</f>
        <v>(3) Exhibit 6, Sheet 2.  1999 year ending 12/31/99; all other accident years ending 9/30/xx</v>
      </c>
      <c r="C45" s="57"/>
      <c r="E45" s="47"/>
      <c r="F45" s="47"/>
      <c r="K45" s="2"/>
    </row>
    <row r="46" spans="1:12" x14ac:dyDescent="0.2">
      <c r="B46" t="s">
        <v>558</v>
      </c>
      <c r="C46" s="57"/>
      <c r="E46" s="47"/>
      <c r="F46" s="47"/>
      <c r="K46" s="2"/>
    </row>
    <row r="47" spans="1:12" x14ac:dyDescent="0.2">
      <c r="B47" s="21" t="str">
        <f>A29&amp;" "&amp;'6.2 - industry'!$J$1&amp;", "&amp;'6.2 - industry'!$J$2</f>
        <v>(5) Exhibit 6, Sheet 2</v>
      </c>
      <c r="C47" s="57"/>
      <c r="E47" s="47"/>
      <c r="F47" s="47"/>
      <c r="K47" s="2"/>
    </row>
    <row r="48" spans="1:12" x14ac:dyDescent="0.2">
      <c r="B48" s="21" t="str">
        <f>A31&amp;" = "&amp;" Average of "&amp;F12</f>
        <v>(6) a =  Average of (4)</v>
      </c>
      <c r="C48" s="57"/>
      <c r="E48" s="47"/>
      <c r="F48" s="47"/>
      <c r="K48" s="2"/>
    </row>
    <row r="49" spans="1:11" x14ac:dyDescent="0.2">
      <c r="B49" s="21" t="str">
        <f>A32&amp;" = "&amp;"Selected"</f>
        <v>(6) b = Selected</v>
      </c>
      <c r="C49" s="57"/>
      <c r="E49" s="47"/>
      <c r="F49" s="47"/>
      <c r="K49" s="2"/>
    </row>
    <row r="50" spans="1:11" x14ac:dyDescent="0.2">
      <c r="B50" s="21" t="str">
        <f>A34&amp;" "&amp;'9'!$J$1</f>
        <v>(7) Exhibit 9</v>
      </c>
      <c r="C50" s="57"/>
      <c r="E50" s="47"/>
      <c r="F50" s="47"/>
      <c r="K50" s="2"/>
    </row>
    <row r="51" spans="1:11" x14ac:dyDescent="0.2">
      <c r="B51" s="21" t="str">
        <f>A40&amp;" = "&amp;A32&amp;" * "&amp;A34&amp;" Selected"</f>
        <v>(8) = (6) b * (7) Selected</v>
      </c>
      <c r="C51" s="57"/>
      <c r="E51" s="47"/>
      <c r="F51" s="47"/>
      <c r="K51" s="2"/>
    </row>
    <row r="52" spans="1:11" x14ac:dyDescent="0.2">
      <c r="E52" s="47"/>
      <c r="K52" s="2"/>
    </row>
    <row r="53" spans="1:11" ht="12" thickBot="1" x14ac:dyDescent="0.25">
      <c r="K53" s="2"/>
    </row>
    <row r="54" spans="1:11" ht="12" thickBot="1" x14ac:dyDescent="0.25">
      <c r="A54" s="4"/>
      <c r="B54" s="5"/>
      <c r="C54" s="5"/>
      <c r="D54" s="340"/>
      <c r="E54" s="5"/>
      <c r="F54" s="5"/>
      <c r="G54" s="5"/>
      <c r="H54" s="5"/>
      <c r="I54" s="5"/>
      <c r="J54" s="5"/>
      <c r="K54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tabColor rgb="FF92D050"/>
  </sheetPr>
  <dimension ref="A1:N77"/>
  <sheetViews>
    <sheetView showGridLines="0" zoomScaleNormal="100" workbookViewId="0">
      <selection activeCell="F67" sqref="F67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84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65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227</v>
      </c>
      <c r="B4" s="12"/>
      <c r="K4" s="2"/>
    </row>
    <row r="5" spans="1:12" x14ac:dyDescent="0.2">
      <c r="A5" s="57" t="str">
        <f>YEAR('6.1'!$L$5)&amp;" - "&amp;YEAR('6.1'!$M$5)</f>
        <v>1970 - 2019</v>
      </c>
      <c r="B5" s="21"/>
      <c r="C5" s="57"/>
      <c r="D5" s="57"/>
      <c r="E5" s="57"/>
      <c r="K5" s="2"/>
    </row>
    <row r="6" spans="1:12" ht="7.5" customHeight="1" thickBot="1" x14ac:dyDescent="0.25">
      <c r="A6" s="6"/>
      <c r="B6" s="6"/>
      <c r="C6" s="6"/>
      <c r="D6" s="6"/>
      <c r="E6" s="6"/>
      <c r="F6" s="6"/>
      <c r="G6" s="6"/>
      <c r="H6" s="6"/>
      <c r="I6" s="47"/>
      <c r="K6" s="2"/>
    </row>
    <row r="7" spans="1:12" ht="12" thickTop="1" x14ac:dyDescent="0.2">
      <c r="C7" s="21"/>
      <c r="D7" t="s">
        <v>96</v>
      </c>
      <c r="E7" t="s">
        <v>96</v>
      </c>
      <c r="K7" s="2"/>
      <c r="L7" s="26"/>
    </row>
    <row r="8" spans="1:12" x14ac:dyDescent="0.2">
      <c r="A8" t="s">
        <v>41</v>
      </c>
      <c r="C8" t="s">
        <v>96</v>
      </c>
      <c r="D8" t="s">
        <v>97</v>
      </c>
      <c r="E8" t="s">
        <v>232</v>
      </c>
      <c r="F8" t="s">
        <v>67</v>
      </c>
      <c r="G8" t="s">
        <v>67</v>
      </c>
      <c r="H8" t="s">
        <v>5</v>
      </c>
      <c r="K8" s="2"/>
      <c r="L8" s="21"/>
    </row>
    <row r="9" spans="1:12" x14ac:dyDescent="0.2">
      <c r="A9" s="9" t="s">
        <v>42</v>
      </c>
      <c r="B9" s="9"/>
      <c r="C9" s="9" t="s">
        <v>97</v>
      </c>
      <c r="D9" s="9" t="s">
        <v>242</v>
      </c>
      <c r="E9" s="9" t="s">
        <v>233</v>
      </c>
      <c r="F9" s="9" t="s">
        <v>88</v>
      </c>
      <c r="G9" s="9" t="s">
        <v>58</v>
      </c>
      <c r="H9" s="9" t="s">
        <v>59</v>
      </c>
      <c r="I9" s="47"/>
      <c r="K9" s="2"/>
      <c r="L9" s="49"/>
    </row>
    <row r="10" spans="1:12" x14ac:dyDescent="0.2">
      <c r="A10" s="13" t="str">
        <f>TEXT(COLUMN(),"(#)")</f>
        <v>(1)</v>
      </c>
      <c r="B10" s="13"/>
      <c r="C10" s="11" t="str">
        <f t="shared" ref="C10:H10" si="0">TEXT(COLUMN()-1,"(#)")</f>
        <v>(2)</v>
      </c>
      <c r="D10" s="11" t="str">
        <f t="shared" si="0"/>
        <v>(3)</v>
      </c>
      <c r="E10" s="11" t="str">
        <f t="shared" si="0"/>
        <v>(4)</v>
      </c>
      <c r="F10" s="11" t="str">
        <f t="shared" si="0"/>
        <v>(5)</v>
      </c>
      <c r="G10" s="11" t="str">
        <f t="shared" si="0"/>
        <v>(6)</v>
      </c>
      <c r="H10" s="11" t="str">
        <f t="shared" si="0"/>
        <v>(7)</v>
      </c>
      <c r="I10" s="11"/>
      <c r="K10" s="2"/>
    </row>
    <row r="11" spans="1:12" ht="6" customHeight="1" x14ac:dyDescent="0.2">
      <c r="G11" s="47"/>
      <c r="K11" s="2"/>
    </row>
    <row r="12" spans="1:12" x14ac:dyDescent="0.2">
      <c r="A12" s="210">
        <v>1970</v>
      </c>
      <c r="B12" s="24"/>
      <c r="C12" s="36">
        <v>10874210</v>
      </c>
      <c r="D12" s="36">
        <v>18835352</v>
      </c>
      <c r="E12" s="29">
        <f>ROUND(D12*'6.4'!$E$23,0)</f>
        <v>50792436</v>
      </c>
      <c r="F12" s="36">
        <v>23092142</v>
      </c>
      <c r="G12" s="22">
        <f>ROUND(F12/E12,3)</f>
        <v>0.45500000000000002</v>
      </c>
      <c r="H12" s="364" t="s">
        <v>60</v>
      </c>
      <c r="I12" s="90"/>
      <c r="K12" s="2"/>
    </row>
    <row r="13" spans="1:12" x14ac:dyDescent="0.2">
      <c r="A13" s="24">
        <v>1971</v>
      </c>
      <c r="B13" s="24"/>
      <c r="C13" s="36">
        <v>13340143</v>
      </c>
      <c r="D13" s="36">
        <v>20347170</v>
      </c>
      <c r="E13" s="29">
        <f>ROUND(D13*'6.4'!$E$23,0)</f>
        <v>54869287</v>
      </c>
      <c r="F13" s="36">
        <v>55893676</v>
      </c>
      <c r="G13" s="22">
        <f t="shared" ref="G13:G21" si="1">ROUND(F13/E13,3)</f>
        <v>1.0189999999999999</v>
      </c>
      <c r="H13" s="364" t="s">
        <v>60</v>
      </c>
      <c r="I13" s="90"/>
      <c r="K13" s="2"/>
    </row>
    <row r="14" spans="1:12" x14ac:dyDescent="0.2">
      <c r="A14" s="24">
        <v>1972</v>
      </c>
      <c r="B14" s="24"/>
      <c r="C14" s="36">
        <v>18906678</v>
      </c>
      <c r="D14" s="36">
        <v>24314307</v>
      </c>
      <c r="E14" s="29">
        <f>ROUND(D14*'6.4'!$E$23,0)</f>
        <v>65567284</v>
      </c>
      <c r="F14" s="36">
        <v>8704522</v>
      </c>
      <c r="G14" s="22">
        <f t="shared" si="1"/>
        <v>0.13300000000000001</v>
      </c>
      <c r="H14" s="364"/>
      <c r="I14" s="90"/>
      <c r="K14" s="2"/>
    </row>
    <row r="15" spans="1:12" x14ac:dyDescent="0.2">
      <c r="A15" s="24">
        <v>1973</v>
      </c>
      <c r="B15" s="24"/>
      <c r="C15" s="36">
        <v>21737541</v>
      </c>
      <c r="D15" s="36">
        <v>23257532</v>
      </c>
      <c r="E15" s="29">
        <f>ROUND(D15*'6.4'!$E$23,0)</f>
        <v>62717527</v>
      </c>
      <c r="F15" s="36">
        <v>3837493</v>
      </c>
      <c r="G15" s="22">
        <f t="shared" si="1"/>
        <v>6.0999999999999999E-2</v>
      </c>
      <c r="H15" s="364"/>
      <c r="I15" s="90"/>
      <c r="K15" s="2"/>
    </row>
    <row r="16" spans="1:12" x14ac:dyDescent="0.2">
      <c r="A16" s="24">
        <v>1974</v>
      </c>
      <c r="B16" s="24"/>
      <c r="C16" s="36">
        <v>22348193</v>
      </c>
      <c r="D16" s="36">
        <v>22844661</v>
      </c>
      <c r="E16" s="29">
        <f>ROUND(D16*'6.4'!$E$23,0)</f>
        <v>61604157</v>
      </c>
      <c r="F16" s="36">
        <v>2193087</v>
      </c>
      <c r="G16" s="22">
        <f t="shared" si="1"/>
        <v>3.5999999999999997E-2</v>
      </c>
      <c r="H16" s="364"/>
      <c r="I16" s="90"/>
      <c r="K16" s="2"/>
    </row>
    <row r="17" spans="1:11" x14ac:dyDescent="0.2">
      <c r="A17" s="24">
        <v>1975</v>
      </c>
      <c r="B17" s="24"/>
      <c r="C17" s="36">
        <v>24396629</v>
      </c>
      <c r="D17" s="36">
        <v>24958305</v>
      </c>
      <c r="E17" s="29">
        <f>ROUND(D17*'6.4'!$E$23,0)</f>
        <v>67303925</v>
      </c>
      <c r="F17" s="36">
        <v>3943412</v>
      </c>
      <c r="G17" s="22">
        <f t="shared" si="1"/>
        <v>5.8999999999999997E-2</v>
      </c>
      <c r="H17" s="364"/>
      <c r="I17" s="90"/>
      <c r="K17" s="2"/>
    </row>
    <row r="18" spans="1:11" x14ac:dyDescent="0.2">
      <c r="A18" s="24">
        <v>1976</v>
      </c>
      <c r="B18" s="24"/>
      <c r="C18" s="36">
        <v>26795934</v>
      </c>
      <c r="D18" s="36">
        <v>24109943</v>
      </c>
      <c r="E18" s="29">
        <f>ROUND(D18*'6.4'!$E$23,0)</f>
        <v>65016185</v>
      </c>
      <c r="F18" s="36">
        <v>2218115</v>
      </c>
      <c r="G18" s="22">
        <f t="shared" si="1"/>
        <v>3.4000000000000002E-2</v>
      </c>
      <c r="H18" s="364"/>
      <c r="I18" s="90"/>
      <c r="K18" s="2"/>
    </row>
    <row r="19" spans="1:11" x14ac:dyDescent="0.2">
      <c r="A19" s="24">
        <v>1977</v>
      </c>
      <c r="B19" s="24"/>
      <c r="C19" s="36">
        <v>30910821</v>
      </c>
      <c r="D19" s="36">
        <v>27119226</v>
      </c>
      <c r="E19" s="29">
        <f>ROUND(D19*'6.4'!$E$23,0)</f>
        <v>73131182</v>
      </c>
      <c r="F19" s="36">
        <v>1898346</v>
      </c>
      <c r="G19" s="22">
        <f>ROUND(F19/E19,3)</f>
        <v>2.5999999999999999E-2</v>
      </c>
      <c r="H19" s="364"/>
      <c r="I19" s="90"/>
      <c r="K19" s="2"/>
    </row>
    <row r="20" spans="1:11" x14ac:dyDescent="0.2">
      <c r="A20" s="24">
        <v>1978</v>
      </c>
      <c r="B20" s="24"/>
      <c r="C20" s="36">
        <v>32709599</v>
      </c>
      <c r="D20" s="36">
        <v>26415338</v>
      </c>
      <c r="E20" s="29">
        <f>ROUND(D20*'6.4'!$E$23,0)</f>
        <v>71233039</v>
      </c>
      <c r="F20" s="36">
        <v>2535872</v>
      </c>
      <c r="G20" s="22">
        <f t="shared" si="1"/>
        <v>3.5999999999999997E-2</v>
      </c>
      <c r="H20" s="364"/>
      <c r="I20" s="90"/>
      <c r="K20" s="2"/>
    </row>
    <row r="21" spans="1:11" x14ac:dyDescent="0.2">
      <c r="A21" s="48">
        <v>1979</v>
      </c>
      <c r="B21" s="47"/>
      <c r="C21" s="44">
        <v>31306685</v>
      </c>
      <c r="D21" s="44">
        <v>24514306</v>
      </c>
      <c r="E21" s="29">
        <f>ROUND(D21*'6.4'!$E$23,0)</f>
        <v>66106613</v>
      </c>
      <c r="F21" s="44">
        <v>4535147</v>
      </c>
      <c r="G21" s="50">
        <f t="shared" si="1"/>
        <v>6.9000000000000006E-2</v>
      </c>
      <c r="H21" s="365"/>
      <c r="I21" s="90"/>
      <c r="K21" s="2"/>
    </row>
    <row r="22" spans="1:11" x14ac:dyDescent="0.2">
      <c r="A22" s="48">
        <v>1980</v>
      </c>
      <c r="B22" s="47"/>
      <c r="C22" s="44">
        <v>28751765</v>
      </c>
      <c r="D22" s="44">
        <v>22607257</v>
      </c>
      <c r="E22" s="29">
        <f>ROUND(D22*'6.4'!$E$23,0)</f>
        <v>60963960</v>
      </c>
      <c r="F22" s="44">
        <v>38431070.960000001</v>
      </c>
      <c r="G22" s="50">
        <f>ROUND(F22/E22,3)</f>
        <v>0.63</v>
      </c>
      <c r="H22" s="365" t="s">
        <v>60</v>
      </c>
      <c r="I22" s="90"/>
      <c r="K22" s="2"/>
    </row>
    <row r="23" spans="1:11" x14ac:dyDescent="0.2">
      <c r="A23" s="48">
        <v>1981</v>
      </c>
      <c r="B23" s="47"/>
      <c r="C23" s="44">
        <v>24129384</v>
      </c>
      <c r="D23" s="44">
        <v>21398588</v>
      </c>
      <c r="E23" s="29">
        <f>ROUND(D23*'6.4'!$E$23,0)</f>
        <v>57704598</v>
      </c>
      <c r="F23" s="44">
        <v>4272728</v>
      </c>
      <c r="G23" s="50">
        <f>ROUND(F23/E23,3)</f>
        <v>7.3999999999999996E-2</v>
      </c>
      <c r="H23" s="365"/>
      <c r="I23" s="90"/>
      <c r="K23" s="2"/>
    </row>
    <row r="24" spans="1:11" x14ac:dyDescent="0.2">
      <c r="A24" s="25">
        <v>1982</v>
      </c>
      <c r="B24" s="9"/>
      <c r="C24" s="70">
        <v>18505004</v>
      </c>
      <c r="D24" s="70">
        <v>17523231</v>
      </c>
      <c r="E24" s="30">
        <f>ROUND(D24*'6.4'!$E$23,0)</f>
        <v>47254099</v>
      </c>
      <c r="F24" s="30"/>
      <c r="G24" s="323">
        <v>3.4000000000000002E-2</v>
      </c>
      <c r="H24" s="366"/>
      <c r="I24" s="90"/>
      <c r="K24" s="2"/>
    </row>
    <row r="25" spans="1:11" x14ac:dyDescent="0.2">
      <c r="A25" s="24">
        <v>1983</v>
      </c>
      <c r="C25" s="36">
        <v>12680397</v>
      </c>
      <c r="D25" s="36">
        <v>13262706</v>
      </c>
      <c r="E25" s="177">
        <f>'6.4'!F14+'6.5'!F14+'6.6'!F14+'6.7'!F14</f>
        <v>35764935.15661446</v>
      </c>
      <c r="F25" s="29"/>
      <c r="G25" s="50">
        <f>ROUND('6.3'!H14,3)</f>
        <v>4.1959999999999997</v>
      </c>
      <c r="H25" s="364" t="s">
        <v>60</v>
      </c>
      <c r="I25" s="90"/>
      <c r="K25" s="2"/>
    </row>
    <row r="26" spans="1:11" x14ac:dyDescent="0.2">
      <c r="A26" s="24">
        <v>1984</v>
      </c>
      <c r="C26" s="36">
        <v>12736031</v>
      </c>
      <c r="D26" s="36">
        <v>14992627</v>
      </c>
      <c r="E26" s="177">
        <f>'6.4'!F15+'6.5'!F15+'6.6'!F15+'6.7'!F15</f>
        <v>40429933.8963328</v>
      </c>
      <c r="F26" s="29"/>
      <c r="G26" s="50">
        <f>ROUND('6.3'!H15,3)</f>
        <v>8.6999999999999994E-2</v>
      </c>
      <c r="H26" s="364"/>
      <c r="I26" s="90"/>
      <c r="K26" s="2"/>
    </row>
    <row r="27" spans="1:11" x14ac:dyDescent="0.2">
      <c r="A27" s="24">
        <v>1985</v>
      </c>
      <c r="C27" s="36">
        <v>15169575</v>
      </c>
      <c r="D27" s="36">
        <v>16422895</v>
      </c>
      <c r="E27" s="177">
        <f>'6.4'!F16+'6.5'!F16+'6.6'!F16+'6.7'!F16</f>
        <v>44286873.185604811</v>
      </c>
      <c r="F27" s="29"/>
      <c r="G27" s="50">
        <f>ROUND('6.3'!H16,3)</f>
        <v>4.2000000000000003E-2</v>
      </c>
      <c r="H27" s="364"/>
      <c r="I27" s="90"/>
      <c r="K27" s="2"/>
    </row>
    <row r="28" spans="1:11" x14ac:dyDescent="0.2">
      <c r="A28" s="24">
        <v>1986</v>
      </c>
      <c r="C28" s="36">
        <v>21130682</v>
      </c>
      <c r="D28" s="36">
        <v>17090896</v>
      </c>
      <c r="E28" s="177">
        <f>'6.4'!F17+'6.5'!F17+'6.6'!F17+'6.7'!F17</f>
        <v>46088240.799836323</v>
      </c>
      <c r="F28" s="29"/>
      <c r="G28" s="50">
        <f>ROUND('6.3'!H17,3)</f>
        <v>8.6999999999999994E-2</v>
      </c>
      <c r="H28" s="364" t="s">
        <v>60</v>
      </c>
      <c r="I28" s="90"/>
      <c r="K28" s="2"/>
    </row>
    <row r="29" spans="1:11" x14ac:dyDescent="0.2">
      <c r="A29" s="24">
        <v>1987</v>
      </c>
      <c r="C29" s="36">
        <v>31114529</v>
      </c>
      <c r="D29" s="36">
        <v>26771157</v>
      </c>
      <c r="E29" s="177">
        <f>'6.4'!F18+'6.5'!F18+'6.6'!F18+'6.7'!F18</f>
        <v>72192559.489830166</v>
      </c>
      <c r="F29" s="29"/>
      <c r="G29" s="50">
        <f>ROUND('6.3'!H18,3)</f>
        <v>1.4999999999999999E-2</v>
      </c>
      <c r="H29" s="364"/>
      <c r="I29" s="90"/>
      <c r="K29" s="2"/>
    </row>
    <row r="30" spans="1:11" x14ac:dyDescent="0.2">
      <c r="A30" s="24">
        <v>1988</v>
      </c>
      <c r="B30" s="21"/>
      <c r="C30" s="36">
        <v>25065531</v>
      </c>
      <c r="D30" s="36">
        <v>24117319</v>
      </c>
      <c r="E30" s="177">
        <f>'6.4'!F19+'6.5'!F19+'6.6'!F19+'6.7'!F19</f>
        <v>65036076.182532489</v>
      </c>
      <c r="F30" s="29"/>
      <c r="G30" s="50">
        <f>ROUND('6.3'!H19,3)</f>
        <v>9.7000000000000003E-2</v>
      </c>
      <c r="H30" s="364"/>
      <c r="I30" s="90"/>
      <c r="K30" s="2"/>
    </row>
    <row r="31" spans="1:11" x14ac:dyDescent="0.2">
      <c r="A31" s="24">
        <v>1989</v>
      </c>
      <c r="B31" s="21"/>
      <c r="C31" s="36">
        <v>24167085</v>
      </c>
      <c r="D31" s="36">
        <v>27085314</v>
      </c>
      <c r="E31" s="177">
        <f>'6.4'!F20+'6.5'!F20+'6.6'!F20+'6.7'!F20</f>
        <v>73039733.594208673</v>
      </c>
      <c r="F31" s="29"/>
      <c r="G31" s="50">
        <f>ROUND('6.3'!H20,3)</f>
        <v>7.3999999999999996E-2</v>
      </c>
      <c r="H31" s="364" t="s">
        <v>60</v>
      </c>
      <c r="I31" s="90"/>
      <c r="K31" s="2"/>
    </row>
    <row r="32" spans="1:11" x14ac:dyDescent="0.2">
      <c r="A32" s="24">
        <v>1990</v>
      </c>
      <c r="B32" s="21"/>
      <c r="C32" s="36">
        <v>19677404</v>
      </c>
      <c r="D32" s="36">
        <v>23041233</v>
      </c>
      <c r="E32" s="177">
        <f>'6.4'!F21+'6.5'!F21+'6.6'!F21+'6.7'!F21</f>
        <v>62134243.925490201</v>
      </c>
      <c r="F32" s="29"/>
      <c r="G32" s="50">
        <f>ROUND('6.3'!H21,3)</f>
        <v>1.1160000000000001</v>
      </c>
      <c r="H32" s="364"/>
      <c r="I32" s="90"/>
      <c r="K32" s="2"/>
    </row>
    <row r="33" spans="1:14" x14ac:dyDescent="0.2">
      <c r="A33" s="24">
        <v>1991</v>
      </c>
      <c r="C33" s="36">
        <v>21794680</v>
      </c>
      <c r="D33" s="36">
        <v>25534881</v>
      </c>
      <c r="E33" s="177">
        <f>'6.4'!F22+'6.5'!F22+'6.6'!F22+'6.7'!F22</f>
        <v>68858750.97113578</v>
      </c>
      <c r="F33" s="29"/>
      <c r="G33" s="50">
        <f>ROUND('6.3'!H22,3)</f>
        <v>0.59</v>
      </c>
      <c r="H33" s="364"/>
      <c r="I33" s="90"/>
      <c r="K33" s="2"/>
    </row>
    <row r="34" spans="1:14" x14ac:dyDescent="0.2">
      <c r="A34" s="24">
        <v>1992</v>
      </c>
      <c r="C34" s="36">
        <v>23737753</v>
      </c>
      <c r="D34" s="36">
        <v>26950473</v>
      </c>
      <c r="E34" s="177">
        <f>'6.4'!F23+'6.5'!F23+'6.6'!F23+'6.7'!F23</f>
        <v>72676112.895813763</v>
      </c>
      <c r="F34" s="29"/>
      <c r="G34" s="50">
        <f>ROUND('6.3'!H23,3)</f>
        <v>1.4999999999999999E-2</v>
      </c>
      <c r="H34" s="364"/>
      <c r="I34" s="90"/>
      <c r="K34" s="2"/>
    </row>
    <row r="35" spans="1:14" x14ac:dyDescent="0.2">
      <c r="A35" s="24">
        <v>1993</v>
      </c>
      <c r="C35" s="36">
        <v>21990182</v>
      </c>
      <c r="D35" s="36"/>
      <c r="E35" s="177">
        <f>'6.4'!F24+'6.5'!F24+'6.6'!F24+'6.7'!F24</f>
        <v>68130739.625514805</v>
      </c>
      <c r="F35" s="29"/>
      <c r="G35" s="50">
        <f>ROUND('6.3'!H24,3)</f>
        <v>6.4000000000000001E-2</v>
      </c>
      <c r="H35" s="364"/>
      <c r="I35" s="90"/>
      <c r="K35" s="2"/>
    </row>
    <row r="36" spans="1:14" x14ac:dyDescent="0.2">
      <c r="A36" s="24">
        <v>1994</v>
      </c>
      <c r="C36" s="36">
        <v>16604950</v>
      </c>
      <c r="D36" s="36"/>
      <c r="E36" s="177">
        <f>'6.4'!F25+'6.5'!F25+'6.6'!F25+'6.7'!F25</f>
        <v>51446028.268603273</v>
      </c>
      <c r="F36" s="29"/>
      <c r="G36" s="50">
        <f>ROUND('6.3'!H25,3)</f>
        <v>8.5000000000000006E-2</v>
      </c>
      <c r="H36" s="329"/>
      <c r="I36" s="90"/>
      <c r="K36" s="2"/>
    </row>
    <row r="37" spans="1:14" x14ac:dyDescent="0.2">
      <c r="A37" s="24">
        <v>1995</v>
      </c>
      <c r="C37" s="36">
        <v>32374229</v>
      </c>
      <c r="D37" s="36"/>
      <c r="E37" s="177">
        <f>'6.4'!F26+'6.5'!F26+'6.6'!F26+'6.7'!F26</f>
        <v>100302950.59881184</v>
      </c>
      <c r="F37" s="29"/>
      <c r="G37" s="50">
        <f>ROUND('6.3'!H26,3)</f>
        <v>0.19900000000000001</v>
      </c>
      <c r="H37" s="329"/>
      <c r="I37" s="90"/>
      <c r="K37" s="2"/>
    </row>
    <row r="38" spans="1:14" x14ac:dyDescent="0.2">
      <c r="A38" s="24">
        <v>1996</v>
      </c>
      <c r="C38" s="36">
        <v>55367089</v>
      </c>
      <c r="D38" s="36"/>
      <c r="E38" s="177">
        <f>'6.4'!F27+'6.5'!F27+'6.6'!F27+'6.7'!F27</f>
        <v>171540221.90574795</v>
      </c>
      <c r="F38" s="29"/>
      <c r="G38" s="50">
        <f>ROUND('6.3'!H27,3)</f>
        <v>2.4E-2</v>
      </c>
      <c r="H38" s="329"/>
      <c r="I38" s="90"/>
      <c r="K38" s="2"/>
      <c r="L38" t="s">
        <v>238</v>
      </c>
      <c r="M38" t="s">
        <v>239</v>
      </c>
    </row>
    <row r="39" spans="1:14" x14ac:dyDescent="0.2">
      <c r="A39" s="24">
        <v>1997</v>
      </c>
      <c r="C39" s="36">
        <v>53196024</v>
      </c>
      <c r="D39" s="36"/>
      <c r="E39" s="177">
        <f>'6.4'!F28+'6.5'!F28+'6.6'!F28+'6.7'!F28</f>
        <v>164813754.01079881</v>
      </c>
      <c r="F39" s="29"/>
      <c r="G39" s="50">
        <f>ROUND('6.3'!H28,3)</f>
        <v>3.9E-2</v>
      </c>
      <c r="H39" s="329"/>
      <c r="I39" s="90"/>
      <c r="K39" s="2"/>
      <c r="L39" s="102">
        <v>34607</v>
      </c>
      <c r="M39" s="102">
        <v>36525</v>
      </c>
      <c r="N39" t="s">
        <v>240</v>
      </c>
    </row>
    <row r="40" spans="1:14" x14ac:dyDescent="0.2">
      <c r="A40" s="24">
        <v>1998</v>
      </c>
      <c r="C40" s="36">
        <v>53986058</v>
      </c>
      <c r="D40" s="36"/>
      <c r="E40" s="177">
        <f>'6.4'!F29+'6.5'!F29+'6.6'!F29+'6.7'!F29</f>
        <v>169808592.70651767</v>
      </c>
      <c r="F40" s="29"/>
      <c r="G40" s="50">
        <f>ROUND('6.3'!H29,3)</f>
        <v>0.156</v>
      </c>
      <c r="H40" s="329"/>
      <c r="I40" s="90"/>
      <c r="K40" s="2"/>
      <c r="L40" s="114">
        <v>43830</v>
      </c>
      <c r="M40" s="114">
        <v>43830</v>
      </c>
      <c r="N40" t="s">
        <v>241</v>
      </c>
    </row>
    <row r="41" spans="1:14" x14ac:dyDescent="0.2">
      <c r="A41" s="24">
        <v>1999</v>
      </c>
      <c r="C41" s="36">
        <v>52435243</v>
      </c>
      <c r="D41" s="36"/>
      <c r="E41" s="177">
        <f>'6.4'!F30+'6.5'!F30+'6.6'!F30+'6.7'!F30</f>
        <v>167481108.91175157</v>
      </c>
      <c r="F41" s="29"/>
      <c r="G41" s="50">
        <f>ROUND('6.3'!H30,3)</f>
        <v>8.3000000000000004E-2</v>
      </c>
      <c r="H41" s="364" t="s">
        <v>60</v>
      </c>
      <c r="I41" s="90"/>
      <c r="K41" s="2"/>
    </row>
    <row r="42" spans="1:14" x14ac:dyDescent="0.2">
      <c r="A42" s="24">
        <v>2000</v>
      </c>
      <c r="C42" s="36">
        <v>41739697</v>
      </c>
      <c r="E42" s="177">
        <f>'6.4'!F31+'6.5'!F31+'6.6'!F31+'6.7'!F31</f>
        <v>127577927.93179077</v>
      </c>
      <c r="G42" s="50">
        <f>ROUND('6.3'!H31,3)</f>
        <v>7.0000000000000007E-2</v>
      </c>
      <c r="H42" s="329"/>
      <c r="I42" s="90"/>
      <c r="K42" s="2"/>
    </row>
    <row r="43" spans="1:14" x14ac:dyDescent="0.2">
      <c r="A43" s="24">
        <v>2001</v>
      </c>
      <c r="C43" s="223">
        <v>42330042</v>
      </c>
      <c r="E43" s="177">
        <f>'6.4'!F32+'6.5'!F32+'6.6'!F32+'6.7'!F32</f>
        <v>121608678.21284693</v>
      </c>
      <c r="G43" s="50">
        <f>ROUND('6.3'!H32,3)</f>
        <v>5.8000000000000003E-2</v>
      </c>
      <c r="H43" s="11"/>
      <c r="I43" s="19"/>
      <c r="K43" s="2"/>
    </row>
    <row r="44" spans="1:14" x14ac:dyDescent="0.2">
      <c r="A44" s="24">
        <v>2002</v>
      </c>
      <c r="C44" s="223">
        <v>69156402</v>
      </c>
      <c r="D44" s="18"/>
      <c r="E44" s="177">
        <f>'6.4'!F33+'6.5'!F33+'6.6'!F33+'6.7'!F33</f>
        <v>190103988.98471814</v>
      </c>
      <c r="F44" s="42"/>
      <c r="G44" s="50">
        <f>ROUND('6.3'!H33,3)</f>
        <v>0.14099999999999999</v>
      </c>
      <c r="H44" s="11"/>
      <c r="I44" s="19"/>
      <c r="K44" s="2"/>
    </row>
    <row r="45" spans="1:14" x14ac:dyDescent="0.2">
      <c r="A45" s="24">
        <v>2003</v>
      </c>
      <c r="C45" s="223">
        <v>78368305</v>
      </c>
      <c r="D45" s="18"/>
      <c r="E45" s="177">
        <f>'6.4'!F34+'6.5'!F34+'6.6'!F34+'6.7'!F34</f>
        <v>191179434.88597447</v>
      </c>
      <c r="F45" s="42"/>
      <c r="G45" s="50">
        <f>ROUND('6.3'!H34,3)</f>
        <v>0.22800000000000001</v>
      </c>
      <c r="H45" s="364" t="s">
        <v>60</v>
      </c>
      <c r="I45" s="90"/>
      <c r="K45" s="2"/>
    </row>
    <row r="46" spans="1:14" x14ac:dyDescent="0.2">
      <c r="A46" s="24">
        <v>2004</v>
      </c>
      <c r="C46" s="223">
        <v>112957791</v>
      </c>
      <c r="D46" s="18"/>
      <c r="E46" s="177">
        <f>'6.4'!F35+'6.5'!F35+'6.6'!F35+'6.7'!F35</f>
        <v>263371781.62836003</v>
      </c>
      <c r="F46" s="42"/>
      <c r="G46" s="50">
        <f>ROUND('6.3'!H35,3)</f>
        <v>2.1000000000000001E-2</v>
      </c>
      <c r="H46" s="364"/>
      <c r="I46" s="59"/>
      <c r="K46" s="2"/>
    </row>
    <row r="47" spans="1:14" x14ac:dyDescent="0.2">
      <c r="A47" s="24">
        <v>2005</v>
      </c>
      <c r="C47" s="223">
        <v>119598806</v>
      </c>
      <c r="D47" s="18"/>
      <c r="E47" s="177">
        <f>'6.4'!F36+'6.5'!F36+'6.6'!F36+'6.7'!F36</f>
        <v>253206422.73627645</v>
      </c>
      <c r="F47" s="42"/>
      <c r="G47" s="50">
        <f>ROUND('6.3'!H36,3)</f>
        <v>1.724</v>
      </c>
      <c r="H47" s="367" t="s">
        <v>60</v>
      </c>
      <c r="I47" s="19"/>
      <c r="K47" s="2"/>
    </row>
    <row r="48" spans="1:14" x14ac:dyDescent="0.2">
      <c r="A48" s="24">
        <v>2006</v>
      </c>
      <c r="C48" s="223">
        <v>148019940</v>
      </c>
      <c r="D48" s="18"/>
      <c r="E48" s="177">
        <f>'6.4'!F37+'6.5'!F37+'6.6'!F37+'6.7'!F37</f>
        <v>285101407.3441689</v>
      </c>
      <c r="F48" s="42"/>
      <c r="G48" s="50">
        <f>ROUND('6.3'!H37,3)</f>
        <v>2.1999999999999999E-2</v>
      </c>
      <c r="H48" s="11"/>
      <c r="I48" s="19"/>
      <c r="K48" s="2"/>
    </row>
    <row r="49" spans="1:11" x14ac:dyDescent="0.2">
      <c r="A49" s="24">
        <v>2007</v>
      </c>
      <c r="C49" s="308">
        <f>'6.4'!C38+'6.5'!C38+'6.6'!C38+'6.7'!C38</f>
        <v>186207969</v>
      </c>
      <c r="D49" s="39"/>
      <c r="E49" s="177">
        <f>'6.4'!F38+'6.5'!F38+'6.6'!F38+'6.7'!F38</f>
        <v>329330445.81613469</v>
      </c>
      <c r="F49" s="42"/>
      <c r="G49" s="50">
        <f>ROUND('6.3'!H38,3)</f>
        <v>0.15</v>
      </c>
      <c r="H49" s="364" t="s">
        <v>60</v>
      </c>
      <c r="I49" s="19"/>
      <c r="K49" s="2"/>
    </row>
    <row r="50" spans="1:11" x14ac:dyDescent="0.2">
      <c r="A50" s="24">
        <v>2008</v>
      </c>
      <c r="C50" s="308">
        <f>'6.4'!C39+'6.5'!C39+'6.6'!C39+'6.7'!C39</f>
        <v>177673659</v>
      </c>
      <c r="D50" s="39"/>
      <c r="E50" s="177">
        <f>'6.4'!F39+'6.5'!F39+'6.6'!F39+'6.7'!F39</f>
        <v>298516833.06224489</v>
      </c>
      <c r="F50" s="42"/>
      <c r="G50" s="50">
        <f>ROUND('6.3'!H39,3)</f>
        <v>4.7320000000000002</v>
      </c>
      <c r="H50" s="364" t="s">
        <v>60</v>
      </c>
      <c r="I50" s="59"/>
      <c r="K50" s="2"/>
    </row>
    <row r="51" spans="1:11" x14ac:dyDescent="0.2">
      <c r="A51" s="24">
        <v>2009</v>
      </c>
      <c r="C51" s="308">
        <f>'6.4'!C40+'6.5'!C40+'6.6'!C40+'6.7'!C40</f>
        <v>185204697</v>
      </c>
      <c r="D51" s="39"/>
      <c r="E51" s="177">
        <f>'6.4'!F40+'6.5'!F40+'6.6'!F40+'6.7'!F40</f>
        <v>282175185.47103345</v>
      </c>
      <c r="F51" s="42"/>
      <c r="G51" s="50">
        <f>ROUND('6.3'!H40,3)</f>
        <v>2.7E-2</v>
      </c>
      <c r="H51" s="364"/>
      <c r="I51" s="19"/>
      <c r="K51" s="2"/>
    </row>
    <row r="52" spans="1:11" x14ac:dyDescent="0.2">
      <c r="A52" s="48">
        <v>2010</v>
      </c>
      <c r="B52" s="47"/>
      <c r="C52" s="308">
        <f>'6.4'!C41+'6.5'!C41+'6.6'!C41+'6.7'!C41</f>
        <v>193721394</v>
      </c>
      <c r="D52" s="39"/>
      <c r="E52" s="177">
        <f>'6.4'!F41+'6.5'!F41+'6.6'!F41+'6.7'!F41</f>
        <v>272686039.85986882</v>
      </c>
      <c r="F52" s="42"/>
      <c r="G52" s="50">
        <f>ROUND('6.3'!H41,3)</f>
        <v>3.9E-2</v>
      </c>
      <c r="H52" s="365"/>
      <c r="I52" s="19"/>
      <c r="K52" s="2"/>
    </row>
    <row r="53" spans="1:11" x14ac:dyDescent="0.2">
      <c r="A53" s="48">
        <v>2011</v>
      </c>
      <c r="B53" s="47"/>
      <c r="C53" s="308">
        <f>'6.4'!C42+'6.5'!C42+'6.6'!C42+'6.7'!C42</f>
        <v>186576207</v>
      </c>
      <c r="D53" s="39"/>
      <c r="E53" s="177">
        <f>'6.4'!F42+'6.5'!F42+'6.6'!F42+'6.7'!F42</f>
        <v>256414632.74274093</v>
      </c>
      <c r="F53" s="42"/>
      <c r="G53" s="50">
        <f>ROUND('6.3'!H42,3)</f>
        <v>0.156</v>
      </c>
      <c r="H53" s="365"/>
      <c r="I53" s="19"/>
      <c r="K53" s="2"/>
    </row>
    <row r="54" spans="1:11" x14ac:dyDescent="0.2">
      <c r="A54" s="48">
        <v>2012</v>
      </c>
      <c r="B54" s="47"/>
      <c r="C54" s="308">
        <f>'6.4'!C43+'6.5'!C43+'6.6'!C43+'6.7'!C43</f>
        <v>203887603</v>
      </c>
      <c r="D54" s="39"/>
      <c r="E54" s="177">
        <f>'6.4'!F43+'6.5'!F43+'6.6'!F43+'6.7'!F43</f>
        <v>266479798.66368133</v>
      </c>
      <c r="F54" s="47"/>
      <c r="G54" s="50">
        <f>ROUND('6.3'!H43,3)</f>
        <v>0.186</v>
      </c>
      <c r="H54" s="365"/>
      <c r="I54" s="19"/>
      <c r="K54" s="2"/>
    </row>
    <row r="55" spans="1:11" x14ac:dyDescent="0.2">
      <c r="A55" s="48">
        <v>2013</v>
      </c>
      <c r="B55" s="47"/>
      <c r="C55" s="308">
        <f>'6.4'!C44+'6.5'!C44+'6.6'!C44+'6.7'!C44</f>
        <v>224921677</v>
      </c>
      <c r="D55" s="39"/>
      <c r="E55" s="177">
        <f>'6.4'!F44+'6.5'!F44+'6.6'!F44+'6.7'!F44</f>
        <v>280098115.12748647</v>
      </c>
      <c r="F55" s="47"/>
      <c r="G55" s="50">
        <f>ROUND('6.3'!H44,3)</f>
        <v>7.0000000000000007E-2</v>
      </c>
      <c r="H55" s="365"/>
      <c r="I55" s="19"/>
      <c r="K55" s="2"/>
    </row>
    <row r="56" spans="1:11" x14ac:dyDescent="0.2">
      <c r="A56" s="48">
        <v>2014</v>
      </c>
      <c r="B56" s="47"/>
      <c r="C56" s="308">
        <f>'6.4'!C45+'6.5'!C45+'6.6'!C45+'6.7'!C45</f>
        <v>235022975</v>
      </c>
      <c r="D56" s="39"/>
      <c r="E56" s="177">
        <f>'6.4'!F45+'6.5'!F45+'6.6'!F45+'6.7'!F45</f>
        <v>279057495.15914434</v>
      </c>
      <c r="F56" s="47"/>
      <c r="G56" s="50">
        <f>ROUND('6.3'!H45,3)</f>
        <v>1.2E-2</v>
      </c>
      <c r="H56" s="365"/>
      <c r="I56" s="19"/>
      <c r="K56" s="2"/>
    </row>
    <row r="57" spans="1:11" x14ac:dyDescent="0.2">
      <c r="A57" s="48">
        <v>2015</v>
      </c>
      <c r="B57" s="47"/>
      <c r="C57" s="308">
        <f>'6.4'!C46+'6.5'!C46+'6.6'!C46+'6.7'!C46</f>
        <v>227324155</v>
      </c>
      <c r="D57" s="39"/>
      <c r="E57" s="177">
        <f>'6.4'!F46+'6.5'!F46+'6.6'!F46+'6.7'!F46</f>
        <v>256838491.25283414</v>
      </c>
      <c r="F57" s="47"/>
      <c r="G57" s="50">
        <f>ROUND('6.3'!H46,3)</f>
        <v>0.14799999999999999</v>
      </c>
      <c r="H57" s="365"/>
      <c r="I57" s="19"/>
      <c r="K57" s="2"/>
    </row>
    <row r="58" spans="1:11" x14ac:dyDescent="0.2">
      <c r="A58" s="101">
        <v>2016</v>
      </c>
      <c r="B58" s="47"/>
      <c r="C58" s="308">
        <f>'6.4'!C47+'6.5'!C47+'6.6'!C47+'6.7'!C47</f>
        <v>210615830</v>
      </c>
      <c r="D58" s="47"/>
      <c r="E58" s="177">
        <f>'6.4'!F47+'6.5'!F47+'6.6'!F47+'6.7'!F47</f>
        <v>226599830.87566769</v>
      </c>
      <c r="F58" s="47"/>
      <c r="G58" s="50">
        <f>ROUND('6.3'!H47,3)</f>
        <v>3.9E-2</v>
      </c>
      <c r="H58" s="365"/>
      <c r="K58" s="2"/>
    </row>
    <row r="59" spans="1:11" x14ac:dyDescent="0.2">
      <c r="A59" s="101">
        <v>2017</v>
      </c>
      <c r="B59" s="47"/>
      <c r="C59" s="308">
        <f>'6.4'!C48+'6.5'!C48+'6.6'!C48+'6.7'!C48</f>
        <v>185230360</v>
      </c>
      <c r="D59" s="47"/>
      <c r="E59" s="177">
        <f>'6.4'!F48+'6.5'!F48+'6.6'!F48+'6.7'!F48</f>
        <v>194491877.50000042</v>
      </c>
      <c r="F59" s="47"/>
      <c r="G59" s="50">
        <f>ROUND('6.3'!H48,3)</f>
        <v>5.0469999999999997</v>
      </c>
      <c r="H59" s="368" t="s">
        <v>60</v>
      </c>
      <c r="K59" s="2"/>
    </row>
    <row r="60" spans="1:11" x14ac:dyDescent="0.2">
      <c r="A60" s="101">
        <v>2018</v>
      </c>
      <c r="B60" s="47"/>
      <c r="C60" s="308">
        <f>'6.4'!C49+'6.5'!C49+'6.6'!C49+'6.7'!C49</f>
        <v>186441993</v>
      </c>
      <c r="D60" s="47"/>
      <c r="E60" s="177">
        <f>'6.4'!F49+'6.5'!F49+'6.6'!F49+'6.7'!F49</f>
        <v>190978966.23835325</v>
      </c>
      <c r="F60" s="47"/>
      <c r="G60" s="50">
        <f>ROUND('6.3'!H49,3)</f>
        <v>1.4999999999999999E-2</v>
      </c>
      <c r="H60" s="368"/>
      <c r="K60" s="2"/>
    </row>
    <row r="61" spans="1:11" x14ac:dyDescent="0.2">
      <c r="A61" s="101">
        <v>2019</v>
      </c>
      <c r="B61" s="47"/>
      <c r="C61" s="308">
        <f>'6.4'!C50+'6.5'!C50+'6.6'!C50+'6.7'!C50</f>
        <v>184576503</v>
      </c>
      <c r="D61" s="47"/>
      <c r="E61" s="177">
        <f>'6.4'!F50+'6.5'!F50+'6.6'!F50+'6.7'!F50</f>
        <v>184576503</v>
      </c>
      <c r="F61" s="47"/>
      <c r="G61" s="50">
        <f>ROUND('6.3'!H50,3)</f>
        <v>3.4000000000000002E-2</v>
      </c>
      <c r="H61" s="368"/>
      <c r="K61" s="2"/>
    </row>
    <row r="62" spans="1:11" hidden="1" x14ac:dyDescent="0.2">
      <c r="A62" s="101"/>
      <c r="B62" s="47"/>
      <c r="C62" s="308"/>
      <c r="D62" s="47"/>
      <c r="E62" s="177"/>
      <c r="F62" s="47"/>
      <c r="G62" s="50"/>
      <c r="H62" s="368"/>
      <c r="K62" s="2"/>
    </row>
    <row r="63" spans="1:11" ht="6" customHeight="1" x14ac:dyDescent="0.2">
      <c r="K63" s="2"/>
    </row>
    <row r="64" spans="1:11" x14ac:dyDescent="0.2">
      <c r="A64" s="24" t="s">
        <v>25</v>
      </c>
      <c r="C64" s="63">
        <f>SUM(C12:C61)</f>
        <v>3997516033</v>
      </c>
      <c r="D64" s="63"/>
      <c r="E64" s="63">
        <f>SUM(E12:E61)</f>
        <v>7028689004.6184711</v>
      </c>
      <c r="G64" s="19">
        <f>ROUND(AVERAGE(G12:G61),3)</f>
        <v>0.45100000000000001</v>
      </c>
      <c r="K64" s="2"/>
    </row>
    <row r="65" spans="1:11" ht="4.5" customHeight="1" x14ac:dyDescent="0.2">
      <c r="K65" s="2"/>
    </row>
    <row r="66" spans="1:11" x14ac:dyDescent="0.2">
      <c r="A66" t="s">
        <v>98</v>
      </c>
      <c r="G66" s="19">
        <f>ROUND(SUMIF(H12:H61,"&lt;&gt;H",G12:G61)/COUNTIF(H12:H61,"&lt;&gt;H"),3)</f>
        <v>0.109</v>
      </c>
      <c r="K66" s="2"/>
    </row>
    <row r="67" spans="1:11" x14ac:dyDescent="0.2">
      <c r="A67" t="s">
        <v>99</v>
      </c>
      <c r="G67" s="19">
        <f>ROUND((SUMIF(H12:H61,"&lt;&gt;H",G12:G61)-VLOOKUP(1991,$A$12:$G$61,7,0))/(COUNTIF(H12:H61,"&lt;&gt;H")-1),3)</f>
        <v>9.6000000000000002E-2</v>
      </c>
      <c r="K67" s="2"/>
    </row>
    <row r="68" spans="1:11" x14ac:dyDescent="0.2">
      <c r="A68" t="s">
        <v>53</v>
      </c>
      <c r="G68" s="64">
        <f>ROUND(AVERAGE(G66:G67),3)</f>
        <v>0.10299999999999999</v>
      </c>
      <c r="K68" s="2"/>
    </row>
    <row r="69" spans="1:11" ht="5.25" customHeight="1" thickBot="1" x14ac:dyDescent="0.25">
      <c r="A69" s="6"/>
      <c r="B69" s="6"/>
      <c r="C69" s="6"/>
      <c r="D69" s="6"/>
      <c r="E69" s="6"/>
      <c r="F69" s="6"/>
      <c r="G69" s="6"/>
      <c r="H69" s="6"/>
      <c r="I69" s="47"/>
      <c r="K69" s="2"/>
    </row>
    <row r="70" spans="1:11" ht="4.5" customHeight="1" thickTop="1" x14ac:dyDescent="0.2">
      <c r="K70" s="2"/>
    </row>
    <row r="71" spans="1:11" x14ac:dyDescent="0.2">
      <c r="A71" t="s">
        <v>18</v>
      </c>
      <c r="B71" s="21" t="str">
        <f>C10&amp;" Provided by TDI. "&amp;A25&amp;" - "&amp;A37&amp;" are year ending "&amp;TEXT($L$39,"m/d/xx")&amp;" as of "&amp;TEXT($M$39,"m/d/yy")&amp;"; "&amp;A38&amp;" - "&amp;A61&amp;" are year ending "&amp;TEXT($L$40,"m/d/xx")&amp;" as of "&amp;TEXT($M$40,"m/d/yy")</f>
        <v>(2) Provided by TDI. 1983 - 1995 are year ending 9/30/xx as of 12/31/99; 1996 - 2019 are year ending 12/31/xx as of 12/31/19</v>
      </c>
      <c r="F71" s="42"/>
      <c r="K71" s="2"/>
    </row>
    <row r="72" spans="1:11" x14ac:dyDescent="0.2">
      <c r="B72" s="21" t="str">
        <f>D10&amp;" Provided by TDI (1992 MR = 1992 manual rates)"</f>
        <v>(3) Provided by TDI (1992 MR = 1992 manual rates)</v>
      </c>
      <c r="D72" s="21"/>
      <c r="K72" s="2"/>
    </row>
    <row r="73" spans="1:11" x14ac:dyDescent="0.2">
      <c r="B73" s="21" t="str">
        <f>E10&amp;" "&amp;A35&amp;" - "&amp;A61&amp;": Sum of "&amp;'6.4'!$J$1&amp;", "&amp;'6.4'!$J$2&amp;" - 7"&amp;", "&amp;'6.4'!F12&amp;"; "&amp;A12&amp;" - "&amp;A34&amp;": "&amp;D10&amp;" * "&amp;TEXT('6.4'!$L$14,"2.697")&amp;",1992 on-level factor to bring industry premium to TWIA curr't rate lvl"</f>
        <v>(4) 1993 - 2019: Sum of Exhibit 6, Sheet 4 - 7, (5); 1970 - 1992: (3) * 2.697,1992 on-level factor to bring industry premium to TWIA curr't rate lvl</v>
      </c>
      <c r="K73" s="2"/>
    </row>
    <row r="74" spans="1:11" x14ac:dyDescent="0.2">
      <c r="B74" s="100" t="str">
        <f>F10&amp;" Provided by TDI. "&amp;A12&amp;" - "&amp;A24&amp;" are year ending "&amp;TEXT($L$39,"m/d/xx")&amp;" as of "&amp;TEXT($M$39,"m/d/yy")&amp;"; "&amp;A25&amp;" - "&amp;A61&amp;" are year ending "&amp;TEXT($L$40,"m/d/xx")&amp;" as of "&amp;TEXT($M$40,"m/d/yy")</f>
        <v>(5) Provided by TDI. 1970 - 1982 are year ending 9/30/xx as of 12/31/99; 1983 - 2019 are year ending 12/31/xx as of 12/31/19</v>
      </c>
      <c r="K74" s="2"/>
    </row>
    <row r="75" spans="1:11" x14ac:dyDescent="0.2">
      <c r="B75" s="21" t="str">
        <f>G10&amp;" "&amp;A25&amp;" - "&amp;A61&amp;": "&amp;'6.3'!$I$1&amp;", "&amp;'6.3'!$I$2&amp;"; "&amp;A12&amp;" - "&amp;A24&amp;": "&amp;F10&amp;" / "&amp;E10</f>
        <v>(6) 1983 - 2019: Exhibit 6, Sheet 3; 1970 - 1982: (5) / (4)</v>
      </c>
      <c r="K75" s="2"/>
    </row>
    <row r="76" spans="1:11" ht="12" thickBot="1" x14ac:dyDescent="0.25">
      <c r="B76" s="21" t="str">
        <f>H10&amp;" ""H"" indicates occurrence of hurricane(s) during the time period (years ending "&amp;TEXT($L$40,"m/d/xx")&amp;")"</f>
        <v>(7) "H" indicates occurrence of hurricane(s) during the time period (years ending 12/31/xx)</v>
      </c>
      <c r="K76" s="2"/>
    </row>
    <row r="77" spans="1:11" ht="12" thickBot="1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3"/>
    </row>
  </sheetData>
  <phoneticPr fontId="0" type="noConversion"/>
  <pageMargins left="0.5" right="0.5" top="0.5" bottom="0.25" header="0.5" footer="0.5"/>
  <pageSetup orientation="portrait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92D050"/>
  </sheetPr>
  <dimension ref="A1:L73"/>
  <sheetViews>
    <sheetView showGridLines="0" zoomScaleNormal="100" workbookViewId="0">
      <selection activeCell="C73" sqref="C73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7" width="14" customWidth="1"/>
    <col min="8" max="8" width="11.33203125" customWidth="1"/>
    <col min="9" max="9" width="7" customWidth="1"/>
  </cols>
  <sheetData>
    <row r="1" spans="1:11" x14ac:dyDescent="0.2">
      <c r="A1" s="8" t="str">
        <f>'1'!$A$1</f>
        <v>Texas Windstorm Insurance Association</v>
      </c>
      <c r="B1" s="12"/>
      <c r="I1" s="7" t="s">
        <v>84</v>
      </c>
      <c r="J1" s="1"/>
    </row>
    <row r="2" spans="1:11" x14ac:dyDescent="0.2">
      <c r="A2" s="8" t="str">
        <f>'1'!$A$2</f>
        <v>Commercial Property - Wind &amp; Hail</v>
      </c>
      <c r="B2" s="12"/>
      <c r="I2" s="7" t="s">
        <v>68</v>
      </c>
      <c r="J2" s="2"/>
    </row>
    <row r="3" spans="1:11" x14ac:dyDescent="0.2">
      <c r="A3" s="8" t="str">
        <f>'1'!$A$3</f>
        <v>Rate Level Review</v>
      </c>
      <c r="B3" s="12"/>
      <c r="J3" s="2"/>
    </row>
    <row r="4" spans="1:11" x14ac:dyDescent="0.2">
      <c r="A4" t="s">
        <v>227</v>
      </c>
      <c r="B4" s="12"/>
      <c r="J4" s="2"/>
    </row>
    <row r="5" spans="1:11" x14ac:dyDescent="0.2">
      <c r="A5" s="57"/>
      <c r="B5" s="21"/>
      <c r="C5" s="57"/>
      <c r="D5" s="57"/>
      <c r="E5" s="57"/>
      <c r="J5" s="2"/>
    </row>
    <row r="6" spans="1:11" x14ac:dyDescent="0.2">
      <c r="J6" s="2"/>
    </row>
    <row r="7" spans="1:11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2"/>
    </row>
    <row r="8" spans="1:11" ht="12" thickTop="1" x14ac:dyDescent="0.2">
      <c r="J8" s="2"/>
    </row>
    <row r="9" spans="1:11" x14ac:dyDescent="0.2">
      <c r="C9" s="23" t="s">
        <v>104</v>
      </c>
      <c r="J9" s="2"/>
      <c r="K9" s="26"/>
    </row>
    <row r="10" spans="1:11" x14ac:dyDescent="0.2">
      <c r="A10" t="s">
        <v>41</v>
      </c>
      <c r="G10" t="s">
        <v>103</v>
      </c>
      <c r="H10" s="57" t="s">
        <v>503</v>
      </c>
      <c r="I10" s="57"/>
      <c r="J10" s="2"/>
      <c r="K10" s="21"/>
    </row>
    <row r="11" spans="1:11" x14ac:dyDescent="0.2">
      <c r="A11" s="9" t="s">
        <v>42</v>
      </c>
      <c r="B11" s="9"/>
      <c r="C11" s="9" t="s">
        <v>100</v>
      </c>
      <c r="D11" s="9" t="s">
        <v>101</v>
      </c>
      <c r="E11" s="9" t="s">
        <v>102</v>
      </c>
      <c r="F11" s="9" t="s">
        <v>22</v>
      </c>
      <c r="G11" s="9" t="s">
        <v>58</v>
      </c>
      <c r="H11" s="136" t="s">
        <v>58</v>
      </c>
      <c r="I11" s="136"/>
      <c r="J11" s="2"/>
      <c r="K11" s="49"/>
    </row>
    <row r="12" spans="1:11" x14ac:dyDescent="0.2">
      <c r="A12" s="11" t="str">
        <f>TEXT(COLUMN(),"(#)")</f>
        <v>(1)</v>
      </c>
      <c r="B12" s="11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H12" s="67" t="s">
        <v>93</v>
      </c>
      <c r="I12" s="57"/>
      <c r="J12" s="2"/>
    </row>
    <row r="13" spans="1:11" x14ac:dyDescent="0.2">
      <c r="H13" s="57"/>
      <c r="I13" s="57"/>
      <c r="J13" s="2"/>
    </row>
    <row r="14" spans="1:11" x14ac:dyDescent="0.2">
      <c r="A14" s="210">
        <v>1983</v>
      </c>
      <c r="C14" s="58">
        <f>'6.4'!H14</f>
        <v>10.095000000000001</v>
      </c>
      <c r="D14" s="58">
        <f>'6.5'!H14</f>
        <v>4.2999999999999997E-2</v>
      </c>
      <c r="E14" s="58">
        <f>'6.6'!H14</f>
        <v>0.47</v>
      </c>
      <c r="F14" s="58">
        <f>'6.7'!H14</f>
        <v>1.6910000000000001</v>
      </c>
      <c r="G14" s="22">
        <f t="shared" ref="G14:G20" si="0">ROUND(SUMPRODUCT(C14:F14,$C$59:$F$59)/$G$59,3)</f>
        <v>4.1959999999999997</v>
      </c>
      <c r="H14" s="28">
        <f>G14</f>
        <v>4.1959999999999997</v>
      </c>
      <c r="I14" s="57"/>
      <c r="J14" s="2"/>
    </row>
    <row r="15" spans="1:11" x14ac:dyDescent="0.2">
      <c r="A15" t="str">
        <f>TEXT(A14+1,"#")</f>
        <v>1984</v>
      </c>
      <c r="C15" s="58">
        <f>'6.4'!H15</f>
        <v>8.5999999999999993E-2</v>
      </c>
      <c r="D15" s="58">
        <f>'6.5'!H15</f>
        <v>4.2999999999999997E-2</v>
      </c>
      <c r="E15" s="58">
        <f>'6.6'!H15</f>
        <v>0.111</v>
      </c>
      <c r="F15" s="58">
        <f>'6.7'!H15</f>
        <v>0.16200000000000001</v>
      </c>
      <c r="G15" s="22">
        <f t="shared" si="0"/>
        <v>8.6999999999999994E-2</v>
      </c>
      <c r="H15" s="28">
        <f t="shared" ref="H15:H39" si="1">G15</f>
        <v>8.6999999999999994E-2</v>
      </c>
      <c r="I15" s="57"/>
      <c r="J15" s="2"/>
    </row>
    <row r="16" spans="1:11" x14ac:dyDescent="0.2">
      <c r="A16" t="str">
        <f t="shared" ref="A16:A46" si="2">TEXT(A15+1,"#")</f>
        <v>1985</v>
      </c>
      <c r="C16" s="58">
        <f>'6.4'!H16</f>
        <v>4.2000000000000003E-2</v>
      </c>
      <c r="D16" s="58">
        <f>'6.5'!H16</f>
        <v>2.8000000000000001E-2</v>
      </c>
      <c r="E16" s="58">
        <f>'6.6'!H16</f>
        <v>0.05</v>
      </c>
      <c r="F16" s="58">
        <f>'6.7'!H16</f>
        <v>9.0999999999999998E-2</v>
      </c>
      <c r="G16" s="22">
        <f t="shared" si="0"/>
        <v>4.2000000000000003E-2</v>
      </c>
      <c r="H16" s="28">
        <f t="shared" si="1"/>
        <v>4.2000000000000003E-2</v>
      </c>
      <c r="I16" s="57"/>
      <c r="J16" s="2"/>
    </row>
    <row r="17" spans="1:12" x14ac:dyDescent="0.2">
      <c r="A17" t="str">
        <f t="shared" si="2"/>
        <v>1986</v>
      </c>
      <c r="C17" s="58">
        <f>'6.4'!H17</f>
        <v>3.3000000000000002E-2</v>
      </c>
      <c r="D17" s="58">
        <f>'6.5'!H17</f>
        <v>1.0999999999999999E-2</v>
      </c>
      <c r="E17" s="58">
        <f>'6.6'!H17</f>
        <v>0.183</v>
      </c>
      <c r="F17" s="58">
        <f>'6.7'!H17</f>
        <v>0.14299999999999999</v>
      </c>
      <c r="G17" s="22">
        <f t="shared" si="0"/>
        <v>8.6999999999999994E-2</v>
      </c>
      <c r="H17" s="28">
        <f t="shared" si="1"/>
        <v>8.6999999999999994E-2</v>
      </c>
      <c r="I17" s="57"/>
      <c r="J17" s="2"/>
    </row>
    <row r="18" spans="1:12" ht="12.75" x14ac:dyDescent="0.2">
      <c r="A18" t="str">
        <f t="shared" si="2"/>
        <v>1987</v>
      </c>
      <c r="C18" s="58">
        <f>'6.4'!H18</f>
        <v>5.0000000000000001E-3</v>
      </c>
      <c r="D18" s="58">
        <f>'6.5'!H18</f>
        <v>1.9E-2</v>
      </c>
      <c r="E18" s="58">
        <f>'6.6'!H18</f>
        <v>2.3E-2</v>
      </c>
      <c r="F18" s="58">
        <f>'6.7'!H18</f>
        <v>3.4000000000000002E-2</v>
      </c>
      <c r="G18" s="22">
        <f t="shared" si="0"/>
        <v>1.4999999999999999E-2</v>
      </c>
      <c r="H18" s="28">
        <f t="shared" si="1"/>
        <v>1.4999999999999999E-2</v>
      </c>
      <c r="I18" s="57"/>
      <c r="J18" s="2"/>
      <c r="L18" s="369"/>
    </row>
    <row r="19" spans="1:12" x14ac:dyDescent="0.2">
      <c r="A19" t="str">
        <f t="shared" si="2"/>
        <v>1988</v>
      </c>
      <c r="C19" s="58">
        <f>'6.4'!H19</f>
        <v>0.13200000000000001</v>
      </c>
      <c r="D19" s="58">
        <f>'6.5'!H19</f>
        <v>3.9E-2</v>
      </c>
      <c r="E19" s="58">
        <f>'6.6'!H19</f>
        <v>9.2999999999999999E-2</v>
      </c>
      <c r="F19" s="58">
        <f>'6.7'!H19</f>
        <v>5.3999999999999999E-2</v>
      </c>
      <c r="G19" s="22">
        <f t="shared" si="0"/>
        <v>9.7000000000000003E-2</v>
      </c>
      <c r="H19" s="28">
        <f t="shared" si="1"/>
        <v>9.7000000000000003E-2</v>
      </c>
      <c r="I19" s="57"/>
      <c r="J19" s="2"/>
    </row>
    <row r="20" spans="1:12" x14ac:dyDescent="0.2">
      <c r="A20" t="str">
        <f t="shared" si="2"/>
        <v>1989</v>
      </c>
      <c r="C20" s="58">
        <f>'6.4'!H20</f>
        <v>0.153</v>
      </c>
      <c r="D20" s="58">
        <f>'6.5'!H20</f>
        <v>0.02</v>
      </c>
      <c r="E20" s="58">
        <f>'6.6'!H20</f>
        <v>2.1999999999999999E-2</v>
      </c>
      <c r="F20" s="58">
        <f>'6.7'!H20</f>
        <v>6.2E-2</v>
      </c>
      <c r="G20" s="22">
        <f t="shared" si="0"/>
        <v>7.3999999999999996E-2</v>
      </c>
      <c r="H20" s="28">
        <f t="shared" si="1"/>
        <v>7.3999999999999996E-2</v>
      </c>
      <c r="I20" s="57"/>
      <c r="J20" s="2"/>
    </row>
    <row r="21" spans="1:12" x14ac:dyDescent="0.2">
      <c r="A21" t="str">
        <f t="shared" si="2"/>
        <v>1990</v>
      </c>
      <c r="C21" s="58">
        <f>'6.4'!H21</f>
        <v>2.706</v>
      </c>
      <c r="D21" s="58">
        <f>'6.5'!H21</f>
        <v>2.8000000000000001E-2</v>
      </c>
      <c r="E21" s="58">
        <f>'6.6'!H21</f>
        <v>0.10100000000000001</v>
      </c>
      <c r="F21" s="58">
        <f>'6.7'!H21</f>
        <v>7.8E-2</v>
      </c>
      <c r="G21" s="22">
        <f t="shared" ref="G21" si="3">ROUND(SUMPRODUCT(C21:F21,$C$59:$F$59)/$G$59,3)</f>
        <v>1.1160000000000001</v>
      </c>
      <c r="H21" s="28">
        <f t="shared" si="1"/>
        <v>1.1160000000000001</v>
      </c>
      <c r="I21" s="57"/>
      <c r="J21" s="2"/>
    </row>
    <row r="22" spans="1:12" x14ac:dyDescent="0.2">
      <c r="A22" t="str">
        <f>TEXT(A21+1,"#")</f>
        <v>1991</v>
      </c>
      <c r="C22" s="58">
        <f>'6.4'!H22</f>
        <v>0.24399999999999999</v>
      </c>
      <c r="D22" s="58">
        <f>'6.5'!H22</f>
        <v>0.24199999999999999</v>
      </c>
      <c r="E22" s="58">
        <f>'6.6'!H22</f>
        <v>1.1479999999999999</v>
      </c>
      <c r="F22" s="58">
        <f>'6.7'!H22</f>
        <v>5.2999999999999999E-2</v>
      </c>
      <c r="G22" s="22">
        <f t="shared" ref="G22:G50" si="4">ROUND(SUMPRODUCT(C22:F22,$C$59:$F$59)/$G$59,3)</f>
        <v>0.59</v>
      </c>
      <c r="H22" s="28">
        <f t="shared" si="1"/>
        <v>0.59</v>
      </c>
      <c r="I22" s="57"/>
      <c r="J22" s="2"/>
    </row>
    <row r="23" spans="1:12" x14ac:dyDescent="0.2">
      <c r="A23" t="str">
        <f t="shared" si="2"/>
        <v>1992</v>
      </c>
      <c r="B23" s="21"/>
      <c r="C23" s="58">
        <f>'6.4'!H23</f>
        <v>8.9999999999999993E-3</v>
      </c>
      <c r="D23" s="58">
        <f>'6.5'!H23</f>
        <v>1.0999999999999999E-2</v>
      </c>
      <c r="E23" s="58">
        <f>'6.6'!H23</f>
        <v>2.4E-2</v>
      </c>
      <c r="F23" s="58">
        <f>'6.7'!H23</f>
        <v>4.2999999999999997E-2</v>
      </c>
      <c r="G23" s="22">
        <f t="shared" si="4"/>
        <v>1.4999999999999999E-2</v>
      </c>
      <c r="H23" s="28">
        <f t="shared" si="1"/>
        <v>1.4999999999999999E-2</v>
      </c>
      <c r="I23" s="57"/>
      <c r="J23" s="2"/>
    </row>
    <row r="24" spans="1:12" x14ac:dyDescent="0.2">
      <c r="A24" t="str">
        <f t="shared" si="2"/>
        <v>1993</v>
      </c>
      <c r="B24" s="21"/>
      <c r="C24" s="58">
        <f>'6.4'!H24</f>
        <v>0.13500000000000001</v>
      </c>
      <c r="D24" s="58">
        <f>'6.5'!H24</f>
        <v>1.7000000000000001E-2</v>
      </c>
      <c r="E24" s="58">
        <f>'6.6'!H24</f>
        <v>1.7000000000000001E-2</v>
      </c>
      <c r="F24" s="58">
        <f>'6.7'!H24</f>
        <v>5.7000000000000002E-2</v>
      </c>
      <c r="G24" s="22">
        <f t="shared" si="4"/>
        <v>6.4000000000000001E-2</v>
      </c>
      <c r="H24" s="28">
        <f t="shared" si="1"/>
        <v>6.4000000000000001E-2</v>
      </c>
      <c r="I24" s="57"/>
      <c r="J24" s="2"/>
    </row>
    <row r="25" spans="1:12" x14ac:dyDescent="0.2">
      <c r="A25" t="str">
        <f t="shared" si="2"/>
        <v>1994</v>
      </c>
      <c r="B25" s="21"/>
      <c r="C25" s="58">
        <f>'6.4'!H25</f>
        <v>3.0000000000000001E-3</v>
      </c>
      <c r="D25" s="58">
        <f>'6.5'!H25</f>
        <v>3.6999999999999998E-2</v>
      </c>
      <c r="E25" s="58">
        <f>'6.6'!H25</f>
        <v>0.19600000000000001</v>
      </c>
      <c r="F25" s="58">
        <f>'6.7'!H25</f>
        <v>7.9000000000000001E-2</v>
      </c>
      <c r="G25" s="22">
        <f t="shared" si="4"/>
        <v>8.5000000000000006E-2</v>
      </c>
      <c r="H25" s="28">
        <f t="shared" si="1"/>
        <v>8.5000000000000006E-2</v>
      </c>
      <c r="I25" s="57"/>
      <c r="J25" s="2"/>
    </row>
    <row r="26" spans="1:12" x14ac:dyDescent="0.2">
      <c r="A26" t="str">
        <f t="shared" si="2"/>
        <v>1995</v>
      </c>
      <c r="C26" s="58">
        <f>'6.4'!H26</f>
        <v>7.8E-2</v>
      </c>
      <c r="D26" s="58">
        <f>'6.5'!H26</f>
        <v>0.10299999999999999</v>
      </c>
      <c r="E26" s="58">
        <f>'6.6'!H26</f>
        <v>0.376</v>
      </c>
      <c r="F26" s="58">
        <f>'6.7'!H26</f>
        <v>0.20599999999999999</v>
      </c>
      <c r="G26" s="22">
        <f t="shared" si="4"/>
        <v>0.19900000000000001</v>
      </c>
      <c r="H26" s="28">
        <f t="shared" si="1"/>
        <v>0.19900000000000001</v>
      </c>
      <c r="I26" s="57"/>
      <c r="J26" s="2"/>
    </row>
    <row r="27" spans="1:12" x14ac:dyDescent="0.2">
      <c r="A27" t="str">
        <f t="shared" si="2"/>
        <v>1996</v>
      </c>
      <c r="C27" s="58">
        <f>'6.4'!H27</f>
        <v>1.4999999999999999E-2</v>
      </c>
      <c r="D27" s="58">
        <f>'6.5'!H27</f>
        <v>2.9000000000000001E-2</v>
      </c>
      <c r="E27" s="58">
        <f>'6.6'!H27</f>
        <v>3.1E-2</v>
      </c>
      <c r="F27" s="58">
        <f>'6.7'!H27</f>
        <v>6.6000000000000003E-2</v>
      </c>
      <c r="G27" s="22">
        <f t="shared" si="4"/>
        <v>2.4E-2</v>
      </c>
      <c r="H27" s="28">
        <f t="shared" si="1"/>
        <v>2.4E-2</v>
      </c>
      <c r="I27" s="57"/>
      <c r="J27" s="2"/>
    </row>
    <row r="28" spans="1:12" x14ac:dyDescent="0.2">
      <c r="A28" t="str">
        <f t="shared" si="2"/>
        <v>1997</v>
      </c>
      <c r="C28" s="58">
        <f>'6.4'!H28</f>
        <v>5.1999999999999998E-2</v>
      </c>
      <c r="D28" s="58">
        <f>'6.5'!H28</f>
        <v>0.02</v>
      </c>
      <c r="E28" s="58">
        <f>'6.6'!H28</f>
        <v>3.5999999999999997E-2</v>
      </c>
      <c r="F28" s="58">
        <f>'6.7'!H28</f>
        <v>0.09</v>
      </c>
      <c r="G28" s="22">
        <f t="shared" si="4"/>
        <v>3.9E-2</v>
      </c>
      <c r="H28" s="28">
        <f t="shared" si="1"/>
        <v>3.9E-2</v>
      </c>
      <c r="I28" s="57"/>
      <c r="J28" s="2"/>
    </row>
    <row r="29" spans="1:12" x14ac:dyDescent="0.2">
      <c r="A29" t="str">
        <f t="shared" si="2"/>
        <v>1998</v>
      </c>
      <c r="C29" s="58">
        <f>'6.4'!H29</f>
        <v>0.20699999999999999</v>
      </c>
      <c r="D29" s="58">
        <f>'6.5'!H29</f>
        <v>0.13700000000000001</v>
      </c>
      <c r="E29" s="58">
        <f>'6.6'!H29</f>
        <v>0.114</v>
      </c>
      <c r="F29" s="58">
        <f>'6.7'!H29</f>
        <v>0.09</v>
      </c>
      <c r="G29" s="22">
        <f t="shared" si="4"/>
        <v>0.156</v>
      </c>
      <c r="H29" s="28">
        <f t="shared" si="1"/>
        <v>0.156</v>
      </c>
      <c r="I29" s="57"/>
      <c r="J29" s="2"/>
    </row>
    <row r="30" spans="1:12" x14ac:dyDescent="0.2">
      <c r="A30" t="str">
        <f t="shared" si="2"/>
        <v>1999</v>
      </c>
      <c r="C30" s="58">
        <f>'6.4'!H30</f>
        <v>2.7E-2</v>
      </c>
      <c r="D30" s="58">
        <f>'6.5'!H30</f>
        <v>0.126</v>
      </c>
      <c r="E30" s="58">
        <f>'6.6'!H30</f>
        <v>0.11700000000000001</v>
      </c>
      <c r="F30" s="58">
        <f>'6.7'!H30</f>
        <v>8.8999999999999996E-2</v>
      </c>
      <c r="G30" s="22">
        <f t="shared" si="4"/>
        <v>8.3000000000000004E-2</v>
      </c>
      <c r="H30" s="28">
        <f t="shared" si="1"/>
        <v>8.3000000000000004E-2</v>
      </c>
      <c r="I30" s="57"/>
      <c r="J30" s="2"/>
    </row>
    <row r="31" spans="1:12" x14ac:dyDescent="0.2">
      <c r="A31" t="str">
        <f t="shared" si="2"/>
        <v>2000</v>
      </c>
      <c r="C31" s="58">
        <f>'6.4'!H31</f>
        <v>2.1000000000000001E-2</v>
      </c>
      <c r="D31" s="58">
        <f>'6.5'!H31</f>
        <v>0.02</v>
      </c>
      <c r="E31" s="58">
        <f>'6.6'!H31</f>
        <v>0.13800000000000001</v>
      </c>
      <c r="F31" s="58">
        <f>'6.7'!H31</f>
        <v>0.58899999999999997</v>
      </c>
      <c r="G31" s="22">
        <f t="shared" si="4"/>
        <v>7.0000000000000007E-2</v>
      </c>
      <c r="H31" s="28">
        <f t="shared" si="1"/>
        <v>7.0000000000000007E-2</v>
      </c>
      <c r="I31" s="57"/>
      <c r="J31" s="2"/>
    </row>
    <row r="32" spans="1:12" x14ac:dyDescent="0.2">
      <c r="A32" t="str">
        <f t="shared" si="2"/>
        <v>2001</v>
      </c>
      <c r="C32" s="58">
        <f>'6.4'!H32</f>
        <v>7.0000000000000007E-2</v>
      </c>
      <c r="D32" s="58">
        <f>'6.5'!H32</f>
        <v>3.2000000000000001E-2</v>
      </c>
      <c r="E32" s="58">
        <f>'6.6'!H32</f>
        <v>5.7000000000000002E-2</v>
      </c>
      <c r="F32" s="58">
        <f>'6.7'!H32</f>
        <v>0.28699999999999998</v>
      </c>
      <c r="G32" s="22">
        <f t="shared" si="4"/>
        <v>5.8000000000000003E-2</v>
      </c>
      <c r="H32" s="28">
        <f t="shared" si="1"/>
        <v>5.8000000000000003E-2</v>
      </c>
      <c r="I32" s="57"/>
      <c r="J32" s="2"/>
    </row>
    <row r="33" spans="1:11" x14ac:dyDescent="0.2">
      <c r="A33" t="str">
        <f t="shared" si="2"/>
        <v>2002</v>
      </c>
      <c r="C33" s="58">
        <f>'6.4'!H33</f>
        <v>0.11700000000000001</v>
      </c>
      <c r="D33" s="58">
        <f>'6.5'!H33</f>
        <v>0.313</v>
      </c>
      <c r="E33" s="58">
        <f>'6.6'!H33</f>
        <v>7.1999999999999995E-2</v>
      </c>
      <c r="F33" s="58">
        <f>'6.7'!H33</f>
        <v>9.6000000000000002E-2</v>
      </c>
      <c r="G33" s="22">
        <f t="shared" si="4"/>
        <v>0.14099999999999999</v>
      </c>
      <c r="H33" s="28">
        <f t="shared" si="1"/>
        <v>0.14099999999999999</v>
      </c>
      <c r="I33" s="57"/>
      <c r="J33" s="2"/>
      <c r="K33" t="s">
        <v>238</v>
      </c>
    </row>
    <row r="34" spans="1:11" x14ac:dyDescent="0.2">
      <c r="A34" t="str">
        <f t="shared" si="2"/>
        <v>2003</v>
      </c>
      <c r="B34" s="24"/>
      <c r="C34" s="58">
        <f>'6.4'!H34</f>
        <v>2.5000000000000001E-2</v>
      </c>
      <c r="D34" s="58">
        <f>'6.5'!H34</f>
        <v>8.7999999999999995E-2</v>
      </c>
      <c r="E34" s="58">
        <f>'6.6'!H34</f>
        <v>0.51300000000000001</v>
      </c>
      <c r="F34" s="58">
        <f>'6.7'!H34</f>
        <v>0.32600000000000001</v>
      </c>
      <c r="G34" s="22">
        <f t="shared" si="4"/>
        <v>0.22800000000000001</v>
      </c>
      <c r="H34" s="28">
        <f t="shared" si="1"/>
        <v>0.22800000000000001</v>
      </c>
      <c r="I34" s="57"/>
      <c r="J34" s="2"/>
      <c r="K34" s="303">
        <f>'6.4'!L50</f>
        <v>43830</v>
      </c>
    </row>
    <row r="35" spans="1:11" x14ac:dyDescent="0.2">
      <c r="A35" t="str">
        <f t="shared" si="2"/>
        <v>2004</v>
      </c>
      <c r="B35" s="24"/>
      <c r="C35" s="58">
        <f>'6.4'!H35</f>
        <v>2.9000000000000001E-2</v>
      </c>
      <c r="D35" s="58">
        <f>'6.5'!H35</f>
        <v>6.0000000000000001E-3</v>
      </c>
      <c r="E35" s="58">
        <f>'6.6'!H35</f>
        <v>0.02</v>
      </c>
      <c r="F35" s="58">
        <f>'6.7'!H35</f>
        <v>3.1E-2</v>
      </c>
      <c r="G35" s="22">
        <f t="shared" si="4"/>
        <v>2.1000000000000001E-2</v>
      </c>
      <c r="H35" s="28">
        <f t="shared" si="1"/>
        <v>2.1000000000000001E-2</v>
      </c>
      <c r="I35" s="57"/>
      <c r="J35" s="2"/>
    </row>
    <row r="36" spans="1:11" x14ac:dyDescent="0.2">
      <c r="A36" t="str">
        <f t="shared" si="2"/>
        <v>2005</v>
      </c>
      <c r="B36" s="24"/>
      <c r="C36" s="58">
        <f>'6.4'!H36</f>
        <v>0.66600000000000004</v>
      </c>
      <c r="D36" s="58">
        <f>'6.5'!H36</f>
        <v>1.7000000000000001E-2</v>
      </c>
      <c r="E36" s="58">
        <f>'6.6'!H36</f>
        <v>3.7789999999999999</v>
      </c>
      <c r="F36" s="58">
        <f>'6.7'!H36</f>
        <v>0.50800000000000001</v>
      </c>
      <c r="G36" s="22">
        <f t="shared" si="4"/>
        <v>1.724</v>
      </c>
      <c r="H36" s="28">
        <f t="shared" si="1"/>
        <v>1.724</v>
      </c>
      <c r="I36" s="57"/>
      <c r="J36" s="2"/>
    </row>
    <row r="37" spans="1:11" x14ac:dyDescent="0.2">
      <c r="A37" t="str">
        <f t="shared" si="2"/>
        <v>2006</v>
      </c>
      <c r="B37" s="48"/>
      <c r="C37" s="58">
        <f>'6.4'!H37</f>
        <v>2.3E-2</v>
      </c>
      <c r="D37" s="58">
        <f>'6.5'!H37</f>
        <v>1.0999999999999999E-2</v>
      </c>
      <c r="E37" s="58">
        <f>'6.6'!H37</f>
        <v>2.5999999999999999E-2</v>
      </c>
      <c r="F37" s="58">
        <f>'6.7'!H37</f>
        <v>5.8999999999999997E-2</v>
      </c>
      <c r="G37" s="22">
        <f t="shared" si="4"/>
        <v>2.1999999999999999E-2</v>
      </c>
      <c r="H37" s="28">
        <f t="shared" si="1"/>
        <v>2.1999999999999999E-2</v>
      </c>
      <c r="I37" s="57"/>
      <c r="J37" s="2"/>
    </row>
    <row r="38" spans="1:11" x14ac:dyDescent="0.2">
      <c r="A38" t="str">
        <f t="shared" si="2"/>
        <v>2007</v>
      </c>
      <c r="B38" s="48"/>
      <c r="C38" s="58">
        <f>'6.4'!H38</f>
        <v>1.6E-2</v>
      </c>
      <c r="D38" s="58">
        <f>'6.5'!H38</f>
        <v>0.56499999999999995</v>
      </c>
      <c r="E38" s="58">
        <f>'6.6'!H38</f>
        <v>5.8999999999999997E-2</v>
      </c>
      <c r="F38" s="58">
        <f>'6.7'!H38</f>
        <v>9.9000000000000005E-2</v>
      </c>
      <c r="G38" s="22">
        <f t="shared" si="4"/>
        <v>0.15</v>
      </c>
      <c r="H38" s="28">
        <f t="shared" si="1"/>
        <v>0.15</v>
      </c>
      <c r="I38" s="57"/>
      <c r="J38" s="2"/>
    </row>
    <row r="39" spans="1:11" x14ac:dyDescent="0.2">
      <c r="A39" t="str">
        <f t="shared" si="2"/>
        <v>2008</v>
      </c>
      <c r="B39" s="48"/>
      <c r="C39" s="58">
        <f>'6.4'!H39</f>
        <v>6.9909999999999997</v>
      </c>
      <c r="D39" s="58">
        <f>'6.5'!H39</f>
        <v>0.36399999999999999</v>
      </c>
      <c r="E39" s="58">
        <f>'6.6'!H39</f>
        <v>4.8179999999999996</v>
      </c>
      <c r="F39" s="58">
        <f>'6.7'!H39</f>
        <v>4.8899999999999997</v>
      </c>
      <c r="G39" s="22">
        <f t="shared" si="4"/>
        <v>4.7320000000000002</v>
      </c>
      <c r="H39" s="28">
        <f t="shared" si="1"/>
        <v>4.7320000000000002</v>
      </c>
      <c r="I39" s="57"/>
      <c r="J39" s="2"/>
    </row>
    <row r="40" spans="1:11" x14ac:dyDescent="0.2">
      <c r="A40" t="str">
        <f t="shared" si="2"/>
        <v>2009</v>
      </c>
      <c r="C40" s="58">
        <f>'6.4'!H40</f>
        <v>2.5000000000000001E-2</v>
      </c>
      <c r="D40" s="58">
        <f>'6.5'!H40</f>
        <v>4.7E-2</v>
      </c>
      <c r="E40" s="58">
        <f>'6.6'!H40</f>
        <v>1.6E-2</v>
      </c>
      <c r="F40" s="58">
        <f>'6.7'!H40</f>
        <v>9.6000000000000002E-2</v>
      </c>
      <c r="G40" s="22">
        <f t="shared" si="4"/>
        <v>2.7E-2</v>
      </c>
      <c r="H40" s="61">
        <f>G40</f>
        <v>2.7E-2</v>
      </c>
      <c r="I40" s="57"/>
      <c r="J40" s="2"/>
    </row>
    <row r="41" spans="1:11" x14ac:dyDescent="0.2">
      <c r="A41" t="str">
        <f t="shared" si="2"/>
        <v>2010</v>
      </c>
      <c r="C41" s="58">
        <f>'6.4'!H41</f>
        <v>1.4999999999999999E-2</v>
      </c>
      <c r="D41" s="58">
        <f>'6.5'!H41</f>
        <v>4.5999999999999999E-2</v>
      </c>
      <c r="E41" s="58">
        <f>'6.6'!H41</f>
        <v>6.0999999999999999E-2</v>
      </c>
      <c r="F41" s="58">
        <f>'6.7'!H41</f>
        <v>3.4000000000000002E-2</v>
      </c>
      <c r="G41" s="22">
        <f t="shared" si="4"/>
        <v>3.9E-2</v>
      </c>
      <c r="H41" s="61">
        <f>G41*'2.2'!D14</f>
        <v>3.9E-2</v>
      </c>
      <c r="I41" s="57"/>
      <c r="J41" s="2"/>
    </row>
    <row r="42" spans="1:11" x14ac:dyDescent="0.2">
      <c r="A42" t="str">
        <f t="shared" si="2"/>
        <v>2011</v>
      </c>
      <c r="C42" s="58">
        <f>'6.4'!H42</f>
        <v>3.9E-2</v>
      </c>
      <c r="D42" s="58">
        <f>'6.5'!H42</f>
        <v>0.309</v>
      </c>
      <c r="E42" s="58">
        <f>'6.6'!H42</f>
        <v>0.192</v>
      </c>
      <c r="F42" s="58">
        <f>'6.7'!H42</f>
        <v>0.191</v>
      </c>
      <c r="G42" s="22">
        <f t="shared" si="4"/>
        <v>0.156</v>
      </c>
      <c r="H42" s="61">
        <f>G42*'2.2'!D15</f>
        <v>0.156</v>
      </c>
      <c r="I42" s="57"/>
      <c r="J42" s="2"/>
    </row>
    <row r="43" spans="1:11" x14ac:dyDescent="0.2">
      <c r="A43" t="str">
        <f t="shared" si="2"/>
        <v>2012</v>
      </c>
      <c r="B43" s="47"/>
      <c r="C43" s="58">
        <f>'6.4'!H43</f>
        <v>0.19</v>
      </c>
      <c r="D43" s="58">
        <f>'6.5'!H43</f>
        <v>0.24199999999999999</v>
      </c>
      <c r="E43" s="58">
        <f>'6.6'!H43</f>
        <v>0.153</v>
      </c>
      <c r="F43" s="58">
        <f>'6.7'!H43</f>
        <v>0.109</v>
      </c>
      <c r="G43" s="22">
        <f t="shared" si="4"/>
        <v>0.186</v>
      </c>
      <c r="H43" s="61">
        <f>G43*'2.2'!D16</f>
        <v>0.186</v>
      </c>
      <c r="I43" s="57"/>
      <c r="J43" s="2"/>
      <c r="K43" t="s">
        <v>237</v>
      </c>
    </row>
    <row r="44" spans="1:11" x14ac:dyDescent="0.2">
      <c r="A44" t="str">
        <f t="shared" si="2"/>
        <v>2013</v>
      </c>
      <c r="B44" s="47"/>
      <c r="C44" s="58">
        <f>'6.4'!H44</f>
        <v>0.14199999999999999</v>
      </c>
      <c r="D44" s="58">
        <f>'6.5'!H44</f>
        <v>4.2999999999999997E-2</v>
      </c>
      <c r="E44" s="58">
        <f>'6.6'!H44</f>
        <v>1.2E-2</v>
      </c>
      <c r="F44" s="58">
        <f>'6.7'!H44</f>
        <v>7.2999999999999995E-2</v>
      </c>
      <c r="G44" s="22">
        <f t="shared" si="4"/>
        <v>7.0000000000000007E-2</v>
      </c>
      <c r="H44" s="61">
        <f>G44*'2.2'!D17</f>
        <v>7.0000000000000007E-2</v>
      </c>
      <c r="I44" s="57"/>
      <c r="J44" s="2"/>
      <c r="K44" s="93">
        <v>43830</v>
      </c>
    </row>
    <row r="45" spans="1:11" x14ac:dyDescent="0.2">
      <c r="A45" t="str">
        <f t="shared" si="2"/>
        <v>2014</v>
      </c>
      <c r="B45" s="47"/>
      <c r="C45" s="58">
        <f>'6.4'!H45</f>
        <v>6.0000000000000001E-3</v>
      </c>
      <c r="D45" s="58">
        <f>'6.5'!H45</f>
        <v>2.4E-2</v>
      </c>
      <c r="E45" s="58">
        <f>'6.6'!H45</f>
        <v>1.0999999999999999E-2</v>
      </c>
      <c r="F45" s="58">
        <f>'6.7'!H45</f>
        <v>4.5999999999999999E-2</v>
      </c>
      <c r="G45" s="50">
        <f t="shared" si="4"/>
        <v>1.2E-2</v>
      </c>
      <c r="H45" s="61">
        <f>G45*'2.2'!D18</f>
        <v>1.2072000000000001E-2</v>
      </c>
      <c r="I45" s="57"/>
      <c r="J45" s="2"/>
      <c r="K45" s="102"/>
    </row>
    <row r="46" spans="1:11" x14ac:dyDescent="0.2">
      <c r="A46" t="str">
        <f t="shared" si="2"/>
        <v>2015</v>
      </c>
      <c r="B46" s="47"/>
      <c r="C46" s="60">
        <f>'6.4'!H46</f>
        <v>0.121</v>
      </c>
      <c r="D46" s="60">
        <f>'6.5'!H46</f>
        <v>4.4999999999999998E-2</v>
      </c>
      <c r="E46" s="60">
        <f>'6.6'!H46</f>
        <v>0.22500000000000001</v>
      </c>
      <c r="F46" s="60">
        <f>'6.7'!H46</f>
        <v>0.14399999999999999</v>
      </c>
      <c r="G46" s="50">
        <f t="shared" si="4"/>
        <v>0.14499999999999999</v>
      </c>
      <c r="H46" s="61">
        <f>G46*'2.2'!D19</f>
        <v>0.14833499999999997</v>
      </c>
      <c r="I46" s="57"/>
      <c r="J46" s="2"/>
      <c r="K46" s="102"/>
    </row>
    <row r="47" spans="1:11" x14ac:dyDescent="0.2">
      <c r="A47" s="48">
        <v>2016</v>
      </c>
      <c r="B47" s="47"/>
      <c r="C47" s="60">
        <f>'6.4'!H47</f>
        <v>8.9999999999999993E-3</v>
      </c>
      <c r="D47" s="60">
        <f>'6.5'!H47</f>
        <v>8.2000000000000003E-2</v>
      </c>
      <c r="E47" s="60">
        <f>'6.6'!H47</f>
        <v>3.7999999999999999E-2</v>
      </c>
      <c r="F47" s="60">
        <f>'6.7'!H47</f>
        <v>0.32200000000000001</v>
      </c>
      <c r="G47" s="50">
        <f t="shared" si="4"/>
        <v>3.7999999999999999E-2</v>
      </c>
      <c r="H47" s="61">
        <f>G47*'2.2'!D20</f>
        <v>3.9025999999999998E-2</v>
      </c>
      <c r="I47" s="57"/>
      <c r="J47" s="2"/>
    </row>
    <row r="48" spans="1:11" x14ac:dyDescent="0.2">
      <c r="A48" s="48">
        <v>2017</v>
      </c>
      <c r="B48" s="47"/>
      <c r="C48" s="60">
        <f>'6.4'!H48</f>
        <v>0.81499999999999995</v>
      </c>
      <c r="D48" s="60">
        <f>'6.5'!H48</f>
        <v>12.433</v>
      </c>
      <c r="E48" s="60">
        <f>'6.6'!H48</f>
        <v>4.6909999999999998</v>
      </c>
      <c r="F48" s="60">
        <f>'6.7'!H48</f>
        <v>1.3380000000000001</v>
      </c>
      <c r="G48" s="50">
        <f t="shared" si="4"/>
        <v>4.7789999999999999</v>
      </c>
      <c r="H48" s="61">
        <f>G48*'2.2'!D21</f>
        <v>5.0466240000000004</v>
      </c>
      <c r="I48" s="57"/>
      <c r="J48" s="2"/>
    </row>
    <row r="49" spans="1:10" x14ac:dyDescent="0.2">
      <c r="A49" s="48">
        <v>2018</v>
      </c>
      <c r="B49" s="47"/>
      <c r="C49" s="60">
        <f>'6.4'!H49</f>
        <v>7.0000000000000001E-3</v>
      </c>
      <c r="D49" s="60">
        <f>'6.5'!H49</f>
        <v>1.2E-2</v>
      </c>
      <c r="E49" s="60">
        <f>'6.6'!H49</f>
        <v>1.7999999999999999E-2</v>
      </c>
      <c r="F49" s="60">
        <f>'6.7'!H49</f>
        <v>0.129</v>
      </c>
      <c r="G49" s="50">
        <f t="shared" si="4"/>
        <v>1.2999999999999999E-2</v>
      </c>
      <c r="H49" s="61">
        <f>G49*'2.2'!D22</f>
        <v>1.4858999999999999E-2</v>
      </c>
      <c r="I49" s="57"/>
      <c r="J49" s="2"/>
    </row>
    <row r="50" spans="1:10" x14ac:dyDescent="0.2">
      <c r="A50" s="25">
        <v>2019</v>
      </c>
      <c r="B50" s="9"/>
      <c r="C50" s="65">
        <f>'6.4'!H50</f>
        <v>1.0999999999999999E-2</v>
      </c>
      <c r="D50" s="65">
        <f>'6.5'!H50</f>
        <v>8.9999999999999993E-3</v>
      </c>
      <c r="E50" s="65">
        <f>'6.6'!H50</f>
        <v>4.2999999999999997E-2</v>
      </c>
      <c r="F50" s="65">
        <f>'6.7'!H50</f>
        <v>0.28000000000000003</v>
      </c>
      <c r="G50" s="66">
        <f t="shared" si="4"/>
        <v>2.5000000000000001E-2</v>
      </c>
      <c r="H50" s="373">
        <f>G50*'2.2'!D23</f>
        <v>3.4300000000000004E-2</v>
      </c>
      <c r="I50" s="57"/>
      <c r="J50" s="2"/>
    </row>
    <row r="51" spans="1:10" x14ac:dyDescent="0.2">
      <c r="A51" t="s">
        <v>51</v>
      </c>
      <c r="C51" s="22">
        <f>ROUND(AVERAGE(C14:C50),3)</f>
        <v>0.63100000000000001</v>
      </c>
      <c r="D51" s="22">
        <f>ROUND(AVERAGE(D14:D50),3)</f>
        <v>0.42299999999999999</v>
      </c>
      <c r="E51" s="22">
        <f t="shared" ref="E51:H51" si="5">ROUND(AVERAGE(E14:E50),3)</f>
        <v>0.48799999999999999</v>
      </c>
      <c r="F51" s="22">
        <f t="shared" si="5"/>
        <v>0.34399999999999997</v>
      </c>
      <c r="G51" s="22">
        <f t="shared" si="5"/>
        <v>0.53</v>
      </c>
      <c r="H51" s="22">
        <f t="shared" si="5"/>
        <v>0.53800000000000003</v>
      </c>
      <c r="I51" s="57"/>
      <c r="J51" s="2"/>
    </row>
    <row r="52" spans="1:10" x14ac:dyDescent="0.2">
      <c r="C52" s="22"/>
      <c r="D52" s="22"/>
      <c r="E52" s="22"/>
      <c r="F52" s="22"/>
      <c r="G52" s="22"/>
      <c r="J52" s="2"/>
    </row>
    <row r="53" spans="1:10" x14ac:dyDescent="0.2">
      <c r="J53" s="2"/>
    </row>
    <row r="54" spans="1:10" x14ac:dyDescent="0.2">
      <c r="C54" s="23" t="str">
        <f>"TWIA "&amp;YEAR($K$44)&amp;" Written Premium by Territory / Tier"</f>
        <v>TWIA 2019 Written Premium by Territory / Tier</v>
      </c>
      <c r="J54" s="2"/>
    </row>
    <row r="55" spans="1:10" x14ac:dyDescent="0.2">
      <c r="J55" s="2"/>
    </row>
    <row r="56" spans="1:10" x14ac:dyDescent="0.2">
      <c r="A56" s="9"/>
      <c r="B56" s="9"/>
      <c r="C56" s="9" t="s">
        <v>100</v>
      </c>
      <c r="D56" s="9" t="s">
        <v>101</v>
      </c>
      <c r="E56" s="9" t="s">
        <v>102</v>
      </c>
      <c r="F56" s="9" t="s">
        <v>22</v>
      </c>
      <c r="G56" s="9" t="s">
        <v>8</v>
      </c>
      <c r="J56" s="2"/>
    </row>
    <row r="57" spans="1:10" x14ac:dyDescent="0.2">
      <c r="J57" s="2"/>
    </row>
    <row r="58" spans="1:10" x14ac:dyDescent="0.2">
      <c r="A58" s="53" t="s">
        <v>92</v>
      </c>
      <c r="B58" t="s">
        <v>23</v>
      </c>
      <c r="C58" s="97">
        <f>'[3]TWIA 5'!$X$23</f>
        <v>23347170</v>
      </c>
      <c r="D58" s="97">
        <f>'[3]TWIA 5'!$X$24</f>
        <v>12542546</v>
      </c>
      <c r="E58" s="97">
        <f>'[3]TWIA 5'!$X$25</f>
        <v>22695795</v>
      </c>
      <c r="F58" s="97">
        <f>'[3]TWIA 5'!$X$26</f>
        <v>420408</v>
      </c>
      <c r="G58" s="29">
        <f>SUM(C58:F58)</f>
        <v>59005919</v>
      </c>
      <c r="J58" s="2"/>
    </row>
    <row r="59" spans="1:10" x14ac:dyDescent="0.2">
      <c r="A59" s="53" t="s">
        <v>91</v>
      </c>
      <c r="B59" t="s">
        <v>105</v>
      </c>
      <c r="C59" s="142">
        <f>C58/$G58</f>
        <v>0.39567505083684912</v>
      </c>
      <c r="D59" s="142">
        <f>D58/$G58</f>
        <v>0.21256420055079558</v>
      </c>
      <c r="E59" s="142">
        <f>E58/$G58</f>
        <v>0.38463590406921722</v>
      </c>
      <c r="F59" s="142">
        <f>F58/$G58</f>
        <v>7.1248445431381213E-3</v>
      </c>
      <c r="G59" s="142">
        <f>SUM(C59:F59)</f>
        <v>1</v>
      </c>
      <c r="J59" s="2"/>
    </row>
    <row r="60" spans="1:10" ht="12" thickBot="1" x14ac:dyDescent="0.25">
      <c r="A60" s="6"/>
      <c r="B60" s="6"/>
      <c r="C60" s="6"/>
      <c r="D60" s="6"/>
      <c r="E60" s="6"/>
      <c r="F60" s="6"/>
      <c r="G60" s="6"/>
      <c r="J60" s="2"/>
    </row>
    <row r="61" spans="1:10" ht="12" thickTop="1" x14ac:dyDescent="0.2">
      <c r="J61" s="2"/>
    </row>
    <row r="62" spans="1:10" x14ac:dyDescent="0.2">
      <c r="A62" t="s">
        <v>18</v>
      </c>
      <c r="F62" s="42"/>
      <c r="J62" s="2"/>
    </row>
    <row r="63" spans="1:10" x14ac:dyDescent="0.2">
      <c r="B63" s="21" t="str">
        <f>C12&amp;" "&amp;'6.4'!$J$1&amp;", "&amp;'6.4'!$J$2</f>
        <v>(2) Exhibit 6, Sheet 4</v>
      </c>
      <c r="J63" s="2"/>
    </row>
    <row r="64" spans="1:10" x14ac:dyDescent="0.2">
      <c r="B64" s="21" t="str">
        <f>D12&amp;" "&amp;'6.5'!$J$1&amp;", "&amp;'6.5'!$J$2</f>
        <v>(3) Exhibit 6, Sheet 5</v>
      </c>
      <c r="J64" s="2"/>
    </row>
    <row r="65" spans="1:10" x14ac:dyDescent="0.2">
      <c r="B65" s="21" t="str">
        <f>E12&amp;" "&amp;'6.6'!$J$1&amp;", "&amp;'6.6'!$J$2</f>
        <v>(4) Exhibit 6, Sheet 6</v>
      </c>
      <c r="J65" s="2"/>
    </row>
    <row r="66" spans="1:10" x14ac:dyDescent="0.2">
      <c r="B66" s="21" t="str">
        <f>F12&amp;" "&amp;'6.7'!$J$1&amp;", "&amp;'6.7'!$J$2</f>
        <v>(5) Exhibit 6, Sheet 7</v>
      </c>
      <c r="J66" s="2"/>
    </row>
    <row r="67" spans="1:10" x14ac:dyDescent="0.2">
      <c r="B67" s="21" t="str">
        <f>G12&amp;" = Weighted average of "&amp;C12&amp;" to "&amp;F12&amp;", using "&amp;A59</f>
        <v>(6) = Weighted average of (2) to (5), using (9)</v>
      </c>
      <c r="J67" s="2"/>
    </row>
    <row r="68" spans="1:10" x14ac:dyDescent="0.2">
      <c r="B68" t="s">
        <v>559</v>
      </c>
      <c r="D68" s="58"/>
      <c r="E68" s="58"/>
      <c r="F68" s="58"/>
      <c r="G68" s="22"/>
      <c r="J68" s="2"/>
    </row>
    <row r="69" spans="1:10" x14ac:dyDescent="0.2">
      <c r="B69" s="24" t="str">
        <f>A58&amp;" Provided by TWIA"</f>
        <v>(8) Provided by TWIA</v>
      </c>
      <c r="J69" s="2"/>
    </row>
    <row r="70" spans="1:10" ht="12" thickBot="1" x14ac:dyDescent="0.25">
      <c r="B70" s="24" t="str">
        <f>A59&amp;" = "&amp;A58&amp;" / "&amp;A58&amp;" Total"</f>
        <v>(9) = (8) / (8) Total</v>
      </c>
      <c r="J70" s="2"/>
    </row>
    <row r="71" spans="1:10" hidden="1" x14ac:dyDescent="0.2">
      <c r="J71" s="2"/>
    </row>
    <row r="72" spans="1:10" ht="12" hidden="1" thickBot="1" x14ac:dyDescent="0.25">
      <c r="J72" s="2"/>
    </row>
    <row r="73" spans="1:10" ht="12" thickBot="1" x14ac:dyDescent="0.25">
      <c r="A73" s="4"/>
      <c r="B73" s="5"/>
      <c r="C73" s="5"/>
      <c r="D73" s="5"/>
      <c r="E73" s="5"/>
      <c r="F73" s="5"/>
      <c r="G73" s="5"/>
      <c r="H73" s="5"/>
      <c r="I73" s="5"/>
      <c r="J7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92D050"/>
  </sheetPr>
  <dimension ref="A1:II83"/>
  <sheetViews>
    <sheetView showGridLines="0" zoomScaleNormal="100" workbookViewId="0">
      <selection activeCell="I14" sqref="I14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  <col min="11" max="19" width="11.33203125" customWidth="1"/>
    <col min="20" max="59" width="5.5" bestFit="1" customWidth="1"/>
    <col min="60" max="219" width="2.1640625" customWidth="1"/>
    <col min="220" max="241" width="2.33203125" customWidth="1"/>
  </cols>
  <sheetData>
    <row r="1" spans="1:59" x14ac:dyDescent="0.2">
      <c r="A1" s="8" t="str">
        <f>'1'!$A$1</f>
        <v>Texas Windstorm Insurance Association</v>
      </c>
      <c r="B1" s="12"/>
      <c r="I1" s="47"/>
      <c r="J1" s="7" t="s">
        <v>84</v>
      </c>
      <c r="K1" s="1"/>
      <c r="L1" s="71">
        <v>44012</v>
      </c>
    </row>
    <row r="2" spans="1:59" x14ac:dyDescent="0.2">
      <c r="A2" s="8" t="str">
        <f>'1'!$A$2</f>
        <v>Commercial Property - Wind &amp; Hail</v>
      </c>
      <c r="B2" s="12"/>
      <c r="I2" s="47"/>
      <c r="J2" s="7" t="s">
        <v>71</v>
      </c>
      <c r="K2" s="2"/>
    </row>
    <row r="3" spans="1:59" x14ac:dyDescent="0.2">
      <c r="A3" s="8" t="str">
        <f>'1'!$A$3</f>
        <v>Rate Level Review</v>
      </c>
      <c r="B3" s="12"/>
      <c r="I3" s="47"/>
      <c r="K3" s="2"/>
    </row>
    <row r="4" spans="1:59" x14ac:dyDescent="0.2">
      <c r="A4" t="s">
        <v>227</v>
      </c>
      <c r="B4" s="12"/>
      <c r="I4" s="47"/>
      <c r="K4" s="2"/>
    </row>
    <row r="5" spans="1:59" x14ac:dyDescent="0.2">
      <c r="A5" s="57" t="s">
        <v>26</v>
      </c>
      <c r="B5" s="21"/>
      <c r="C5" s="57"/>
      <c r="D5" s="57"/>
      <c r="E5" s="464"/>
      <c r="F5" s="464"/>
      <c r="G5" s="464"/>
      <c r="H5" s="464"/>
      <c r="I5" s="47"/>
      <c r="K5" s="2"/>
      <c r="P5" s="10" t="s">
        <v>244</v>
      </c>
    </row>
    <row r="6" spans="1:59" x14ac:dyDescent="0.2">
      <c r="I6" s="47"/>
      <c r="K6" s="2"/>
      <c r="P6" t="s">
        <v>195</v>
      </c>
      <c r="Q6" t="s">
        <v>245</v>
      </c>
      <c r="R6" s="11" t="s">
        <v>246</v>
      </c>
      <c r="S6" t="s">
        <v>54</v>
      </c>
      <c r="T6">
        <v>1980</v>
      </c>
      <c r="U6">
        <f>T6+1</f>
        <v>1981</v>
      </c>
      <c r="V6">
        <f t="shared" ref="V6:BB6" si="0">U6+1</f>
        <v>1982</v>
      </c>
      <c r="W6">
        <f t="shared" si="0"/>
        <v>1983</v>
      </c>
      <c r="X6">
        <f t="shared" si="0"/>
        <v>1984</v>
      </c>
      <c r="Y6">
        <f t="shared" si="0"/>
        <v>1985</v>
      </c>
      <c r="Z6">
        <f t="shared" si="0"/>
        <v>1986</v>
      </c>
      <c r="AA6">
        <f t="shared" si="0"/>
        <v>1987</v>
      </c>
      <c r="AB6">
        <f t="shared" si="0"/>
        <v>1988</v>
      </c>
      <c r="AC6">
        <f t="shared" si="0"/>
        <v>1989</v>
      </c>
      <c r="AD6">
        <f t="shared" si="0"/>
        <v>1990</v>
      </c>
      <c r="AE6">
        <f t="shared" si="0"/>
        <v>1991</v>
      </c>
      <c r="AF6">
        <f t="shared" si="0"/>
        <v>1992</v>
      </c>
      <c r="AG6">
        <f t="shared" si="0"/>
        <v>1993</v>
      </c>
      <c r="AH6">
        <f t="shared" si="0"/>
        <v>1994</v>
      </c>
      <c r="AI6">
        <f t="shared" si="0"/>
        <v>1995</v>
      </c>
      <c r="AJ6">
        <f t="shared" si="0"/>
        <v>1996</v>
      </c>
      <c r="AK6">
        <f t="shared" si="0"/>
        <v>1997</v>
      </c>
      <c r="AL6">
        <f t="shared" si="0"/>
        <v>1998</v>
      </c>
      <c r="AM6">
        <f t="shared" si="0"/>
        <v>1999</v>
      </c>
      <c r="AN6">
        <f t="shared" si="0"/>
        <v>2000</v>
      </c>
      <c r="AO6">
        <f t="shared" si="0"/>
        <v>2001</v>
      </c>
      <c r="AP6">
        <f t="shared" si="0"/>
        <v>2002</v>
      </c>
      <c r="AQ6">
        <f t="shared" si="0"/>
        <v>2003</v>
      </c>
      <c r="AR6">
        <f t="shared" si="0"/>
        <v>2004</v>
      </c>
      <c r="AS6">
        <f t="shared" si="0"/>
        <v>2005</v>
      </c>
      <c r="AT6">
        <f t="shared" si="0"/>
        <v>2006</v>
      </c>
      <c r="AU6">
        <f t="shared" si="0"/>
        <v>2007</v>
      </c>
      <c r="AV6">
        <f t="shared" si="0"/>
        <v>2008</v>
      </c>
      <c r="AW6">
        <f t="shared" si="0"/>
        <v>2009</v>
      </c>
      <c r="AX6">
        <f t="shared" si="0"/>
        <v>2010</v>
      </c>
      <c r="AY6">
        <f t="shared" si="0"/>
        <v>2011</v>
      </c>
      <c r="AZ6">
        <f t="shared" si="0"/>
        <v>2012</v>
      </c>
      <c r="BA6">
        <f t="shared" si="0"/>
        <v>2013</v>
      </c>
      <c r="BB6">
        <f t="shared" si="0"/>
        <v>2014</v>
      </c>
      <c r="BC6">
        <f t="shared" ref="BC6" si="1">BB6+1</f>
        <v>2015</v>
      </c>
      <c r="BD6">
        <f t="shared" ref="BD6" si="2">BC6+1</f>
        <v>2016</v>
      </c>
      <c r="BE6">
        <f t="shared" ref="BE6" si="3">BD6+1</f>
        <v>2017</v>
      </c>
      <c r="BF6">
        <f t="shared" ref="BF6" si="4">BE6+1</f>
        <v>2018</v>
      </c>
      <c r="BG6">
        <f t="shared" ref="BG6" si="5">BF6+1</f>
        <v>2019</v>
      </c>
    </row>
    <row r="7" spans="1:59" ht="12" thickBot="1" x14ac:dyDescent="0.25">
      <c r="A7" s="6"/>
      <c r="B7" s="6"/>
      <c r="C7" s="6"/>
      <c r="D7" s="6"/>
      <c r="E7" s="6"/>
      <c r="F7" s="6"/>
      <c r="G7" s="6"/>
      <c r="H7" s="6"/>
      <c r="I7" s="47"/>
      <c r="K7" s="2"/>
      <c r="O7" t="s">
        <v>15</v>
      </c>
      <c r="P7" t="str">
        <f>'10.3'!A14</f>
        <v>Prior</v>
      </c>
      <c r="R7">
        <v>1</v>
      </c>
      <c r="S7" s="105">
        <f>'10.3'!D14</f>
        <v>1</v>
      </c>
      <c r="T7" s="105">
        <f>1-T8</f>
        <v>0.91319444444444442</v>
      </c>
      <c r="U7" s="105">
        <f>0.5*(7/12)^2</f>
        <v>0.17013888888888892</v>
      </c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</row>
    <row r="8" spans="1:59" ht="12" thickTop="1" x14ac:dyDescent="0.2">
      <c r="I8" s="47"/>
      <c r="K8" s="2"/>
      <c r="O8" t="s">
        <v>16</v>
      </c>
      <c r="P8" s="57" t="str">
        <f>'10.3'!A15</f>
        <v>8/1/80</v>
      </c>
      <c r="Q8" s="404">
        <f>'10.3'!C15</f>
        <v>0.17499999999999999</v>
      </c>
      <c r="R8" s="75">
        <f>R7+Q8</f>
        <v>1.175</v>
      </c>
      <c r="S8" s="105">
        <f>'10.3'!D15</f>
        <v>1.175</v>
      </c>
      <c r="T8" s="105">
        <f>0.5*(5/12)^2</f>
        <v>8.6805555555555566E-2</v>
      </c>
      <c r="U8" s="105">
        <f>1-U7-U9</f>
        <v>0.77430555555555547</v>
      </c>
      <c r="V8" s="105">
        <f>0.5*(8/12)^2</f>
        <v>0.22222222222222221</v>
      </c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</row>
    <row r="9" spans="1:59" x14ac:dyDescent="0.2">
      <c r="C9" s="21"/>
      <c r="D9" t="s">
        <v>96</v>
      </c>
      <c r="E9" t="s">
        <v>230</v>
      </c>
      <c r="F9" t="s">
        <v>96</v>
      </c>
      <c r="I9" s="47"/>
      <c r="K9" s="2"/>
      <c r="L9" s="26"/>
      <c r="O9" t="s">
        <v>337</v>
      </c>
      <c r="P9" s="57" t="str">
        <f>'10.3'!A16</f>
        <v>9/1/81</v>
      </c>
      <c r="Q9" s="404">
        <f>'10.3'!C16</f>
        <v>-3.6999999999999998E-2</v>
      </c>
      <c r="R9" s="19">
        <f>1+Q9</f>
        <v>0.96299999999999997</v>
      </c>
      <c r="S9" s="105">
        <f>'10.3'!D16</f>
        <v>1.1315250000000001</v>
      </c>
      <c r="T9" s="105"/>
      <c r="U9" s="105">
        <f>0.5*(4/12)^2</f>
        <v>5.5555555555555552E-2</v>
      </c>
      <c r="V9" s="105">
        <f>1-V8-V10</f>
        <v>0.72222222222222221</v>
      </c>
      <c r="W9" s="105">
        <f>0.5*(8/12)^2</f>
        <v>0.22222222222222221</v>
      </c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</row>
    <row r="10" spans="1:59" x14ac:dyDescent="0.2">
      <c r="A10" t="s">
        <v>41</v>
      </c>
      <c r="C10" t="s">
        <v>96</v>
      </c>
      <c r="D10" t="s">
        <v>97</v>
      </c>
      <c r="E10" t="s">
        <v>231</v>
      </c>
      <c r="F10" t="s">
        <v>232</v>
      </c>
      <c r="G10" t="s">
        <v>67</v>
      </c>
      <c r="H10" t="s">
        <v>67</v>
      </c>
      <c r="I10" s="47"/>
      <c r="K10" s="2"/>
      <c r="L10" s="21"/>
      <c r="O10" t="s">
        <v>338</v>
      </c>
      <c r="P10" s="57" t="str">
        <f>'10.3'!A17</f>
        <v>9/1/82</v>
      </c>
      <c r="Q10" s="404">
        <f>'10.3'!C17</f>
        <v>0.26200000000000001</v>
      </c>
      <c r="R10" s="19">
        <f t="shared" ref="R10:R41" si="6">1+Q10</f>
        <v>1.262</v>
      </c>
      <c r="S10" s="105">
        <f>'10.3'!D17</f>
        <v>1.4279845500000001</v>
      </c>
      <c r="T10" s="105"/>
      <c r="U10" s="105"/>
      <c r="V10" s="105">
        <f>0.5*(4/12)^2</f>
        <v>5.5555555555555552E-2</v>
      </c>
      <c r="W10" s="105">
        <f>1-W9-W11</f>
        <v>0.75288689443866341</v>
      </c>
      <c r="X10" s="105">
        <f>0.5*((9/12)+(10/(31*12)))^2</f>
        <v>0.30177260376922188</v>
      </c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</row>
    <row r="11" spans="1:59" x14ac:dyDescent="0.2">
      <c r="A11" s="9" t="s">
        <v>42</v>
      </c>
      <c r="B11" s="9"/>
      <c r="C11" s="9" t="s">
        <v>97</v>
      </c>
      <c r="D11" s="9" t="s">
        <v>229</v>
      </c>
      <c r="E11" s="9" t="s">
        <v>106</v>
      </c>
      <c r="F11" s="9" t="s">
        <v>233</v>
      </c>
      <c r="G11" s="9" t="s">
        <v>34</v>
      </c>
      <c r="H11" s="9" t="s">
        <v>58</v>
      </c>
      <c r="I11" s="47"/>
      <c r="K11" s="2"/>
      <c r="L11" s="49"/>
      <c r="O11" t="s">
        <v>339</v>
      </c>
      <c r="P11" s="57" t="str">
        <f>'10.3'!A18</f>
        <v>10/10/83</v>
      </c>
      <c r="Q11" s="404">
        <f>'10.3'!C18</f>
        <v>0.06</v>
      </c>
      <c r="R11" s="19">
        <f t="shared" si="6"/>
        <v>1.06</v>
      </c>
      <c r="S11" s="105">
        <f>'10.3'!D18</f>
        <v>1.5136636230000002</v>
      </c>
      <c r="T11" s="105"/>
      <c r="U11" s="105"/>
      <c r="V11" s="105"/>
      <c r="W11" s="105">
        <f>0.5*((21/31)/12+(2/12))^2</f>
        <v>2.4890883339114347E-2</v>
      </c>
      <c r="X11" s="105">
        <f>1-X10</f>
        <v>0.69822739623077812</v>
      </c>
      <c r="Y11" s="105">
        <f>1-SUM(Y12:Y14)</f>
        <v>0.65277777777777768</v>
      </c>
      <c r="Z11" s="105">
        <f>0.5*(2/12)^2</f>
        <v>1.3888888888888888E-2</v>
      </c>
      <c r="AA11" s="105"/>
      <c r="AB11" s="105"/>
      <c r="AC11" s="105"/>
      <c r="AD11" s="105"/>
      <c r="AE11" s="105"/>
      <c r="AF11" s="105"/>
      <c r="AG11" s="105"/>
      <c r="AH11" s="105"/>
    </row>
    <row r="12" spans="1:59" x14ac:dyDescent="0.2">
      <c r="A12" s="13" t="str">
        <f>TEXT(COLUMN(),"(#)")</f>
        <v>(1)</v>
      </c>
      <c r="B12" s="13"/>
      <c r="C12" s="11" t="str">
        <f t="shared" ref="C12:H12" si="7">TEXT(COLUMN()-1,"(#)")</f>
        <v>(2)</v>
      </c>
      <c r="D12" s="11" t="str">
        <f t="shared" si="7"/>
        <v>(3)</v>
      </c>
      <c r="E12" s="11" t="str">
        <f t="shared" si="7"/>
        <v>(4)</v>
      </c>
      <c r="F12" s="11" t="str">
        <f t="shared" si="7"/>
        <v>(5)</v>
      </c>
      <c r="G12" s="11" t="str">
        <f t="shared" si="7"/>
        <v>(6)</v>
      </c>
      <c r="H12" s="11" t="str">
        <f t="shared" si="7"/>
        <v>(7)</v>
      </c>
      <c r="I12" s="131"/>
      <c r="K12" s="2"/>
      <c r="O12" s="306" t="s">
        <v>340</v>
      </c>
      <c r="P12" s="306" t="str">
        <f>'10.3'!A19</f>
        <v>3/1/85</v>
      </c>
      <c r="Q12" s="425">
        <f>'10.3'!C19</f>
        <v>0.25</v>
      </c>
      <c r="R12" s="19">
        <f t="shared" si="6"/>
        <v>1.25</v>
      </c>
      <c r="S12" s="426">
        <f>'10.3'!D19</f>
        <v>1.8920795287500003</v>
      </c>
      <c r="T12" s="426"/>
      <c r="U12" s="426"/>
      <c r="V12" s="426"/>
      <c r="W12" s="426"/>
      <c r="X12" s="426"/>
      <c r="Y12" s="426">
        <f>0.5*((10/12)^2)-Y13-Y14</f>
        <v>3.3854166666666741E-2</v>
      </c>
      <c r="Z12" s="426">
        <f>0.5*((2.5/12)^2)-Z11</f>
        <v>7.8125000000000035E-3</v>
      </c>
      <c r="AA12" s="426"/>
      <c r="AB12" s="426"/>
      <c r="AC12" s="426"/>
      <c r="AD12" s="105"/>
      <c r="AE12" s="105"/>
      <c r="AF12" s="105"/>
      <c r="AG12" s="105"/>
      <c r="AH12" s="105"/>
    </row>
    <row r="13" spans="1:59" x14ac:dyDescent="0.2">
      <c r="I13" s="47"/>
      <c r="K13" s="2"/>
      <c r="O13" s="306" t="s">
        <v>341</v>
      </c>
      <c r="P13" s="306" t="str">
        <f>'10.3'!A20</f>
        <v>3/15/85</v>
      </c>
      <c r="Q13" s="425">
        <f>'10.3'!C20</f>
        <v>0.28299999999999997</v>
      </c>
      <c r="R13" s="19">
        <f t="shared" si="6"/>
        <v>1.2829999999999999</v>
      </c>
      <c r="S13" s="426">
        <f>'10.3'!D20</f>
        <v>2.4275380353862501</v>
      </c>
      <c r="T13" s="426"/>
      <c r="U13" s="426"/>
      <c r="V13" s="426"/>
      <c r="W13" s="426"/>
      <c r="X13" s="426"/>
      <c r="Y13" s="426">
        <f>(0.5*(9.5/12)^2)-Y14</f>
        <v>0.30555555555555552</v>
      </c>
      <c r="Z13" s="426">
        <f>0.5*((10.5/12)^2)-Z12-Z11</f>
        <v>0.3611111111111111</v>
      </c>
      <c r="AA13" s="426"/>
      <c r="AB13" s="426"/>
      <c r="AC13" s="426"/>
      <c r="AD13" s="105"/>
      <c r="AE13" s="105"/>
      <c r="AF13" s="105"/>
      <c r="AG13" s="105"/>
      <c r="AH13" s="105"/>
    </row>
    <row r="14" spans="1:59" x14ac:dyDescent="0.2">
      <c r="A14" s="210" t="s">
        <v>438</v>
      </c>
      <c r="B14" s="57"/>
      <c r="C14" s="36">
        <v>913865</v>
      </c>
      <c r="D14" s="36">
        <v>968224</v>
      </c>
      <c r="E14" s="226">
        <f t="shared" ref="E14:E18" si="8">Q47</f>
        <v>3.6469825610545685</v>
      </c>
      <c r="F14" s="29">
        <f>D14*$E$23</f>
        <v>2610965.5703792581</v>
      </c>
      <c r="G14" s="36">
        <v>26357425</v>
      </c>
      <c r="H14" s="22">
        <f>ROUND(G14/F14,3)</f>
        <v>10.095000000000001</v>
      </c>
      <c r="I14" s="50"/>
      <c r="K14" s="2"/>
      <c r="L14" s="33"/>
      <c r="O14" s="306" t="s">
        <v>60</v>
      </c>
      <c r="P14" s="306" t="str">
        <f>'10.3'!A21</f>
        <v>11/15/85</v>
      </c>
      <c r="Q14" s="425">
        <f>'10.3'!C21</f>
        <v>9.1999999999999998E-2</v>
      </c>
      <c r="R14" s="19">
        <f t="shared" si="6"/>
        <v>1.0920000000000001</v>
      </c>
      <c r="S14" s="426">
        <f>'10.3'!D21</f>
        <v>2.6508715346417855</v>
      </c>
      <c r="T14" s="426"/>
      <c r="U14" s="426"/>
      <c r="V14" s="426"/>
      <c r="W14" s="426"/>
      <c r="X14" s="426"/>
      <c r="Y14" s="426">
        <f>0.5*(1.5/12)^2</f>
        <v>7.8125E-3</v>
      </c>
      <c r="Z14" s="426">
        <f>1-SUM(Z11:Z13)</f>
        <v>0.6171875</v>
      </c>
      <c r="AA14" s="426">
        <f>1-AA15</f>
        <v>0.875</v>
      </c>
      <c r="AB14" s="426">
        <v>0.125</v>
      </c>
      <c r="AC14" s="426"/>
      <c r="AD14" s="105"/>
      <c r="AE14" s="105"/>
      <c r="AF14" s="105"/>
      <c r="AG14" s="105"/>
      <c r="AH14" s="105"/>
    </row>
    <row r="15" spans="1:59" x14ac:dyDescent="0.2">
      <c r="A15" s="24" t="s">
        <v>439</v>
      </c>
      <c r="B15" s="57"/>
      <c r="C15" s="36">
        <v>1195339</v>
      </c>
      <c r="D15" s="36">
        <v>1366667</v>
      </c>
      <c r="E15" s="226">
        <f t="shared" si="8"/>
        <v>3.3440803344216081</v>
      </c>
      <c r="F15" s="29">
        <f t="shared" ref="F15:F21" si="9">D15*$E$23</f>
        <v>3685428.6644139267</v>
      </c>
      <c r="G15" s="36">
        <v>318455</v>
      </c>
      <c r="H15" s="22">
        <f t="shared" ref="H15:H47" si="10">ROUND(G15/F15,3)</f>
        <v>8.5999999999999993E-2</v>
      </c>
      <c r="I15" s="50"/>
      <c r="K15" s="2"/>
      <c r="O15" t="s">
        <v>342</v>
      </c>
      <c r="P15" s="57" t="str">
        <f>'10.3'!A22</f>
        <v>7/1/87</v>
      </c>
      <c r="Q15" s="404">
        <f>'10.3'!C22</f>
        <v>-9.1999999999999998E-2</v>
      </c>
      <c r="R15" s="19">
        <f t="shared" si="6"/>
        <v>0.90800000000000003</v>
      </c>
      <c r="S15" s="105">
        <f>'10.3'!D22</f>
        <v>2.4069913534547411</v>
      </c>
      <c r="T15" s="105"/>
      <c r="U15" s="105"/>
      <c r="V15" s="105"/>
      <c r="W15" s="105"/>
      <c r="X15" s="105"/>
      <c r="Y15" s="105"/>
      <c r="Z15" s="105"/>
      <c r="AA15" s="105">
        <v>0.125</v>
      </c>
      <c r="AB15" s="105">
        <f>1-AB14-AB16</f>
        <v>0.86111111111111116</v>
      </c>
      <c r="AC15" s="105">
        <f>0.5*(10/12)^2</f>
        <v>0.34722222222222227</v>
      </c>
      <c r="AD15" s="105"/>
      <c r="AE15" s="105"/>
      <c r="AF15" s="105"/>
      <c r="AG15" s="105"/>
      <c r="AH15" s="105"/>
    </row>
    <row r="16" spans="1:59" x14ac:dyDescent="0.2">
      <c r="A16" s="24" t="s">
        <v>440</v>
      </c>
      <c r="B16" s="57"/>
      <c r="C16" s="36">
        <v>2581481</v>
      </c>
      <c r="D16" s="36">
        <v>2777593</v>
      </c>
      <c r="E16" s="226">
        <f t="shared" si="8"/>
        <v>2.7418460800704461</v>
      </c>
      <c r="F16" s="29">
        <f t="shared" si="9"/>
        <v>7490208.5586872827</v>
      </c>
      <c r="G16" s="36">
        <v>314878</v>
      </c>
      <c r="H16" s="22">
        <f t="shared" si="10"/>
        <v>4.2000000000000003E-2</v>
      </c>
      <c r="I16" s="50"/>
      <c r="K16" s="2"/>
      <c r="L16" t="s">
        <v>554</v>
      </c>
      <c r="O16" t="s">
        <v>343</v>
      </c>
      <c r="P16" s="57" t="str">
        <f>'10.3'!A23</f>
        <v>11/1/88</v>
      </c>
      <c r="Q16" s="404">
        <f>'10.3'!C23</f>
        <v>-0.13800000000000001</v>
      </c>
      <c r="R16" s="19">
        <f t="shared" si="6"/>
        <v>0.86199999999999999</v>
      </c>
      <c r="S16" s="105">
        <f>'10.3'!D23</f>
        <v>2.0748265466779867</v>
      </c>
      <c r="T16" s="105"/>
      <c r="U16" s="105"/>
      <c r="V16" s="105"/>
      <c r="W16" s="105"/>
      <c r="X16" s="105"/>
      <c r="Y16" s="105"/>
      <c r="Z16" s="105"/>
      <c r="AA16" s="105"/>
      <c r="AB16" s="105">
        <f>0.5*(2/12)^2</f>
        <v>1.3888888888888888E-2</v>
      </c>
      <c r="AC16" s="105">
        <f>1-AC15</f>
        <v>0.65277777777777768</v>
      </c>
      <c r="AD16" s="105">
        <f>1-AD17</f>
        <v>0.65277777777777768</v>
      </c>
      <c r="AE16" s="105">
        <f>0.5*(2/12)^2</f>
        <v>1.3888888888888888E-2</v>
      </c>
      <c r="AF16" s="105"/>
      <c r="AG16" s="105"/>
      <c r="AH16" s="105"/>
    </row>
    <row r="17" spans="1:51" x14ac:dyDescent="0.2">
      <c r="A17" s="24" t="s">
        <v>441</v>
      </c>
      <c r="B17" s="57"/>
      <c r="C17" s="36">
        <v>3013362</v>
      </c>
      <c r="D17" s="36">
        <v>2349181</v>
      </c>
      <c r="E17" s="226">
        <f t="shared" si="8"/>
        <v>1.9522653230479203</v>
      </c>
      <c r="F17" s="29">
        <f t="shared" si="9"/>
        <v>6334929.4270634856</v>
      </c>
      <c r="G17" s="36">
        <v>211282</v>
      </c>
      <c r="H17" s="22">
        <f t="shared" si="10"/>
        <v>3.3000000000000002E-2</v>
      </c>
      <c r="I17" s="50"/>
      <c r="K17" s="2"/>
      <c r="L17" s="306">
        <f>'6.7'!L17</f>
        <v>1</v>
      </c>
      <c r="O17" t="s">
        <v>344</v>
      </c>
      <c r="P17" s="57" t="str">
        <f>'10.3'!A24</f>
        <v>3/1/90</v>
      </c>
      <c r="Q17" s="404">
        <f>'10.3'!C24</f>
        <v>1.4E-2</v>
      </c>
      <c r="R17" s="19">
        <f t="shared" si="6"/>
        <v>1.014</v>
      </c>
      <c r="S17" s="105">
        <f>'10.3'!D24</f>
        <v>2.1038741183314786</v>
      </c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>
        <f>0.5*(10/12)^2</f>
        <v>0.34722222222222227</v>
      </c>
      <c r="AE17" s="105">
        <f>1-AE18-AE16</f>
        <v>0.70486111111111116</v>
      </c>
      <c r="AF17" s="105">
        <v>3.125E-2</v>
      </c>
      <c r="AG17" s="105"/>
      <c r="AH17" s="105"/>
    </row>
    <row r="18" spans="1:51" x14ac:dyDescent="0.2">
      <c r="A18" s="24" t="s">
        <v>442</v>
      </c>
      <c r="B18" s="57"/>
      <c r="C18" s="36">
        <v>3004153</v>
      </c>
      <c r="D18" s="36">
        <v>2585122</v>
      </c>
      <c r="E18" s="226">
        <f t="shared" si="8"/>
        <v>1.898708277784215</v>
      </c>
      <c r="F18" s="29">
        <f t="shared" si="9"/>
        <v>6971180.7776196096</v>
      </c>
      <c r="G18" s="36">
        <v>37480</v>
      </c>
      <c r="H18" s="22">
        <f t="shared" si="10"/>
        <v>5.0000000000000001E-3</v>
      </c>
      <c r="I18" s="50"/>
      <c r="K18" s="2"/>
      <c r="O18" t="s">
        <v>371</v>
      </c>
      <c r="P18" s="57" t="str">
        <f>'10.3'!A25</f>
        <v>4/1/91</v>
      </c>
      <c r="Q18" s="404">
        <f>'10.3'!C25</f>
        <v>-0.01</v>
      </c>
      <c r="R18" s="19">
        <f t="shared" si="6"/>
        <v>0.99</v>
      </c>
      <c r="S18" s="105">
        <f>'10.3'!D25</f>
        <v>2.082835377148164</v>
      </c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>
        <v>0.28125</v>
      </c>
      <c r="AF18" s="105">
        <f>1-AF17-AF19</f>
        <v>0.46875</v>
      </c>
      <c r="AG18" s="105"/>
      <c r="AH18" s="105"/>
    </row>
    <row r="19" spans="1:51" x14ac:dyDescent="0.2">
      <c r="A19" s="24" t="s">
        <v>443</v>
      </c>
      <c r="B19" s="57"/>
      <c r="C19" s="36">
        <v>2905355</v>
      </c>
      <c r="D19" s="36">
        <v>2728206</v>
      </c>
      <c r="E19" s="226">
        <f t="shared" ref="E19:E32" si="11">Q52</f>
        <v>2.0450595082333063</v>
      </c>
      <c r="F19" s="29">
        <f t="shared" si="9"/>
        <v>7357028.8847437315</v>
      </c>
      <c r="G19" s="36">
        <v>969836</v>
      </c>
      <c r="H19" s="22">
        <f t="shared" si="10"/>
        <v>0.13200000000000001</v>
      </c>
      <c r="I19" s="50"/>
      <c r="K19" s="2"/>
      <c r="O19" t="s">
        <v>376</v>
      </c>
      <c r="P19" s="57" t="str">
        <f>'10.3'!A26</f>
        <v>1/1/92</v>
      </c>
      <c r="Q19" s="404">
        <f>'10.3'!C26</f>
        <v>-0.22900000000000001</v>
      </c>
      <c r="R19" s="19">
        <f t="shared" si="6"/>
        <v>0.77100000000000002</v>
      </c>
      <c r="S19" s="105">
        <f>'10.3'!D26</f>
        <v>1.6058660757812344</v>
      </c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>
        <v>0.5</v>
      </c>
      <c r="AG19" s="105">
        <f>1-AG20</f>
        <v>0.96875</v>
      </c>
      <c r="AH19" s="105">
        <v>0.28125</v>
      </c>
    </row>
    <row r="20" spans="1:51" x14ac:dyDescent="0.2">
      <c r="A20" s="24" t="s">
        <v>444</v>
      </c>
      <c r="B20" s="57"/>
      <c r="C20" s="36">
        <v>2825114</v>
      </c>
      <c r="D20" s="36">
        <v>3015974</v>
      </c>
      <c r="E20" s="226">
        <f t="shared" si="11"/>
        <v>2.271681540349014</v>
      </c>
      <c r="F20" s="29">
        <f t="shared" si="9"/>
        <v>8133039.7461321075</v>
      </c>
      <c r="G20" s="36">
        <v>1244199</v>
      </c>
      <c r="H20" s="22">
        <f t="shared" si="10"/>
        <v>0.153</v>
      </c>
      <c r="I20" s="50"/>
      <c r="K20" s="2"/>
      <c r="O20" t="s">
        <v>399</v>
      </c>
      <c r="P20" s="57" t="str">
        <f>'10.3'!A27</f>
        <v>10/1/93</v>
      </c>
      <c r="Q20" s="404">
        <f>'10.3'!C27</f>
        <v>0</v>
      </c>
      <c r="R20" s="19">
        <f t="shared" si="6"/>
        <v>1</v>
      </c>
      <c r="S20" s="105">
        <f>'10.3'!D27</f>
        <v>1.6058660757812344</v>
      </c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>
        <v>3.125E-2</v>
      </c>
      <c r="AH20" s="105">
        <f>1-AH19</f>
        <v>0.71875</v>
      </c>
      <c r="AI20">
        <v>1</v>
      </c>
      <c r="AJ20">
        <v>1</v>
      </c>
      <c r="AK20">
        <v>1</v>
      </c>
      <c r="AL20">
        <v>0.5</v>
      </c>
    </row>
    <row r="21" spans="1:51" x14ac:dyDescent="0.2">
      <c r="A21" s="24" t="s">
        <v>445</v>
      </c>
      <c r="B21" s="57"/>
      <c r="C21" s="36">
        <v>2303321</v>
      </c>
      <c r="D21" s="36">
        <v>2474141</v>
      </c>
      <c r="E21" s="226">
        <f t="shared" si="11"/>
        <v>2.3863589189959433</v>
      </c>
      <c r="F21" s="29">
        <f t="shared" si="9"/>
        <v>6671903.3687077668</v>
      </c>
      <c r="G21" s="36">
        <v>18053460</v>
      </c>
      <c r="H21" s="22">
        <f t="shared" si="10"/>
        <v>2.706</v>
      </c>
      <c r="I21" s="50"/>
      <c r="K21" s="2"/>
      <c r="O21" t="s">
        <v>414</v>
      </c>
      <c r="P21" s="57" t="str">
        <f>'10.3'!A28</f>
        <v>1/1/98</v>
      </c>
      <c r="Q21" s="404">
        <f>'10.3'!C28</f>
        <v>-0.03</v>
      </c>
      <c r="R21" s="19">
        <f t="shared" si="6"/>
        <v>0.97</v>
      </c>
      <c r="S21" s="105">
        <f>'10.3'!D28</f>
        <v>1.5576900935077973</v>
      </c>
      <c r="AL21">
        <v>0.5</v>
      </c>
      <c r="AM21">
        <v>1</v>
      </c>
      <c r="AN21">
        <v>0.5</v>
      </c>
    </row>
    <row r="22" spans="1:51" x14ac:dyDescent="0.2">
      <c r="A22" s="24" t="s">
        <v>446</v>
      </c>
      <c r="B22" s="57"/>
      <c r="C22" s="36">
        <v>2203500</v>
      </c>
      <c r="D22" s="36">
        <v>2080579</v>
      </c>
      <c r="E22" s="226">
        <f t="shared" si="11"/>
        <v>2.3719773922128735</v>
      </c>
      <c r="F22" s="29">
        <f>D22*$E$23</f>
        <v>5610602.6451049624</v>
      </c>
      <c r="G22" s="36">
        <v>1371244</v>
      </c>
      <c r="H22" s="22">
        <f t="shared" si="10"/>
        <v>0.24399999999999999</v>
      </c>
      <c r="I22" s="50"/>
      <c r="K22" s="2"/>
      <c r="O22" t="s">
        <v>415</v>
      </c>
      <c r="P22" s="57" t="str">
        <f>'10.3'!A29</f>
        <v>1/1/00</v>
      </c>
      <c r="Q22" s="404">
        <f>'10.3'!C29</f>
        <v>0.09</v>
      </c>
      <c r="R22" s="19">
        <f t="shared" si="6"/>
        <v>1.0900000000000001</v>
      </c>
      <c r="S22" s="105">
        <f>'10.3'!D29</f>
        <v>1.6978822019234991</v>
      </c>
      <c r="AN22">
        <v>0.5</v>
      </c>
      <c r="AO22">
        <v>0.5</v>
      </c>
    </row>
    <row r="23" spans="1:51" x14ac:dyDescent="0.2">
      <c r="A23" s="24" t="s">
        <v>447</v>
      </c>
      <c r="B23" s="21"/>
      <c r="C23" s="36">
        <v>2352391</v>
      </c>
      <c r="D23" s="36">
        <v>2012473</v>
      </c>
      <c r="E23" s="226">
        <f t="shared" si="11"/>
        <v>2.6966544625822726</v>
      </c>
      <c r="F23" s="29">
        <f>ROUND(D23*E23,0)</f>
        <v>5426944</v>
      </c>
      <c r="G23" s="36">
        <v>46331</v>
      </c>
      <c r="H23" s="22">
        <f t="shared" si="10"/>
        <v>8.9999999999999993E-3</v>
      </c>
      <c r="I23" s="50"/>
      <c r="K23" s="2"/>
      <c r="O23" t="s">
        <v>418</v>
      </c>
      <c r="P23" s="57" t="str">
        <f>'10.3'!A30</f>
        <v>1/1/01</v>
      </c>
      <c r="Q23" s="404">
        <f>'10.3'!C30</f>
        <v>0.04</v>
      </c>
      <c r="R23" s="19">
        <f t="shared" si="6"/>
        <v>1.04</v>
      </c>
      <c r="S23" s="105">
        <f>'10.3'!D30</f>
        <v>1.7657974900004392</v>
      </c>
      <c r="AO23">
        <v>0.5</v>
      </c>
      <c r="AP23">
        <v>0.5</v>
      </c>
    </row>
    <row r="24" spans="1:51" x14ac:dyDescent="0.2">
      <c r="A24" s="24" t="s">
        <v>424</v>
      </c>
      <c r="B24" s="21"/>
      <c r="C24" s="36">
        <v>2406016</v>
      </c>
      <c r="D24" s="36"/>
      <c r="E24" s="226">
        <f t="shared" si="11"/>
        <v>3.0982344271115743</v>
      </c>
      <c r="F24" s="29">
        <f>ROUND(C24*E24,0)</f>
        <v>7454402</v>
      </c>
      <c r="G24" s="36">
        <v>1005945</v>
      </c>
      <c r="H24" s="22">
        <f t="shared" si="10"/>
        <v>0.13500000000000001</v>
      </c>
      <c r="I24" s="50"/>
      <c r="K24" s="2"/>
      <c r="O24" t="s">
        <v>419</v>
      </c>
      <c r="P24" s="57" t="str">
        <f>'10.3'!A31</f>
        <v>1/1/02</v>
      </c>
      <c r="Q24" s="404">
        <f>'10.3'!C31</f>
        <v>0.05</v>
      </c>
      <c r="R24" s="19">
        <f t="shared" si="6"/>
        <v>1.05</v>
      </c>
      <c r="S24" s="105">
        <f>'10.3'!D31</f>
        <v>1.8540873645004612</v>
      </c>
      <c r="AP24">
        <v>0.5</v>
      </c>
      <c r="AQ24">
        <v>0.5</v>
      </c>
    </row>
    <row r="25" spans="1:51" x14ac:dyDescent="0.2">
      <c r="A25" s="24" t="s">
        <v>425</v>
      </c>
      <c r="B25" s="21"/>
      <c r="C25" s="36">
        <v>2807090</v>
      </c>
      <c r="D25" s="36"/>
      <c r="E25" s="226">
        <f t="shared" si="11"/>
        <v>3.0982344271115743</v>
      </c>
      <c r="F25" s="29">
        <f>ROUND(C25*E25,0)</f>
        <v>8697023</v>
      </c>
      <c r="G25" s="36">
        <v>28034</v>
      </c>
      <c r="H25" s="22">
        <f t="shared" si="10"/>
        <v>3.0000000000000001E-3</v>
      </c>
      <c r="I25" s="50"/>
      <c r="K25" s="2"/>
      <c r="O25" s="47" t="s">
        <v>451</v>
      </c>
      <c r="P25" s="57" t="str">
        <f>'10.3'!A32</f>
        <v>1/1/03</v>
      </c>
      <c r="Q25" s="404">
        <f>'10.3'!C32</f>
        <v>0.1</v>
      </c>
      <c r="R25" s="19">
        <f t="shared" si="6"/>
        <v>1.1000000000000001</v>
      </c>
      <c r="S25" s="105">
        <f>'10.3'!D32</f>
        <v>2.0394961009505073</v>
      </c>
      <c r="AQ25">
        <v>0.5</v>
      </c>
      <c r="AR25">
        <v>0.5</v>
      </c>
    </row>
    <row r="26" spans="1:51" x14ac:dyDescent="0.2">
      <c r="A26" s="24" t="s">
        <v>426</v>
      </c>
      <c r="B26" s="57"/>
      <c r="C26" s="36">
        <v>2645757</v>
      </c>
      <c r="D26" s="36"/>
      <c r="E26" s="226">
        <f t="shared" si="11"/>
        <v>3.0982344271115743</v>
      </c>
      <c r="F26" s="29">
        <f t="shared" ref="F26:F45" si="12">ROUND(C26*E26,0)</f>
        <v>8197175</v>
      </c>
      <c r="G26" s="36">
        <v>635625</v>
      </c>
      <c r="H26" s="22">
        <f t="shared" si="10"/>
        <v>7.8E-2</v>
      </c>
      <c r="I26" s="50"/>
      <c r="K26" s="2"/>
      <c r="O26" s="47" t="s">
        <v>475</v>
      </c>
      <c r="P26" s="57" t="str">
        <f>'10.3'!A33</f>
        <v>1/1/04</v>
      </c>
      <c r="Q26" s="404">
        <f>'10.3'!C33</f>
        <v>0.1</v>
      </c>
      <c r="R26" s="19">
        <f t="shared" si="6"/>
        <v>1.1000000000000001</v>
      </c>
      <c r="S26" s="105">
        <f>'10.3'!D33</f>
        <v>2.2434457110455583</v>
      </c>
      <c r="AR26">
        <v>0.5</v>
      </c>
      <c r="AS26">
        <v>0.5</v>
      </c>
    </row>
    <row r="27" spans="1:51" x14ac:dyDescent="0.2">
      <c r="A27" s="24" t="s">
        <v>427</v>
      </c>
      <c r="B27" s="57"/>
      <c r="C27" s="36">
        <v>5519716</v>
      </c>
      <c r="D27" s="36"/>
      <c r="E27" s="226">
        <f t="shared" si="11"/>
        <v>3.0982344271115743</v>
      </c>
      <c r="F27" s="29">
        <f>ROUND(C27*E27,0)</f>
        <v>17101374</v>
      </c>
      <c r="G27" s="36">
        <v>249644</v>
      </c>
      <c r="H27" s="22">
        <f>ROUND(G27/F27,3)</f>
        <v>1.4999999999999999E-2</v>
      </c>
      <c r="I27" s="50"/>
      <c r="K27" s="2"/>
      <c r="O27" s="42" t="s">
        <v>539</v>
      </c>
      <c r="P27" s="57" t="str">
        <f>'10.3'!A34</f>
        <v>1/1/05</v>
      </c>
      <c r="Q27" s="404">
        <f>'10.3'!C34</f>
        <v>0.1</v>
      </c>
      <c r="R27" s="19">
        <f t="shared" si="6"/>
        <v>1.1000000000000001</v>
      </c>
      <c r="S27" s="105">
        <f>'10.3'!D34</f>
        <v>2.4677902821501143</v>
      </c>
      <c r="AS27">
        <v>0.5</v>
      </c>
      <c r="AT27" s="105">
        <v>0.5</v>
      </c>
      <c r="AU27" s="105"/>
      <c r="AV27" s="105"/>
      <c r="AW27" s="105"/>
      <c r="AX27" s="105"/>
    </row>
    <row r="28" spans="1:51" x14ac:dyDescent="0.2">
      <c r="A28" s="24" t="s">
        <v>428</v>
      </c>
      <c r="B28" s="57"/>
      <c r="C28" s="36">
        <v>5461636</v>
      </c>
      <c r="D28" s="57"/>
      <c r="E28" s="226">
        <f t="shared" si="11"/>
        <v>3.0982344271115743</v>
      </c>
      <c r="F28" s="29">
        <f t="shared" si="12"/>
        <v>16921429</v>
      </c>
      <c r="G28" s="36">
        <v>886485</v>
      </c>
      <c r="H28" s="22">
        <f t="shared" si="10"/>
        <v>5.1999999999999998E-2</v>
      </c>
      <c r="I28" s="50"/>
      <c r="K28" s="2"/>
      <c r="O28" s="42" t="s">
        <v>540</v>
      </c>
      <c r="P28" s="57" t="str">
        <f>'10.3'!A35</f>
        <v>1/1/06</v>
      </c>
      <c r="Q28" s="404">
        <f>'10.3'!C35</f>
        <v>0.05</v>
      </c>
      <c r="R28" s="19">
        <f t="shared" si="6"/>
        <v>1.05</v>
      </c>
      <c r="S28" s="105">
        <f>'10.3'!D35</f>
        <v>2.5911797962576202</v>
      </c>
      <c r="AT28" s="105">
        <f>0.5-AT29</f>
        <v>0.44444444444444442</v>
      </c>
      <c r="AU28" s="105">
        <f>0.5*(8/12)^2</f>
        <v>0.22222222222222221</v>
      </c>
      <c r="AV28" s="105"/>
      <c r="AW28" s="105"/>
      <c r="AX28" s="105"/>
    </row>
    <row r="29" spans="1:51" x14ac:dyDescent="0.2">
      <c r="A29" s="24" t="s">
        <v>429</v>
      </c>
      <c r="B29" s="57"/>
      <c r="C29" s="36">
        <v>6133105</v>
      </c>
      <c r="D29" s="36"/>
      <c r="E29" s="226">
        <f t="shared" si="11"/>
        <v>3.1454156620422076</v>
      </c>
      <c r="F29" s="29">
        <f>ROUND(C29*E29,0)</f>
        <v>19291165</v>
      </c>
      <c r="G29" s="36">
        <v>3994564</v>
      </c>
      <c r="H29" s="22">
        <f>ROUND(G29/F29,3)</f>
        <v>0.20699999999999999</v>
      </c>
      <c r="I29" s="50"/>
      <c r="K29" s="2"/>
      <c r="N29" s="104"/>
      <c r="O29" s="42" t="s">
        <v>541</v>
      </c>
      <c r="P29" s="57" t="str">
        <f>'10.3'!A36</f>
        <v>9/1/06</v>
      </c>
      <c r="Q29" s="404">
        <f>'10.3'!C36</f>
        <v>0.08</v>
      </c>
      <c r="R29" s="19">
        <f t="shared" si="6"/>
        <v>1.08</v>
      </c>
      <c r="S29" s="105">
        <f>'10.3'!D36</f>
        <v>2.7984741799582298</v>
      </c>
      <c r="AT29" s="105">
        <f>0.5*(4/12)^2</f>
        <v>5.5555555555555552E-2</v>
      </c>
      <c r="AU29" s="105">
        <f>0.5-AU28</f>
        <v>0.27777777777777779</v>
      </c>
      <c r="AV29" s="105"/>
      <c r="AW29" s="105"/>
      <c r="AX29" s="105"/>
    </row>
    <row r="30" spans="1:51" x14ac:dyDescent="0.2">
      <c r="A30" s="24" t="s">
        <v>430</v>
      </c>
      <c r="C30" s="36">
        <v>6706028</v>
      </c>
      <c r="D30" s="36"/>
      <c r="E30" s="226">
        <f t="shared" si="11"/>
        <v>3.1940561104243033</v>
      </c>
      <c r="F30" s="29">
        <f t="shared" si="12"/>
        <v>21419430</v>
      </c>
      <c r="G30" s="36">
        <v>575316</v>
      </c>
      <c r="H30" s="22">
        <f t="shared" si="10"/>
        <v>2.7E-2</v>
      </c>
      <c r="I30" s="50"/>
      <c r="K30" s="2"/>
      <c r="O30" s="42" t="s">
        <v>542</v>
      </c>
      <c r="P30" s="57" t="str">
        <f>'10.3'!A37</f>
        <v>1/1/07</v>
      </c>
      <c r="Q30" s="404">
        <f>'10.3'!C37</f>
        <v>3.7000000000000005E-2</v>
      </c>
      <c r="R30" s="19">
        <f t="shared" si="6"/>
        <v>1.0369999999999999</v>
      </c>
      <c r="S30" s="105">
        <f>'10.3'!D37</f>
        <v>2.9020177246166843</v>
      </c>
      <c r="AT30" s="105"/>
      <c r="AU30" s="105">
        <f>0.5</f>
        <v>0.5</v>
      </c>
      <c r="AV30" s="105">
        <f>1-AV31</f>
        <v>0.57986111111111116</v>
      </c>
      <c r="AW30" s="105">
        <f>0.5*(1/12)^2</f>
        <v>3.472222222222222E-3</v>
      </c>
      <c r="AX30" s="105"/>
    </row>
    <row r="31" spans="1:51" x14ac:dyDescent="0.2">
      <c r="A31" s="24" t="s">
        <v>431</v>
      </c>
      <c r="C31" s="36">
        <v>4997201</v>
      </c>
      <c r="D31" s="132"/>
      <c r="E31" s="226">
        <f t="shared" si="11"/>
        <v>3.0565130243294769</v>
      </c>
      <c r="F31" s="29">
        <f t="shared" si="12"/>
        <v>15274010</v>
      </c>
      <c r="G31" s="36">
        <v>320131</v>
      </c>
      <c r="H31" s="22">
        <f t="shared" si="10"/>
        <v>2.1000000000000001E-2</v>
      </c>
      <c r="I31" s="50"/>
      <c r="K31" s="2"/>
      <c r="L31" t="s">
        <v>234</v>
      </c>
      <c r="O31" s="42" t="s">
        <v>543</v>
      </c>
      <c r="P31" s="57" t="str">
        <f>'10.3'!A38</f>
        <v>2/1/08</v>
      </c>
      <c r="Q31" s="404">
        <f>'10.3'!C38</f>
        <v>5.3999999999999999E-2</v>
      </c>
      <c r="R31" s="19">
        <f t="shared" si="6"/>
        <v>1.054</v>
      </c>
      <c r="S31" s="105">
        <f>'10.3'!D38</f>
        <v>3.0587266817459855</v>
      </c>
      <c r="AT31" s="105"/>
      <c r="AU31" s="105"/>
      <c r="AV31" s="105">
        <f>0.5*(11/12)^2</f>
        <v>0.42013888888888884</v>
      </c>
      <c r="AW31" s="105">
        <f>1-AW30-AW32</f>
        <v>0.57638888888888895</v>
      </c>
      <c r="AX31" s="105">
        <f>0.5*(1/12)^2</f>
        <v>3.472222222222222E-3</v>
      </c>
    </row>
    <row r="32" spans="1:51" x14ac:dyDescent="0.2">
      <c r="A32" s="24" t="s">
        <v>432</v>
      </c>
      <c r="C32" s="36">
        <v>4785262</v>
      </c>
      <c r="D32" s="132"/>
      <c r="E32" s="226">
        <f t="shared" si="11"/>
        <v>2.8728693204032227</v>
      </c>
      <c r="F32" s="29">
        <f>ROUND(C32*E32,0)</f>
        <v>13747432</v>
      </c>
      <c r="G32" s="36">
        <v>962576</v>
      </c>
      <c r="H32" s="22">
        <f t="shared" si="10"/>
        <v>7.0000000000000007E-2</v>
      </c>
      <c r="I32" s="50"/>
      <c r="K32" s="2"/>
      <c r="L32" s="107">
        <f>[3]ISO!$O$67</f>
        <v>0.86781235338612395</v>
      </c>
      <c r="O32" s="42" t="s">
        <v>544</v>
      </c>
      <c r="P32" s="57" t="str">
        <f>'10.3'!A39</f>
        <v>2/1/09</v>
      </c>
      <c r="Q32" s="404">
        <f>'10.3'!C39</f>
        <v>0.156</v>
      </c>
      <c r="R32" s="19">
        <f t="shared" si="6"/>
        <v>1.1559999999999999</v>
      </c>
      <c r="S32" s="105">
        <f>'10.3'!D39</f>
        <v>3.5358880440983591</v>
      </c>
      <c r="AT32" s="105"/>
      <c r="AU32" s="105"/>
      <c r="AV32" s="105"/>
      <c r="AW32" s="105">
        <f>0.5*(11/12)^2</f>
        <v>0.42013888888888884</v>
      </c>
      <c r="AX32" s="105">
        <f>1-AX31</f>
        <v>0.99652777777777779</v>
      </c>
      <c r="AY32">
        <v>0.5</v>
      </c>
    </row>
    <row r="33" spans="1:243" x14ac:dyDescent="0.2">
      <c r="A33" s="24" t="s">
        <v>433</v>
      </c>
      <c r="C33" s="36">
        <v>8206069</v>
      </c>
      <c r="D33" s="132"/>
      <c r="E33" s="226">
        <f>Q66</f>
        <v>2.7488993497291627</v>
      </c>
      <c r="F33" s="29">
        <f t="shared" si="12"/>
        <v>22557658</v>
      </c>
      <c r="G33" s="36">
        <v>2632325</v>
      </c>
      <c r="H33" s="22">
        <f t="shared" si="10"/>
        <v>0.11700000000000001</v>
      </c>
      <c r="I33" s="50"/>
      <c r="K33" s="2"/>
      <c r="O33" s="42" t="s">
        <v>545</v>
      </c>
      <c r="P33" t="str">
        <f>'10.3'!A40</f>
        <v>1/1/11</v>
      </c>
      <c r="Q33" s="404">
        <f>'10.3'!C40</f>
        <v>0.05</v>
      </c>
      <c r="R33" s="19">
        <f t="shared" si="6"/>
        <v>1.05</v>
      </c>
      <c r="S33" s="105">
        <f>'10.3'!D40</f>
        <v>3.712682446303277</v>
      </c>
      <c r="AY33">
        <v>0.5</v>
      </c>
      <c r="AZ33">
        <v>0.5</v>
      </c>
    </row>
    <row r="34" spans="1:243" x14ac:dyDescent="0.2">
      <c r="A34" s="24" t="s">
        <v>434</v>
      </c>
      <c r="C34" s="223">
        <v>8793047</v>
      </c>
      <c r="D34" s="132"/>
      <c r="E34" s="427">
        <f>'[3]TWIA 5'!$I249</f>
        <v>2.4394994229198184</v>
      </c>
      <c r="F34" s="29">
        <f t="shared" si="12"/>
        <v>21450633</v>
      </c>
      <c r="G34" s="223">
        <v>529845</v>
      </c>
      <c r="H34" s="22">
        <f t="shared" si="10"/>
        <v>2.5000000000000001E-2</v>
      </c>
      <c r="I34" s="50"/>
      <c r="K34" s="2"/>
      <c r="O34" s="42" t="s">
        <v>546</v>
      </c>
      <c r="P34" t="str">
        <f>'10.3'!A41</f>
        <v>1/1/12</v>
      </c>
      <c r="Q34" s="404">
        <f>'10.3'!C41</f>
        <v>0.05</v>
      </c>
      <c r="R34" s="19">
        <f t="shared" si="6"/>
        <v>1.05</v>
      </c>
      <c r="S34" s="105">
        <f>'10.3'!D41</f>
        <v>3.8983165686184411</v>
      </c>
      <c r="AZ34">
        <v>0.5</v>
      </c>
      <c r="BA34">
        <v>0.5</v>
      </c>
    </row>
    <row r="35" spans="1:243" x14ac:dyDescent="0.2">
      <c r="A35" s="24" t="s">
        <v>435</v>
      </c>
      <c r="B35" s="24"/>
      <c r="C35" s="223">
        <v>12425339</v>
      </c>
      <c r="D35" s="133"/>
      <c r="E35" s="427">
        <f>'[3]TWIA 5'!$I250</f>
        <v>2.3315946597095789</v>
      </c>
      <c r="F35" s="29">
        <f t="shared" si="12"/>
        <v>28970854</v>
      </c>
      <c r="G35" s="223">
        <v>830387</v>
      </c>
      <c r="H35" s="22">
        <f t="shared" si="10"/>
        <v>2.9000000000000001E-2</v>
      </c>
      <c r="I35" s="50"/>
      <c r="K35" s="2"/>
      <c r="O35" s="42" t="s">
        <v>547</v>
      </c>
      <c r="P35" t="str">
        <f>'10.3'!A42</f>
        <v>1/1/13</v>
      </c>
      <c r="Q35" s="404">
        <f>'10.3'!C42</f>
        <v>0.05</v>
      </c>
      <c r="R35" s="19">
        <f t="shared" si="6"/>
        <v>1.05</v>
      </c>
      <c r="S35" s="105">
        <f>'10.3'!D42</f>
        <v>4.0932323970493636</v>
      </c>
      <c r="BA35">
        <v>0.5</v>
      </c>
      <c r="BB35">
        <v>0.5</v>
      </c>
    </row>
    <row r="36" spans="1:243" s="57" customFormat="1" x14ac:dyDescent="0.2">
      <c r="A36" s="24" t="s">
        <v>325</v>
      </c>
      <c r="C36" s="255">
        <v>13839253</v>
      </c>
      <c r="D36" s="256"/>
      <c r="E36" s="427">
        <f>'[3]TWIA 5'!$I251</f>
        <v>2.1139483009259492</v>
      </c>
      <c r="F36" s="29">
        <f t="shared" si="12"/>
        <v>29255465</v>
      </c>
      <c r="G36" s="223">
        <v>19469845</v>
      </c>
      <c r="H36" s="22">
        <f t="shared" si="10"/>
        <v>0.66600000000000004</v>
      </c>
      <c r="I36" s="50"/>
      <c r="K36" s="2"/>
      <c r="O36" s="42" t="s">
        <v>548</v>
      </c>
      <c r="P36" t="str">
        <f>'10.3'!A43</f>
        <v>1/1/14</v>
      </c>
      <c r="Q36" s="404">
        <f>'10.3'!C43</f>
        <v>0.05</v>
      </c>
      <c r="R36" s="19">
        <f t="shared" si="6"/>
        <v>1.05</v>
      </c>
      <c r="S36" s="105">
        <f>'10.3'!D43</f>
        <v>4.2978940169018323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>
        <v>0.5</v>
      </c>
      <c r="BC36">
        <v>0.5</v>
      </c>
      <c r="BD36"/>
      <c r="BE36"/>
      <c r="BF36"/>
      <c r="BG36"/>
    </row>
    <row r="37" spans="1:243" s="57" customFormat="1" x14ac:dyDescent="0.2">
      <c r="A37" s="24" t="s">
        <v>411</v>
      </c>
      <c r="C37" s="255">
        <v>18414310</v>
      </c>
      <c r="D37" s="256"/>
      <c r="E37" s="427">
        <f>'[3]TWIA 5'!$I252</f>
        <v>1.9398940742398449</v>
      </c>
      <c r="F37" s="29">
        <f t="shared" si="12"/>
        <v>35721811</v>
      </c>
      <c r="G37" s="223">
        <v>812370</v>
      </c>
      <c r="H37" s="22">
        <f t="shared" si="10"/>
        <v>2.3E-2</v>
      </c>
      <c r="I37" s="50"/>
      <c r="K37" s="2"/>
      <c r="O37" s="42" t="s">
        <v>549</v>
      </c>
      <c r="P37" t="str">
        <f>'10.3'!A44</f>
        <v>1/1/15</v>
      </c>
      <c r="Q37" s="404">
        <f>'10.3'!C44</f>
        <v>0.05</v>
      </c>
      <c r="R37" s="19">
        <f t="shared" si="6"/>
        <v>1.05</v>
      </c>
      <c r="S37" s="105">
        <f>'10.3'!D44</f>
        <v>4.5127887177469237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>
        <v>0.5</v>
      </c>
      <c r="BD37">
        <v>0.5</v>
      </c>
      <c r="BE37"/>
      <c r="BF37"/>
      <c r="BG37"/>
    </row>
    <row r="38" spans="1:243" x14ac:dyDescent="0.2">
      <c r="A38" s="24" t="s">
        <v>372</v>
      </c>
      <c r="B38" s="57"/>
      <c r="C38" s="255">
        <v>24924710</v>
      </c>
      <c r="D38" s="256"/>
      <c r="E38" s="427">
        <f>'[3]TWIA 5'!$I253</f>
        <v>1.7686162847181024</v>
      </c>
      <c r="F38" s="29">
        <f t="shared" si="12"/>
        <v>44082248</v>
      </c>
      <c r="G38" s="255">
        <v>710669</v>
      </c>
      <c r="H38" s="22">
        <f t="shared" si="10"/>
        <v>1.6E-2</v>
      </c>
      <c r="I38" s="50"/>
      <c r="K38" s="2"/>
      <c r="O38" s="42" t="s">
        <v>550</v>
      </c>
      <c r="P38" t="str">
        <f>'10.3'!A45</f>
        <v>1/1/16</v>
      </c>
      <c r="Q38" s="404">
        <f>'10.3'!C45</f>
        <v>0.05</v>
      </c>
      <c r="R38" s="19">
        <f t="shared" si="6"/>
        <v>1.05</v>
      </c>
      <c r="S38" s="105">
        <f>'10.3'!D45</f>
        <v>4.7384281536342705</v>
      </c>
      <c r="BD38">
        <v>0.5</v>
      </c>
      <c r="BE38">
        <v>0.5</v>
      </c>
    </row>
    <row r="39" spans="1:243" x14ac:dyDescent="0.2">
      <c r="A39" s="24" t="s">
        <v>377</v>
      </c>
      <c r="B39" s="57"/>
      <c r="C39" s="255">
        <v>24970117</v>
      </c>
      <c r="D39" s="256"/>
      <c r="E39" s="427">
        <f>'[3]TWIA 5'!$I254</f>
        <v>1.6801411926584762</v>
      </c>
      <c r="F39" s="29">
        <f t="shared" si="12"/>
        <v>41953322</v>
      </c>
      <c r="G39" s="255">
        <v>293310706.44950092</v>
      </c>
      <c r="H39" s="22">
        <f>ROUND(G39/F39,3)</f>
        <v>6.9909999999999997</v>
      </c>
      <c r="I39" s="50"/>
      <c r="K39" s="2"/>
      <c r="L39" s="47"/>
      <c r="M39" s="47"/>
      <c r="N39" s="47"/>
      <c r="O39" s="42" t="s">
        <v>551</v>
      </c>
      <c r="P39" t="str">
        <f>'10.3'!A46</f>
        <v>1/1/17</v>
      </c>
      <c r="Q39" s="404">
        <f>'10.3'!C46</f>
        <v>0</v>
      </c>
      <c r="R39" s="19">
        <f t="shared" si="6"/>
        <v>1</v>
      </c>
      <c r="S39" s="105">
        <f>'10.3'!D46</f>
        <v>4.7384281536342705</v>
      </c>
      <c r="BE39">
        <v>0.5</v>
      </c>
      <c r="BF39">
        <v>0.5</v>
      </c>
    </row>
    <row r="40" spans="1:243" x14ac:dyDescent="0.2">
      <c r="A40" s="24" t="s">
        <v>412</v>
      </c>
      <c r="B40" s="42"/>
      <c r="C40" s="255">
        <v>29363002</v>
      </c>
      <c r="D40" s="257"/>
      <c r="E40" s="427">
        <f>'[3]TWIA 5'!$I255</f>
        <v>1.5235854713266888</v>
      </c>
      <c r="F40" s="29">
        <f t="shared" si="12"/>
        <v>44737043</v>
      </c>
      <c r="G40" s="255">
        <v>1140669</v>
      </c>
      <c r="H40" s="22">
        <f>ROUND(G40/F40,3)</f>
        <v>2.5000000000000001E-2</v>
      </c>
      <c r="I40" s="50"/>
      <c r="J40" s="57"/>
      <c r="K40" s="2"/>
      <c r="L40" s="47"/>
      <c r="M40" s="47"/>
      <c r="N40" s="47"/>
      <c r="O40" s="42" t="s">
        <v>552</v>
      </c>
      <c r="P40" t="str">
        <f>'10.3'!A47</f>
        <v>1/1/18</v>
      </c>
      <c r="Q40" s="404">
        <f>'10.3'!C47</f>
        <v>0.05</v>
      </c>
      <c r="R40" s="19">
        <f t="shared" si="6"/>
        <v>1.05</v>
      </c>
      <c r="S40" s="105">
        <f>'10.3'!D47</f>
        <v>4.9753495613159844</v>
      </c>
      <c r="BF40">
        <v>0.5</v>
      </c>
      <c r="BG40">
        <v>0.5</v>
      </c>
    </row>
    <row r="41" spans="1:243" x14ac:dyDescent="0.2">
      <c r="A41" s="24" t="s">
        <v>413</v>
      </c>
      <c r="B41" s="42"/>
      <c r="C41" s="89">
        <f>[3]ISO!O54</f>
        <v>31708901</v>
      </c>
      <c r="D41" s="257"/>
      <c r="E41" s="427">
        <f>'[3]TWIA 5'!$I256</f>
        <v>1.4076196408284309</v>
      </c>
      <c r="F41" s="29">
        <f>ROUND(C41*E41,0)</f>
        <v>44634072</v>
      </c>
      <c r="G41" s="89">
        <f>[3]ISO!T54</f>
        <v>669882</v>
      </c>
      <c r="H41" s="22">
        <f t="shared" si="10"/>
        <v>1.4999999999999999E-2</v>
      </c>
      <c r="I41" s="50"/>
      <c r="J41" s="57"/>
      <c r="K41" s="2"/>
      <c r="L41" s="9"/>
      <c r="M41" s="9"/>
      <c r="N41" s="9"/>
      <c r="O41" s="9" t="s">
        <v>553</v>
      </c>
      <c r="P41" s="302">
        <v>43466</v>
      </c>
      <c r="Q41" s="405">
        <f>'10.3'!C48</f>
        <v>0</v>
      </c>
      <c r="R41" s="20">
        <f t="shared" si="6"/>
        <v>1</v>
      </c>
      <c r="S41" s="406">
        <f>'10.3'!D48</f>
        <v>4.9753495613159844</v>
      </c>
      <c r="BG41">
        <v>0.5</v>
      </c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</row>
    <row r="42" spans="1:243" x14ac:dyDescent="0.2">
      <c r="A42" s="24" t="s">
        <v>416</v>
      </c>
      <c r="B42" s="42"/>
      <c r="C42" s="89">
        <f>[3]ISO!O55</f>
        <v>31271334</v>
      </c>
      <c r="D42" s="257"/>
      <c r="E42" s="427">
        <f>'[3]TWIA 5'!$I257</f>
        <v>1.3743158191343243</v>
      </c>
      <c r="F42" s="29">
        <f t="shared" si="12"/>
        <v>42976689</v>
      </c>
      <c r="G42" s="89">
        <f>[3]ISO!T55</f>
        <v>1675264</v>
      </c>
      <c r="H42" s="22">
        <f t="shared" si="10"/>
        <v>3.9E-2</v>
      </c>
      <c r="I42" s="50"/>
      <c r="K42" s="2"/>
      <c r="L42" t="s">
        <v>421</v>
      </c>
      <c r="M42" s="18"/>
      <c r="O42" t="s">
        <v>42</v>
      </c>
      <c r="P42" s="7" t="s">
        <v>345</v>
      </c>
      <c r="Q42" s="7" t="s">
        <v>247</v>
      </c>
      <c r="R42" s="57"/>
      <c r="T42" s="40">
        <f>SUMPRODUCT($S$7:$S$41,T7:T41)</f>
        <v>1.0151909722222223</v>
      </c>
      <c r="U42" s="40">
        <f>SUMPRODUCT($S$7:$S$41,U7:U41)</f>
        <v>1.1428104166666666</v>
      </c>
      <c r="V42" s="40">
        <f t="shared" ref="V42:BG42" si="13">SUMPRODUCT($S$7:$S$41,V7:V41)</f>
        <v>1.1576560861111111</v>
      </c>
      <c r="W42" s="40">
        <f>SUMPRODUCT($S$7:$S$41,W7:W41)</f>
        <v>1.3642372778106464</v>
      </c>
      <c r="X42" s="40">
        <f t="shared" si="13"/>
        <v>1.487808026052257</v>
      </c>
      <c r="Y42" s="40">
        <f t="shared" si="13"/>
        <v>1.8145984187369675</v>
      </c>
      <c r="Z42" s="40">
        <f>SUMPRODUCT($S$7:$S$41,Z7:Z41)</f>
        <v>2.5485007097028989</v>
      </c>
      <c r="AA42" s="40">
        <f t="shared" si="13"/>
        <v>2.6203865119934049</v>
      </c>
      <c r="AB42" s="40">
        <f t="shared" si="13"/>
        <v>2.4328629760090004</v>
      </c>
      <c r="AC42" s="40">
        <f t="shared" si="13"/>
        <v>2.1901615490310262</v>
      </c>
      <c r="AD42" s="40">
        <f t="shared" si="13"/>
        <v>2.0849125090576712</v>
      </c>
      <c r="AE42" s="40">
        <f t="shared" si="13"/>
        <v>2.0975535338784841</v>
      </c>
      <c r="AF42" s="40">
        <f t="shared" si="13"/>
        <v>1.8450081871266777</v>
      </c>
      <c r="AG42" s="40">
        <f t="shared" si="13"/>
        <v>1.6058660757812344</v>
      </c>
      <c r="AH42" s="40">
        <f t="shared" si="13"/>
        <v>1.6058660757812344</v>
      </c>
      <c r="AI42" s="40">
        <f t="shared" si="13"/>
        <v>1.6058660757812344</v>
      </c>
      <c r="AJ42" s="40">
        <f t="shared" si="13"/>
        <v>1.6058660757812344</v>
      </c>
      <c r="AK42" s="40">
        <f t="shared" si="13"/>
        <v>1.6058660757812344</v>
      </c>
      <c r="AL42" s="40">
        <f t="shared" si="13"/>
        <v>1.5817780846445157</v>
      </c>
      <c r="AM42" s="40">
        <f t="shared" si="13"/>
        <v>1.5576900935077973</v>
      </c>
      <c r="AN42" s="40">
        <f t="shared" si="13"/>
        <v>1.6277861477156481</v>
      </c>
      <c r="AO42" s="40">
        <f t="shared" si="13"/>
        <v>1.7318398459619693</v>
      </c>
      <c r="AP42" s="40">
        <f t="shared" si="13"/>
        <v>1.8099424272504501</v>
      </c>
      <c r="AQ42" s="40">
        <f t="shared" si="13"/>
        <v>1.9467917327254842</v>
      </c>
      <c r="AR42" s="40">
        <f t="shared" si="13"/>
        <v>2.141470905998033</v>
      </c>
      <c r="AS42" s="40">
        <f t="shared" si="13"/>
        <v>2.3556179965978363</v>
      </c>
      <c r="AT42" s="40">
        <f t="shared" si="13"/>
        <v>2.5410013938539007</v>
      </c>
      <c r="AU42" s="40">
        <f t="shared" si="13"/>
        <v>2.8041805336873216</v>
      </c>
      <c r="AV42" s="40">
        <f t="shared" si="13"/>
        <v>2.9678572517439257</v>
      </c>
      <c r="AW42" s="40">
        <f t="shared" si="13"/>
        <v>3.2586565980220548</v>
      </c>
      <c r="AX42" s="40">
        <f t="shared" si="13"/>
        <v>3.5342312338124136</v>
      </c>
      <c r="AY42" s="40">
        <f t="shared" si="13"/>
        <v>3.6242852452008183</v>
      </c>
      <c r="AZ42" s="40">
        <f t="shared" si="13"/>
        <v>3.8054995074608593</v>
      </c>
      <c r="BA42" s="40">
        <f t="shared" si="13"/>
        <v>3.9957744828339026</v>
      </c>
      <c r="BB42" s="40">
        <f t="shared" si="13"/>
        <v>4.1955632069755975</v>
      </c>
      <c r="BC42" s="40">
        <f t="shared" si="13"/>
        <v>4.405341367324378</v>
      </c>
      <c r="BD42" s="40">
        <f t="shared" si="13"/>
        <v>4.6256084356905971</v>
      </c>
      <c r="BE42" s="40">
        <f t="shared" si="13"/>
        <v>4.7384281536342705</v>
      </c>
      <c r="BF42" s="40">
        <f t="shared" si="13"/>
        <v>4.856888857475127</v>
      </c>
      <c r="BG42" s="40">
        <f t="shared" si="13"/>
        <v>4.9753495613159844</v>
      </c>
    </row>
    <row r="43" spans="1:243" x14ac:dyDescent="0.2">
      <c r="A43" s="48" t="s">
        <v>436</v>
      </c>
      <c r="B43" s="48"/>
      <c r="C43" s="89">
        <f>[3]ISO!O56</f>
        <v>35124210</v>
      </c>
      <c r="D43" s="258"/>
      <c r="E43" s="427">
        <f>'[3]TWIA 5'!$I258</f>
        <v>1.3069936300796305</v>
      </c>
      <c r="F43" s="177">
        <f t="shared" si="12"/>
        <v>45907119</v>
      </c>
      <c r="G43" s="89">
        <f>[3]ISO!T56</f>
        <v>8709842</v>
      </c>
      <c r="H43" s="50">
        <f>ROUND(G43/F43,3)</f>
        <v>0.19</v>
      </c>
      <c r="I43" s="50"/>
      <c r="J43" s="57"/>
      <c r="K43" s="2"/>
      <c r="L43" s="272">
        <v>99433916.550499082</v>
      </c>
      <c r="O43" t="s">
        <v>196</v>
      </c>
      <c r="P43">
        <v>1</v>
      </c>
      <c r="Q43" s="40">
        <f t="shared" ref="Q43:Q83" si="14">$P$83/P43</f>
        <v>4.9753495613159844</v>
      </c>
      <c r="T43" s="40">
        <f>$S$41/T42</f>
        <v>4.9009001236733765</v>
      </c>
      <c r="U43" s="40">
        <f t="shared" ref="U43:BG43" si="15">$S$41/U42</f>
        <v>4.3536088652639462</v>
      </c>
      <c r="V43" s="40">
        <f t="shared" si="15"/>
        <v>4.2977786071419253</v>
      </c>
      <c r="W43" s="40">
        <f t="shared" si="15"/>
        <v>3.6469825610545685</v>
      </c>
      <c r="X43" s="40">
        <f t="shared" si="15"/>
        <v>3.3440803344216081</v>
      </c>
      <c r="Y43" s="40">
        <f t="shared" si="15"/>
        <v>2.7418460800704461</v>
      </c>
      <c r="Z43" s="40">
        <f t="shared" si="15"/>
        <v>1.9522653230479203</v>
      </c>
      <c r="AA43" s="40">
        <f t="shared" si="15"/>
        <v>1.898708277784215</v>
      </c>
      <c r="AB43" s="40">
        <f t="shared" si="15"/>
        <v>2.0450595082333063</v>
      </c>
      <c r="AC43" s="40">
        <f t="shared" si="15"/>
        <v>2.271681540349014</v>
      </c>
      <c r="AD43" s="40">
        <f t="shared" si="15"/>
        <v>2.3863589189959433</v>
      </c>
      <c r="AE43" s="40">
        <f t="shared" si="15"/>
        <v>2.3719773922128735</v>
      </c>
      <c r="AF43" s="40">
        <f t="shared" si="15"/>
        <v>2.6966544625822726</v>
      </c>
      <c r="AG43" s="40">
        <f t="shared" si="15"/>
        <v>3.0982344271115743</v>
      </c>
      <c r="AH43" s="40">
        <f t="shared" si="15"/>
        <v>3.0982344271115743</v>
      </c>
      <c r="AI43" s="40">
        <f t="shared" si="15"/>
        <v>3.0982344271115743</v>
      </c>
      <c r="AJ43" s="40">
        <f t="shared" si="15"/>
        <v>3.0982344271115743</v>
      </c>
      <c r="AK43" s="40">
        <f t="shared" si="15"/>
        <v>3.0982344271115743</v>
      </c>
      <c r="AL43" s="40">
        <f t="shared" si="15"/>
        <v>3.1454156620422076</v>
      </c>
      <c r="AM43" s="40">
        <f t="shared" si="15"/>
        <v>3.1940561104243033</v>
      </c>
      <c r="AN43" s="40">
        <f t="shared" si="15"/>
        <v>3.0565130243294769</v>
      </c>
      <c r="AO43" s="40">
        <f t="shared" si="15"/>
        <v>2.8728693204032227</v>
      </c>
      <c r="AP43" s="40">
        <f t="shared" si="15"/>
        <v>2.7488993497291627</v>
      </c>
      <c r="AQ43" s="40">
        <f t="shared" si="15"/>
        <v>2.5556660621064777</v>
      </c>
      <c r="AR43" s="40">
        <f t="shared" si="15"/>
        <v>2.3233327837331608</v>
      </c>
      <c r="AS43" s="40">
        <f t="shared" si="15"/>
        <v>2.1121207124846917</v>
      </c>
      <c r="AT43" s="40">
        <f t="shared" si="15"/>
        <v>1.9580270885920068</v>
      </c>
      <c r="AU43" s="40">
        <f t="shared" si="15"/>
        <v>1.7742615004796827</v>
      </c>
      <c r="AV43" s="40">
        <f t="shared" si="15"/>
        <v>1.6764113430295366</v>
      </c>
      <c r="AW43" s="40">
        <f t="shared" si="15"/>
        <v>1.5268100248230916</v>
      </c>
      <c r="AX43" s="40">
        <f t="shared" si="15"/>
        <v>1.4077600564774084</v>
      </c>
      <c r="AY43" s="40">
        <f t="shared" si="15"/>
        <v>1.3727809001524396</v>
      </c>
      <c r="AZ43" s="40">
        <f t="shared" si="15"/>
        <v>1.3074103810975615</v>
      </c>
      <c r="BA43" s="40">
        <f t="shared" si="15"/>
        <v>1.2451527439024395</v>
      </c>
      <c r="BB43" s="40">
        <f t="shared" si="15"/>
        <v>1.1858597560975614</v>
      </c>
      <c r="BC43" s="40">
        <f t="shared" si="15"/>
        <v>1.1293902439024393</v>
      </c>
      <c r="BD43" s="40">
        <f t="shared" si="15"/>
        <v>1.075609756097561</v>
      </c>
      <c r="BE43" s="40">
        <f t="shared" si="15"/>
        <v>1.05</v>
      </c>
      <c r="BF43" s="40">
        <f t="shared" si="15"/>
        <v>1.024390243902439</v>
      </c>
      <c r="BG43" s="40">
        <f t="shared" si="15"/>
        <v>1</v>
      </c>
    </row>
    <row r="44" spans="1:243" x14ac:dyDescent="0.2">
      <c r="A44" s="48" t="s">
        <v>437</v>
      </c>
      <c r="B44" s="48"/>
      <c r="C44" s="89">
        <f>[3]ISO!O57</f>
        <v>37650973</v>
      </c>
      <c r="D44" s="258"/>
      <c r="E44" s="427">
        <f>'[3]TWIA 5'!$I259</f>
        <v>1.2453140098300952</v>
      </c>
      <c r="F44" s="177">
        <f t="shared" si="12"/>
        <v>46887284</v>
      </c>
      <c r="G44" s="89">
        <f>[3]ISO!T57</f>
        <v>6670061</v>
      </c>
      <c r="H44" s="50">
        <f>ROUND(G44/F44,3)</f>
        <v>0.14199999999999999</v>
      </c>
      <c r="I44" s="50"/>
      <c r="J44" s="57"/>
      <c r="K44" s="2"/>
      <c r="L44" s="95"/>
      <c r="M44" s="95"/>
      <c r="O44" s="24">
        <v>1980</v>
      </c>
      <c r="P44" s="203">
        <f>T42</f>
        <v>1.0151909722222223</v>
      </c>
      <c r="Q44" s="40">
        <f>$P$83/P44</f>
        <v>4.9009001236733765</v>
      </c>
      <c r="R44" s="5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  <c r="BX44" s="173"/>
      <c r="BY44" s="173"/>
      <c r="BZ44" s="173"/>
      <c r="CA44" s="173"/>
      <c r="CB44" s="173"/>
      <c r="CC44" s="173"/>
      <c r="CD44" s="173"/>
      <c r="CE44" s="173"/>
      <c r="CF44" s="173"/>
      <c r="CG44" s="173"/>
      <c r="CH44" s="173"/>
      <c r="CI44" s="173"/>
      <c r="CJ44" s="173"/>
      <c r="CK44" s="173"/>
      <c r="CL44" s="173"/>
      <c r="CM44" s="173"/>
      <c r="CN44" s="173"/>
      <c r="CO44" s="173"/>
      <c r="CP44" s="173"/>
      <c r="CQ44" s="173"/>
      <c r="CR44" s="173"/>
      <c r="CS44" s="173"/>
      <c r="CT44" s="173"/>
      <c r="CU44" s="173"/>
      <c r="CV44" s="173"/>
      <c r="CW44" s="173"/>
      <c r="CX44" s="173"/>
      <c r="CY44" s="173"/>
      <c r="CZ44" s="173"/>
      <c r="DA44" s="173"/>
      <c r="DB44" s="173"/>
      <c r="DC44" s="173"/>
      <c r="DD44" s="173"/>
      <c r="DE44" s="173"/>
      <c r="DF44" s="173"/>
      <c r="DG44" s="173"/>
      <c r="DH44" s="173"/>
      <c r="DI44" s="173"/>
      <c r="DJ44" s="173"/>
      <c r="DK44" s="173"/>
      <c r="DL44" s="173"/>
      <c r="DM44" s="173"/>
      <c r="DN44" s="173"/>
      <c r="DO44" s="173"/>
      <c r="DP44" s="173"/>
      <c r="DQ44" s="173"/>
      <c r="DR44" s="173"/>
      <c r="DS44" s="173"/>
      <c r="DT44" s="173"/>
      <c r="DU44" s="173"/>
      <c r="DV44" s="173"/>
      <c r="DW44" s="173"/>
      <c r="DX44" s="173"/>
      <c r="DY44" s="173"/>
      <c r="DZ44" s="173"/>
      <c r="EA44" s="173"/>
      <c r="EB44" s="173"/>
      <c r="EC44" s="173"/>
      <c r="ED44" s="173"/>
      <c r="EE44" s="173"/>
      <c r="EF44" s="173"/>
      <c r="EG44" s="173"/>
      <c r="EH44" s="173"/>
      <c r="EI44" s="173"/>
      <c r="EJ44" s="173"/>
      <c r="EK44" s="173"/>
      <c r="EL44" s="173"/>
      <c r="EM44" s="173"/>
      <c r="EN44" s="173"/>
      <c r="EO44" s="173"/>
      <c r="EP44" s="173"/>
      <c r="EQ44" s="173"/>
      <c r="ER44" s="173"/>
      <c r="ES44" s="173"/>
      <c r="ET44" s="173"/>
      <c r="EU44" s="173"/>
      <c r="EV44" s="173"/>
      <c r="EW44" s="173"/>
      <c r="EX44" s="173"/>
      <c r="EY44" s="173"/>
      <c r="EZ44" s="173"/>
      <c r="FA44" s="173"/>
      <c r="FB44" s="173"/>
      <c r="FC44" s="173"/>
      <c r="FD44" s="173"/>
      <c r="FE44" s="173"/>
      <c r="FF44" s="173"/>
      <c r="FG44" s="173"/>
      <c r="FH44" s="173"/>
      <c r="FI44" s="173"/>
      <c r="FJ44" s="173"/>
      <c r="FK44" s="173"/>
      <c r="FL44" s="173"/>
      <c r="FM44" s="173"/>
      <c r="FN44" s="173"/>
      <c r="FO44" s="173"/>
      <c r="FP44" s="173"/>
      <c r="FQ44" s="173"/>
      <c r="FR44" s="173"/>
      <c r="FS44" s="173"/>
      <c r="FT44" s="173"/>
      <c r="FU44" s="173"/>
      <c r="FV44" s="173"/>
      <c r="FW44" s="173"/>
      <c r="FX44" s="173"/>
      <c r="FY44" s="173"/>
      <c r="FZ44" s="173"/>
      <c r="GA44" s="173"/>
      <c r="GB44" s="173"/>
      <c r="GC44" s="173"/>
      <c r="GD44" s="173"/>
      <c r="GE44" s="173"/>
      <c r="GF44" s="173"/>
      <c r="GG44" s="173"/>
      <c r="GH44" s="173"/>
      <c r="GI44" s="173"/>
      <c r="GJ44" s="173"/>
      <c r="GK44" s="173"/>
      <c r="GL44" s="173"/>
      <c r="GM44" s="173"/>
      <c r="GN44" s="173"/>
      <c r="GO44" s="173"/>
      <c r="GP44" s="173"/>
      <c r="GQ44" s="173"/>
      <c r="GR44" s="173"/>
      <c r="GS44" s="173"/>
      <c r="GT44" s="173"/>
      <c r="GU44" s="173"/>
      <c r="GV44" s="173"/>
      <c r="GW44" s="173"/>
      <c r="GX44" s="173"/>
      <c r="GY44" s="173"/>
      <c r="GZ44" s="173"/>
      <c r="HA44" s="173"/>
      <c r="HB44" s="173"/>
      <c r="HC44" s="173"/>
      <c r="HD44" s="173"/>
      <c r="HE44" s="173"/>
      <c r="HF44" s="173"/>
      <c r="HG44" s="173"/>
      <c r="HH44" s="465"/>
      <c r="HI44" s="465"/>
      <c r="HJ44" s="465"/>
      <c r="HK44" s="465"/>
      <c r="HL44" s="173"/>
      <c r="HM44" s="173"/>
      <c r="HN44" s="173"/>
      <c r="HO44" s="173"/>
      <c r="HP44" s="173"/>
      <c r="HQ44" s="173"/>
      <c r="HR44" s="173"/>
      <c r="HS44" s="173"/>
      <c r="HT44" s="173"/>
      <c r="HU44" s="173"/>
      <c r="HV44" s="173"/>
      <c r="HW44" s="173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</row>
    <row r="45" spans="1:243" x14ac:dyDescent="0.2">
      <c r="A45" s="48">
        <v>2014</v>
      </c>
      <c r="B45" s="48"/>
      <c r="C45" s="89">
        <f>[3]ISO!O58</f>
        <v>38263554</v>
      </c>
      <c r="D45" s="258"/>
      <c r="E45" s="427">
        <f>'[3]TWIA 5'!$I260</f>
        <v>1.187362617565584</v>
      </c>
      <c r="F45" s="177">
        <f t="shared" si="12"/>
        <v>45432714</v>
      </c>
      <c r="G45" s="89">
        <f>[3]ISO!T58</f>
        <v>258179</v>
      </c>
      <c r="H45" s="50">
        <f t="shared" si="10"/>
        <v>6.0000000000000001E-3</v>
      </c>
      <c r="I45" s="50"/>
      <c r="K45" s="2"/>
      <c r="O45" s="24">
        <v>1981</v>
      </c>
      <c r="P45" s="40">
        <f>U42</f>
        <v>1.1428104166666666</v>
      </c>
      <c r="Q45" s="40">
        <f t="shared" si="14"/>
        <v>4.3536088652639462</v>
      </c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2"/>
      <c r="BH45" s="47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</row>
    <row r="46" spans="1:243" x14ac:dyDescent="0.2">
      <c r="A46" s="48">
        <v>2015</v>
      </c>
      <c r="B46" s="48"/>
      <c r="C46" s="89">
        <f>[3]ISO!O59</f>
        <v>36780958</v>
      </c>
      <c r="D46" s="258"/>
      <c r="E46" s="427">
        <f>'[3]TWIA 5'!$I261</f>
        <v>1.1298337004132681</v>
      </c>
      <c r="F46" s="177">
        <f>ROUND(C46*E46,0)</f>
        <v>41556366</v>
      </c>
      <c r="G46" s="89">
        <f>[3]ISO!T59</f>
        <v>5012267</v>
      </c>
      <c r="H46" s="50">
        <f t="shared" si="10"/>
        <v>0.121</v>
      </c>
      <c r="I46" s="50"/>
      <c r="K46" s="2"/>
      <c r="O46" s="24">
        <v>1982</v>
      </c>
      <c r="P46" s="203">
        <f>V42</f>
        <v>1.1576560861111111</v>
      </c>
      <c r="Q46" s="40">
        <f t="shared" si="14"/>
        <v>4.2977786071419253</v>
      </c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7"/>
      <c r="BI46" s="407"/>
      <c r="BJ46" s="407"/>
      <c r="BK46" s="407"/>
      <c r="BL46" s="407"/>
      <c r="BM46" s="410"/>
      <c r="BN46" s="407"/>
      <c r="BO46" s="407"/>
      <c r="BP46" s="407"/>
      <c r="BQ46" s="410"/>
      <c r="BR46" s="407"/>
      <c r="BS46" s="407"/>
      <c r="BT46" s="407"/>
      <c r="BU46" s="410"/>
      <c r="BV46" s="407"/>
      <c r="BW46" s="407"/>
      <c r="BX46" s="407"/>
      <c r="BY46" s="410"/>
      <c r="BZ46" s="407"/>
      <c r="CA46" s="407"/>
      <c r="CB46" s="407"/>
      <c r="CC46" s="410"/>
      <c r="CD46" s="407"/>
      <c r="CE46" s="407"/>
      <c r="CF46" s="407"/>
      <c r="CG46" s="410"/>
      <c r="CH46" s="407"/>
      <c r="CI46" s="407"/>
      <c r="CJ46" s="407"/>
      <c r="CK46" s="410"/>
      <c r="CL46" s="407"/>
      <c r="CM46" s="407"/>
      <c r="CN46" s="407"/>
      <c r="CO46" s="407"/>
      <c r="CP46" s="407"/>
      <c r="CQ46" s="407"/>
      <c r="CR46" s="407"/>
      <c r="CS46" s="408"/>
      <c r="CT46" s="407"/>
      <c r="CU46" s="407"/>
      <c r="CV46" s="407"/>
      <c r="CW46" s="408"/>
      <c r="CX46" s="407"/>
      <c r="CY46" s="407"/>
      <c r="CZ46" s="407"/>
      <c r="DA46" s="408"/>
      <c r="DB46" s="407"/>
      <c r="DC46" s="407"/>
      <c r="DD46" s="407"/>
      <c r="DE46" s="410"/>
      <c r="DF46" s="407"/>
      <c r="DG46" s="407"/>
      <c r="DH46" s="407"/>
      <c r="DI46" s="408"/>
      <c r="DJ46" s="407"/>
      <c r="DK46" s="407"/>
      <c r="DL46" s="407"/>
      <c r="DM46" s="408"/>
      <c r="DN46" s="407"/>
      <c r="DO46" s="407"/>
      <c r="DP46" s="407"/>
      <c r="DQ46" s="408"/>
      <c r="DR46" s="407"/>
      <c r="DS46" s="407"/>
      <c r="DT46" s="407"/>
      <c r="DU46" s="408"/>
      <c r="DV46" s="407"/>
      <c r="DW46" s="407"/>
      <c r="DX46" s="407"/>
      <c r="DY46" s="408"/>
      <c r="DZ46" s="407"/>
      <c r="EA46" s="407"/>
      <c r="EB46" s="407"/>
      <c r="EC46" s="408"/>
      <c r="ED46" s="407"/>
      <c r="EE46" s="407"/>
      <c r="EF46" s="407"/>
      <c r="EG46" s="410"/>
      <c r="EH46" s="407"/>
      <c r="EI46" s="407"/>
      <c r="EJ46" s="407"/>
      <c r="EK46" s="408"/>
      <c r="EL46" s="407"/>
      <c r="EM46" s="407"/>
      <c r="EN46" s="42"/>
      <c r="EO46" s="409"/>
      <c r="EP46" s="42"/>
      <c r="EQ46" s="42"/>
      <c r="ER46" s="407"/>
      <c r="ES46" s="410"/>
      <c r="ET46" s="407"/>
      <c r="EU46" s="407"/>
      <c r="EV46" s="407"/>
      <c r="EW46" s="408"/>
      <c r="EX46" s="407"/>
      <c r="EY46" s="407"/>
      <c r="EZ46" s="42"/>
      <c r="FA46" s="409"/>
      <c r="FB46" s="42"/>
      <c r="FC46" s="42"/>
      <c r="FD46" s="407"/>
      <c r="FE46" s="410"/>
      <c r="FF46" s="407"/>
      <c r="FG46" s="407"/>
      <c r="FH46" s="407"/>
      <c r="FI46" s="408"/>
      <c r="FJ46" s="407"/>
      <c r="FK46" s="407"/>
      <c r="FL46" s="42"/>
      <c r="FM46" s="409"/>
      <c r="FN46" s="42"/>
      <c r="FO46" s="42"/>
      <c r="FP46" s="407"/>
      <c r="FQ46" s="410"/>
      <c r="FR46" s="407"/>
      <c r="FS46" s="407"/>
      <c r="FT46" s="407"/>
      <c r="FU46" s="408"/>
      <c r="FV46" s="407"/>
      <c r="FW46" s="407"/>
      <c r="FX46" s="42"/>
      <c r="FY46" s="409"/>
      <c r="FZ46" s="42"/>
      <c r="GA46" s="42"/>
      <c r="GB46" s="407"/>
      <c r="GC46" s="410"/>
      <c r="GD46" s="407"/>
      <c r="GE46" s="407"/>
      <c r="GF46" s="407"/>
      <c r="GG46" s="408"/>
      <c r="GH46" s="407"/>
      <c r="GI46" s="407"/>
      <c r="GJ46" s="42"/>
      <c r="GK46" s="409"/>
      <c r="GL46" s="42"/>
      <c r="GM46" s="42"/>
      <c r="GN46" s="42"/>
      <c r="GO46" s="409"/>
      <c r="GP46" s="42"/>
      <c r="GQ46" s="42"/>
      <c r="GR46" s="407"/>
      <c r="GS46" s="410"/>
      <c r="GT46" s="407"/>
      <c r="GU46" s="407"/>
      <c r="GV46" s="407"/>
      <c r="GW46" s="408"/>
      <c r="GX46" s="407"/>
      <c r="GY46" s="407"/>
      <c r="GZ46" s="42"/>
      <c r="HA46" s="409"/>
      <c r="HB46" s="42"/>
      <c r="HC46" s="42"/>
      <c r="HD46" s="42"/>
      <c r="HE46" s="409"/>
      <c r="HF46" s="42"/>
      <c r="HG46" s="42"/>
      <c r="HH46" s="407"/>
      <c r="HI46" s="410"/>
      <c r="HJ46" s="407"/>
      <c r="HK46" s="407"/>
      <c r="HL46" s="407"/>
      <c r="HM46" s="408"/>
      <c r="HN46" s="407"/>
      <c r="HO46" s="407"/>
      <c r="HP46" s="42"/>
      <c r="HQ46" s="409"/>
      <c r="HR46" s="42"/>
      <c r="HS46" s="42"/>
      <c r="HT46" s="42"/>
      <c r="HU46" s="409"/>
      <c r="HV46" s="42"/>
      <c r="HW46" s="42"/>
      <c r="HX46" s="407"/>
      <c r="HY46" s="410"/>
      <c r="HZ46" s="407"/>
      <c r="IA46" s="407"/>
      <c r="IB46" s="407"/>
      <c r="IC46" s="408"/>
      <c r="ID46" s="407"/>
      <c r="IE46" s="407"/>
      <c r="IF46" s="42"/>
      <c r="IG46" s="409"/>
      <c r="IH46" s="42"/>
      <c r="II46" s="42"/>
    </row>
    <row r="47" spans="1:243" s="57" customFormat="1" x14ac:dyDescent="0.2">
      <c r="A47" s="48">
        <v>2016</v>
      </c>
      <c r="B47" s="48"/>
      <c r="C47" s="89">
        <f>[3]ISO!O60</f>
        <v>36187907</v>
      </c>
      <c r="D47" s="258"/>
      <c r="E47" s="427">
        <f>'[3]TWIA 5'!$I262</f>
        <v>1.0758917350262633</v>
      </c>
      <c r="F47" s="177">
        <f>ROUND(C47*E47,0)</f>
        <v>38934270</v>
      </c>
      <c r="G47" s="89">
        <f>[3]ISO!T60</f>
        <v>331694</v>
      </c>
      <c r="H47" s="50">
        <f t="shared" si="10"/>
        <v>8.9999999999999993E-3</v>
      </c>
      <c r="I47" s="50"/>
      <c r="K47" s="2"/>
      <c r="L47" t="s">
        <v>238</v>
      </c>
      <c r="M47" t="s">
        <v>239</v>
      </c>
      <c r="N47"/>
      <c r="O47" s="24">
        <v>1983</v>
      </c>
      <c r="P47" s="40">
        <f>W42</f>
        <v>1.3642372778106464</v>
      </c>
      <c r="Q47" s="40">
        <f t="shared" si="14"/>
        <v>3.6469825610545685</v>
      </c>
      <c r="R4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11"/>
      <c r="BI47" s="411"/>
      <c r="BJ47" s="411"/>
      <c r="BK47" s="411"/>
      <c r="BL47" s="411"/>
      <c r="BM47" s="411"/>
      <c r="BN47" s="411"/>
      <c r="BO47" s="411"/>
      <c r="BP47" s="411"/>
      <c r="BQ47" s="411"/>
      <c r="BR47" s="411"/>
      <c r="BS47" s="411"/>
      <c r="BT47" s="411"/>
      <c r="BU47" s="411"/>
      <c r="BV47" s="411"/>
      <c r="BW47" s="411"/>
      <c r="BX47" s="411"/>
      <c r="BY47" s="411"/>
      <c r="BZ47" s="411"/>
      <c r="CA47" s="411"/>
      <c r="CB47" s="411"/>
      <c r="CC47" s="411"/>
      <c r="CD47" s="411"/>
      <c r="CE47" s="411"/>
      <c r="CF47" s="411"/>
      <c r="CG47" s="411"/>
      <c r="CH47" s="411"/>
      <c r="CI47" s="411"/>
      <c r="CJ47" s="411"/>
      <c r="CK47" s="411"/>
      <c r="CL47" s="411"/>
      <c r="CM47" s="411"/>
      <c r="CN47" s="411"/>
      <c r="CO47" s="411"/>
      <c r="CP47" s="411"/>
      <c r="CQ47" s="411"/>
      <c r="CR47" s="411"/>
      <c r="CS47" s="411"/>
      <c r="CT47" s="411"/>
      <c r="CU47" s="411"/>
      <c r="CV47" s="411"/>
      <c r="CW47" s="411"/>
      <c r="CX47" s="411"/>
      <c r="CY47" s="411"/>
      <c r="CZ47" s="411"/>
      <c r="DA47" s="411"/>
      <c r="DB47" s="411"/>
      <c r="DC47" s="411"/>
      <c r="DD47" s="411"/>
      <c r="DE47" s="411"/>
      <c r="DF47" s="411"/>
      <c r="DG47" s="411"/>
      <c r="DH47" s="411"/>
      <c r="DI47" s="411"/>
      <c r="DJ47" s="411"/>
      <c r="DK47" s="411"/>
      <c r="DL47" s="411"/>
      <c r="DM47" s="411"/>
      <c r="DN47" s="411"/>
      <c r="DO47" s="411"/>
      <c r="DP47" s="411"/>
      <c r="DQ47" s="411"/>
      <c r="DR47" s="411"/>
      <c r="DS47" s="411"/>
      <c r="DT47" s="411"/>
      <c r="DU47" s="411"/>
      <c r="DV47" s="411"/>
      <c r="DW47" s="411"/>
      <c r="DX47" s="411"/>
      <c r="DY47" s="411"/>
      <c r="DZ47" s="411"/>
      <c r="EA47" s="411"/>
      <c r="EB47" s="411"/>
      <c r="EC47" s="411"/>
      <c r="ED47" s="411"/>
      <c r="EE47" s="411"/>
      <c r="EF47" s="411"/>
      <c r="EG47" s="411"/>
      <c r="EH47" s="411"/>
      <c r="EI47" s="411"/>
      <c r="EJ47" s="411"/>
      <c r="EK47" s="411"/>
      <c r="EL47" s="411"/>
      <c r="EM47" s="411"/>
      <c r="EN47" s="47"/>
      <c r="EO47" s="47"/>
      <c r="EP47" s="47"/>
      <c r="EQ47" s="47"/>
      <c r="ER47" s="411"/>
      <c r="ES47" s="411"/>
      <c r="ET47" s="411"/>
      <c r="EU47" s="411"/>
      <c r="EV47" s="411"/>
      <c r="EW47" s="411"/>
      <c r="EX47" s="411"/>
      <c r="EY47" s="411"/>
      <c r="EZ47" s="47"/>
      <c r="FA47" s="47"/>
      <c r="FB47" s="47"/>
      <c r="FC47" s="47"/>
      <c r="FD47" s="411"/>
      <c r="FE47" s="411"/>
      <c r="FF47" s="411"/>
      <c r="FG47" s="411"/>
      <c r="FH47" s="411"/>
      <c r="FI47" s="411"/>
      <c r="FJ47" s="411"/>
      <c r="FK47" s="411"/>
      <c r="FL47" s="47"/>
      <c r="FM47" s="47"/>
      <c r="FN47" s="47"/>
      <c r="FO47" s="47"/>
      <c r="FP47" s="411"/>
      <c r="FQ47" s="411"/>
      <c r="FR47" s="411"/>
      <c r="FS47" s="411"/>
      <c r="FT47" s="411"/>
      <c r="FU47" s="411"/>
      <c r="FV47" s="411"/>
      <c r="FW47" s="411"/>
      <c r="FX47" s="47"/>
      <c r="FY47" s="47"/>
      <c r="FZ47" s="47"/>
      <c r="GA47" s="47"/>
      <c r="GB47" s="411"/>
      <c r="GC47" s="411"/>
      <c r="GD47" s="411"/>
      <c r="GE47" s="411"/>
      <c r="GF47" s="411"/>
      <c r="GG47" s="411"/>
      <c r="GH47" s="411"/>
      <c r="GI47" s="411"/>
      <c r="GJ47" s="47"/>
      <c r="GK47" s="47"/>
      <c r="GL47" s="47"/>
      <c r="GM47" s="47"/>
      <c r="GN47" s="47"/>
      <c r="GO47" s="47"/>
      <c r="GP47" s="47"/>
      <c r="GQ47" s="47"/>
      <c r="GR47" s="411"/>
      <c r="GS47" s="411"/>
      <c r="GT47" s="411"/>
      <c r="GU47" s="411"/>
      <c r="GV47" s="411"/>
      <c r="GW47" s="411"/>
      <c r="GX47" s="411"/>
      <c r="GY47" s="411"/>
      <c r="GZ47" s="47"/>
      <c r="HA47" s="47"/>
      <c r="HB47" s="47"/>
      <c r="HC47" s="47"/>
      <c r="HD47" s="47"/>
      <c r="HE47" s="47"/>
      <c r="HF47" s="47"/>
      <c r="HG47" s="47"/>
      <c r="HH47" s="411"/>
      <c r="HI47" s="411"/>
      <c r="HJ47" s="411"/>
      <c r="HK47" s="411"/>
      <c r="HL47" s="411"/>
      <c r="HM47" s="411"/>
      <c r="HN47" s="411"/>
      <c r="HO47" s="411"/>
      <c r="HP47" s="47"/>
      <c r="HQ47" s="47"/>
      <c r="HR47" s="47"/>
      <c r="HS47" s="47"/>
      <c r="HT47" s="47"/>
      <c r="HU47" s="47"/>
      <c r="HV47" s="47"/>
      <c r="HW47" s="47"/>
      <c r="HX47" s="411"/>
      <c r="HY47" s="411"/>
      <c r="HZ47" s="411"/>
      <c r="IA47" s="411"/>
      <c r="IB47" s="411"/>
      <c r="IC47" s="411"/>
      <c r="ID47" s="411"/>
      <c r="IE47" s="411"/>
      <c r="IF47" s="47"/>
      <c r="IG47" s="47"/>
      <c r="IH47" s="47"/>
      <c r="II47" s="47"/>
    </row>
    <row r="48" spans="1:243" x14ac:dyDescent="0.2">
      <c r="A48" s="101">
        <v>2017</v>
      </c>
      <c r="B48" s="47"/>
      <c r="C48" s="89">
        <f>[3]ISO!O61</f>
        <v>32595075</v>
      </c>
      <c r="D48" s="47"/>
      <c r="E48" s="427">
        <f>'[3]TWIA 5'!$I263</f>
        <v>1.0500000000000045</v>
      </c>
      <c r="F48" s="177">
        <f>ROUND(C48*E48,0)</f>
        <v>34224829</v>
      </c>
      <c r="G48" s="89">
        <f>[3]ISO!T61</f>
        <v>27903575</v>
      </c>
      <c r="H48" s="50">
        <f>ROUND(G48/F48,3)</f>
        <v>0.81499999999999995</v>
      </c>
      <c r="I48" s="50"/>
      <c r="K48" s="2"/>
      <c r="L48" s="102">
        <v>34607</v>
      </c>
      <c r="M48" s="102">
        <v>36525</v>
      </c>
      <c r="N48" t="s">
        <v>240</v>
      </c>
      <c r="O48" s="24">
        <v>1984</v>
      </c>
      <c r="P48" s="40">
        <f>X42</f>
        <v>1.487808026052257</v>
      </c>
      <c r="Q48" s="40">
        <f t="shared" si="14"/>
        <v>3.3440803344216081</v>
      </c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11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</row>
    <row r="49" spans="1:243" x14ac:dyDescent="0.2">
      <c r="A49" s="101">
        <v>2018</v>
      </c>
      <c r="B49" s="47"/>
      <c r="C49" s="89">
        <f>[3]ISO!O62</f>
        <v>33178454</v>
      </c>
      <c r="D49" s="47"/>
      <c r="E49" s="427">
        <f>'[3]TWIA 5'!$I264</f>
        <v>1.0243345041628875</v>
      </c>
      <c r="F49" s="177">
        <f>ROUND(C49*E49,0)</f>
        <v>33985835</v>
      </c>
      <c r="G49" s="89">
        <f>[3]ISO!T62</f>
        <v>245785</v>
      </c>
      <c r="H49" s="50">
        <f>ROUND(G49/F49,3)</f>
        <v>7.0000000000000001E-3</v>
      </c>
      <c r="I49" s="50"/>
      <c r="K49" s="2"/>
      <c r="M49" s="99">
        <v>43100</v>
      </c>
      <c r="O49" s="24">
        <v>1985</v>
      </c>
      <c r="P49" s="40">
        <f>Y42</f>
        <v>1.8145984187369675</v>
      </c>
      <c r="Q49" s="40">
        <f t="shared" si="14"/>
        <v>2.7418460800704461</v>
      </c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</row>
    <row r="50" spans="1:243" x14ac:dyDescent="0.2">
      <c r="A50" s="55">
        <v>2019</v>
      </c>
      <c r="B50" s="9"/>
      <c r="C50" s="88">
        <f>[3]ISO!O63</f>
        <v>33603360</v>
      </c>
      <c r="D50" s="9"/>
      <c r="E50" s="428">
        <f>'[3]TWIA 5'!$I265</f>
        <v>1</v>
      </c>
      <c r="F50" s="30">
        <f>ROUND(C50*E50,0)</f>
        <v>33603360</v>
      </c>
      <c r="G50" s="88">
        <f>[3]ISO!T63</f>
        <v>378013</v>
      </c>
      <c r="H50" s="66">
        <f>ROUND(G50/F50,3)</f>
        <v>1.0999999999999999E-2</v>
      </c>
      <c r="I50" s="50"/>
      <c r="K50" s="2"/>
      <c r="L50" s="99">
        <f>[3]ISO!$E$1</f>
        <v>43830</v>
      </c>
      <c r="M50" s="99">
        <f>[3]ISO!$E$2</f>
        <v>43830</v>
      </c>
      <c r="N50" t="s">
        <v>241</v>
      </c>
      <c r="O50" s="24">
        <v>1986</v>
      </c>
      <c r="P50" s="40">
        <f>Z42</f>
        <v>2.5485007097028989</v>
      </c>
      <c r="Q50" s="40">
        <f t="shared" si="14"/>
        <v>1.9522653230479203</v>
      </c>
      <c r="R50" s="5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173">
        <v>1980</v>
      </c>
      <c r="BI50" s="417"/>
      <c r="BJ50" s="417"/>
      <c r="BK50" s="417"/>
      <c r="BL50" s="413">
        <f>BH50+1</f>
        <v>1981</v>
      </c>
      <c r="BM50" s="13"/>
      <c r="BN50" s="13"/>
      <c r="BO50" s="13"/>
      <c r="BP50" s="13">
        <f>BL50+1</f>
        <v>1982</v>
      </c>
      <c r="BQ50" s="13"/>
      <c r="BR50" s="13"/>
      <c r="BS50" s="13"/>
      <c r="BT50" s="13">
        <f>BP50+1</f>
        <v>1983</v>
      </c>
      <c r="BU50" s="13"/>
      <c r="BV50" s="13"/>
      <c r="BW50" s="13"/>
      <c r="BX50" s="13">
        <f>BT50+1</f>
        <v>1984</v>
      </c>
      <c r="BY50" s="13"/>
      <c r="BZ50" s="13"/>
      <c r="CA50" s="13"/>
      <c r="CB50" s="13">
        <f>BX50+1</f>
        <v>1985</v>
      </c>
      <c r="CC50" s="13"/>
      <c r="CD50" s="13"/>
      <c r="CE50" s="13"/>
      <c r="CF50" s="13">
        <f>CB50+1</f>
        <v>1986</v>
      </c>
      <c r="CG50" s="13"/>
      <c r="CH50" s="13"/>
      <c r="CI50" s="13"/>
      <c r="CJ50" s="13">
        <f>CF50+1</f>
        <v>1987</v>
      </c>
      <c r="CK50" s="13"/>
      <c r="CL50" s="13"/>
      <c r="CM50" s="13"/>
      <c r="CN50" s="13">
        <f>CJ50+1</f>
        <v>1988</v>
      </c>
      <c r="CO50" s="13"/>
      <c r="CP50" s="13"/>
      <c r="CQ50" s="13"/>
      <c r="CR50" s="13">
        <f>CN50+1</f>
        <v>1989</v>
      </c>
      <c r="CS50" s="13"/>
      <c r="CT50" s="13"/>
      <c r="CU50" s="13"/>
      <c r="CV50" s="13">
        <f>CR50+1</f>
        <v>1990</v>
      </c>
      <c r="CW50" s="13"/>
      <c r="CX50" s="13"/>
      <c r="CY50" s="13"/>
      <c r="CZ50" s="13">
        <f>CV50+1</f>
        <v>1991</v>
      </c>
      <c r="DA50" s="13"/>
      <c r="DB50" s="13"/>
      <c r="DC50" s="13"/>
      <c r="DD50" s="13">
        <f>CZ50+1</f>
        <v>1992</v>
      </c>
      <c r="DE50" s="13"/>
      <c r="DF50" s="13"/>
      <c r="DG50" s="13"/>
      <c r="DH50" s="13">
        <f>DD50+1</f>
        <v>1993</v>
      </c>
      <c r="DI50" s="13"/>
      <c r="DJ50" s="13"/>
      <c r="DK50" s="13"/>
      <c r="DL50" s="13">
        <f>DH50+1</f>
        <v>1994</v>
      </c>
      <c r="DM50" s="13"/>
      <c r="DN50" s="13"/>
      <c r="DO50" s="13"/>
      <c r="DP50" s="13">
        <f>DL50+1</f>
        <v>1995</v>
      </c>
      <c r="DQ50" s="13"/>
      <c r="DR50" s="13"/>
      <c r="DS50" s="13"/>
      <c r="DT50" s="13">
        <f>DP50+1</f>
        <v>1996</v>
      </c>
      <c r="DU50" s="13"/>
      <c r="DV50" s="13"/>
      <c r="DW50" s="13"/>
      <c r="DX50" s="13">
        <f>DT50+1</f>
        <v>1997</v>
      </c>
      <c r="DY50" s="13"/>
      <c r="DZ50" s="13"/>
      <c r="EA50" s="13"/>
      <c r="EB50" s="13">
        <f>DX50+1</f>
        <v>1998</v>
      </c>
      <c r="EC50" s="13"/>
      <c r="ED50" s="13"/>
      <c r="EE50" s="13"/>
      <c r="EF50" s="13">
        <f>EB50+1</f>
        <v>1999</v>
      </c>
      <c r="EG50" s="13"/>
      <c r="EH50" s="13"/>
      <c r="EI50" s="13"/>
      <c r="EJ50" s="13">
        <f>EF50+1</f>
        <v>2000</v>
      </c>
      <c r="EK50" s="13"/>
      <c r="EL50" s="13"/>
      <c r="EM50" s="13"/>
      <c r="EN50" s="13">
        <f>EJ50+1</f>
        <v>2001</v>
      </c>
      <c r="EO50" s="13"/>
      <c r="EP50" s="13"/>
      <c r="EQ50" s="13"/>
      <c r="ER50" s="13">
        <f>EN50+1</f>
        <v>2002</v>
      </c>
      <c r="ES50" s="13"/>
      <c r="ET50" s="13"/>
      <c r="EU50" s="13"/>
      <c r="EV50" s="13">
        <f>ER50+1</f>
        <v>2003</v>
      </c>
      <c r="EW50" s="13"/>
      <c r="EX50" s="13"/>
      <c r="EY50" s="13"/>
      <c r="EZ50" s="13">
        <f>EV50+1</f>
        <v>2004</v>
      </c>
      <c r="FA50" s="13"/>
      <c r="FB50" s="13"/>
      <c r="FC50" s="13"/>
      <c r="FD50" s="13">
        <f>EZ50+1</f>
        <v>2005</v>
      </c>
      <c r="FE50" s="13"/>
      <c r="FF50" s="13"/>
      <c r="FG50" s="13"/>
      <c r="FH50" s="13">
        <f>FD50+1</f>
        <v>2006</v>
      </c>
      <c r="FI50" s="13"/>
      <c r="FJ50" s="13"/>
      <c r="FK50" s="13"/>
      <c r="FL50" s="13">
        <f>FH50+1</f>
        <v>2007</v>
      </c>
      <c r="FM50" s="13"/>
      <c r="FN50" s="13"/>
      <c r="FO50" s="13"/>
      <c r="FP50" s="13">
        <f>FL50+1</f>
        <v>2008</v>
      </c>
      <c r="FQ50" s="13"/>
      <c r="FR50" s="13"/>
      <c r="FS50" s="13"/>
      <c r="FT50" s="13">
        <f>FP50+1</f>
        <v>2009</v>
      </c>
      <c r="FU50" s="13"/>
      <c r="FV50" s="13"/>
      <c r="FW50" s="13"/>
      <c r="FX50" s="13">
        <f>FT50+1</f>
        <v>2010</v>
      </c>
      <c r="FY50" s="13"/>
      <c r="FZ50" s="13"/>
      <c r="GA50" s="13"/>
      <c r="GB50" s="13">
        <f>FX50+1</f>
        <v>2011</v>
      </c>
      <c r="GC50" s="13"/>
      <c r="GD50" s="13"/>
      <c r="GE50" s="13"/>
      <c r="GF50" s="13">
        <f>GB50+1</f>
        <v>2012</v>
      </c>
      <c r="GG50" s="13"/>
      <c r="GH50" s="13"/>
      <c r="GI50" s="13"/>
      <c r="GJ50" s="13">
        <f>GF50+1</f>
        <v>2013</v>
      </c>
      <c r="GK50" s="13"/>
      <c r="GL50" s="13"/>
      <c r="GM50" s="13"/>
      <c r="GN50" s="13">
        <f>GJ50+1</f>
        <v>2014</v>
      </c>
      <c r="GO50" s="13"/>
      <c r="GP50" s="13"/>
      <c r="GQ50" s="13"/>
      <c r="GR50" s="13">
        <f>GN50+1</f>
        <v>2015</v>
      </c>
      <c r="GS50" s="13"/>
      <c r="GT50" s="13"/>
      <c r="GU50" s="13"/>
      <c r="GV50" s="13">
        <f>GR50+1</f>
        <v>2016</v>
      </c>
      <c r="GW50" s="13"/>
      <c r="GX50" s="13"/>
      <c r="GY50" s="13"/>
      <c r="GZ50" s="13">
        <f>GV50+1</f>
        <v>2017</v>
      </c>
      <c r="HA50" s="13"/>
      <c r="HB50" s="13"/>
      <c r="HC50" s="13"/>
      <c r="HD50" s="13">
        <f>GZ50+1</f>
        <v>2018</v>
      </c>
      <c r="HE50" s="13"/>
      <c r="HF50" s="13"/>
      <c r="HG50" s="13"/>
      <c r="HH50" s="465">
        <f>HD50+1</f>
        <v>2019</v>
      </c>
      <c r="HI50" s="465"/>
      <c r="HJ50" s="465"/>
      <c r="HK50" s="465"/>
    </row>
    <row r="51" spans="1:243" x14ac:dyDescent="0.2">
      <c r="C51" s="18"/>
      <c r="D51" s="18"/>
      <c r="E51" s="12"/>
      <c r="F51" s="18"/>
      <c r="G51" s="89"/>
      <c r="H51" s="19"/>
      <c r="I51" s="47"/>
      <c r="K51" s="2"/>
      <c r="O51" s="24">
        <v>1987</v>
      </c>
      <c r="P51" s="40">
        <f>AA42</f>
        <v>2.6203865119934049</v>
      </c>
      <c r="Q51" s="40">
        <f t="shared" si="14"/>
        <v>1.898708277784215</v>
      </c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15"/>
      <c r="BH51" s="418"/>
      <c r="BI51" s="414"/>
      <c r="BJ51" s="414"/>
      <c r="BK51" s="419"/>
      <c r="BL51" s="418"/>
      <c r="BM51" s="414"/>
      <c r="BN51" s="414"/>
      <c r="BO51" s="419"/>
      <c r="BP51" s="418"/>
      <c r="BQ51" s="414"/>
      <c r="BR51" s="414"/>
      <c r="BS51" s="419"/>
      <c r="BT51" s="418"/>
      <c r="BU51" s="414"/>
      <c r="BV51" s="414"/>
      <c r="BW51" s="419"/>
      <c r="BX51" s="418"/>
      <c r="BY51" s="414"/>
      <c r="BZ51" s="414"/>
      <c r="CA51" s="419"/>
      <c r="CB51" s="418"/>
      <c r="CC51" s="414"/>
      <c r="CD51" s="414"/>
      <c r="CE51" s="419"/>
      <c r="CF51" s="418"/>
      <c r="CG51" s="414"/>
      <c r="CH51" s="414"/>
      <c r="CI51" s="419"/>
      <c r="CJ51" s="418"/>
      <c r="CK51" s="414"/>
      <c r="CL51" s="414"/>
      <c r="CM51" s="419"/>
      <c r="CN51" s="418"/>
      <c r="CO51" s="414"/>
      <c r="CP51" s="414"/>
      <c r="CQ51" s="419"/>
      <c r="CR51" s="418"/>
      <c r="CS51" s="414"/>
      <c r="CT51" s="414"/>
      <c r="CU51" s="419"/>
      <c r="CV51" s="418"/>
      <c r="CW51" s="414"/>
      <c r="CX51" s="414"/>
      <c r="CY51" s="419"/>
      <c r="CZ51" s="418"/>
      <c r="DA51" s="414"/>
      <c r="DB51" s="414"/>
      <c r="DC51" s="419"/>
      <c r="DD51" s="418"/>
      <c r="DE51" s="414"/>
      <c r="DF51" s="414"/>
      <c r="DG51" s="419"/>
      <c r="DH51" s="418"/>
      <c r="DI51" s="414"/>
      <c r="DJ51" s="414"/>
      <c r="DK51" s="419"/>
      <c r="DL51" s="418"/>
      <c r="DM51" s="414"/>
      <c r="DN51" s="414"/>
      <c r="DO51" s="419"/>
      <c r="DP51" s="418"/>
      <c r="DQ51" s="414"/>
      <c r="DR51" s="414"/>
      <c r="DS51" s="419"/>
      <c r="DT51" s="418"/>
      <c r="DU51" s="414"/>
      <c r="DV51" s="414"/>
      <c r="DW51" s="419"/>
      <c r="DX51" s="418"/>
      <c r="DY51" s="414"/>
      <c r="DZ51" s="414"/>
      <c r="EA51" s="419"/>
      <c r="EB51" s="418"/>
      <c r="EC51" s="414"/>
      <c r="ED51" s="414"/>
      <c r="EE51" s="419"/>
      <c r="EF51" s="418"/>
      <c r="EG51" s="414"/>
      <c r="EH51" s="414"/>
      <c r="EI51" s="419"/>
      <c r="EJ51" s="418"/>
      <c r="EK51" s="414"/>
      <c r="EL51" s="414"/>
      <c r="EM51" s="419"/>
      <c r="EN51" s="418"/>
      <c r="EO51" s="414"/>
      <c r="EP51" s="414"/>
      <c r="EQ51" s="419"/>
      <c r="ER51" s="418"/>
      <c r="ES51" s="414"/>
      <c r="ET51" s="414"/>
      <c r="EU51" s="419"/>
      <c r="EV51" s="418"/>
      <c r="EW51" s="414"/>
      <c r="EX51" s="414"/>
      <c r="EY51" s="419"/>
      <c r="EZ51" s="418"/>
      <c r="FA51" s="414"/>
      <c r="FB51" s="414"/>
      <c r="FC51" s="419"/>
      <c r="FD51" s="418"/>
      <c r="FE51" s="414"/>
      <c r="FF51" s="414"/>
      <c r="FG51" s="419"/>
      <c r="FH51" s="418"/>
      <c r="FI51" s="414"/>
      <c r="FJ51" s="414"/>
      <c r="FK51" s="419"/>
      <c r="FL51" s="418"/>
      <c r="FM51" s="414"/>
      <c r="FN51" s="414"/>
      <c r="FO51" s="419"/>
      <c r="FP51" s="418"/>
      <c r="FQ51" s="414"/>
      <c r="FR51" s="414"/>
      <c r="FS51" s="419"/>
      <c r="FT51" s="418"/>
      <c r="FU51" s="414"/>
      <c r="FV51" s="414"/>
      <c r="FW51" s="419"/>
      <c r="FX51" s="418"/>
      <c r="FY51" s="414"/>
      <c r="FZ51" s="414"/>
      <c r="GA51" s="419"/>
      <c r="GB51" s="418"/>
      <c r="GC51" s="414"/>
      <c r="GD51" s="414"/>
      <c r="GE51" s="419"/>
      <c r="GF51" s="418"/>
      <c r="GG51" s="414"/>
      <c r="GH51" s="414"/>
      <c r="GI51" s="419"/>
      <c r="GJ51" s="418"/>
      <c r="GK51" s="414"/>
      <c r="GL51" s="414"/>
      <c r="GM51" s="419"/>
      <c r="GN51" s="418"/>
      <c r="GO51" s="414"/>
      <c r="GP51" s="414"/>
      <c r="GQ51" s="419"/>
      <c r="GR51" s="418"/>
      <c r="GS51" s="414"/>
      <c r="GT51" s="414"/>
      <c r="GU51" s="419"/>
      <c r="GV51" s="418"/>
      <c r="GW51" s="414"/>
      <c r="GX51" s="414"/>
      <c r="GY51" s="419"/>
      <c r="GZ51" s="418"/>
      <c r="HA51" s="414"/>
      <c r="HB51" s="414"/>
      <c r="HC51" s="419"/>
      <c r="HD51" s="418"/>
      <c r="HE51" s="414"/>
      <c r="HF51" s="414"/>
      <c r="HG51" s="419"/>
      <c r="HH51" s="418"/>
      <c r="HI51" s="414"/>
      <c r="HJ51" s="414"/>
      <c r="HK51" s="419"/>
      <c r="HL51" s="47"/>
      <c r="HM51" s="47"/>
      <c r="HN51" s="47"/>
      <c r="HO51" s="47"/>
      <c r="HP51" s="47"/>
      <c r="HQ51" s="47"/>
      <c r="HR51" s="47"/>
      <c r="HS51" s="47"/>
    </row>
    <row r="52" spans="1:243" x14ac:dyDescent="0.2">
      <c r="A52" t="s">
        <v>8</v>
      </c>
      <c r="C52" s="68">
        <f>SUM(C14:C50)</f>
        <v>552060265</v>
      </c>
      <c r="D52" s="68"/>
      <c r="E52" s="68"/>
      <c r="F52" s="68">
        <f>SUM(F14:F50)</f>
        <v>865267243.64285207</v>
      </c>
      <c r="G52" s="68">
        <f>SUM(G14:G50)</f>
        <v>428874288.44950092</v>
      </c>
      <c r="H52" s="22">
        <f>ROUND(G52/F52,3)</f>
        <v>0.496</v>
      </c>
      <c r="I52" s="47"/>
      <c r="K52" s="2"/>
      <c r="O52" s="24">
        <v>1988</v>
      </c>
      <c r="P52" s="40">
        <f>AB42</f>
        <v>2.4328629760090004</v>
      </c>
      <c r="Q52" s="40">
        <f t="shared" si="14"/>
        <v>2.0450595082333063</v>
      </c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15"/>
      <c r="BH52" s="420"/>
      <c r="BI52" s="421" t="s">
        <v>15</v>
      </c>
      <c r="BJ52" s="389"/>
      <c r="BK52" s="388"/>
      <c r="BL52" s="420"/>
      <c r="BM52" s="412"/>
      <c r="BN52" s="422" t="s">
        <v>16</v>
      </c>
      <c r="BO52" s="388"/>
      <c r="BP52" s="423"/>
      <c r="BQ52" s="421"/>
      <c r="BR52" s="422" t="s">
        <v>337</v>
      </c>
      <c r="BS52" s="424"/>
      <c r="BT52" s="423"/>
      <c r="BU52" s="421"/>
      <c r="BV52" s="422"/>
      <c r="BW52" s="424" t="s">
        <v>338</v>
      </c>
      <c r="BX52" s="423"/>
      <c r="BY52" s="421"/>
      <c r="BZ52" s="422"/>
      <c r="CA52" s="424" t="s">
        <v>339</v>
      </c>
      <c r="CB52" s="423"/>
      <c r="CC52" s="421"/>
      <c r="CD52" s="422"/>
      <c r="CE52" s="424"/>
      <c r="CF52" s="423" t="s">
        <v>341</v>
      </c>
      <c r="CG52" s="421"/>
      <c r="CH52" s="422"/>
      <c r="CI52" s="424"/>
      <c r="CJ52" s="423" t="s">
        <v>60</v>
      </c>
      <c r="CK52" s="421"/>
      <c r="CL52" s="422"/>
      <c r="CM52" s="424"/>
      <c r="CN52" s="423"/>
      <c r="CO52" s="421"/>
      <c r="CP52" s="422" t="s">
        <v>342</v>
      </c>
      <c r="CQ52" s="424"/>
      <c r="CR52" s="423"/>
      <c r="CS52" s="421"/>
      <c r="CT52" s="422"/>
      <c r="CU52" s="424"/>
      <c r="CV52" s="423" t="s">
        <v>343</v>
      </c>
      <c r="CW52" s="421"/>
      <c r="CX52" s="422"/>
      <c r="CY52" s="424"/>
      <c r="CZ52" s="423" t="s">
        <v>344</v>
      </c>
      <c r="DA52" s="421"/>
      <c r="DB52" s="422"/>
      <c r="DC52" s="424"/>
      <c r="DD52" s="423" t="s">
        <v>371</v>
      </c>
      <c r="DE52" s="421"/>
      <c r="DF52" s="422"/>
      <c r="DG52" s="424"/>
      <c r="DH52" s="423"/>
      <c r="DI52" s="421"/>
      <c r="DJ52" s="422" t="s">
        <v>376</v>
      </c>
      <c r="DK52" s="424"/>
      <c r="DL52" s="423"/>
      <c r="DM52" s="421"/>
      <c r="DN52" s="422"/>
      <c r="DO52" s="424"/>
      <c r="DP52" s="423"/>
      <c r="DQ52" s="421"/>
      <c r="DR52" s="422"/>
      <c r="DS52" s="424"/>
      <c r="DT52" s="423"/>
      <c r="DU52" s="421"/>
      <c r="DV52" s="422" t="s">
        <v>399</v>
      </c>
      <c r="DW52" s="424"/>
      <c r="DX52" s="423"/>
      <c r="DY52" s="421"/>
      <c r="DZ52" s="422"/>
      <c r="EA52" s="424"/>
      <c r="EB52" s="423"/>
      <c r="EC52" s="421"/>
      <c r="ED52" s="422"/>
      <c r="EE52" s="424"/>
      <c r="EF52" s="423"/>
      <c r="EG52" s="421"/>
      <c r="EH52" s="422" t="s">
        <v>414</v>
      </c>
      <c r="EI52" s="424"/>
      <c r="EJ52" s="423"/>
      <c r="EK52" s="421"/>
      <c r="EL52" s="422"/>
      <c r="EM52" s="424"/>
      <c r="EN52" s="423" t="s">
        <v>415</v>
      </c>
      <c r="EO52" s="421"/>
      <c r="EP52" s="422"/>
      <c r="EQ52" s="424"/>
      <c r="ER52" s="423" t="s">
        <v>418</v>
      </c>
      <c r="ES52" s="421"/>
      <c r="ET52" s="422"/>
      <c r="EU52" s="424"/>
      <c r="EV52" s="423" t="s">
        <v>419</v>
      </c>
      <c r="EW52" s="421"/>
      <c r="EX52" s="422"/>
      <c r="EY52" s="424"/>
      <c r="EZ52" s="423" t="s">
        <v>451</v>
      </c>
      <c r="FA52" s="421"/>
      <c r="FB52" s="422"/>
      <c r="FC52" s="424"/>
      <c r="FD52" s="423" t="s">
        <v>475</v>
      </c>
      <c r="FE52" s="421"/>
      <c r="FF52" s="422"/>
      <c r="FG52" s="424"/>
      <c r="FH52" s="423" t="s">
        <v>539</v>
      </c>
      <c r="FI52" s="421"/>
      <c r="FJ52" s="422"/>
      <c r="FK52" s="424" t="s">
        <v>540</v>
      </c>
      <c r="FL52" s="423"/>
      <c r="FM52" s="421" t="s">
        <v>541</v>
      </c>
      <c r="FN52" s="422"/>
      <c r="FO52" s="424" t="s">
        <v>542</v>
      </c>
      <c r="FP52" s="423"/>
      <c r="FQ52" s="421"/>
      <c r="FR52" s="422"/>
      <c r="FS52" s="424"/>
      <c r="FT52" s="423" t="s">
        <v>543</v>
      </c>
      <c r="FU52" s="421"/>
      <c r="FV52" s="422"/>
      <c r="FW52" s="424"/>
      <c r="FX52" s="423"/>
      <c r="FY52" s="421" t="s">
        <v>544</v>
      </c>
      <c r="FZ52" s="422"/>
      <c r="GA52" s="424"/>
      <c r="GB52" s="423"/>
      <c r="GC52" s="421"/>
      <c r="GD52" s="422"/>
      <c r="GE52" s="424"/>
      <c r="GF52" s="423" t="s">
        <v>545</v>
      </c>
      <c r="GG52" s="421"/>
      <c r="GH52" s="422"/>
      <c r="GI52" s="424"/>
      <c r="GJ52" s="423" t="s">
        <v>546</v>
      </c>
      <c r="GK52" s="421"/>
      <c r="GL52" s="422"/>
      <c r="GM52" s="424" t="s">
        <v>547</v>
      </c>
      <c r="GN52" s="423"/>
      <c r="GO52" s="421"/>
      <c r="GP52" s="422"/>
      <c r="GQ52" s="424" t="s">
        <v>548</v>
      </c>
      <c r="GR52" s="423"/>
      <c r="GS52" s="421"/>
      <c r="GT52" s="422"/>
      <c r="GU52" s="424" t="s">
        <v>549</v>
      </c>
      <c r="GV52" s="423"/>
      <c r="GW52" s="421"/>
      <c r="GX52" s="422"/>
      <c r="GY52" s="424" t="s">
        <v>550</v>
      </c>
      <c r="GZ52" s="423"/>
      <c r="HA52" s="421"/>
      <c r="HB52" s="422"/>
      <c r="HC52" s="424" t="s">
        <v>551</v>
      </c>
      <c r="HD52" s="423"/>
      <c r="HE52" s="421"/>
      <c r="HF52" s="422"/>
      <c r="HG52" s="424"/>
      <c r="HH52" s="423" t="s">
        <v>552</v>
      </c>
      <c r="HI52" s="421"/>
      <c r="HJ52" s="422"/>
      <c r="HK52" s="388"/>
      <c r="HL52" s="47"/>
      <c r="HM52" s="47"/>
      <c r="HN52" s="47"/>
      <c r="HO52" s="47"/>
      <c r="HP52" s="47"/>
      <c r="HQ52" s="47"/>
      <c r="HR52" s="47"/>
      <c r="HS52" s="47"/>
    </row>
    <row r="53" spans="1:243" ht="12" thickBot="1" x14ac:dyDescent="0.25">
      <c r="A53" s="6"/>
      <c r="B53" s="6"/>
      <c r="C53" s="6"/>
      <c r="D53" s="6"/>
      <c r="E53" s="6"/>
      <c r="F53" s="6"/>
      <c r="G53" s="6"/>
      <c r="H53" s="6"/>
      <c r="I53" s="47"/>
      <c r="K53" s="2"/>
      <c r="O53" s="24">
        <v>1989</v>
      </c>
      <c r="P53" s="203">
        <f>AC42</f>
        <v>2.1901615490310262</v>
      </c>
      <c r="Q53" s="40">
        <f t="shared" si="14"/>
        <v>2.271681540349014</v>
      </c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15"/>
      <c r="BH53" s="420"/>
      <c r="BI53" s="412"/>
      <c r="BJ53" s="389"/>
      <c r="BK53" s="388"/>
      <c r="BL53" s="420"/>
      <c r="BM53" s="412"/>
      <c r="BN53" s="389"/>
      <c r="BO53" s="388"/>
      <c r="BP53" s="423"/>
      <c r="BQ53" s="421"/>
      <c r="BR53" s="422"/>
      <c r="BS53" s="424"/>
      <c r="BT53" s="423"/>
      <c r="BU53" s="421"/>
      <c r="BV53" s="422"/>
      <c r="BW53" s="424"/>
      <c r="BX53" s="423"/>
      <c r="BY53" s="421"/>
      <c r="BZ53" s="422"/>
      <c r="CA53" s="424"/>
      <c r="CB53" s="423"/>
      <c r="CC53" s="421"/>
      <c r="CD53" s="422"/>
      <c r="CE53" s="424"/>
      <c r="CF53" s="423"/>
      <c r="CG53" s="421"/>
      <c r="CH53" s="422"/>
      <c r="CI53" s="424"/>
      <c r="CJ53" s="423"/>
      <c r="CK53" s="421"/>
      <c r="CL53" s="422"/>
      <c r="CM53" s="424"/>
      <c r="CN53" s="423"/>
      <c r="CO53" s="421"/>
      <c r="CP53" s="422"/>
      <c r="CQ53" s="424"/>
      <c r="CR53" s="423"/>
      <c r="CS53" s="421"/>
      <c r="CT53" s="422"/>
      <c r="CU53" s="424"/>
      <c r="CV53" s="423"/>
      <c r="CW53" s="421"/>
      <c r="CX53" s="422"/>
      <c r="CY53" s="424"/>
      <c r="CZ53" s="423"/>
      <c r="DA53" s="421"/>
      <c r="DB53" s="422"/>
      <c r="DC53" s="424"/>
      <c r="DD53" s="423"/>
      <c r="DE53" s="421"/>
      <c r="DF53" s="422"/>
      <c r="DG53" s="424"/>
      <c r="DH53" s="423"/>
      <c r="DI53" s="421"/>
      <c r="DJ53" s="422"/>
      <c r="DK53" s="424"/>
      <c r="DL53" s="423"/>
      <c r="DM53" s="421"/>
      <c r="DN53" s="422"/>
      <c r="DO53" s="424"/>
      <c r="DP53" s="423"/>
      <c r="DQ53" s="421"/>
      <c r="DR53" s="422"/>
      <c r="DS53" s="424"/>
      <c r="DT53" s="423"/>
      <c r="DU53" s="421"/>
      <c r="DV53" s="422"/>
      <c r="DW53" s="424"/>
      <c r="DX53" s="423"/>
      <c r="DY53" s="421"/>
      <c r="DZ53" s="422"/>
      <c r="EA53" s="424"/>
      <c r="EB53" s="423"/>
      <c r="EC53" s="421"/>
      <c r="ED53" s="422"/>
      <c r="EE53" s="424"/>
      <c r="EF53" s="423"/>
      <c r="EG53" s="421"/>
      <c r="EH53" s="422"/>
      <c r="EI53" s="424"/>
      <c r="EJ53" s="423"/>
      <c r="EK53" s="421"/>
      <c r="EL53" s="422"/>
      <c r="EM53" s="424"/>
      <c r="EN53" s="423"/>
      <c r="EO53" s="421"/>
      <c r="EP53" s="422"/>
      <c r="EQ53" s="424"/>
      <c r="ER53" s="423"/>
      <c r="ES53" s="421"/>
      <c r="ET53" s="422"/>
      <c r="EU53" s="424"/>
      <c r="EV53" s="423"/>
      <c r="EW53" s="421"/>
      <c r="EX53" s="422"/>
      <c r="EY53" s="424"/>
      <c r="EZ53" s="423"/>
      <c r="FA53" s="421"/>
      <c r="FB53" s="422"/>
      <c r="FC53" s="424"/>
      <c r="FD53" s="423"/>
      <c r="FE53" s="421"/>
      <c r="FF53" s="422"/>
      <c r="FG53" s="424"/>
      <c r="FH53" s="423"/>
      <c r="FI53" s="421"/>
      <c r="FJ53" s="422"/>
      <c r="FK53" s="424"/>
      <c r="FL53" s="423"/>
      <c r="FM53" s="421"/>
      <c r="FN53" s="422"/>
      <c r="FO53" s="424"/>
      <c r="FP53" s="423"/>
      <c r="FQ53" s="421"/>
      <c r="FR53" s="422"/>
      <c r="FS53" s="424"/>
      <c r="FT53" s="423"/>
      <c r="FU53" s="421"/>
      <c r="FV53" s="422"/>
      <c r="FW53" s="424"/>
      <c r="FX53" s="423"/>
      <c r="FY53" s="421"/>
      <c r="FZ53" s="422"/>
      <c r="GA53" s="424"/>
      <c r="GB53" s="423"/>
      <c r="GC53" s="421"/>
      <c r="GD53" s="422"/>
      <c r="GE53" s="424"/>
      <c r="GF53" s="423"/>
      <c r="GG53" s="421"/>
      <c r="GH53" s="422"/>
      <c r="GI53" s="424"/>
      <c r="GJ53" s="423"/>
      <c r="GK53" s="421"/>
      <c r="GL53" s="422"/>
      <c r="GM53" s="424"/>
      <c r="GN53" s="423"/>
      <c r="GO53" s="421"/>
      <c r="GP53" s="422"/>
      <c r="GQ53" s="424"/>
      <c r="GR53" s="423"/>
      <c r="GS53" s="421"/>
      <c r="GT53" s="422"/>
      <c r="GU53" s="424"/>
      <c r="GV53" s="423"/>
      <c r="GW53" s="421"/>
      <c r="GX53" s="422"/>
      <c r="GY53" s="424"/>
      <c r="GZ53" s="423"/>
      <c r="HA53" s="421"/>
      <c r="HB53" s="422"/>
      <c r="HC53" s="424"/>
      <c r="HD53" s="423"/>
      <c r="HE53" s="421"/>
      <c r="HF53" s="422"/>
      <c r="HG53" s="424"/>
      <c r="HH53" s="423"/>
      <c r="HI53" s="421"/>
      <c r="HJ53" s="422" t="s">
        <v>553</v>
      </c>
      <c r="HK53" s="388"/>
      <c r="HL53" s="47"/>
      <c r="HM53" s="47"/>
      <c r="HN53" s="47"/>
      <c r="HO53" s="47"/>
      <c r="HP53" s="47"/>
      <c r="HQ53" s="47"/>
      <c r="HR53" s="47"/>
      <c r="HS53" s="47"/>
    </row>
    <row r="54" spans="1:243" ht="12" thickTop="1" x14ac:dyDescent="0.2">
      <c r="I54" s="47"/>
      <c r="K54" s="2"/>
      <c r="O54" s="24">
        <v>1990</v>
      </c>
      <c r="P54" s="203">
        <f>AD42</f>
        <v>2.0849125090576712</v>
      </c>
      <c r="Q54" s="40">
        <f t="shared" si="14"/>
        <v>2.3863589189959433</v>
      </c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15"/>
      <c r="BH54" s="416"/>
      <c r="BI54" s="390"/>
      <c r="BJ54" s="390"/>
      <c r="BK54" s="391"/>
      <c r="BL54" s="416"/>
      <c r="BM54" s="390"/>
      <c r="BN54" s="390"/>
      <c r="BO54" s="391"/>
      <c r="BP54" s="416"/>
      <c r="BQ54" s="390"/>
      <c r="BR54" s="390"/>
      <c r="BS54" s="391"/>
      <c r="BT54" s="416"/>
      <c r="BU54" s="390"/>
      <c r="BV54" s="390"/>
      <c r="BW54" s="391"/>
      <c r="BX54" s="416"/>
      <c r="BY54" s="390"/>
      <c r="BZ54" s="390"/>
      <c r="CA54" s="391"/>
      <c r="CB54" s="416"/>
      <c r="CC54" s="390"/>
      <c r="CD54" s="390"/>
      <c r="CE54" s="391"/>
      <c r="CF54" s="416"/>
      <c r="CG54" s="390"/>
      <c r="CH54" s="390"/>
      <c r="CI54" s="391"/>
      <c r="CJ54" s="416"/>
      <c r="CK54" s="390"/>
      <c r="CL54" s="390"/>
      <c r="CM54" s="391"/>
      <c r="CN54" s="416"/>
      <c r="CO54" s="390"/>
      <c r="CP54" s="390"/>
      <c r="CQ54" s="391"/>
      <c r="CR54" s="416"/>
      <c r="CS54" s="390"/>
      <c r="CT54" s="390"/>
      <c r="CU54" s="391"/>
      <c r="CV54" s="416"/>
      <c r="CW54" s="390"/>
      <c r="CX54" s="390"/>
      <c r="CY54" s="391"/>
      <c r="CZ54" s="416"/>
      <c r="DA54" s="390"/>
      <c r="DB54" s="390"/>
      <c r="DC54" s="391"/>
      <c r="DD54" s="416"/>
      <c r="DE54" s="390"/>
      <c r="DF54" s="390"/>
      <c r="DG54" s="391"/>
      <c r="DH54" s="416"/>
      <c r="DI54" s="390"/>
      <c r="DJ54" s="390"/>
      <c r="DK54" s="391"/>
      <c r="DL54" s="416"/>
      <c r="DM54" s="390"/>
      <c r="DN54" s="390"/>
      <c r="DO54" s="391"/>
      <c r="DP54" s="416"/>
      <c r="DQ54" s="390"/>
      <c r="DR54" s="390"/>
      <c r="DS54" s="391"/>
      <c r="DT54" s="416"/>
      <c r="DU54" s="390"/>
      <c r="DV54" s="390"/>
      <c r="DW54" s="391"/>
      <c r="DX54" s="416"/>
      <c r="DY54" s="390"/>
      <c r="DZ54" s="390"/>
      <c r="EA54" s="391"/>
      <c r="EB54" s="416"/>
      <c r="EC54" s="390"/>
      <c r="ED54" s="390"/>
      <c r="EE54" s="391"/>
      <c r="EF54" s="416"/>
      <c r="EG54" s="390"/>
      <c r="EH54" s="390"/>
      <c r="EI54" s="391"/>
      <c r="EJ54" s="416"/>
      <c r="EK54" s="390"/>
      <c r="EL54" s="390"/>
      <c r="EM54" s="391"/>
      <c r="EN54" s="416"/>
      <c r="EO54" s="390"/>
      <c r="EP54" s="390"/>
      <c r="EQ54" s="391"/>
      <c r="ER54" s="416"/>
      <c r="ES54" s="390"/>
      <c r="ET54" s="390"/>
      <c r="EU54" s="391"/>
      <c r="EV54" s="416"/>
      <c r="EW54" s="390"/>
      <c r="EX54" s="390"/>
      <c r="EY54" s="391"/>
      <c r="EZ54" s="416"/>
      <c r="FA54" s="390"/>
      <c r="FB54" s="390"/>
      <c r="FC54" s="391"/>
      <c r="FD54" s="416"/>
      <c r="FE54" s="390"/>
      <c r="FF54" s="390"/>
      <c r="FG54" s="391"/>
      <c r="FH54" s="416"/>
      <c r="FI54" s="390"/>
      <c r="FJ54" s="390"/>
      <c r="FK54" s="391"/>
      <c r="FL54" s="416"/>
      <c r="FM54" s="390"/>
      <c r="FN54" s="390"/>
      <c r="FO54" s="391"/>
      <c r="FP54" s="416"/>
      <c r="FQ54" s="390"/>
      <c r="FR54" s="390"/>
      <c r="FS54" s="391"/>
      <c r="FT54" s="416"/>
      <c r="FU54" s="390"/>
      <c r="FV54" s="390"/>
      <c r="FW54" s="391"/>
      <c r="FX54" s="416"/>
      <c r="FY54" s="390"/>
      <c r="FZ54" s="390"/>
      <c r="GA54" s="391"/>
      <c r="GB54" s="416"/>
      <c r="GC54" s="390"/>
      <c r="GD54" s="390"/>
      <c r="GE54" s="391"/>
      <c r="GF54" s="416"/>
      <c r="GG54" s="390"/>
      <c r="GH54" s="390"/>
      <c r="GI54" s="391"/>
      <c r="GJ54" s="416"/>
      <c r="GK54" s="390"/>
      <c r="GL54" s="390"/>
      <c r="GM54" s="391"/>
      <c r="GN54" s="416"/>
      <c r="GO54" s="390"/>
      <c r="GP54" s="390"/>
      <c r="GQ54" s="391"/>
      <c r="GR54" s="416"/>
      <c r="GS54" s="390"/>
      <c r="GT54" s="390"/>
      <c r="GU54" s="391"/>
      <c r="GV54" s="416"/>
      <c r="GW54" s="390"/>
      <c r="GX54" s="390"/>
      <c r="GY54" s="391"/>
      <c r="GZ54" s="416"/>
      <c r="HA54" s="390"/>
      <c r="HB54" s="390"/>
      <c r="HC54" s="391"/>
      <c r="HD54" s="416"/>
      <c r="HE54" s="390"/>
      <c r="HF54" s="390"/>
      <c r="HG54" s="391"/>
      <c r="HH54" s="416"/>
      <c r="HI54" s="390"/>
      <c r="HJ54" s="390"/>
      <c r="HK54" s="391"/>
      <c r="HL54" s="47"/>
      <c r="HM54" s="47"/>
      <c r="HN54" s="47"/>
      <c r="HO54" s="47"/>
      <c r="HP54" s="47"/>
      <c r="HQ54" s="47"/>
      <c r="HR54" s="47"/>
      <c r="HS54" s="47"/>
    </row>
    <row r="55" spans="1:243" x14ac:dyDescent="0.2">
      <c r="A55" t="s">
        <v>18</v>
      </c>
      <c r="F55" s="42"/>
      <c r="I55" s="47"/>
      <c r="K55" s="2"/>
      <c r="O55" s="24">
        <v>1991</v>
      </c>
      <c r="P55" s="40">
        <f>AE42</f>
        <v>2.0975535338784841</v>
      </c>
      <c r="Q55" s="40">
        <f t="shared" si="14"/>
        <v>2.3719773922128735</v>
      </c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</row>
    <row r="56" spans="1:243" s="57" customFormat="1" x14ac:dyDescent="0.2">
      <c r="A56"/>
      <c r="B56" s="21" t="str">
        <f>C12&amp;" Provided by TDI. "&amp;A14&amp;" - "&amp;A26&amp;" are year ending "&amp;TEXT($L$48,"m/d/xx")&amp;" as of "&amp;TEXT($M$48,"m/d/yy")&amp;"; "&amp;A27&amp;" - "&amp;A50&amp;" are year ending "&amp;TEXT($L$50,"m/d/xx")&amp;" as of "&amp;TEXT($M$50,"m/d/yy")</f>
        <v>(2) Provided by TDI. 1983 - 1995 are year ending 9/30/xx as of 12/31/99; 1996 - 2019 are year ending 12/31/xx as of 12/31/19</v>
      </c>
      <c r="C56"/>
      <c r="D56"/>
      <c r="E56"/>
      <c r="F56"/>
      <c r="G56"/>
      <c r="H56"/>
      <c r="I56" s="47"/>
      <c r="J56"/>
      <c r="K56" s="2"/>
      <c r="O56" s="24">
        <v>1992</v>
      </c>
      <c r="P56" s="40">
        <f>AF42</f>
        <v>1.8450081871266777</v>
      </c>
      <c r="Q56" s="40">
        <f t="shared" si="14"/>
        <v>2.6966544625822726</v>
      </c>
      <c r="R5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/>
      <c r="BI56"/>
      <c r="BJ56"/>
      <c r="BK56"/>
      <c r="BL56"/>
      <c r="BM56"/>
      <c r="BN56"/>
      <c r="BO56"/>
    </row>
    <row r="57" spans="1:243" s="57" customFormat="1" x14ac:dyDescent="0.2">
      <c r="A57"/>
      <c r="B57" s="21" t="str">
        <f>D12&amp;" Provided by TDI (1992 MR = 1992 manual rates)"</f>
        <v>(3) Provided by TDI (1992 MR = 1992 manual rates)</v>
      </c>
      <c r="C57" s="21"/>
      <c r="D57"/>
      <c r="E57"/>
      <c r="F57"/>
      <c r="G57"/>
      <c r="H57"/>
      <c r="I57" s="128"/>
      <c r="J57"/>
      <c r="K57" s="2"/>
      <c r="O57" s="24">
        <v>1993</v>
      </c>
      <c r="P57" s="203">
        <f>AG42</f>
        <v>1.6058660757812344</v>
      </c>
      <c r="Q57" s="40">
        <f t="shared" si="14"/>
        <v>3.0982344271115743</v>
      </c>
      <c r="R5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</row>
    <row r="58" spans="1:243" s="57" customFormat="1" x14ac:dyDescent="0.2">
      <c r="A58"/>
      <c r="B58" s="21" t="str">
        <f>E12&amp;" Represents "&amp;$P$8&amp;" through "&amp;TEXT($L$1,"m/d/yy")&amp;" rate changes for TWIA; factors assume uniform earning of written premium"</f>
        <v>(4) Represents 8/1/80 through 6/30/20 rate changes for TWIA; factors assume uniform earning of written premium</v>
      </c>
      <c r="C58"/>
      <c r="D58"/>
      <c r="E58"/>
      <c r="F58"/>
      <c r="G58"/>
      <c r="H58"/>
      <c r="I58" s="47"/>
      <c r="J58"/>
      <c r="K58" s="2"/>
      <c r="O58" s="24">
        <v>1994</v>
      </c>
      <c r="P58" s="40">
        <f>AH42</f>
        <v>1.6058660757812344</v>
      </c>
      <c r="Q58" s="40">
        <f t="shared" si="14"/>
        <v>3.0982344271115743</v>
      </c>
      <c r="R58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</row>
    <row r="59" spans="1:243" s="57" customFormat="1" x14ac:dyDescent="0.2">
      <c r="A59"/>
      <c r="B59" s="100" t="str">
        <f>"      and that TWIA premium represents "&amp;TEXT(L32,"0.0%")&amp;" of industry data in "&amp;LEFT(A5,FIND("(",A5)-2)</f>
        <v xml:space="preserve">      and that TWIA premium represents 86.8% of industry data in Tier 1 -- Territory 8</v>
      </c>
      <c r="C59" s="86"/>
      <c r="D59" s="86"/>
      <c r="E59" s="86"/>
      <c r="F59" s="86"/>
      <c r="G59" s="86"/>
      <c r="H59" s="86"/>
      <c r="I59" s="47"/>
      <c r="J59"/>
      <c r="K59" s="2"/>
      <c r="L59" s="34"/>
      <c r="O59" s="24">
        <v>1995</v>
      </c>
      <c r="P59" s="40">
        <f>AI42</f>
        <v>1.6058660757812344</v>
      </c>
      <c r="Q59" s="40">
        <f t="shared" si="14"/>
        <v>3.0982344271115743</v>
      </c>
      <c r="R59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</row>
    <row r="60" spans="1:243" s="57" customFormat="1" x14ac:dyDescent="0.2">
      <c r="A60"/>
      <c r="B60" s="21" t="str">
        <f>F12&amp;" = "&amp;D12&amp;" * "&amp;ROUND(E23,3)&amp;" for "&amp;A14&amp;" - "&amp;A23&amp;"; "&amp;C12&amp;" * "&amp;E12&amp;" for "&amp;A24&amp;" - "&amp;A50</f>
        <v>(5) = (3) * 2.697 for 1983 - 1992; (2) * (4) for 1993 - 2019</v>
      </c>
      <c r="C60"/>
      <c r="D60"/>
      <c r="E60"/>
      <c r="F60"/>
      <c r="G60"/>
      <c r="H60"/>
      <c r="I60" s="47"/>
      <c r="J60"/>
      <c r="K60" s="2"/>
      <c r="O60" s="24">
        <v>1996</v>
      </c>
      <c r="P60" s="40">
        <f>AJ42</f>
        <v>1.6058660757812344</v>
      </c>
      <c r="Q60" s="40">
        <f t="shared" si="14"/>
        <v>3.0982344271115743</v>
      </c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</row>
    <row r="61" spans="1:243" s="57" customFormat="1" x14ac:dyDescent="0.2">
      <c r="A61"/>
      <c r="B61" s="21" t="str">
        <f>G12&amp;" Provided by TDI. "&amp;A14&amp;" - "&amp;A26&amp;" are year ending "&amp;TEXT($L$48,"m/d/xx")&amp;" as of "&amp;TEXT($M$48,"m/d/yy")&amp;"; "&amp;A27&amp;" - "&amp;A40&amp;" are year ending "&amp;TEXT($L$50,"m/d/xx")&amp;" as of "&amp;TEXT($M$49,"m/d/yy")</f>
        <v>(6) Provided by TDI. 1983 - 1995 are year ending 9/30/xx as of 12/31/99; 1996 - 2009 are year ending 12/31/xx as of 12/31/17</v>
      </c>
      <c r="C61"/>
      <c r="D61" s="58"/>
      <c r="E61" s="58"/>
      <c r="F61" s="58"/>
      <c r="G61" s="22"/>
      <c r="H61"/>
      <c r="I61" s="47"/>
      <c r="K61" s="2"/>
      <c r="O61" s="24">
        <v>1997</v>
      </c>
      <c r="P61" s="40">
        <f>AK42</f>
        <v>1.6058660757812344</v>
      </c>
      <c r="Q61" s="40">
        <f t="shared" si="14"/>
        <v>3.0982344271115743</v>
      </c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</row>
    <row r="62" spans="1:243" s="57" customFormat="1" x14ac:dyDescent="0.2">
      <c r="A62"/>
      <c r="B62" s="57" t="str">
        <f>"    2010 - 2019 are year ending 12/31/xx as of 12/31/2019"&amp;"; "&amp;" 2008 IKE incurred loss was adjusted down by $99,433,917"</f>
        <v xml:space="preserve">    2010 - 2019 are year ending 12/31/xx as of 12/31/2019;  2008 IKE incurred loss was adjusted down by $99,433,917</v>
      </c>
      <c r="D62"/>
      <c r="E62"/>
      <c r="F62"/>
      <c r="G62"/>
      <c r="H62"/>
      <c r="I62" s="42"/>
      <c r="K62" s="2"/>
      <c r="O62" s="24">
        <v>1998</v>
      </c>
      <c r="P62" s="40">
        <f>AL42</f>
        <v>1.5817780846445157</v>
      </c>
      <c r="Q62" s="40">
        <f t="shared" si="14"/>
        <v>3.1454156620422076</v>
      </c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</row>
    <row r="63" spans="1:243" s="57" customFormat="1" x14ac:dyDescent="0.2">
      <c r="A63"/>
      <c r="B63" s="21" t="str">
        <f>H12&amp;" = "&amp;G12&amp;" / "&amp;F12</f>
        <v>(7) = (6) / (5)</v>
      </c>
      <c r="C63"/>
      <c r="D63"/>
      <c r="E63"/>
      <c r="F63"/>
      <c r="G63"/>
      <c r="H63"/>
      <c r="I63" s="31"/>
      <c r="K63" s="2"/>
      <c r="O63" s="54">
        <v>1999</v>
      </c>
      <c r="P63" s="40">
        <f>AM42</f>
        <v>1.5576900935077973</v>
      </c>
      <c r="Q63" s="40">
        <f t="shared" si="14"/>
        <v>3.1940561104243033</v>
      </c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</row>
    <row r="64" spans="1:243" s="57" customFormat="1" x14ac:dyDescent="0.2">
      <c r="A64" s="67"/>
      <c r="C64"/>
      <c r="D64" s="36"/>
      <c r="E64" s="36"/>
      <c r="F64" s="36"/>
      <c r="G64" s="31"/>
      <c r="H64" s="31"/>
      <c r="I64" s="31"/>
      <c r="K64" s="2"/>
      <c r="O64" s="54">
        <v>2000</v>
      </c>
      <c r="P64" s="40">
        <f>AN42</f>
        <v>1.6277861477156481</v>
      </c>
      <c r="Q64" s="40">
        <f t="shared" si="14"/>
        <v>3.0565130243294769</v>
      </c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</row>
    <row r="65" spans="1:87" s="57" customFormat="1" x14ac:dyDescent="0.2">
      <c r="A65" s="67"/>
      <c r="C65" s="36"/>
      <c r="D65" s="36"/>
      <c r="E65" s="36"/>
      <c r="F65" s="36"/>
      <c r="G65" s="31"/>
      <c r="H65" s="31"/>
      <c r="I65" s="31"/>
      <c r="K65" s="2"/>
      <c r="O65" s="54">
        <v>2001</v>
      </c>
      <c r="P65" s="34">
        <f>AO42</f>
        <v>1.7318398459619693</v>
      </c>
      <c r="Q65" s="40">
        <f t="shared" si="14"/>
        <v>2.8728693204032227</v>
      </c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</row>
    <row r="66" spans="1:87" s="57" customFormat="1" x14ac:dyDescent="0.2">
      <c r="A66" s="67"/>
      <c r="C66" s="36"/>
      <c r="D66" s="36"/>
      <c r="E66" s="36"/>
      <c r="F66" s="36"/>
      <c r="G66" s="31"/>
      <c r="H66" s="31"/>
      <c r="I66" s="31"/>
      <c r="K66" s="2"/>
      <c r="O66" s="54">
        <v>2002</v>
      </c>
      <c r="P66" s="34">
        <f>AP42</f>
        <v>1.8099424272504501</v>
      </c>
      <c r="Q66" s="40">
        <f t="shared" si="14"/>
        <v>2.7488993497291627</v>
      </c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</row>
    <row r="67" spans="1:87" x14ac:dyDescent="0.2">
      <c r="A67" s="67"/>
      <c r="B67" s="57"/>
      <c r="C67" s="36"/>
      <c r="D67" s="36"/>
      <c r="E67" s="36"/>
      <c r="F67" s="36"/>
      <c r="G67" s="31"/>
      <c r="H67" s="31"/>
      <c r="I67" s="31"/>
      <c r="J67" s="57"/>
      <c r="K67" s="2"/>
      <c r="O67" s="54">
        <v>2003</v>
      </c>
      <c r="P67" s="34">
        <f>AQ42</f>
        <v>1.9467917327254842</v>
      </c>
      <c r="Q67" s="40">
        <f t="shared" si="14"/>
        <v>2.5556660621064777</v>
      </c>
      <c r="R67" s="57"/>
    </row>
    <row r="68" spans="1:87" x14ac:dyDescent="0.2">
      <c r="A68" s="67"/>
      <c r="B68" s="57"/>
      <c r="C68" s="36"/>
      <c r="D68" s="36"/>
      <c r="E68" s="36"/>
      <c r="F68" s="36"/>
      <c r="G68" s="31"/>
      <c r="H68" s="31"/>
      <c r="I68" s="28"/>
      <c r="J68" s="57"/>
      <c r="K68" s="2"/>
      <c r="O68" s="54">
        <v>2004</v>
      </c>
      <c r="P68" s="34">
        <f>AR42</f>
        <v>2.141470905998033</v>
      </c>
      <c r="Q68" s="40">
        <f t="shared" si="14"/>
        <v>2.3233327837331608</v>
      </c>
      <c r="R68" s="57"/>
    </row>
    <row r="69" spans="1:87" x14ac:dyDescent="0.2">
      <c r="A69" s="67"/>
      <c r="B69" s="57"/>
      <c r="C69" s="28"/>
      <c r="D69" s="28"/>
      <c r="E69" s="28"/>
      <c r="F69" s="28"/>
      <c r="G69" s="28"/>
      <c r="H69" s="28"/>
      <c r="K69" s="2"/>
      <c r="O69" s="54">
        <v>2005</v>
      </c>
      <c r="P69" s="34">
        <f>AS42</f>
        <v>2.3556179965978363</v>
      </c>
      <c r="Q69" s="40">
        <f t="shared" si="14"/>
        <v>2.1121207124846917</v>
      </c>
      <c r="R69" s="57"/>
    </row>
    <row r="70" spans="1:87" ht="12" thickBot="1" x14ac:dyDescent="0.25">
      <c r="B70" s="24"/>
      <c r="C70" s="58"/>
      <c r="D70" s="58"/>
      <c r="E70" s="58"/>
      <c r="F70" s="58"/>
      <c r="G70" s="22"/>
      <c r="K70" s="2"/>
      <c r="O70" s="24">
        <v>2006</v>
      </c>
      <c r="P70" s="34">
        <f>AT42</f>
        <v>2.5410013938539007</v>
      </c>
      <c r="Q70" s="40">
        <f t="shared" si="14"/>
        <v>1.9580270885920068</v>
      </c>
    </row>
    <row r="71" spans="1:87" ht="12" hidden="1" thickBot="1" x14ac:dyDescent="0.25">
      <c r="B71" s="24"/>
      <c r="C71" s="58"/>
      <c r="D71" s="58"/>
      <c r="E71" s="58"/>
      <c r="F71" s="58"/>
      <c r="G71" s="22"/>
      <c r="K71" s="2"/>
      <c r="O71" s="24">
        <v>2007</v>
      </c>
      <c r="P71" s="34">
        <f>AU42</f>
        <v>2.8041805336873216</v>
      </c>
      <c r="Q71" s="40">
        <f t="shared" si="14"/>
        <v>1.7742615004796827</v>
      </c>
    </row>
    <row r="72" spans="1:87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3"/>
      <c r="O72" s="24">
        <v>2008</v>
      </c>
      <c r="P72" s="40">
        <f>AV42</f>
        <v>2.9678572517439257</v>
      </c>
      <c r="Q72" s="40">
        <f t="shared" si="14"/>
        <v>1.6764113430295366</v>
      </c>
    </row>
    <row r="73" spans="1:87" x14ac:dyDescent="0.2">
      <c r="O73" s="24">
        <v>2009</v>
      </c>
      <c r="P73" s="40">
        <f>AW42</f>
        <v>3.2586565980220548</v>
      </c>
      <c r="Q73" s="40">
        <f t="shared" si="14"/>
        <v>1.5268100248230916</v>
      </c>
    </row>
    <row r="74" spans="1:87" x14ac:dyDescent="0.2">
      <c r="O74" s="24">
        <v>2010</v>
      </c>
      <c r="P74" s="40">
        <f>AX42</f>
        <v>3.5342312338124136</v>
      </c>
      <c r="Q74" s="40">
        <f t="shared" si="14"/>
        <v>1.4077600564774084</v>
      </c>
    </row>
    <row r="75" spans="1:87" x14ac:dyDescent="0.2">
      <c r="O75" s="24">
        <v>2011</v>
      </c>
      <c r="P75" s="40">
        <f>AY42</f>
        <v>3.6242852452008183</v>
      </c>
      <c r="Q75" s="40">
        <f t="shared" si="14"/>
        <v>1.3727809001524396</v>
      </c>
    </row>
    <row r="76" spans="1:87" x14ac:dyDescent="0.2">
      <c r="O76" s="24">
        <v>2012</v>
      </c>
      <c r="P76" s="40">
        <f>AZ42</f>
        <v>3.8054995074608593</v>
      </c>
      <c r="Q76" s="40">
        <f t="shared" si="14"/>
        <v>1.3074103810975615</v>
      </c>
    </row>
    <row r="77" spans="1:87" x14ac:dyDescent="0.2">
      <c r="O77" s="24">
        <v>2013</v>
      </c>
      <c r="P77" s="40">
        <f>BA42</f>
        <v>3.9957744828339026</v>
      </c>
      <c r="Q77" s="40">
        <f t="shared" si="14"/>
        <v>1.2451527439024395</v>
      </c>
    </row>
    <row r="78" spans="1:87" x14ac:dyDescent="0.2">
      <c r="O78" s="24">
        <v>2014</v>
      </c>
      <c r="P78" s="40">
        <f>BB42</f>
        <v>4.1955632069755975</v>
      </c>
      <c r="Q78" s="40">
        <f t="shared" si="14"/>
        <v>1.1858597560975614</v>
      </c>
    </row>
    <row r="79" spans="1:87" x14ac:dyDescent="0.2">
      <c r="O79" s="24">
        <v>2015</v>
      </c>
      <c r="P79" s="40">
        <f>BC42</f>
        <v>4.405341367324378</v>
      </c>
      <c r="Q79" s="40">
        <f t="shared" si="14"/>
        <v>1.1293902439024393</v>
      </c>
    </row>
    <row r="80" spans="1:87" x14ac:dyDescent="0.2">
      <c r="O80" s="24">
        <v>2016</v>
      </c>
      <c r="P80" s="40">
        <f>BD42</f>
        <v>4.6256084356905971</v>
      </c>
      <c r="Q80" s="40">
        <f t="shared" si="14"/>
        <v>1.075609756097561</v>
      </c>
    </row>
    <row r="81" spans="15:17" x14ac:dyDescent="0.2">
      <c r="O81" s="24">
        <v>2017</v>
      </c>
      <c r="P81" s="40">
        <f>BE42</f>
        <v>4.7384281536342705</v>
      </c>
      <c r="Q81" s="40">
        <f t="shared" si="14"/>
        <v>1.05</v>
      </c>
    </row>
    <row r="82" spans="15:17" x14ac:dyDescent="0.2">
      <c r="O82" s="24">
        <v>2018</v>
      </c>
      <c r="P82" s="40">
        <f>BF42</f>
        <v>4.856888857475127</v>
      </c>
      <c r="Q82" s="40">
        <f t="shared" si="14"/>
        <v>1.024390243902439</v>
      </c>
    </row>
    <row r="83" spans="15:17" x14ac:dyDescent="0.2">
      <c r="O83" s="24">
        <v>2019</v>
      </c>
      <c r="P83" s="40">
        <f>BG42</f>
        <v>4.9753495613159844</v>
      </c>
      <c r="Q83" s="40">
        <f t="shared" si="14"/>
        <v>1</v>
      </c>
    </row>
  </sheetData>
  <mergeCells count="3">
    <mergeCell ref="E5:H5"/>
    <mergeCell ref="HH44:HK44"/>
    <mergeCell ref="HH50:HK50"/>
  </mergeCells>
  <phoneticPr fontId="0" type="noConversion"/>
  <pageMargins left="0.5" right="0.5" top="0.5" bottom="0.5" header="0.5" footer="0.5"/>
  <pageSetup orientation="portrait" blackAndWhite="1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rgb="FF92D050"/>
  </sheetPr>
  <dimension ref="A1:Q72"/>
  <sheetViews>
    <sheetView showGridLines="0" zoomScaleNormal="100" workbookViewId="0">
      <selection activeCell="A6" sqref="A6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6" x14ac:dyDescent="0.2">
      <c r="A1" s="8" t="str">
        <f>'1'!$A$1</f>
        <v>Texas Windstorm Insurance Association</v>
      </c>
      <c r="B1" s="12"/>
      <c r="I1" s="47"/>
      <c r="J1" s="7" t="s">
        <v>84</v>
      </c>
      <c r="K1" s="1"/>
    </row>
    <row r="2" spans="1:16" x14ac:dyDescent="0.2">
      <c r="A2" s="8" t="str">
        <f>'1'!$A$2</f>
        <v>Commercial Property - Wind &amp; Hail</v>
      </c>
      <c r="B2" s="12"/>
      <c r="I2" s="47"/>
      <c r="J2" s="7" t="s">
        <v>73</v>
      </c>
      <c r="K2" s="2"/>
    </row>
    <row r="3" spans="1:16" x14ac:dyDescent="0.2">
      <c r="A3" s="8" t="str">
        <f>'1'!$A$3</f>
        <v>Rate Level Review</v>
      </c>
      <c r="B3" s="12"/>
      <c r="I3" s="47"/>
      <c r="K3" s="2"/>
    </row>
    <row r="4" spans="1:16" x14ac:dyDescent="0.2">
      <c r="A4" t="s">
        <v>227</v>
      </c>
      <c r="B4" s="12"/>
      <c r="I4" s="47"/>
      <c r="K4" s="2"/>
    </row>
    <row r="5" spans="1:16" x14ac:dyDescent="0.2">
      <c r="A5" s="57" t="s">
        <v>38</v>
      </c>
      <c r="B5" s="21"/>
      <c r="C5" s="57"/>
      <c r="D5" s="57"/>
      <c r="E5" s="57"/>
      <c r="I5" s="47"/>
      <c r="K5" s="2"/>
    </row>
    <row r="6" spans="1:16" x14ac:dyDescent="0.2">
      <c r="I6" s="47"/>
      <c r="K6" s="2"/>
    </row>
    <row r="7" spans="1:16" ht="12" thickBot="1" x14ac:dyDescent="0.25">
      <c r="A7" s="6"/>
      <c r="B7" s="6"/>
      <c r="C7" s="6"/>
      <c r="D7" s="6"/>
      <c r="E7" s="6"/>
      <c r="F7" s="6"/>
      <c r="G7" s="6"/>
      <c r="H7" s="6"/>
      <c r="I7" s="47"/>
      <c r="K7" s="2"/>
    </row>
    <row r="8" spans="1:16" ht="12" thickTop="1" x14ac:dyDescent="0.2">
      <c r="I8" s="47"/>
      <c r="K8" s="2"/>
    </row>
    <row r="9" spans="1:16" x14ac:dyDescent="0.2">
      <c r="C9" s="21"/>
      <c r="D9" t="s">
        <v>96</v>
      </c>
      <c r="E9" t="s">
        <v>230</v>
      </c>
      <c r="F9" t="s">
        <v>96</v>
      </c>
      <c r="I9" s="47"/>
      <c r="K9" s="2"/>
      <c r="L9" s="26"/>
    </row>
    <row r="10" spans="1:16" x14ac:dyDescent="0.2">
      <c r="A10" t="s">
        <v>41</v>
      </c>
      <c r="C10" t="s">
        <v>96</v>
      </c>
      <c r="D10" t="s">
        <v>97</v>
      </c>
      <c r="E10" t="s">
        <v>231</v>
      </c>
      <c r="F10" t="s">
        <v>232</v>
      </c>
      <c r="G10" t="s">
        <v>67</v>
      </c>
      <c r="H10" t="s">
        <v>67</v>
      </c>
      <c r="I10" s="47"/>
      <c r="K10" s="2"/>
      <c r="L10" s="21"/>
    </row>
    <row r="11" spans="1:16" x14ac:dyDescent="0.2">
      <c r="A11" s="9" t="s">
        <v>42</v>
      </c>
      <c r="B11" s="9"/>
      <c r="C11" s="9" t="s">
        <v>97</v>
      </c>
      <c r="D11" s="9" t="s">
        <v>229</v>
      </c>
      <c r="E11" s="9" t="s">
        <v>106</v>
      </c>
      <c r="F11" s="9" t="s">
        <v>233</v>
      </c>
      <c r="G11" s="9" t="s">
        <v>34</v>
      </c>
      <c r="H11" s="9" t="s">
        <v>58</v>
      </c>
      <c r="I11" s="47"/>
      <c r="K11" s="2"/>
      <c r="L11" s="49"/>
    </row>
    <row r="12" spans="1:16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31"/>
      <c r="K12" s="2"/>
    </row>
    <row r="13" spans="1:16" x14ac:dyDescent="0.2">
      <c r="I13" s="47"/>
      <c r="K13" s="2"/>
      <c r="L13" s="57"/>
      <c r="M13" s="57"/>
    </row>
    <row r="14" spans="1:16" x14ac:dyDescent="0.2">
      <c r="A14" s="301" t="s">
        <v>438</v>
      </c>
      <c r="C14" s="36">
        <v>745985</v>
      </c>
      <c r="D14" s="36">
        <v>820826</v>
      </c>
      <c r="E14" s="226">
        <f>'6.4'!E14</f>
        <v>3.6469825610545685</v>
      </c>
      <c r="F14" s="29">
        <f>ROUND(D14*$E$23,0)</f>
        <v>2213484</v>
      </c>
      <c r="G14" s="36">
        <v>96051</v>
      </c>
      <c r="H14" s="22">
        <f>ROUND(G14/F14,3)</f>
        <v>4.2999999999999997E-2</v>
      </c>
      <c r="I14" s="50"/>
      <c r="K14" s="2"/>
      <c r="L14" s="34"/>
      <c r="M14" s="57"/>
      <c r="O14" t="s">
        <v>42</v>
      </c>
      <c r="P14" t="s">
        <v>248</v>
      </c>
    </row>
    <row r="15" spans="1:16" x14ac:dyDescent="0.2">
      <c r="A15" s="86" t="s">
        <v>439</v>
      </c>
      <c r="C15" s="36">
        <v>558639</v>
      </c>
      <c r="D15" s="36">
        <v>652809</v>
      </c>
      <c r="E15" s="226">
        <f>'6.4'!E15</f>
        <v>3.3440803344216081</v>
      </c>
      <c r="F15" s="29">
        <f t="shared" ref="F15:F21" si="1">ROUND(D15*$E$23,0)</f>
        <v>1760400</v>
      </c>
      <c r="G15" s="36">
        <v>76481</v>
      </c>
      <c r="H15" s="22">
        <f t="shared" ref="H15:H45" si="2">ROUND(G15/F15,3)</f>
        <v>4.2999999999999997E-2</v>
      </c>
      <c r="I15" s="50"/>
      <c r="K15" s="2"/>
    </row>
    <row r="16" spans="1:16" x14ac:dyDescent="0.2">
      <c r="A16" s="86" t="s">
        <v>440</v>
      </c>
      <c r="C16" s="36">
        <v>1235059</v>
      </c>
      <c r="D16" s="36">
        <v>1383103</v>
      </c>
      <c r="E16" s="226">
        <f>'6.4'!E16</f>
        <v>2.7418460800704461</v>
      </c>
      <c r="F16" s="29">
        <f t="shared" si="1"/>
        <v>3729751</v>
      </c>
      <c r="G16" s="36">
        <v>106148</v>
      </c>
      <c r="H16" s="22">
        <f t="shared" si="2"/>
        <v>2.8000000000000001E-2</v>
      </c>
      <c r="I16" s="50"/>
      <c r="K16" s="2"/>
      <c r="L16" t="s">
        <v>554</v>
      </c>
    </row>
    <row r="17" spans="1:16" x14ac:dyDescent="0.2">
      <c r="A17" s="86" t="s">
        <v>441</v>
      </c>
      <c r="C17" s="36">
        <v>2228911</v>
      </c>
      <c r="D17" s="36">
        <v>1849840</v>
      </c>
      <c r="E17" s="226">
        <f>'6.4'!E17</f>
        <v>1.9522653230479203</v>
      </c>
      <c r="F17" s="29">
        <f t="shared" si="1"/>
        <v>4988379</v>
      </c>
      <c r="G17" s="36">
        <v>56387</v>
      </c>
      <c r="H17" s="22">
        <f t="shared" si="2"/>
        <v>1.0999999999999999E-2</v>
      </c>
      <c r="I17" s="50"/>
      <c r="K17" s="2"/>
      <c r="L17" s="306">
        <f>'6.7'!L17</f>
        <v>1</v>
      </c>
      <c r="O17" s="211">
        <f>'6.4'!O47</f>
        <v>1983</v>
      </c>
      <c r="P17" s="40">
        <f>'6.4'!Q47</f>
        <v>3.6469825610545685</v>
      </c>
    </row>
    <row r="18" spans="1:16" x14ac:dyDescent="0.2">
      <c r="A18" s="86" t="s">
        <v>442</v>
      </c>
      <c r="C18" s="36">
        <v>2381538</v>
      </c>
      <c r="D18" s="36">
        <v>2086940</v>
      </c>
      <c r="E18" s="226">
        <f>'6.4'!E18</f>
        <v>1.898708277784215</v>
      </c>
      <c r="F18" s="29">
        <f t="shared" si="1"/>
        <v>5627756</v>
      </c>
      <c r="G18" s="36">
        <v>105275</v>
      </c>
      <c r="H18" s="22">
        <f t="shared" si="2"/>
        <v>1.9E-2</v>
      </c>
      <c r="I18" s="50"/>
      <c r="K18" s="2"/>
      <c r="O18" s="211">
        <f>'6.4'!O48</f>
        <v>1984</v>
      </c>
      <c r="P18" s="40">
        <f>'6.4'!Q48</f>
        <v>3.3440803344216081</v>
      </c>
    </row>
    <row r="19" spans="1:16" x14ac:dyDescent="0.2">
      <c r="A19" s="86" t="s">
        <v>443</v>
      </c>
      <c r="C19" s="36">
        <v>1796653</v>
      </c>
      <c r="D19" s="36">
        <v>1719227</v>
      </c>
      <c r="E19" s="226">
        <f>'6.4'!E19</f>
        <v>2.0450595082333063</v>
      </c>
      <c r="F19" s="29">
        <f t="shared" si="1"/>
        <v>4636161</v>
      </c>
      <c r="G19" s="36">
        <v>181414</v>
      </c>
      <c r="H19" s="22">
        <f t="shared" si="2"/>
        <v>3.9E-2</v>
      </c>
      <c r="I19" s="50"/>
      <c r="K19" s="2"/>
      <c r="O19" s="211">
        <f>'6.4'!O49</f>
        <v>1985</v>
      </c>
      <c r="P19" s="40">
        <f>'6.4'!Q49</f>
        <v>2.7418460800704461</v>
      </c>
    </row>
    <row r="20" spans="1:16" x14ac:dyDescent="0.2">
      <c r="A20" s="86" t="s">
        <v>444</v>
      </c>
      <c r="C20" s="36">
        <v>1632453</v>
      </c>
      <c r="D20" s="36">
        <v>1826430</v>
      </c>
      <c r="E20" s="226">
        <f>'6.4'!E20</f>
        <v>2.271681540349014</v>
      </c>
      <c r="F20" s="29">
        <f t="shared" si="1"/>
        <v>4925251</v>
      </c>
      <c r="G20" s="36">
        <v>98116</v>
      </c>
      <c r="H20" s="22">
        <f t="shared" si="2"/>
        <v>0.02</v>
      </c>
      <c r="I20" s="50"/>
      <c r="K20" s="2"/>
      <c r="O20" s="211">
        <f>'6.4'!O50</f>
        <v>1986</v>
      </c>
      <c r="P20" s="40">
        <f>'6.4'!Q50</f>
        <v>1.9522653230479203</v>
      </c>
    </row>
    <row r="21" spans="1:16" x14ac:dyDescent="0.2">
      <c r="A21" s="86" t="s">
        <v>445</v>
      </c>
      <c r="C21" s="36">
        <v>1429526</v>
      </c>
      <c r="D21" s="36">
        <v>1769972</v>
      </c>
      <c r="E21" s="226">
        <f>'6.4'!E21</f>
        <v>2.3863589189959433</v>
      </c>
      <c r="F21" s="29">
        <f t="shared" si="1"/>
        <v>4773003</v>
      </c>
      <c r="G21" s="36">
        <v>135678</v>
      </c>
      <c r="H21" s="22">
        <f t="shared" si="2"/>
        <v>2.8000000000000001E-2</v>
      </c>
      <c r="I21" s="50"/>
      <c r="K21" s="2"/>
      <c r="O21" s="211">
        <f>'6.4'!O51</f>
        <v>1987</v>
      </c>
      <c r="P21" s="40">
        <f>'6.4'!Q51</f>
        <v>1.898708277784215</v>
      </c>
    </row>
    <row r="22" spans="1:16" x14ac:dyDescent="0.2">
      <c r="A22" s="86" t="s">
        <v>446</v>
      </c>
      <c r="C22" s="36">
        <v>1390109</v>
      </c>
      <c r="D22" s="36">
        <v>1555310</v>
      </c>
      <c r="E22" s="226">
        <f>'6.4'!E22</f>
        <v>2.3719773922128735</v>
      </c>
      <c r="F22" s="29">
        <f>ROUND(D22*$E$23,0)</f>
        <v>4194134</v>
      </c>
      <c r="G22" s="36">
        <v>1013636</v>
      </c>
      <c r="H22" s="22">
        <f t="shared" si="2"/>
        <v>0.24199999999999999</v>
      </c>
      <c r="I22" s="50"/>
      <c r="K22" s="2"/>
      <c r="O22" s="211">
        <f>'6.4'!O52</f>
        <v>1988</v>
      </c>
      <c r="P22" s="40">
        <f>'6.4'!Q52</f>
        <v>2.0450595082333063</v>
      </c>
    </row>
    <row r="23" spans="1:16" x14ac:dyDescent="0.2">
      <c r="A23" s="86" t="s">
        <v>447</v>
      </c>
      <c r="B23" s="21"/>
      <c r="C23" s="36">
        <v>1571433</v>
      </c>
      <c r="D23" s="36">
        <v>1629721</v>
      </c>
      <c r="E23" s="226">
        <f>'6.4'!E23</f>
        <v>2.6966544625822726</v>
      </c>
      <c r="F23" s="29">
        <f>ROUND(D23*E23,0)</f>
        <v>4394794</v>
      </c>
      <c r="G23" s="36">
        <v>49512</v>
      </c>
      <c r="H23" s="22">
        <f t="shared" si="2"/>
        <v>1.0999999999999999E-2</v>
      </c>
      <c r="I23" s="50"/>
      <c r="K23" s="2"/>
      <c r="O23" s="211">
        <f>'6.4'!O53</f>
        <v>1989</v>
      </c>
      <c r="P23" s="40">
        <f>'6.4'!Q53</f>
        <v>2.271681540349014</v>
      </c>
    </row>
    <row r="24" spans="1:16" x14ac:dyDescent="0.2">
      <c r="A24" s="86" t="s">
        <v>424</v>
      </c>
      <c r="B24" s="21"/>
      <c r="C24" s="36">
        <v>1587772</v>
      </c>
      <c r="D24" s="36"/>
      <c r="E24" s="226">
        <f>'6.4'!E24</f>
        <v>3.0982344271115743</v>
      </c>
      <c r="F24" s="29">
        <f>ROUND(C24*E24,0)</f>
        <v>4919290</v>
      </c>
      <c r="G24" s="36">
        <v>86000</v>
      </c>
      <c r="H24" s="22">
        <f t="shared" si="2"/>
        <v>1.7000000000000001E-2</v>
      </c>
      <c r="I24" s="50"/>
      <c r="K24" s="2"/>
      <c r="O24" s="211">
        <f>'6.4'!O54</f>
        <v>1990</v>
      </c>
      <c r="P24" s="40">
        <f>'6.4'!Q54</f>
        <v>2.3863589189959433</v>
      </c>
    </row>
    <row r="25" spans="1:16" x14ac:dyDescent="0.2">
      <c r="A25" s="86" t="s">
        <v>425</v>
      </c>
      <c r="B25" s="21"/>
      <c r="C25" s="36">
        <v>2203514</v>
      </c>
      <c r="D25" s="36"/>
      <c r="E25" s="226">
        <f>'6.4'!E25</f>
        <v>3.0982344271115743</v>
      </c>
      <c r="F25" s="29">
        <f>ROUND(C25*E25,0)</f>
        <v>6827003</v>
      </c>
      <c r="G25" s="36">
        <v>254088</v>
      </c>
      <c r="H25" s="22">
        <f t="shared" si="2"/>
        <v>3.6999999999999998E-2</v>
      </c>
      <c r="I25" s="50"/>
      <c r="K25" s="2"/>
      <c r="O25" s="211">
        <f>'6.4'!O55</f>
        <v>1991</v>
      </c>
      <c r="P25" s="40">
        <f>'6.4'!Q55</f>
        <v>2.3719773922128735</v>
      </c>
    </row>
    <row r="26" spans="1:16" x14ac:dyDescent="0.2">
      <c r="A26" s="86" t="s">
        <v>426</v>
      </c>
      <c r="C26" s="36">
        <v>2669951</v>
      </c>
      <c r="D26" s="36"/>
      <c r="E26" s="226">
        <f>'6.4'!E26</f>
        <v>3.0982344271115743</v>
      </c>
      <c r="F26" s="29">
        <f>ROUND(C26*E26,0)</f>
        <v>8272134</v>
      </c>
      <c r="G26" s="36">
        <v>854753</v>
      </c>
      <c r="H26" s="22">
        <f t="shared" si="2"/>
        <v>0.10299999999999999</v>
      </c>
      <c r="I26" s="50"/>
      <c r="K26" s="2"/>
      <c r="O26" s="211">
        <f>'6.4'!O56</f>
        <v>1992</v>
      </c>
      <c r="P26" s="40">
        <f>'6.4'!Q56</f>
        <v>2.6966544625822726</v>
      </c>
    </row>
    <row r="27" spans="1:16" x14ac:dyDescent="0.2">
      <c r="A27" s="86" t="s">
        <v>427</v>
      </c>
      <c r="C27" s="36">
        <v>5639923</v>
      </c>
      <c r="D27" s="36"/>
      <c r="E27" s="226">
        <f>'6.4'!E27</f>
        <v>3.0982344271115743</v>
      </c>
      <c r="F27" s="29">
        <f t="shared" ref="F27:F49" si="3">ROUND(C27*E27,0)</f>
        <v>17473804</v>
      </c>
      <c r="G27" s="36">
        <v>502177</v>
      </c>
      <c r="H27" s="22">
        <f t="shared" si="2"/>
        <v>2.9000000000000001E-2</v>
      </c>
      <c r="I27" s="50"/>
      <c r="K27" s="2"/>
      <c r="O27" s="211">
        <f>'6.4'!O57</f>
        <v>1993</v>
      </c>
      <c r="P27" s="40">
        <f>'6.4'!Q57</f>
        <v>3.0982344271115743</v>
      </c>
    </row>
    <row r="28" spans="1:16" x14ac:dyDescent="0.2">
      <c r="A28" s="86" t="s">
        <v>428</v>
      </c>
      <c r="B28" s="57"/>
      <c r="C28" s="36">
        <v>3183758</v>
      </c>
      <c r="D28" s="57"/>
      <c r="E28" s="226">
        <f>'6.4'!E28</f>
        <v>3.0982344271115743</v>
      </c>
      <c r="F28" s="29">
        <f t="shared" si="3"/>
        <v>9864029</v>
      </c>
      <c r="G28" s="36">
        <v>199390</v>
      </c>
      <c r="H28" s="22">
        <f t="shared" si="2"/>
        <v>0.02</v>
      </c>
      <c r="I28" s="50"/>
      <c r="K28" s="2"/>
      <c r="O28" s="211">
        <f>'6.4'!O58</f>
        <v>1994</v>
      </c>
      <c r="P28" s="40">
        <f>'6.4'!Q58</f>
        <v>3.0982344271115743</v>
      </c>
    </row>
    <row r="29" spans="1:16" x14ac:dyDescent="0.2">
      <c r="A29" s="86" t="s">
        <v>429</v>
      </c>
      <c r="C29" s="36">
        <v>3613310</v>
      </c>
      <c r="D29" s="36"/>
      <c r="E29" s="226">
        <f>'6.4'!E29</f>
        <v>3.1454156620422076</v>
      </c>
      <c r="F29" s="29">
        <f t="shared" si="3"/>
        <v>11365362</v>
      </c>
      <c r="G29" s="36">
        <v>1561275</v>
      </c>
      <c r="H29" s="22">
        <f t="shared" si="2"/>
        <v>0.13700000000000001</v>
      </c>
      <c r="I29" s="50"/>
      <c r="K29" s="2"/>
      <c r="O29" s="211">
        <f>'6.4'!O59</f>
        <v>1995</v>
      </c>
      <c r="P29" s="40">
        <f>'6.4'!Q59</f>
        <v>3.0982344271115743</v>
      </c>
    </row>
    <row r="30" spans="1:16" x14ac:dyDescent="0.2">
      <c r="A30" s="86" t="s">
        <v>430</v>
      </c>
      <c r="C30" s="36">
        <v>6808428</v>
      </c>
      <c r="D30" s="36"/>
      <c r="E30" s="226">
        <f>'6.4'!E30</f>
        <v>3.1940561104243033</v>
      </c>
      <c r="F30" s="29">
        <f t="shared" si="3"/>
        <v>21746501</v>
      </c>
      <c r="G30" s="36">
        <v>2735082</v>
      </c>
      <c r="H30" s="22">
        <f t="shared" si="2"/>
        <v>0.126</v>
      </c>
      <c r="I30" s="50"/>
      <c r="K30" s="2"/>
      <c r="O30" s="211">
        <f>'6.4'!O60</f>
        <v>1996</v>
      </c>
      <c r="P30" s="40">
        <f>'6.4'!Q60</f>
        <v>3.0982344271115743</v>
      </c>
    </row>
    <row r="31" spans="1:16" x14ac:dyDescent="0.2">
      <c r="A31" s="86" t="s">
        <v>431</v>
      </c>
      <c r="C31" s="36">
        <v>5167158</v>
      </c>
      <c r="D31" s="36"/>
      <c r="E31" s="226">
        <f>'6.4'!E31</f>
        <v>3.0565130243294769</v>
      </c>
      <c r="F31" s="29">
        <f t="shared" si="3"/>
        <v>15793486</v>
      </c>
      <c r="G31" s="36">
        <v>317804</v>
      </c>
      <c r="H31" s="22">
        <f t="shared" si="2"/>
        <v>0.02</v>
      </c>
      <c r="I31" s="50"/>
      <c r="K31" s="2"/>
      <c r="L31" t="s">
        <v>234</v>
      </c>
      <c r="O31" s="211">
        <f>'6.4'!O61</f>
        <v>1997</v>
      </c>
      <c r="P31" s="40">
        <f>'6.4'!Q61</f>
        <v>3.0982344271115743</v>
      </c>
    </row>
    <row r="32" spans="1:16" x14ac:dyDescent="0.2">
      <c r="A32" s="86" t="s">
        <v>432</v>
      </c>
      <c r="C32" s="36">
        <v>4763324</v>
      </c>
      <c r="D32" s="36"/>
      <c r="E32" s="226">
        <f>'6.4'!E32</f>
        <v>2.8728693204032227</v>
      </c>
      <c r="F32" s="29">
        <f t="shared" si="3"/>
        <v>13684407</v>
      </c>
      <c r="G32" s="36">
        <v>431244</v>
      </c>
      <c r="H32" s="22">
        <f t="shared" si="2"/>
        <v>3.2000000000000001E-2</v>
      </c>
      <c r="I32" s="50"/>
      <c r="K32" s="2"/>
      <c r="L32" s="107">
        <f>[3]ISO!$P$67</f>
        <v>0.88287277977546741</v>
      </c>
      <c r="O32" s="211">
        <f>'6.4'!O62</f>
        <v>1998</v>
      </c>
      <c r="P32" s="40">
        <f>'6.4'!Q62</f>
        <v>3.1454156620422076</v>
      </c>
    </row>
    <row r="33" spans="1:16" x14ac:dyDescent="0.2">
      <c r="A33" s="86" t="s">
        <v>433</v>
      </c>
      <c r="C33" s="36">
        <v>8479915</v>
      </c>
      <c r="D33" s="36"/>
      <c r="E33" s="226">
        <f>'6.4'!E33</f>
        <v>2.7488993497291627</v>
      </c>
      <c r="F33" s="29">
        <f t="shared" si="3"/>
        <v>23310433</v>
      </c>
      <c r="G33" s="36">
        <v>7300265</v>
      </c>
      <c r="H33" s="22">
        <f t="shared" si="2"/>
        <v>0.313</v>
      </c>
      <c r="I33" s="50"/>
      <c r="K33" s="2"/>
      <c r="O33" s="211">
        <f>'6.4'!O63</f>
        <v>1999</v>
      </c>
      <c r="P33" s="40">
        <f>'6.4'!Q63</f>
        <v>3.1940561104243033</v>
      </c>
    </row>
    <row r="34" spans="1:16" x14ac:dyDescent="0.2">
      <c r="A34" s="86" t="s">
        <v>434</v>
      </c>
      <c r="C34" s="223">
        <v>9934549</v>
      </c>
      <c r="D34" s="36"/>
      <c r="E34" s="226">
        <f>'6.4'!E34</f>
        <v>2.4394994229198184</v>
      </c>
      <c r="F34" s="29">
        <f t="shared" si="3"/>
        <v>24235327</v>
      </c>
      <c r="G34" s="223">
        <v>2122879</v>
      </c>
      <c r="H34" s="22">
        <f t="shared" si="2"/>
        <v>8.7999999999999995E-2</v>
      </c>
      <c r="I34" s="50"/>
      <c r="K34" s="2"/>
      <c r="O34" s="211">
        <f>'6.4'!O64</f>
        <v>2000</v>
      </c>
      <c r="P34" s="40">
        <f>'6.4'!Q64</f>
        <v>3.0565130243294769</v>
      </c>
    </row>
    <row r="35" spans="1:16" x14ac:dyDescent="0.2">
      <c r="A35" s="86" t="s">
        <v>435</v>
      </c>
      <c r="B35" s="24"/>
      <c r="C35" s="223">
        <v>14597450</v>
      </c>
      <c r="D35" s="58"/>
      <c r="E35" s="226">
        <f>'6.4'!E35</f>
        <v>2.3315946597095789</v>
      </c>
      <c r="F35" s="29">
        <f t="shared" si="3"/>
        <v>34035336</v>
      </c>
      <c r="G35" s="223">
        <v>212644</v>
      </c>
      <c r="H35" s="22">
        <f t="shared" si="2"/>
        <v>6.0000000000000001E-3</v>
      </c>
      <c r="I35" s="50"/>
      <c r="K35" s="2"/>
      <c r="O35" s="211">
        <f>'6.4'!O65</f>
        <v>2001</v>
      </c>
      <c r="P35" s="40">
        <f>'6.4'!Q65</f>
        <v>2.8728693204032227</v>
      </c>
    </row>
    <row r="36" spans="1:16" s="57" customFormat="1" x14ac:dyDescent="0.2">
      <c r="A36" s="86" t="s">
        <v>325</v>
      </c>
      <c r="B36" s="42"/>
      <c r="C36" s="223">
        <v>16137249</v>
      </c>
      <c r="D36" s="42"/>
      <c r="E36" s="226">
        <f>'6.4'!E36</f>
        <v>2.1139483009259492</v>
      </c>
      <c r="F36" s="29">
        <f t="shared" si="3"/>
        <v>34113310</v>
      </c>
      <c r="G36" s="223">
        <v>566758</v>
      </c>
      <c r="H36" s="22">
        <f t="shared" si="2"/>
        <v>1.7000000000000001E-2</v>
      </c>
      <c r="I36" s="50"/>
      <c r="K36" s="2"/>
      <c r="O36" s="211">
        <f>'6.4'!O66</f>
        <v>2002</v>
      </c>
      <c r="P36" s="40">
        <f>'6.4'!Q66</f>
        <v>2.7488993497291627</v>
      </c>
    </row>
    <row r="37" spans="1:16" s="57" customFormat="1" x14ac:dyDescent="0.2">
      <c r="A37" s="86" t="s">
        <v>411</v>
      </c>
      <c r="C37" s="223">
        <v>21249313</v>
      </c>
      <c r="E37" s="226">
        <f>'6.4'!E37</f>
        <v>1.9398940742398449</v>
      </c>
      <c r="F37" s="29">
        <f t="shared" si="3"/>
        <v>41221416</v>
      </c>
      <c r="G37" s="223">
        <v>434362</v>
      </c>
      <c r="H37" s="22">
        <f t="shared" si="2"/>
        <v>1.0999999999999999E-2</v>
      </c>
      <c r="I37" s="50"/>
      <c r="K37" s="2"/>
      <c r="O37" s="211">
        <f>'6.4'!O67</f>
        <v>2003</v>
      </c>
      <c r="P37" s="40">
        <f>'6.4'!Q67</f>
        <v>2.5556660621064777</v>
      </c>
    </row>
    <row r="38" spans="1:16" x14ac:dyDescent="0.2">
      <c r="A38" s="86" t="s">
        <v>372</v>
      </c>
      <c r="B38" s="57"/>
      <c r="C38" s="255">
        <v>27752523</v>
      </c>
      <c r="D38" s="57"/>
      <c r="E38" s="226">
        <f>'6.4'!E38</f>
        <v>1.7686162847181024</v>
      </c>
      <c r="F38" s="29">
        <f t="shared" si="3"/>
        <v>49083564</v>
      </c>
      <c r="G38" s="223">
        <v>27752523</v>
      </c>
      <c r="H38" s="22">
        <f t="shared" si="2"/>
        <v>0.56499999999999995</v>
      </c>
      <c r="I38" s="50"/>
      <c r="K38" s="2"/>
      <c r="O38" s="211">
        <f>'6.4'!O68</f>
        <v>2004</v>
      </c>
      <c r="P38" s="40">
        <f>'6.4'!Q68</f>
        <v>2.3233327837331608</v>
      </c>
    </row>
    <row r="39" spans="1:16" x14ac:dyDescent="0.2">
      <c r="A39" s="86" t="s">
        <v>377</v>
      </c>
      <c r="B39" s="57"/>
      <c r="C39" s="255">
        <v>27990909</v>
      </c>
      <c r="D39" s="57"/>
      <c r="E39" s="226">
        <f>'6.4'!E39</f>
        <v>1.6801411926584762</v>
      </c>
      <c r="F39" s="29">
        <f t="shared" si="3"/>
        <v>47028679</v>
      </c>
      <c r="G39" s="223">
        <v>17103924</v>
      </c>
      <c r="H39" s="22">
        <f>ROUND(G39/F39,3)</f>
        <v>0.36399999999999999</v>
      </c>
      <c r="I39" s="50"/>
      <c r="K39" s="2"/>
      <c r="O39" s="211">
        <f>'6.4'!O69</f>
        <v>2005</v>
      </c>
      <c r="P39" s="40">
        <f>'6.4'!Q69</f>
        <v>2.1121207124846917</v>
      </c>
    </row>
    <row r="40" spans="1:16" x14ac:dyDescent="0.2">
      <c r="A40" s="86" t="s">
        <v>412</v>
      </c>
      <c r="C40" s="255">
        <v>29085395</v>
      </c>
      <c r="E40" s="226">
        <f>'6.4'!E40</f>
        <v>1.5235854713266888</v>
      </c>
      <c r="F40" s="29">
        <f t="shared" si="3"/>
        <v>44314085</v>
      </c>
      <c r="G40" s="223">
        <v>2074340</v>
      </c>
      <c r="H40" s="22">
        <f t="shared" si="2"/>
        <v>4.7E-2</v>
      </c>
      <c r="I40" s="50"/>
      <c r="J40" s="57"/>
      <c r="K40" s="2"/>
      <c r="O40" s="211">
        <f>'6.4'!O70</f>
        <v>2006</v>
      </c>
      <c r="P40" s="40">
        <f>'6.4'!Q70</f>
        <v>1.9580270885920068</v>
      </c>
    </row>
    <row r="41" spans="1:16" x14ac:dyDescent="0.2">
      <c r="A41" s="86" t="s">
        <v>413</v>
      </c>
      <c r="C41" s="89">
        <f>[3]ISO!P54</f>
        <v>27439364</v>
      </c>
      <c r="E41" s="226">
        <f>'6.4'!E41</f>
        <v>1.4076196408284309</v>
      </c>
      <c r="F41" s="29">
        <f t="shared" si="3"/>
        <v>38624188</v>
      </c>
      <c r="G41" s="97">
        <f>[3]ISO!U54</f>
        <v>1768194</v>
      </c>
      <c r="H41" s="22">
        <f t="shared" si="2"/>
        <v>4.5999999999999999E-2</v>
      </c>
      <c r="I41" s="50"/>
      <c r="J41" s="57"/>
      <c r="K41" s="2"/>
      <c r="O41" s="211">
        <f>'6.4'!O71</f>
        <v>2007</v>
      </c>
      <c r="P41" s="40">
        <f>'6.4'!Q71</f>
        <v>1.7742615004796827</v>
      </c>
    </row>
    <row r="42" spans="1:16" x14ac:dyDescent="0.2">
      <c r="A42" s="86" t="s">
        <v>416</v>
      </c>
      <c r="B42" s="47"/>
      <c r="C42" s="89">
        <f>[3]ISO!P55</f>
        <v>24767582</v>
      </c>
      <c r="D42" s="47"/>
      <c r="E42" s="226">
        <f>'6.4'!E42</f>
        <v>1.3743158191343243</v>
      </c>
      <c r="F42" s="29">
        <f t="shared" si="3"/>
        <v>34038480</v>
      </c>
      <c r="G42" s="97">
        <f>[3]ISO!U55</f>
        <v>10534288</v>
      </c>
      <c r="H42" s="22">
        <f t="shared" si="2"/>
        <v>0.309</v>
      </c>
      <c r="I42" s="50"/>
      <c r="K42" s="2"/>
      <c r="O42" s="211">
        <f>'6.4'!O72</f>
        <v>2008</v>
      </c>
      <c r="P42" s="40">
        <f>'6.4'!Q72</f>
        <v>1.6764113430295366</v>
      </c>
    </row>
    <row r="43" spans="1:16" x14ac:dyDescent="0.2">
      <c r="A43" s="86" t="s">
        <v>436</v>
      </c>
      <c r="B43" s="47"/>
      <c r="C43" s="89">
        <f>[3]ISO!P56</f>
        <v>26074384</v>
      </c>
      <c r="D43" s="47"/>
      <c r="E43" s="226">
        <f>'6.4'!E43</f>
        <v>1.3069936300796305</v>
      </c>
      <c r="F43" s="29">
        <f t="shared" si="3"/>
        <v>34079054</v>
      </c>
      <c r="G43" s="97">
        <f>[3]ISO!U56</f>
        <v>8260210</v>
      </c>
      <c r="H43" s="50">
        <f t="shared" si="2"/>
        <v>0.24199999999999999</v>
      </c>
      <c r="I43" s="50"/>
      <c r="J43" s="57"/>
      <c r="K43" s="2"/>
      <c r="O43" s="211">
        <f>'6.4'!O73</f>
        <v>2009</v>
      </c>
      <c r="P43" s="40">
        <f>'6.4'!Q73</f>
        <v>1.5268100248230916</v>
      </c>
    </row>
    <row r="44" spans="1:16" x14ac:dyDescent="0.2">
      <c r="A44" s="86" t="s">
        <v>437</v>
      </c>
      <c r="B44" s="47"/>
      <c r="C44" s="89">
        <f>[3]ISO!P57</f>
        <v>27625026</v>
      </c>
      <c r="D44" s="47"/>
      <c r="E44" s="226">
        <f>'6.4'!E44</f>
        <v>1.2453140098300952</v>
      </c>
      <c r="F44" s="29">
        <f t="shared" si="3"/>
        <v>34401832</v>
      </c>
      <c r="G44" s="97">
        <f>[3]ISO!U57</f>
        <v>1473733</v>
      </c>
      <c r="H44" s="50">
        <f t="shared" si="2"/>
        <v>4.2999999999999997E-2</v>
      </c>
      <c r="I44" s="50"/>
      <c r="J44" s="57"/>
      <c r="K44" s="2"/>
      <c r="O44" s="211">
        <f>'6.4'!O74</f>
        <v>2010</v>
      </c>
      <c r="P44" s="40">
        <f>'6.4'!Q74</f>
        <v>1.4077600564774084</v>
      </c>
    </row>
    <row r="45" spans="1:16" x14ac:dyDescent="0.2">
      <c r="A45" s="86" t="s">
        <v>479</v>
      </c>
      <c r="B45" s="47"/>
      <c r="C45" s="89">
        <f>[3]ISO!P58</f>
        <v>27425810</v>
      </c>
      <c r="D45" s="47"/>
      <c r="E45" s="226">
        <f>'6.4'!E45</f>
        <v>1.187362617565584</v>
      </c>
      <c r="F45" s="29">
        <f t="shared" si="3"/>
        <v>32564382</v>
      </c>
      <c r="G45" s="97">
        <f>[3]ISO!U58</f>
        <v>766708</v>
      </c>
      <c r="H45" s="50">
        <f t="shared" si="2"/>
        <v>2.4E-2</v>
      </c>
      <c r="I45" s="50"/>
      <c r="K45" s="2"/>
      <c r="L45" t="s">
        <v>238</v>
      </c>
      <c r="M45" t="s">
        <v>239</v>
      </c>
      <c r="O45" s="211">
        <f>'6.4'!O75</f>
        <v>2011</v>
      </c>
      <c r="P45" s="40">
        <f>'6.4'!Q75</f>
        <v>1.3727809001524396</v>
      </c>
    </row>
    <row r="46" spans="1:16" x14ac:dyDescent="0.2">
      <c r="A46" s="86" t="s">
        <v>480</v>
      </c>
      <c r="B46" s="47"/>
      <c r="C46" s="89">
        <f>[3]ISO!P59</f>
        <v>26008254</v>
      </c>
      <c r="D46" s="47"/>
      <c r="E46" s="226">
        <f>'6.4'!E46</f>
        <v>1.1298337004132681</v>
      </c>
      <c r="F46" s="29">
        <f t="shared" si="3"/>
        <v>29385002</v>
      </c>
      <c r="G46" s="97">
        <f>[3]ISO!U59</f>
        <v>1316614</v>
      </c>
      <c r="H46" s="50">
        <f>ROUND(G46/F46,3)</f>
        <v>4.4999999999999998E-2</v>
      </c>
      <c r="I46" s="50"/>
      <c r="K46" s="2"/>
      <c r="L46" s="95">
        <f>'6.4'!L48</f>
        <v>34607</v>
      </c>
      <c r="M46" s="95">
        <f>'6.4'!M48</f>
        <v>36525</v>
      </c>
      <c r="N46" t="s">
        <v>240</v>
      </c>
      <c r="O46" s="211">
        <f>'6.4'!O76</f>
        <v>2012</v>
      </c>
      <c r="P46" s="40">
        <f>'6.4'!Q76</f>
        <v>1.3074103810975615</v>
      </c>
    </row>
    <row r="47" spans="1:16" s="57" customFormat="1" x14ac:dyDescent="0.2">
      <c r="A47" s="128" t="s">
        <v>481</v>
      </c>
      <c r="B47" s="47"/>
      <c r="C47" s="89">
        <f>[3]ISO!P60</f>
        <v>22181835</v>
      </c>
      <c r="D47" s="47"/>
      <c r="E47" s="226">
        <f>'6.4'!E47</f>
        <v>1.0758917350262633</v>
      </c>
      <c r="F47" s="177">
        <f t="shared" si="3"/>
        <v>23865253</v>
      </c>
      <c r="G47" s="97">
        <f>[3]ISO!U60</f>
        <v>1964437</v>
      </c>
      <c r="H47" s="50">
        <f>ROUND(G47/F47,3)</f>
        <v>8.2000000000000003E-2</v>
      </c>
      <c r="I47" s="50"/>
      <c r="K47" s="2"/>
      <c r="L47" s="95"/>
      <c r="M47" s="95">
        <f>'6.4'!M49</f>
        <v>43100</v>
      </c>
      <c r="N47" t="s">
        <v>241</v>
      </c>
      <c r="O47" s="211">
        <f>'6.4'!O77</f>
        <v>2013</v>
      </c>
      <c r="P47" s="40">
        <f>'6.4'!Q77</f>
        <v>1.2451527439024395</v>
      </c>
    </row>
    <row r="48" spans="1:16" x14ac:dyDescent="0.2">
      <c r="A48" s="128" t="s">
        <v>482</v>
      </c>
      <c r="B48" s="47"/>
      <c r="C48" s="89">
        <f>[3]ISO!P61</f>
        <v>18821527</v>
      </c>
      <c r="D48" s="56"/>
      <c r="E48" s="226">
        <f>'6.4'!E48</f>
        <v>1.0500000000000045</v>
      </c>
      <c r="F48" s="177">
        <f t="shared" si="3"/>
        <v>19762603</v>
      </c>
      <c r="G48" s="97">
        <f>[3]ISO!U61</f>
        <v>245701770</v>
      </c>
      <c r="H48" s="50">
        <f>ROUND(G48/F48,3)</f>
        <v>12.433</v>
      </c>
      <c r="I48" s="50"/>
      <c r="K48" s="2"/>
      <c r="L48" s="95">
        <f>'6.4'!L50</f>
        <v>43830</v>
      </c>
      <c r="M48" s="95">
        <f>'6.4'!M50</f>
        <v>43830</v>
      </c>
      <c r="N48" t="s">
        <v>241</v>
      </c>
      <c r="O48" s="211">
        <f>'6.4'!O78</f>
        <v>2014</v>
      </c>
      <c r="P48" s="40">
        <f>'6.4'!Q78</f>
        <v>1.1858597560975614</v>
      </c>
    </row>
    <row r="49" spans="1:17" x14ac:dyDescent="0.2">
      <c r="A49" s="48">
        <v>2018</v>
      </c>
      <c r="B49" s="47"/>
      <c r="C49" s="89">
        <f>[3]ISO!P62</f>
        <v>18223401</v>
      </c>
      <c r="D49" s="47"/>
      <c r="E49" s="226">
        <f>'6.4'!E49</f>
        <v>1.0243345041628875</v>
      </c>
      <c r="F49" s="177">
        <f t="shared" si="3"/>
        <v>18666858</v>
      </c>
      <c r="G49" s="97">
        <f>[3]ISO!U62</f>
        <v>227247</v>
      </c>
      <c r="H49" s="50">
        <f>ROUND(G49/F49,3)</f>
        <v>1.2E-2</v>
      </c>
      <c r="I49" s="50"/>
      <c r="K49" s="2"/>
      <c r="O49" s="211">
        <f>'6.4'!O79</f>
        <v>2015</v>
      </c>
      <c r="P49" s="40">
        <f>'6.4'!Q79</f>
        <v>1.1293902439024393</v>
      </c>
    </row>
    <row r="50" spans="1:17" x14ac:dyDescent="0.2">
      <c r="A50" s="25">
        <v>2019</v>
      </c>
      <c r="B50" s="9"/>
      <c r="C50" s="88">
        <f>[3]ISO!P63</f>
        <v>16527733</v>
      </c>
      <c r="D50" s="9"/>
      <c r="E50" s="106">
        <f>'6.4'!E50</f>
        <v>1</v>
      </c>
      <c r="F50" s="30">
        <f t="shared" ref="F50" si="4">ROUND(C50*E50,0)</f>
        <v>16527733</v>
      </c>
      <c r="G50" s="88">
        <f>[3]ISO!U63</f>
        <v>145415</v>
      </c>
      <c r="H50" s="66">
        <f>ROUND(G50/F50,3)</f>
        <v>8.9999999999999993E-3</v>
      </c>
      <c r="I50" s="50"/>
      <c r="K50" s="2"/>
      <c r="O50" s="211">
        <f>'6.4'!O80</f>
        <v>2016</v>
      </c>
      <c r="P50" s="40">
        <f>'6.4'!Q80</f>
        <v>1.075609756097561</v>
      </c>
    </row>
    <row r="51" spans="1:17" x14ac:dyDescent="0.2">
      <c r="K51" s="2"/>
      <c r="O51" s="211">
        <f>'6.4'!O81</f>
        <v>2017</v>
      </c>
      <c r="P51" s="40">
        <f>'6.4'!Q81</f>
        <v>1.05</v>
      </c>
    </row>
    <row r="52" spans="1:17" x14ac:dyDescent="0.2">
      <c r="A52" t="s">
        <v>8</v>
      </c>
      <c r="C52" s="68">
        <f>SUM(C14:C50)</f>
        <v>440929663</v>
      </c>
      <c r="D52" s="68"/>
      <c r="E52" s="68"/>
      <c r="F52" s="68">
        <f>SUM(F14:F50)</f>
        <v>730446664</v>
      </c>
      <c r="G52" s="68">
        <f>SUM(G14:G50)</f>
        <v>338586822</v>
      </c>
      <c r="H52" s="22">
        <f>ROUND(G52/F52,3)</f>
        <v>0.46400000000000002</v>
      </c>
      <c r="I52" s="47"/>
      <c r="K52" s="2"/>
      <c r="O52" s="211">
        <f>'6.4'!O82</f>
        <v>2018</v>
      </c>
      <c r="P52" s="40">
        <f>'6.4'!Q82</f>
        <v>1.024390243902439</v>
      </c>
    </row>
    <row r="53" spans="1:17" ht="12" thickBot="1" x14ac:dyDescent="0.25">
      <c r="A53" s="6"/>
      <c r="B53" s="6"/>
      <c r="C53" s="6"/>
      <c r="D53" s="6"/>
      <c r="E53" s="6"/>
      <c r="F53" s="6"/>
      <c r="G53" s="6"/>
      <c r="H53" s="6"/>
      <c r="I53" s="47"/>
      <c r="K53" s="2"/>
      <c r="O53" s="211">
        <f>'6.4'!O83</f>
        <v>2019</v>
      </c>
      <c r="P53" s="40">
        <f>'6.4'!Q83</f>
        <v>1</v>
      </c>
    </row>
    <row r="54" spans="1:17" ht="12" thickTop="1" x14ac:dyDescent="0.2">
      <c r="I54" s="47"/>
      <c r="K54" s="2"/>
      <c r="O54" s="57"/>
      <c r="P54" s="57"/>
    </row>
    <row r="55" spans="1:17" x14ac:dyDescent="0.2">
      <c r="A55" t="s">
        <v>18</v>
      </c>
      <c r="F55" s="42"/>
      <c r="I55" s="47"/>
      <c r="K55" s="2"/>
      <c r="L55" s="57"/>
      <c r="M55" s="57"/>
      <c r="N55" s="57"/>
      <c r="O55" s="57"/>
      <c r="P55" s="57"/>
      <c r="Q55" s="57"/>
    </row>
    <row r="56" spans="1:17" s="57" customFormat="1" x14ac:dyDescent="0.2">
      <c r="A56"/>
      <c r="B56" s="21" t="str">
        <f>C12&amp;" Provided by TDI. "&amp;A14&amp;" - "&amp;A26&amp;" are year ending "&amp;TEXT($L$46,"m/d/xx")&amp;" as of "&amp;TEXT($M$46,"m/d/yy")&amp;"; "&amp;A27&amp;" - "&amp;A50&amp;" are year ending "&amp;TEXT($L$47,"m/d/xx")&amp;" as of "&amp;TEXT($M$48,"m/d/yy")</f>
        <v>(2) Provided by TDI. 1983 - 1995 are year ending 9/30/xx as of 12/31/99; 1996 - 2019 are year ending 1/0/xx as of 12/31/19</v>
      </c>
      <c r="C56"/>
      <c r="D56"/>
      <c r="E56"/>
      <c r="F56"/>
      <c r="G56"/>
      <c r="H56"/>
      <c r="I56" s="47"/>
      <c r="J56"/>
      <c r="K56" s="2"/>
    </row>
    <row r="57" spans="1:17" s="57" customFormat="1" x14ac:dyDescent="0.2">
      <c r="A57"/>
      <c r="B57" s="21" t="str">
        <f>D12&amp;" Provided by TDI (1992 MR = 1992 manual rates)"</f>
        <v>(3) Provided by TDI (1992 MR = 1992 manual rates)</v>
      </c>
      <c r="C57" s="21"/>
      <c r="D57"/>
      <c r="E57"/>
      <c r="F57"/>
      <c r="G57"/>
      <c r="H57"/>
      <c r="I57" s="47"/>
      <c r="J57"/>
      <c r="K57" s="2"/>
    </row>
    <row r="58" spans="1:17" s="57" customFormat="1" x14ac:dyDescent="0.2">
      <c r="A58"/>
      <c r="B58" s="21" t="str">
        <f>'6.4'!B58</f>
        <v>(4) Represents 8/1/80 through 6/30/20 rate changes for TWIA; factors assume uniform earning of written premium</v>
      </c>
      <c r="C58"/>
      <c r="D58"/>
      <c r="E58"/>
      <c r="F58"/>
      <c r="G58"/>
      <c r="H58"/>
      <c r="I58" s="128"/>
      <c r="J58"/>
      <c r="K58" s="2"/>
    </row>
    <row r="59" spans="1:17" s="57" customFormat="1" x14ac:dyDescent="0.2">
      <c r="A59"/>
      <c r="B59" s="100" t="str">
        <f>"      and that TWIA premium represents "&amp;TEXT(L32,"0.0%")&amp;" of industry data in "&amp;LEFT(A5,FIND("(",A5)-2)</f>
        <v xml:space="preserve">      and that TWIA premium represents 88.3% of industry data in Tier 1 -- Territory 9</v>
      </c>
      <c r="C59" s="86"/>
      <c r="D59" s="86"/>
      <c r="E59" s="86"/>
      <c r="F59" s="86"/>
      <c r="G59" s="86"/>
      <c r="H59" s="86"/>
      <c r="I59" s="47"/>
      <c r="J59"/>
      <c r="K59" s="2"/>
    </row>
    <row r="60" spans="1:17" s="57" customFormat="1" x14ac:dyDescent="0.2">
      <c r="A60"/>
      <c r="B60" s="21" t="str">
        <f>F12&amp;" = "&amp;D12&amp;" * "&amp;E12&amp;" for "&amp;A14&amp;" - "&amp;A23&amp;"; "&amp;C12&amp;" * "&amp;E12&amp;" for "&amp;A24&amp;" - "&amp;A50</f>
        <v>(5) = (3) * (4) for 1983 - 1992; (2) * (4) for 1993 - 2019</v>
      </c>
      <c r="D60"/>
      <c r="E60"/>
      <c r="F60"/>
      <c r="G60"/>
      <c r="H60"/>
      <c r="I60" s="47"/>
      <c r="J60"/>
      <c r="K60" s="2"/>
    </row>
    <row r="61" spans="1:17" s="57" customFormat="1" x14ac:dyDescent="0.2">
      <c r="A61"/>
      <c r="B61" s="21" t="str">
        <f>G12&amp;" Provided by TDI. "&amp;A14&amp;" - "&amp;A26&amp;" are year ending "&amp;TEXT($L$46,"m/d/xx")&amp;" as of "&amp;TEXT($M$46,"m/d/yy")&amp;"; "&amp;A27&amp;" - "&amp;A39&amp;" are year ending "&amp;TEXT($L$48,"m/d/xx")&amp;" as of "&amp;TEXT($M$47,"m/d/yy")</f>
        <v>(6) Provided by TDI. 1983 - 1995 are year ending 9/30/xx as of 12/31/99; 1996 - 2008 are year ending 12/31/xx as of 12/31/17</v>
      </c>
      <c r="C61"/>
      <c r="D61" s="58"/>
      <c r="E61" s="58"/>
      <c r="F61" s="58"/>
      <c r="G61" s="22"/>
      <c r="H61"/>
      <c r="I61" s="47"/>
      <c r="J61"/>
      <c r="K61" s="2"/>
    </row>
    <row r="62" spans="1:17" s="57" customFormat="1" x14ac:dyDescent="0.2">
      <c r="A62"/>
      <c r="B62" s="57" t="str">
        <f>"    2009 - 2019 are year ending 12/31/xx as of 12/31/2019"</f>
        <v xml:space="preserve">    2009 - 2019 are year ending 12/31/xx as of 12/31/2019</v>
      </c>
      <c r="C62"/>
      <c r="D62"/>
      <c r="E62"/>
      <c r="F62"/>
      <c r="G62"/>
      <c r="H62"/>
      <c r="I62" s="47"/>
      <c r="K62" s="2"/>
    </row>
    <row r="63" spans="1:17" s="57" customFormat="1" x14ac:dyDescent="0.2">
      <c r="B63" s="21" t="str">
        <f>H12&amp;" = "&amp;G12&amp;" / "&amp;F12</f>
        <v>(7) = (6) / (5)</v>
      </c>
      <c r="I63" s="42"/>
      <c r="K63" s="2"/>
    </row>
    <row r="64" spans="1:17" s="57" customFormat="1" x14ac:dyDescent="0.2">
      <c r="I64" s="42"/>
      <c r="K64" s="2"/>
    </row>
    <row r="65" spans="1:17" s="57" customFormat="1" x14ac:dyDescent="0.2">
      <c r="I65" s="42"/>
      <c r="K65" s="2"/>
    </row>
    <row r="66" spans="1:17" s="57" customFormat="1" x14ac:dyDescent="0.2">
      <c r="I66" s="42"/>
      <c r="K66" s="2"/>
      <c r="O66"/>
      <c r="P66"/>
    </row>
    <row r="67" spans="1:17" s="57" customFormat="1" x14ac:dyDescent="0.2">
      <c r="I67" s="42"/>
      <c r="K67" s="2"/>
      <c r="L67"/>
      <c r="M67"/>
      <c r="N67"/>
      <c r="O67"/>
      <c r="P67"/>
      <c r="Q67"/>
    </row>
    <row r="68" spans="1:17" x14ac:dyDescent="0.2">
      <c r="A68" s="57"/>
      <c r="B68" s="57"/>
      <c r="C68" s="57"/>
      <c r="D68" s="57"/>
      <c r="E68" s="57"/>
      <c r="F68" s="57"/>
      <c r="G68" s="57"/>
      <c r="H68" s="57"/>
      <c r="I68" s="31"/>
      <c r="J68" s="57"/>
      <c r="K68" s="2"/>
    </row>
    <row r="69" spans="1:17" x14ac:dyDescent="0.2">
      <c r="A69" s="67"/>
      <c r="B69" s="57"/>
      <c r="C69" s="36"/>
      <c r="D69" s="36"/>
      <c r="E69" s="36"/>
      <c r="F69" s="36"/>
      <c r="G69" s="31"/>
      <c r="H69" s="31"/>
      <c r="I69" s="28"/>
      <c r="J69" s="57"/>
      <c r="K69" s="2"/>
    </row>
    <row r="70" spans="1:17" ht="12" thickBot="1" x14ac:dyDescent="0.25">
      <c r="A70" s="67"/>
      <c r="B70" s="57"/>
      <c r="C70" s="28"/>
      <c r="D70" s="28"/>
      <c r="E70" s="28"/>
      <c r="F70" s="28"/>
      <c r="G70" s="28"/>
      <c r="H70" s="28"/>
      <c r="K70" s="2"/>
    </row>
    <row r="71" spans="1:17" ht="12" hidden="1" thickBot="1" x14ac:dyDescent="0.25">
      <c r="B71" s="24"/>
      <c r="C71" s="58"/>
      <c r="D71" s="58"/>
      <c r="E71" s="58"/>
      <c r="F71" s="58"/>
      <c r="G71" s="22"/>
      <c r="K71" s="2"/>
    </row>
    <row r="72" spans="1:17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rgb="FF92D050"/>
  </sheetPr>
  <dimension ref="A1:P72"/>
  <sheetViews>
    <sheetView showGridLines="0" zoomScaleNormal="10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5" x14ac:dyDescent="0.2">
      <c r="A1" s="8" t="str">
        <f>'1'!$A$1</f>
        <v>Texas Windstorm Insurance Association</v>
      </c>
      <c r="B1" s="12"/>
      <c r="J1" s="7" t="s">
        <v>84</v>
      </c>
      <c r="K1" s="1"/>
    </row>
    <row r="2" spans="1:15" x14ac:dyDescent="0.2">
      <c r="A2" s="8" t="str">
        <f>'1'!$A$2</f>
        <v>Commercial Property - Wind &amp; Hail</v>
      </c>
      <c r="B2" s="12"/>
      <c r="J2" s="7" t="s">
        <v>107</v>
      </c>
      <c r="K2" s="2"/>
    </row>
    <row r="3" spans="1:15" x14ac:dyDescent="0.2">
      <c r="A3" s="8" t="str">
        <f>'1'!$A$3</f>
        <v>Rate Level Review</v>
      </c>
      <c r="B3" s="12"/>
      <c r="K3" s="2"/>
    </row>
    <row r="4" spans="1:15" x14ac:dyDescent="0.2">
      <c r="A4" t="s">
        <v>227</v>
      </c>
      <c r="B4" s="12"/>
      <c r="K4" s="2"/>
    </row>
    <row r="5" spans="1:15" x14ac:dyDescent="0.2">
      <c r="A5" s="57" t="s">
        <v>39</v>
      </c>
      <c r="B5" s="21"/>
      <c r="C5" s="57"/>
      <c r="D5" s="57"/>
      <c r="E5" s="57"/>
      <c r="K5" s="2"/>
    </row>
    <row r="6" spans="1:15" x14ac:dyDescent="0.2">
      <c r="K6" s="2"/>
    </row>
    <row r="7" spans="1:15" ht="12" thickBot="1" x14ac:dyDescent="0.25">
      <c r="A7" s="6"/>
      <c r="B7" s="6"/>
      <c r="C7" s="6"/>
      <c r="D7" s="6"/>
      <c r="E7" s="6"/>
      <c r="F7" s="6"/>
      <c r="G7" s="6"/>
      <c r="H7" s="6"/>
      <c r="I7" s="47"/>
      <c r="K7" s="2"/>
    </row>
    <row r="8" spans="1:15" ht="12" thickTop="1" x14ac:dyDescent="0.2">
      <c r="K8" s="2"/>
    </row>
    <row r="9" spans="1:15" x14ac:dyDescent="0.2">
      <c r="C9" s="21"/>
      <c r="D9" t="s">
        <v>96</v>
      </c>
      <c r="E9" t="s">
        <v>230</v>
      </c>
      <c r="F9" t="s">
        <v>96</v>
      </c>
      <c r="K9" s="2"/>
      <c r="L9" s="26"/>
    </row>
    <row r="10" spans="1:15" x14ac:dyDescent="0.2">
      <c r="A10" t="s">
        <v>41</v>
      </c>
      <c r="C10" t="s">
        <v>96</v>
      </c>
      <c r="D10" t="s">
        <v>97</v>
      </c>
      <c r="E10" t="s">
        <v>231</v>
      </c>
      <c r="F10" t="s">
        <v>232</v>
      </c>
      <c r="G10" t="s">
        <v>67</v>
      </c>
      <c r="H10" t="s">
        <v>67</v>
      </c>
      <c r="K10" s="2"/>
      <c r="L10" s="21"/>
    </row>
    <row r="11" spans="1:15" x14ac:dyDescent="0.2">
      <c r="A11" s="9" t="s">
        <v>42</v>
      </c>
      <c r="B11" s="9"/>
      <c r="C11" s="9" t="s">
        <v>97</v>
      </c>
      <c r="D11" s="9" t="s">
        <v>229</v>
      </c>
      <c r="E11" s="9" t="s">
        <v>106</v>
      </c>
      <c r="F11" s="9" t="s">
        <v>233</v>
      </c>
      <c r="G11" s="9" t="s">
        <v>34</v>
      </c>
      <c r="H11" s="9" t="s">
        <v>58</v>
      </c>
      <c r="I11" s="47"/>
      <c r="K11" s="2"/>
      <c r="L11" s="49"/>
    </row>
    <row r="12" spans="1:15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5" x14ac:dyDescent="0.2">
      <c r="K13" s="2"/>
    </row>
    <row r="14" spans="1:15" x14ac:dyDescent="0.2">
      <c r="A14" s="210" t="s">
        <v>438</v>
      </c>
      <c r="C14" s="36">
        <v>3769988</v>
      </c>
      <c r="D14" s="36">
        <v>4139464</v>
      </c>
      <c r="E14" s="226">
        <f>'6.4'!E14</f>
        <v>3.6469825610545685</v>
      </c>
      <c r="F14" s="29">
        <f>ROUND(D14*$E$23,0)</f>
        <v>11162704</v>
      </c>
      <c r="G14" s="36">
        <v>5242728</v>
      </c>
      <c r="H14" s="22">
        <f t="shared" ref="H14:H47" si="1">ROUND(G14/F14,3)</f>
        <v>0.47</v>
      </c>
      <c r="I14" s="22"/>
      <c r="K14" s="2"/>
      <c r="L14" s="34"/>
    </row>
    <row r="15" spans="1:15" x14ac:dyDescent="0.2">
      <c r="A15" t="s">
        <v>439</v>
      </c>
      <c r="C15" s="36">
        <v>4835650</v>
      </c>
      <c r="D15" s="36">
        <v>5883059</v>
      </c>
      <c r="E15" s="226">
        <f>'6.4'!E15</f>
        <v>3.3440803344216081</v>
      </c>
      <c r="F15" s="29">
        <f>ROUND(D15*$E$23,0)</f>
        <v>15864577</v>
      </c>
      <c r="G15" s="36">
        <v>1759233</v>
      </c>
      <c r="H15" s="22">
        <f t="shared" si="1"/>
        <v>0.111</v>
      </c>
      <c r="I15" s="22"/>
      <c r="K15" s="2"/>
      <c r="N15" t="s">
        <v>42</v>
      </c>
      <c r="O15" t="s">
        <v>248</v>
      </c>
    </row>
    <row r="16" spans="1:15" x14ac:dyDescent="0.2">
      <c r="A16" t="s">
        <v>440</v>
      </c>
      <c r="C16" s="36">
        <v>3637366</v>
      </c>
      <c r="D16" s="36">
        <v>3997227</v>
      </c>
      <c r="E16" s="226">
        <f>'6.4'!E16</f>
        <v>2.7418460800704461</v>
      </c>
      <c r="F16" s="29">
        <f t="shared" ref="F16:F21" si="2">ROUND(D16*$E$23,0)</f>
        <v>10779140</v>
      </c>
      <c r="G16" s="36">
        <v>534724</v>
      </c>
      <c r="H16" s="22">
        <f t="shared" si="1"/>
        <v>0.05</v>
      </c>
      <c r="I16" s="22"/>
      <c r="K16" s="2"/>
      <c r="L16" t="s">
        <v>476</v>
      </c>
    </row>
    <row r="17" spans="1:16" x14ac:dyDescent="0.2">
      <c r="A17" t="s">
        <v>441</v>
      </c>
      <c r="C17" s="36">
        <v>4787352</v>
      </c>
      <c r="D17" s="36">
        <v>3948102</v>
      </c>
      <c r="E17" s="226">
        <f>'6.4'!E17</f>
        <v>1.9522653230479203</v>
      </c>
      <c r="F17" s="29">
        <f t="shared" si="2"/>
        <v>10646667</v>
      </c>
      <c r="G17" s="36">
        <v>1943819</v>
      </c>
      <c r="H17" s="22">
        <f t="shared" si="1"/>
        <v>0.183</v>
      </c>
      <c r="I17" s="22"/>
      <c r="K17" s="2"/>
      <c r="L17" s="306">
        <f>'6.7'!L17</f>
        <v>1</v>
      </c>
      <c r="O17" s="211">
        <f>'6.4'!O47</f>
        <v>1983</v>
      </c>
      <c r="P17" s="40">
        <f>'6.4'!Q47</f>
        <v>3.6469825610545685</v>
      </c>
    </row>
    <row r="18" spans="1:16" x14ac:dyDescent="0.2">
      <c r="A18" t="s">
        <v>442</v>
      </c>
      <c r="C18" s="36">
        <v>5996981</v>
      </c>
      <c r="D18" s="36">
        <v>5352970</v>
      </c>
      <c r="E18" s="226">
        <f>'6.4'!E18</f>
        <v>1.898708277784215</v>
      </c>
      <c r="F18" s="29">
        <f t="shared" si="2"/>
        <v>14435110</v>
      </c>
      <c r="G18" s="36">
        <v>338938</v>
      </c>
      <c r="H18" s="22">
        <f t="shared" si="1"/>
        <v>2.3E-2</v>
      </c>
      <c r="I18" s="22"/>
      <c r="K18" s="2"/>
      <c r="O18" s="211">
        <f>'6.4'!O48</f>
        <v>1984</v>
      </c>
      <c r="P18" s="40">
        <f>'6.4'!Q48</f>
        <v>3.3440803344216081</v>
      </c>
    </row>
    <row r="19" spans="1:16" x14ac:dyDescent="0.2">
      <c r="A19" t="s">
        <v>443</v>
      </c>
      <c r="C19" s="36">
        <v>5872305</v>
      </c>
      <c r="D19" s="36">
        <v>5768621</v>
      </c>
      <c r="E19" s="226">
        <f>'6.4'!E19</f>
        <v>2.0450595082333063</v>
      </c>
      <c r="F19" s="29">
        <f t="shared" si="2"/>
        <v>15555978</v>
      </c>
      <c r="G19" s="36">
        <v>1442599</v>
      </c>
      <c r="H19" s="22">
        <f t="shared" si="1"/>
        <v>9.2999999999999999E-2</v>
      </c>
      <c r="I19" s="22"/>
      <c r="K19" s="2"/>
      <c r="O19" s="211">
        <f>'6.4'!O49</f>
        <v>1985</v>
      </c>
      <c r="P19" s="40">
        <f>'6.4'!Q49</f>
        <v>2.7418460800704461</v>
      </c>
    </row>
    <row r="20" spans="1:16" x14ac:dyDescent="0.2">
      <c r="A20" t="s">
        <v>444</v>
      </c>
      <c r="C20" s="36">
        <v>5125436</v>
      </c>
      <c r="D20" s="36">
        <v>5918163</v>
      </c>
      <c r="E20" s="226">
        <f>'6.4'!E20</f>
        <v>2.271681540349014</v>
      </c>
      <c r="F20" s="29">
        <f t="shared" si="2"/>
        <v>15959241</v>
      </c>
      <c r="G20" s="36">
        <v>349413</v>
      </c>
      <c r="H20" s="22">
        <f t="shared" si="1"/>
        <v>2.1999999999999999E-2</v>
      </c>
      <c r="I20" s="22"/>
      <c r="K20" s="2"/>
      <c r="O20" s="211">
        <f>'6.4'!O50</f>
        <v>1986</v>
      </c>
      <c r="P20" s="40">
        <f>'6.4'!Q50</f>
        <v>1.9522653230479203</v>
      </c>
    </row>
    <row r="21" spans="1:16" x14ac:dyDescent="0.2">
      <c r="A21" t="s">
        <v>445</v>
      </c>
      <c r="C21" s="36">
        <v>3842130</v>
      </c>
      <c r="D21" s="36">
        <v>4624825</v>
      </c>
      <c r="E21" s="226">
        <f>'6.4'!E21</f>
        <v>2.3863589189959433</v>
      </c>
      <c r="F21" s="29">
        <f t="shared" si="2"/>
        <v>12471555</v>
      </c>
      <c r="G21" s="36">
        <v>1263817</v>
      </c>
      <c r="H21" s="22">
        <f t="shared" si="1"/>
        <v>0.10100000000000001</v>
      </c>
      <c r="I21" s="22"/>
      <c r="K21" s="2"/>
      <c r="O21" s="211">
        <f>'6.4'!O51</f>
        <v>1987</v>
      </c>
      <c r="P21" s="40">
        <f>'6.4'!Q51</f>
        <v>1.898708277784215</v>
      </c>
    </row>
    <row r="22" spans="1:16" x14ac:dyDescent="0.2">
      <c r="A22" t="s">
        <v>446</v>
      </c>
      <c r="C22" s="36">
        <v>4253902</v>
      </c>
      <c r="D22" s="36">
        <v>4765878</v>
      </c>
      <c r="E22" s="226">
        <f>'6.4'!E22</f>
        <v>2.3719773922128735</v>
      </c>
      <c r="F22" s="29">
        <f>ROUND(D22*$E$23,0)</f>
        <v>12851926</v>
      </c>
      <c r="G22" s="36">
        <v>14752702</v>
      </c>
      <c r="H22" s="22">
        <f t="shared" si="1"/>
        <v>1.1479999999999999</v>
      </c>
      <c r="I22" s="22"/>
      <c r="K22" s="2"/>
      <c r="O22" s="211">
        <f>'6.4'!O52</f>
        <v>1988</v>
      </c>
      <c r="P22" s="40">
        <f>'6.4'!Q52</f>
        <v>2.0450595082333063</v>
      </c>
    </row>
    <row r="23" spans="1:16" x14ac:dyDescent="0.2">
      <c r="A23" t="s">
        <v>447</v>
      </c>
      <c r="B23" s="21"/>
      <c r="C23" s="36">
        <v>4034147</v>
      </c>
      <c r="D23" s="36">
        <v>4187015</v>
      </c>
      <c r="E23" s="226">
        <f>'6.4'!E23</f>
        <v>2.6966544625822726</v>
      </c>
      <c r="F23" s="29">
        <f t="shared" ref="F23" si="3">ROUND(D23*E23,0)</f>
        <v>11290933</v>
      </c>
      <c r="G23" s="36">
        <v>276158</v>
      </c>
      <c r="H23" s="22">
        <f t="shared" si="1"/>
        <v>2.4E-2</v>
      </c>
      <c r="I23" s="22"/>
      <c r="K23" s="2"/>
      <c r="O23" s="211">
        <f>'6.4'!O53</f>
        <v>1989</v>
      </c>
      <c r="P23" s="40">
        <f>'6.4'!Q53</f>
        <v>2.271681540349014</v>
      </c>
    </row>
    <row r="24" spans="1:16" x14ac:dyDescent="0.2">
      <c r="A24" t="s">
        <v>424</v>
      </c>
      <c r="B24" s="21"/>
      <c r="C24" s="36">
        <v>4540606</v>
      </c>
      <c r="D24" s="36"/>
      <c r="E24" s="226">
        <f>'6.4'!E24</f>
        <v>3.0982344271115743</v>
      </c>
      <c r="F24" s="29">
        <f>ROUND(C24*E24,0)</f>
        <v>14067862</v>
      </c>
      <c r="G24" s="36">
        <v>245603</v>
      </c>
      <c r="H24" s="22">
        <f t="shared" si="1"/>
        <v>1.7000000000000001E-2</v>
      </c>
      <c r="I24" s="22"/>
      <c r="K24" s="2"/>
      <c r="O24" s="211">
        <f>'6.4'!O54</f>
        <v>1990</v>
      </c>
      <c r="P24" s="40">
        <f>'6.4'!Q54</f>
        <v>2.3863589189959433</v>
      </c>
    </row>
    <row r="25" spans="1:16" x14ac:dyDescent="0.2">
      <c r="A25" t="s">
        <v>425</v>
      </c>
      <c r="B25" s="21"/>
      <c r="C25" s="36">
        <v>5145260</v>
      </c>
      <c r="D25" s="36"/>
      <c r="E25" s="226">
        <f>'6.4'!E25</f>
        <v>3.0982344271115743</v>
      </c>
      <c r="F25" s="29">
        <f>ROUND(C25*E25,0)</f>
        <v>15941222</v>
      </c>
      <c r="G25" s="36">
        <v>3130886</v>
      </c>
      <c r="H25" s="22">
        <f t="shared" si="1"/>
        <v>0.19600000000000001</v>
      </c>
      <c r="I25" s="22"/>
      <c r="K25" s="2"/>
      <c r="O25" s="211">
        <f>'6.4'!O55</f>
        <v>1991</v>
      </c>
      <c r="P25" s="40">
        <f>'6.4'!Q55</f>
        <v>2.3719773922128735</v>
      </c>
    </row>
    <row r="26" spans="1:16" x14ac:dyDescent="0.2">
      <c r="A26" t="s">
        <v>426</v>
      </c>
      <c r="C26" s="36">
        <v>9324050</v>
      </c>
      <c r="D26" s="36"/>
      <c r="E26" s="226">
        <f>'6.4'!E26</f>
        <v>3.0982344271115743</v>
      </c>
      <c r="F26" s="29">
        <f>ROUND(C26*E26,0)</f>
        <v>28888093</v>
      </c>
      <c r="G26" s="36">
        <v>10852486</v>
      </c>
      <c r="H26" s="22">
        <f t="shared" si="1"/>
        <v>0.376</v>
      </c>
      <c r="I26" s="22"/>
      <c r="K26" s="2"/>
      <c r="O26" s="211">
        <f>'6.4'!O56</f>
        <v>1992</v>
      </c>
      <c r="P26" s="40">
        <f>'6.4'!Q56</f>
        <v>2.6966544625822726</v>
      </c>
    </row>
    <row r="27" spans="1:16" x14ac:dyDescent="0.2">
      <c r="A27" t="s">
        <v>427</v>
      </c>
      <c r="C27" s="36">
        <v>15331047</v>
      </c>
      <c r="D27" s="36"/>
      <c r="E27" s="226">
        <f>'6.4'!E27</f>
        <v>3.0982344271115743</v>
      </c>
      <c r="F27" s="29">
        <f t="shared" ref="F27:F46" si="4">ROUND(C27*E27,0)</f>
        <v>47499178</v>
      </c>
      <c r="G27" s="36">
        <v>1478175</v>
      </c>
      <c r="H27" s="22">
        <f t="shared" si="1"/>
        <v>3.1E-2</v>
      </c>
      <c r="I27" s="22"/>
      <c r="K27" s="2"/>
      <c r="O27" s="211">
        <f>'6.4'!O57</f>
        <v>1993</v>
      </c>
      <c r="P27" s="40">
        <f>'6.4'!Q57</f>
        <v>3.0982344271115743</v>
      </c>
    </row>
    <row r="28" spans="1:16" x14ac:dyDescent="0.2">
      <c r="A28" t="s">
        <v>428</v>
      </c>
      <c r="B28" s="42"/>
      <c r="C28" s="36">
        <v>17116368</v>
      </c>
      <c r="D28" s="42"/>
      <c r="E28" s="226">
        <f>'6.4'!E28</f>
        <v>3.0982344271115743</v>
      </c>
      <c r="F28" s="29">
        <f t="shared" si="4"/>
        <v>53030521</v>
      </c>
      <c r="G28" s="36">
        <v>1911482</v>
      </c>
      <c r="H28" s="22">
        <f t="shared" si="1"/>
        <v>3.5999999999999997E-2</v>
      </c>
      <c r="I28" s="22"/>
      <c r="K28" s="2"/>
      <c r="O28" s="211">
        <f>'6.4'!O58</f>
        <v>1994</v>
      </c>
      <c r="P28" s="40">
        <f>'6.4'!Q58</f>
        <v>3.0982344271115743</v>
      </c>
    </row>
    <row r="29" spans="1:16" x14ac:dyDescent="0.2">
      <c r="A29" t="s">
        <v>429</v>
      </c>
      <c r="C29" s="36">
        <v>17623413</v>
      </c>
      <c r="D29" s="36"/>
      <c r="E29" s="226">
        <f>'6.4'!E29</f>
        <v>3.1454156620422076</v>
      </c>
      <c r="F29" s="29">
        <f t="shared" si="4"/>
        <v>55432959</v>
      </c>
      <c r="G29" s="36">
        <v>6340723</v>
      </c>
      <c r="H29" s="22">
        <f t="shared" si="1"/>
        <v>0.114</v>
      </c>
      <c r="I29" s="22"/>
      <c r="K29" s="2"/>
      <c r="O29" s="211">
        <f>'6.4'!O59</f>
        <v>1995</v>
      </c>
      <c r="P29" s="40">
        <f>'6.4'!Q59</f>
        <v>3.0982344271115743</v>
      </c>
    </row>
    <row r="30" spans="1:16" x14ac:dyDescent="0.2">
      <c r="A30" t="s">
        <v>430</v>
      </c>
      <c r="C30" s="36">
        <v>15019386</v>
      </c>
      <c r="D30" s="36"/>
      <c r="E30" s="226">
        <f>'6.4'!E30</f>
        <v>3.1940561104243033</v>
      </c>
      <c r="F30" s="29">
        <f t="shared" si="4"/>
        <v>47972762</v>
      </c>
      <c r="G30" s="36">
        <v>5614569</v>
      </c>
      <c r="H30" s="22">
        <f t="shared" si="1"/>
        <v>0.11700000000000001</v>
      </c>
      <c r="I30" s="22"/>
      <c r="K30" s="2"/>
      <c r="O30" s="211">
        <f>'6.4'!O60</f>
        <v>1996</v>
      </c>
      <c r="P30" s="40">
        <f>'6.4'!Q60</f>
        <v>3.0982344271115743</v>
      </c>
    </row>
    <row r="31" spans="1:16" x14ac:dyDescent="0.2">
      <c r="A31" t="s">
        <v>431</v>
      </c>
      <c r="C31" s="36">
        <v>11756138</v>
      </c>
      <c r="D31" s="36"/>
      <c r="E31" s="226">
        <f>'6.4'!E31</f>
        <v>3.0565130243294769</v>
      </c>
      <c r="F31" s="29">
        <f t="shared" si="4"/>
        <v>35932789</v>
      </c>
      <c r="G31" s="36">
        <v>4969254</v>
      </c>
      <c r="H31" s="22">
        <f t="shared" si="1"/>
        <v>0.13800000000000001</v>
      </c>
      <c r="I31" s="22"/>
      <c r="K31" s="2"/>
      <c r="L31" t="s">
        <v>234</v>
      </c>
      <c r="O31" s="211">
        <f>'6.4'!O61</f>
        <v>1997</v>
      </c>
      <c r="P31" s="40">
        <f>'6.4'!Q61</f>
        <v>3.0982344271115743</v>
      </c>
    </row>
    <row r="32" spans="1:16" x14ac:dyDescent="0.2">
      <c r="A32" t="s">
        <v>432</v>
      </c>
      <c r="C32" s="36">
        <v>11140104</v>
      </c>
      <c r="D32" s="36"/>
      <c r="E32" s="226">
        <f>'6.4'!E32</f>
        <v>2.8728693204032227</v>
      </c>
      <c r="F32" s="29">
        <f t="shared" si="4"/>
        <v>32004063</v>
      </c>
      <c r="G32" s="36">
        <v>1824700</v>
      </c>
      <c r="H32" s="22">
        <f t="shared" si="1"/>
        <v>5.7000000000000002E-2</v>
      </c>
      <c r="I32" s="22"/>
      <c r="K32" s="2"/>
      <c r="L32" s="107">
        <f>[3]ISO!$Q$67</f>
        <v>0.72373096767675305</v>
      </c>
      <c r="O32" s="211">
        <f>'6.4'!O62</f>
        <v>1998</v>
      </c>
      <c r="P32" s="40">
        <f>'6.4'!Q62</f>
        <v>3.1454156620422076</v>
      </c>
    </row>
    <row r="33" spans="1:16" x14ac:dyDescent="0.2">
      <c r="A33" t="s">
        <v>433</v>
      </c>
      <c r="C33" s="36">
        <v>20528832</v>
      </c>
      <c r="D33" s="36"/>
      <c r="E33" s="226">
        <f>'6.4'!E33</f>
        <v>2.7488993497291627</v>
      </c>
      <c r="F33" s="29">
        <f t="shared" si="4"/>
        <v>56431693</v>
      </c>
      <c r="G33" s="36">
        <v>4053342</v>
      </c>
      <c r="H33" s="22">
        <f t="shared" si="1"/>
        <v>7.1999999999999995E-2</v>
      </c>
      <c r="I33" s="22"/>
      <c r="K33" s="2"/>
      <c r="O33" s="211">
        <f>'6.4'!O63</f>
        <v>1999</v>
      </c>
      <c r="P33" s="40">
        <f>'6.4'!Q63</f>
        <v>3.1940561104243033</v>
      </c>
    </row>
    <row r="34" spans="1:16" x14ac:dyDescent="0.2">
      <c r="A34" t="s">
        <v>434</v>
      </c>
      <c r="C34" s="223">
        <v>23885668</v>
      </c>
      <c r="D34" s="36"/>
      <c r="E34" s="226">
        <f>'6.4'!E34</f>
        <v>2.4394994229198184</v>
      </c>
      <c r="F34" s="29">
        <f t="shared" si="4"/>
        <v>58269073</v>
      </c>
      <c r="G34" s="223">
        <v>29908218</v>
      </c>
      <c r="H34" s="22">
        <f t="shared" si="1"/>
        <v>0.51300000000000001</v>
      </c>
      <c r="I34" s="50"/>
      <c r="K34" s="2"/>
      <c r="O34" s="211">
        <f>'6.4'!O64</f>
        <v>2000</v>
      </c>
      <c r="P34" s="40">
        <f>'6.4'!Q64</f>
        <v>3.0565130243294769</v>
      </c>
    </row>
    <row r="35" spans="1:16" x14ac:dyDescent="0.2">
      <c r="A35" t="s">
        <v>435</v>
      </c>
      <c r="B35" s="48"/>
      <c r="C35" s="255">
        <v>31412192</v>
      </c>
      <c r="D35" s="60"/>
      <c r="E35" s="226">
        <f>'6.4'!E35</f>
        <v>2.3315946597095789</v>
      </c>
      <c r="F35" s="29">
        <f t="shared" si="4"/>
        <v>73240499</v>
      </c>
      <c r="G35" s="255">
        <v>1462655</v>
      </c>
      <c r="H35" s="22">
        <f t="shared" si="1"/>
        <v>0.02</v>
      </c>
      <c r="I35" s="50"/>
      <c r="K35" s="2"/>
      <c r="O35" s="211">
        <f>'6.4'!O65</f>
        <v>2001</v>
      </c>
      <c r="P35" s="40">
        <f>'6.4'!Q65</f>
        <v>2.8728693204032227</v>
      </c>
    </row>
    <row r="36" spans="1:16" s="57" customFormat="1" x14ac:dyDescent="0.2">
      <c r="A36" t="s">
        <v>325</v>
      </c>
      <c r="B36" s="42"/>
      <c r="C36" s="255">
        <v>34104704</v>
      </c>
      <c r="D36" s="42"/>
      <c r="E36" s="226">
        <f>'6.4'!E36</f>
        <v>2.1139483009259492</v>
      </c>
      <c r="F36" s="29">
        <f>ROUND(C36*E36,0)</f>
        <v>72095581</v>
      </c>
      <c r="G36" s="255">
        <v>272418664</v>
      </c>
      <c r="H36" s="22">
        <f t="shared" si="1"/>
        <v>3.7789999999999999</v>
      </c>
      <c r="I36" s="50"/>
      <c r="K36" s="2"/>
      <c r="O36" s="211">
        <f>'6.4'!O66</f>
        <v>2002</v>
      </c>
      <c r="P36" s="40">
        <f>'6.4'!Q66</f>
        <v>2.7488993497291627</v>
      </c>
    </row>
    <row r="37" spans="1:16" s="57" customFormat="1" x14ac:dyDescent="0.2">
      <c r="A37" t="s">
        <v>411</v>
      </c>
      <c r="B37" s="42"/>
      <c r="C37" s="255">
        <v>46246638</v>
      </c>
      <c r="D37" s="42"/>
      <c r="E37" s="226">
        <f>'6.4'!E37</f>
        <v>1.9398940742398449</v>
      </c>
      <c r="F37" s="29">
        <f t="shared" si="4"/>
        <v>89713579</v>
      </c>
      <c r="G37" s="255">
        <v>2315133</v>
      </c>
      <c r="H37" s="22">
        <f t="shared" si="1"/>
        <v>2.5999999999999999E-2</v>
      </c>
      <c r="I37" s="50"/>
      <c r="K37" s="2"/>
      <c r="O37" s="211">
        <f>'6.4'!O67</f>
        <v>2003</v>
      </c>
      <c r="P37" s="40">
        <f>'6.4'!Q67</f>
        <v>2.5556660621064777</v>
      </c>
    </row>
    <row r="38" spans="1:16" x14ac:dyDescent="0.2">
      <c r="A38" t="s">
        <v>372</v>
      </c>
      <c r="B38" s="42"/>
      <c r="C38" s="255">
        <v>71922575</v>
      </c>
      <c r="D38" s="42"/>
      <c r="E38" s="226">
        <f>'6.4'!E38</f>
        <v>1.7686162847181024</v>
      </c>
      <c r="F38" s="29">
        <f t="shared" si="4"/>
        <v>127203437</v>
      </c>
      <c r="G38" s="255">
        <v>7479422</v>
      </c>
      <c r="H38" s="22">
        <f t="shared" si="1"/>
        <v>5.8999999999999997E-2</v>
      </c>
      <c r="I38" s="50"/>
      <c r="K38" s="2"/>
      <c r="O38" s="211">
        <f>'6.4'!O68</f>
        <v>2004</v>
      </c>
      <c r="P38" s="40">
        <f>'6.4'!Q68</f>
        <v>2.3233327837331608</v>
      </c>
    </row>
    <row r="39" spans="1:16" x14ac:dyDescent="0.2">
      <c r="A39" t="s">
        <v>377</v>
      </c>
      <c r="B39" s="42"/>
      <c r="C39" s="255">
        <v>66558177</v>
      </c>
      <c r="D39" s="42"/>
      <c r="E39" s="226">
        <f>'6.4'!E39</f>
        <v>1.6801411926584762</v>
      </c>
      <c r="F39" s="29">
        <f t="shared" si="4"/>
        <v>111827135</v>
      </c>
      <c r="G39" s="255">
        <v>538764477</v>
      </c>
      <c r="H39" s="22">
        <f>ROUND(G39/F39,3)</f>
        <v>4.8179999999999996</v>
      </c>
      <c r="I39" s="50"/>
      <c r="K39" s="2"/>
      <c r="O39" s="211">
        <f>'6.4'!O69</f>
        <v>2005</v>
      </c>
      <c r="P39" s="40">
        <f>'6.4'!Q69</f>
        <v>2.1121207124846917</v>
      </c>
    </row>
    <row r="40" spans="1:16" x14ac:dyDescent="0.2">
      <c r="A40" t="s">
        <v>412</v>
      </c>
      <c r="B40" s="42"/>
      <c r="C40" s="255">
        <v>64583344</v>
      </c>
      <c r="D40" s="42"/>
      <c r="E40" s="226">
        <f>'6.4'!E40</f>
        <v>1.5235854713266888</v>
      </c>
      <c r="F40" s="29">
        <f t="shared" si="4"/>
        <v>98398245</v>
      </c>
      <c r="G40" s="255">
        <v>1576316</v>
      </c>
      <c r="H40" s="22">
        <f t="shared" si="1"/>
        <v>1.6E-2</v>
      </c>
      <c r="I40" s="42"/>
      <c r="J40" s="57"/>
      <c r="K40" s="2"/>
      <c r="O40" s="211">
        <f>'6.4'!O70</f>
        <v>2006</v>
      </c>
      <c r="P40" s="40">
        <f>'6.4'!Q70</f>
        <v>1.9580270885920068</v>
      </c>
    </row>
    <row r="41" spans="1:16" x14ac:dyDescent="0.2">
      <c r="A41" t="s">
        <v>413</v>
      </c>
      <c r="B41" s="42"/>
      <c r="C41" s="89">
        <f>[3]ISO!Q54</f>
        <v>63606679</v>
      </c>
      <c r="D41" s="42"/>
      <c r="E41" s="226">
        <f>'6.4'!E41</f>
        <v>1.4076196408284309</v>
      </c>
      <c r="F41" s="29">
        <f t="shared" si="4"/>
        <v>89534011</v>
      </c>
      <c r="G41" s="89">
        <f>[3]ISO!V54</f>
        <v>5423427</v>
      </c>
      <c r="H41" s="22">
        <f t="shared" si="1"/>
        <v>6.0999999999999999E-2</v>
      </c>
      <c r="I41" s="57"/>
      <c r="J41" s="57"/>
      <c r="K41" s="2"/>
      <c r="O41" s="211">
        <f>'6.4'!O71</f>
        <v>2007</v>
      </c>
      <c r="P41" s="40">
        <f>'6.4'!Q71</f>
        <v>1.7742615004796827</v>
      </c>
    </row>
    <row r="42" spans="1:16" x14ac:dyDescent="0.2">
      <c r="A42" t="s">
        <v>416</v>
      </c>
      <c r="B42" s="42"/>
      <c r="C42" s="89">
        <f>[3]ISO!Q55</f>
        <v>61404245</v>
      </c>
      <c r="D42" s="42"/>
      <c r="E42" s="226">
        <f>'6.4'!E42</f>
        <v>1.3743158191343243</v>
      </c>
      <c r="F42" s="29">
        <f t="shared" si="4"/>
        <v>84388825</v>
      </c>
      <c r="G42" s="89">
        <f>[3]ISO!V55</f>
        <v>16202722</v>
      </c>
      <c r="H42" s="22">
        <f t="shared" si="1"/>
        <v>0.192</v>
      </c>
      <c r="I42" s="50"/>
      <c r="K42" s="2"/>
      <c r="O42" s="211">
        <f>'6.4'!O72</f>
        <v>2008</v>
      </c>
      <c r="P42" s="40">
        <f>'6.4'!Q72</f>
        <v>1.6764113430295366</v>
      </c>
    </row>
    <row r="43" spans="1:16" x14ac:dyDescent="0.2">
      <c r="A43" t="s">
        <v>436</v>
      </c>
      <c r="B43" s="42"/>
      <c r="C43" s="89">
        <f>[3]ISO!Q56</f>
        <v>66325367</v>
      </c>
      <c r="D43" s="42"/>
      <c r="E43" s="226">
        <f>'6.4'!E43</f>
        <v>1.3069936300796305</v>
      </c>
      <c r="F43" s="177">
        <f t="shared" si="4"/>
        <v>86686832</v>
      </c>
      <c r="G43" s="89">
        <f>[3]ISO!V56</f>
        <v>13234958</v>
      </c>
      <c r="H43" s="50">
        <f t="shared" si="1"/>
        <v>0.153</v>
      </c>
      <c r="J43" s="57"/>
      <c r="K43" s="2"/>
      <c r="O43" s="211">
        <f>'6.4'!O73</f>
        <v>2009</v>
      </c>
      <c r="P43" s="40">
        <f>'6.4'!Q73</f>
        <v>1.5268100248230916</v>
      </c>
    </row>
    <row r="44" spans="1:16" x14ac:dyDescent="0.2">
      <c r="A44" t="s">
        <v>437</v>
      </c>
      <c r="B44" s="42"/>
      <c r="C44" s="89">
        <f>[3]ISO!Q57</f>
        <v>71511184</v>
      </c>
      <c r="D44" s="42"/>
      <c r="E44" s="226">
        <f>'6.4'!E44</f>
        <v>1.2453140098300952</v>
      </c>
      <c r="F44" s="177">
        <f t="shared" si="4"/>
        <v>89053879</v>
      </c>
      <c r="G44" s="89">
        <f>[3]ISO!V57</f>
        <v>1105363</v>
      </c>
      <c r="H44" s="50">
        <f t="shared" si="1"/>
        <v>1.2E-2</v>
      </c>
      <c r="I44" s="179"/>
      <c r="K44" s="2"/>
      <c r="L44" t="s">
        <v>238</v>
      </c>
      <c r="M44" t="s">
        <v>239</v>
      </c>
      <c r="O44" s="211">
        <f>'6.4'!O74</f>
        <v>2010</v>
      </c>
      <c r="P44" s="40">
        <f>'6.4'!Q74</f>
        <v>1.4077600564774084</v>
      </c>
    </row>
    <row r="45" spans="1:16" x14ac:dyDescent="0.2">
      <c r="A45" t="s">
        <v>479</v>
      </c>
      <c r="B45" s="42"/>
      <c r="C45" s="89">
        <f>[3]ISO!Q58</f>
        <v>66744325</v>
      </c>
      <c r="D45" s="42"/>
      <c r="E45" s="226">
        <f>'6.4'!E45</f>
        <v>1.187362617565584</v>
      </c>
      <c r="F45" s="177">
        <f t="shared" si="4"/>
        <v>79249716</v>
      </c>
      <c r="G45" s="89">
        <f>[3]ISO!V58</f>
        <v>907091</v>
      </c>
      <c r="H45" s="50">
        <f t="shared" si="1"/>
        <v>1.0999999999999999E-2</v>
      </c>
      <c r="I45" s="179"/>
      <c r="K45" s="2"/>
      <c r="L45" s="95">
        <f>'6.4'!L48</f>
        <v>34607</v>
      </c>
      <c r="M45" s="95">
        <f>'6.4'!M48</f>
        <v>36525</v>
      </c>
      <c r="N45" t="s">
        <v>240</v>
      </c>
      <c r="O45" s="211">
        <f>'6.4'!O75</f>
        <v>2011</v>
      </c>
      <c r="P45" s="40">
        <f>'6.4'!Q75</f>
        <v>1.3727809001524396</v>
      </c>
    </row>
    <row r="46" spans="1:16" x14ac:dyDescent="0.2">
      <c r="A46" t="s">
        <v>480</v>
      </c>
      <c r="B46" s="42"/>
      <c r="C46" s="89">
        <f>[3]ISO!Q59</f>
        <v>61005719</v>
      </c>
      <c r="D46" s="42"/>
      <c r="E46" s="226">
        <f>'6.4'!E46</f>
        <v>1.1298337004132681</v>
      </c>
      <c r="F46" s="177">
        <f t="shared" si="4"/>
        <v>68926317</v>
      </c>
      <c r="G46" s="89">
        <f>[3]ISO!V59</f>
        <v>15485267</v>
      </c>
      <c r="H46" s="50">
        <f t="shared" si="1"/>
        <v>0.22500000000000001</v>
      </c>
      <c r="I46" s="179"/>
      <c r="K46" s="2"/>
      <c r="L46" s="95">
        <f>'6.4'!L50</f>
        <v>43830</v>
      </c>
      <c r="M46" s="95">
        <f>'6.4'!M50</f>
        <v>43830</v>
      </c>
      <c r="N46" t="s">
        <v>241</v>
      </c>
      <c r="O46" s="211">
        <f>'6.4'!O76</f>
        <v>2012</v>
      </c>
      <c r="P46" s="40">
        <f>'6.4'!Q76</f>
        <v>1.3074103810975615</v>
      </c>
    </row>
    <row r="47" spans="1:16" x14ac:dyDescent="0.2">
      <c r="A47" s="47" t="s">
        <v>481</v>
      </c>
      <c r="B47" s="42"/>
      <c r="C47" s="89">
        <f>[3]ISO!Q60</f>
        <v>55725487</v>
      </c>
      <c r="D47" s="42"/>
      <c r="E47" s="226">
        <f>'6.4'!E47</f>
        <v>1.0758917350262633</v>
      </c>
      <c r="F47" s="177">
        <f>ROUND(C47*E47,0)</f>
        <v>59954591</v>
      </c>
      <c r="G47" s="89">
        <f>[3]ISO!V60</f>
        <v>2286047</v>
      </c>
      <c r="H47" s="50">
        <f t="shared" si="1"/>
        <v>3.7999999999999999E-2</v>
      </c>
      <c r="I47" s="31"/>
      <c r="J47" s="57"/>
      <c r="K47" s="2"/>
      <c r="O47" s="211">
        <f>'6.4'!O77</f>
        <v>2013</v>
      </c>
      <c r="P47" s="40">
        <f>'6.4'!Q77</f>
        <v>1.2451527439024395</v>
      </c>
    </row>
    <row r="48" spans="1:16" x14ac:dyDescent="0.2">
      <c r="A48" s="47" t="s">
        <v>482</v>
      </c>
      <c r="B48" s="47"/>
      <c r="C48" s="89">
        <f>[3]ISO!Q61</f>
        <v>45240268</v>
      </c>
      <c r="D48" s="56"/>
      <c r="E48" s="226">
        <f>'6.4'!E48</f>
        <v>1.0500000000000045</v>
      </c>
      <c r="F48" s="177">
        <f>ROUND(C48*E48,0)</f>
        <v>47502281</v>
      </c>
      <c r="G48" s="89">
        <f>[3]ISO!V61</f>
        <v>222840240</v>
      </c>
      <c r="H48" s="50">
        <f>ROUND(G48/F48,3)</f>
        <v>4.6909999999999998</v>
      </c>
      <c r="I48" s="50"/>
      <c r="K48" s="2"/>
      <c r="O48" s="211">
        <f>'6.4'!O78</f>
        <v>2014</v>
      </c>
      <c r="P48" s="40">
        <f>'6.4'!Q78</f>
        <v>1.1858597560975614</v>
      </c>
    </row>
    <row r="49" spans="1:16" x14ac:dyDescent="0.2">
      <c r="A49" s="48">
        <v>2018</v>
      </c>
      <c r="B49" s="47"/>
      <c r="C49" s="89">
        <f>[3]ISO!Q62</f>
        <v>43463740</v>
      </c>
      <c r="D49" s="47"/>
      <c r="E49" s="226">
        <f>'6.4'!E49</f>
        <v>1.0243345041628875</v>
      </c>
      <c r="F49" s="177">
        <f>ROUND(C49*E49,0)</f>
        <v>44521409</v>
      </c>
      <c r="G49" s="89">
        <f>[3]ISO!V62</f>
        <v>793873</v>
      </c>
      <c r="H49" s="50">
        <f>ROUND(G49/F49,3)</f>
        <v>1.7999999999999999E-2</v>
      </c>
      <c r="K49" s="2"/>
      <c r="O49" s="211">
        <f>'6.4'!O79</f>
        <v>2015</v>
      </c>
      <c r="P49" s="40">
        <f>'6.4'!Q79</f>
        <v>1.1293902439024393</v>
      </c>
    </row>
    <row r="50" spans="1:16" x14ac:dyDescent="0.2">
      <c r="A50" s="25">
        <v>2019</v>
      </c>
      <c r="B50" s="9"/>
      <c r="C50" s="88">
        <f>[3]ISO!Q63</f>
        <v>42528330</v>
      </c>
      <c r="D50" s="9"/>
      <c r="E50" s="106">
        <f>'6.4'!E50</f>
        <v>1</v>
      </c>
      <c r="F50" s="30">
        <f>ROUND(C50*E50,0)</f>
        <v>42528330</v>
      </c>
      <c r="G50" s="88">
        <f>[3]ISO!V63</f>
        <v>1844735</v>
      </c>
      <c r="H50" s="66">
        <f>ROUND(G50/F50,3)</f>
        <v>4.2999999999999997E-2</v>
      </c>
      <c r="K50" s="2"/>
      <c r="O50" s="211">
        <f>'6.4'!O80</f>
        <v>2016</v>
      </c>
      <c r="P50" s="40">
        <f>'6.4'!Q80</f>
        <v>1.075609756097561</v>
      </c>
    </row>
    <row r="51" spans="1:16" x14ac:dyDescent="0.2">
      <c r="K51" s="2"/>
      <c r="O51" s="211">
        <f>'6.4'!O81</f>
        <v>2017</v>
      </c>
      <c r="P51" s="40">
        <f>'6.4'!Q81</f>
        <v>1.05</v>
      </c>
    </row>
    <row r="52" spans="1:16" x14ac:dyDescent="0.2">
      <c r="A52" t="s">
        <v>8</v>
      </c>
      <c r="C52" s="68">
        <f>SUM(C14:C50)</f>
        <v>1089949103</v>
      </c>
      <c r="D52" s="68"/>
      <c r="E52" s="68"/>
      <c r="F52" s="68">
        <f>SUM(F14:F50)</f>
        <v>1841312713</v>
      </c>
      <c r="G52" s="68">
        <f>SUM(G14:G50)</f>
        <v>1202373959</v>
      </c>
      <c r="H52" s="22">
        <f>ROUND(G52/F52,3)</f>
        <v>0.65300000000000002</v>
      </c>
      <c r="I52" s="47"/>
      <c r="K52" s="2"/>
      <c r="O52" s="211">
        <f>'6.4'!O82</f>
        <v>2018</v>
      </c>
      <c r="P52" s="40">
        <f>'6.4'!Q82</f>
        <v>1.024390243902439</v>
      </c>
    </row>
    <row r="53" spans="1:16" ht="12" thickBot="1" x14ac:dyDescent="0.25">
      <c r="A53" s="6"/>
      <c r="B53" s="6"/>
      <c r="C53" s="6"/>
      <c r="D53" s="6"/>
      <c r="E53" s="6"/>
      <c r="F53" s="6"/>
      <c r="G53" s="6"/>
      <c r="H53" s="6"/>
      <c r="K53" s="2"/>
      <c r="O53" s="211">
        <f>'6.4'!O83</f>
        <v>2019</v>
      </c>
      <c r="P53" s="40">
        <f>'6.4'!Q83</f>
        <v>1</v>
      </c>
    </row>
    <row r="54" spans="1:16" ht="12" thickTop="1" x14ac:dyDescent="0.2">
      <c r="K54" s="2"/>
      <c r="L54" s="57"/>
      <c r="M54" s="57"/>
      <c r="N54" s="57"/>
      <c r="O54" s="57"/>
      <c r="P54" s="57"/>
    </row>
    <row r="55" spans="1:16" x14ac:dyDescent="0.2">
      <c r="A55" t="s">
        <v>18</v>
      </c>
      <c r="F55" s="42"/>
      <c r="K55" s="2"/>
      <c r="L55" s="57"/>
      <c r="M55" s="57"/>
      <c r="N55" s="57"/>
      <c r="O55" s="57"/>
      <c r="P55" s="57"/>
    </row>
    <row r="56" spans="1:16" s="57" customFormat="1" x14ac:dyDescent="0.2">
      <c r="A56"/>
      <c r="B56" s="21" t="str">
        <f>C12&amp;" Provided by TDI. "&amp;A14&amp;" - "&amp;A26&amp;" are year ending "&amp;TEXT($L$45,"m/d/xx")&amp;" as of "&amp;TEXT($M$45,"m/d/yy")&amp;"; "&amp;A27&amp;" - "&amp;A50&amp;" are year ending "&amp;TEXT($L$46,"m/d/xx")&amp;" as of "&amp;TEXT($M$46,"m/d/yy")</f>
        <v>(2) Provided by TDI. 1983 - 1995 are year ending 9/30/xx as of 12/31/99; 1996 - 2019 are year ending 12/31/xx as of 12/31/19</v>
      </c>
      <c r="C56"/>
      <c r="D56"/>
      <c r="E56"/>
      <c r="F56"/>
      <c r="G56"/>
      <c r="H56"/>
      <c r="I56"/>
      <c r="J56"/>
      <c r="K56" s="2"/>
    </row>
    <row r="57" spans="1:16" s="57" customFormat="1" x14ac:dyDescent="0.2">
      <c r="A57"/>
      <c r="B57" s="21" t="str">
        <f>D12&amp;" Provided by TDI (1992 MR = 1992 manual rates)"</f>
        <v>(3) Provided by TDI (1992 MR = 1992 manual rates)</v>
      </c>
      <c r="C57" s="21"/>
      <c r="D57"/>
      <c r="E57"/>
      <c r="F57"/>
      <c r="G57"/>
      <c r="H57"/>
      <c r="I57"/>
      <c r="J57"/>
      <c r="K57" s="2"/>
    </row>
    <row r="58" spans="1:16" s="57" customFormat="1" x14ac:dyDescent="0.2">
      <c r="A58"/>
      <c r="B58" s="21" t="str">
        <f>'6.4'!B58</f>
        <v>(4) Represents 8/1/80 through 6/30/20 rate changes for TWIA; factors assume uniform earning of written premium</v>
      </c>
      <c r="C58"/>
      <c r="D58"/>
      <c r="E58"/>
      <c r="F58"/>
      <c r="G58"/>
      <c r="H58"/>
      <c r="I58" s="86"/>
      <c r="J58"/>
      <c r="K58" s="2"/>
    </row>
    <row r="59" spans="1:16" s="57" customFormat="1" x14ac:dyDescent="0.2">
      <c r="A59"/>
      <c r="B59" s="100" t="str">
        <f>"      and that TWIA premium represents "&amp;TEXT(L32,"0.0%")&amp;" of industry data in "&amp;LEFT(A5,FIND("(",A5)-2)</f>
        <v xml:space="preserve">      and that TWIA premium represents 72.4% of industry data in Tier 1 -- Territory 10</v>
      </c>
      <c r="C59" s="86"/>
      <c r="D59" s="86"/>
      <c r="E59" s="86"/>
      <c r="F59" s="86"/>
      <c r="G59" s="86"/>
      <c r="H59" s="86"/>
      <c r="I59"/>
      <c r="J59"/>
      <c r="K59" s="2"/>
    </row>
    <row r="60" spans="1:16" s="57" customFormat="1" x14ac:dyDescent="0.2">
      <c r="A60"/>
      <c r="B60" s="21" t="str">
        <f>F12&amp;" = "&amp;D12&amp;" * "&amp;E12&amp;" for "&amp;A14&amp;" - "&amp;A23&amp;"; "&amp;C12&amp;" * "&amp;E12&amp;" for "&amp;A24&amp;" - "&amp;A50</f>
        <v>(5) = (3) * (4) for 1983 - 1992; (2) * (4) for 1993 - 2019</v>
      </c>
      <c r="D60"/>
      <c r="E60"/>
      <c r="F60"/>
      <c r="G60"/>
      <c r="H60"/>
      <c r="I60"/>
      <c r="J60"/>
      <c r="K60" s="2"/>
    </row>
    <row r="61" spans="1:16" s="57" customFormat="1" x14ac:dyDescent="0.2">
      <c r="A61"/>
      <c r="B61" s="21" t="str">
        <f>'6.5'!B61</f>
        <v>(6) Provided by TDI. 1983 - 1995 are year ending 9/30/xx as of 12/31/99; 1996 - 2008 are year ending 12/31/xx as of 12/31/17</v>
      </c>
      <c r="C61"/>
      <c r="D61" s="58"/>
      <c r="E61" s="58"/>
      <c r="F61" s="58"/>
      <c r="G61" s="22"/>
      <c r="H61"/>
      <c r="I61"/>
      <c r="K61" s="2"/>
    </row>
    <row r="62" spans="1:16" s="57" customFormat="1" x14ac:dyDescent="0.2">
      <c r="A62"/>
      <c r="B62" s="21" t="str">
        <f>'6.5'!B62</f>
        <v xml:space="preserve">    2009 - 2019 are year ending 12/31/xx as of 12/31/2019</v>
      </c>
      <c r="C62"/>
      <c r="D62"/>
      <c r="E62"/>
      <c r="F62"/>
      <c r="G62"/>
      <c r="H62"/>
      <c r="I62"/>
      <c r="K62" s="2"/>
    </row>
    <row r="63" spans="1:16" s="57" customFormat="1" x14ac:dyDescent="0.2">
      <c r="B63" s="21" t="str">
        <f>'6.5'!B63</f>
        <v>(7) = (6) / (5)</v>
      </c>
      <c r="I63" s="31"/>
      <c r="K63" s="2"/>
    </row>
    <row r="64" spans="1:16" s="57" customFormat="1" x14ac:dyDescent="0.2">
      <c r="A64" s="67"/>
      <c r="C64" s="36"/>
      <c r="D64" s="36"/>
      <c r="E64" s="36"/>
      <c r="F64" s="36"/>
      <c r="G64" s="31"/>
      <c r="H64" s="31"/>
      <c r="I64" s="31"/>
      <c r="K64" s="2"/>
    </row>
    <row r="65" spans="1:16" s="57" customFormat="1" x14ac:dyDescent="0.2">
      <c r="A65" s="67"/>
      <c r="C65" s="36"/>
      <c r="D65" s="36"/>
      <c r="E65" s="36"/>
      <c r="F65" s="36"/>
      <c r="G65" s="31"/>
      <c r="H65" s="31"/>
      <c r="I65" s="31"/>
      <c r="K65" s="2"/>
    </row>
    <row r="66" spans="1:16" s="57" customFormat="1" x14ac:dyDescent="0.2">
      <c r="A66" s="67"/>
      <c r="C66" s="36"/>
      <c r="D66" s="36"/>
      <c r="E66" s="36"/>
      <c r="F66" s="36"/>
      <c r="G66" s="31"/>
      <c r="H66" s="31"/>
      <c r="I66" s="31"/>
      <c r="K66" s="2"/>
      <c r="L66"/>
      <c r="M66"/>
      <c r="N66"/>
      <c r="O66"/>
      <c r="P66"/>
    </row>
    <row r="67" spans="1:16" s="57" customFormat="1" x14ac:dyDescent="0.2">
      <c r="A67" s="67"/>
      <c r="C67" s="36"/>
      <c r="D67" s="36"/>
      <c r="E67" s="36"/>
      <c r="F67" s="36"/>
      <c r="G67" s="31"/>
      <c r="H67" s="31"/>
      <c r="I67" s="31"/>
      <c r="K67" s="2"/>
      <c r="L67"/>
      <c r="M67"/>
      <c r="N67"/>
      <c r="O67"/>
      <c r="P67"/>
    </row>
    <row r="68" spans="1:16" x14ac:dyDescent="0.2">
      <c r="A68" s="67"/>
      <c r="B68" s="57"/>
      <c r="C68" s="36"/>
      <c r="D68" s="36"/>
      <c r="E68" s="36"/>
      <c r="F68" s="36"/>
      <c r="G68" s="31"/>
      <c r="H68" s="31"/>
      <c r="I68" s="28"/>
      <c r="J68" s="57"/>
      <c r="K68" s="2"/>
    </row>
    <row r="69" spans="1:16" x14ac:dyDescent="0.2">
      <c r="A69" s="67"/>
      <c r="B69" s="57"/>
      <c r="C69" s="28"/>
      <c r="D69" s="28"/>
      <c r="E69" s="28"/>
      <c r="F69" s="28"/>
      <c r="G69" s="28"/>
      <c r="H69" s="28"/>
      <c r="K69" s="2"/>
    </row>
    <row r="70" spans="1:16" ht="12" thickBot="1" x14ac:dyDescent="0.25">
      <c r="B70" s="24"/>
      <c r="C70" s="58"/>
      <c r="D70" s="58"/>
      <c r="E70" s="58"/>
      <c r="F70" s="58"/>
      <c r="G70" s="22"/>
      <c r="K70" s="2"/>
    </row>
    <row r="71" spans="1:16" ht="12" hidden="1" thickBot="1" x14ac:dyDescent="0.25">
      <c r="B71" s="24"/>
      <c r="C71" s="58"/>
      <c r="D71" s="58"/>
      <c r="E71" s="58"/>
      <c r="F71" s="58"/>
      <c r="G71" s="22"/>
      <c r="K71" s="2"/>
    </row>
    <row r="72" spans="1:16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rgb="FF92D050"/>
  </sheetPr>
  <dimension ref="A1:P71"/>
  <sheetViews>
    <sheetView showGridLines="0" zoomScaleNormal="100" workbookViewId="0">
      <selection activeCell="P16" sqref="P16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  <col min="12" max="12" width="15.1640625" bestFit="1" customWidth="1"/>
  </cols>
  <sheetData>
    <row r="1" spans="1:16" x14ac:dyDescent="0.2">
      <c r="A1" s="8" t="str">
        <f>'1'!$A$1</f>
        <v>Texas Windstorm Insurance Association</v>
      </c>
      <c r="B1" s="12"/>
      <c r="J1" s="7" t="s">
        <v>84</v>
      </c>
      <c r="K1" s="1"/>
    </row>
    <row r="2" spans="1:16" x14ac:dyDescent="0.2">
      <c r="A2" s="8" t="str">
        <f>'1'!$A$2</f>
        <v>Commercial Property - Wind &amp; Hail</v>
      </c>
      <c r="B2" s="12"/>
      <c r="J2" s="7" t="s">
        <v>108</v>
      </c>
      <c r="K2" s="2"/>
    </row>
    <row r="3" spans="1:16" x14ac:dyDescent="0.2">
      <c r="A3" s="8" t="str">
        <f>'1'!$A$3</f>
        <v>Rate Level Review</v>
      </c>
      <c r="B3" s="12"/>
      <c r="K3" s="2"/>
    </row>
    <row r="4" spans="1:16" x14ac:dyDescent="0.2">
      <c r="A4" t="s">
        <v>227</v>
      </c>
      <c r="B4" s="12"/>
      <c r="K4" s="2"/>
    </row>
    <row r="5" spans="1:16" x14ac:dyDescent="0.2">
      <c r="A5" s="57" t="s">
        <v>370</v>
      </c>
      <c r="B5" s="21"/>
      <c r="C5" s="57"/>
      <c r="D5" s="57"/>
      <c r="E5" s="57"/>
      <c r="K5" s="2"/>
    </row>
    <row r="6" spans="1:16" x14ac:dyDescent="0.2">
      <c r="K6" s="2"/>
      <c r="L6" t="s">
        <v>458</v>
      </c>
    </row>
    <row r="7" spans="1:16" ht="12" thickBot="1" x14ac:dyDescent="0.25">
      <c r="A7" s="6"/>
      <c r="B7" s="6"/>
      <c r="C7" s="6"/>
      <c r="D7" s="6"/>
      <c r="E7" s="6"/>
      <c r="F7" s="6"/>
      <c r="G7" s="6"/>
      <c r="H7" s="6"/>
      <c r="I7" s="47"/>
      <c r="K7" s="2"/>
      <c r="L7">
        <f>'1'!H15</f>
        <v>0.49</v>
      </c>
    </row>
    <row r="8" spans="1:16" ht="12" thickTop="1" x14ac:dyDescent="0.2">
      <c r="K8" s="2"/>
    </row>
    <row r="9" spans="1:16" x14ac:dyDescent="0.2">
      <c r="C9" s="21"/>
      <c r="D9" t="s">
        <v>96</v>
      </c>
      <c r="E9" t="s">
        <v>230</v>
      </c>
      <c r="F9" t="s">
        <v>96</v>
      </c>
      <c r="K9" s="2"/>
      <c r="L9" s="26"/>
    </row>
    <row r="10" spans="1:16" x14ac:dyDescent="0.2">
      <c r="A10" t="s">
        <v>228</v>
      </c>
      <c r="C10" t="s">
        <v>96</v>
      </c>
      <c r="D10" t="s">
        <v>97</v>
      </c>
      <c r="E10" t="s">
        <v>231</v>
      </c>
      <c r="F10" t="s">
        <v>232</v>
      </c>
      <c r="G10" t="s">
        <v>67</v>
      </c>
      <c r="H10" t="s">
        <v>67</v>
      </c>
      <c r="K10" s="2"/>
      <c r="L10" s="21"/>
    </row>
    <row r="11" spans="1:16" x14ac:dyDescent="0.2">
      <c r="A11" s="9" t="s">
        <v>27</v>
      </c>
      <c r="B11" s="9"/>
      <c r="C11" s="9" t="s">
        <v>97</v>
      </c>
      <c r="D11" s="9" t="s">
        <v>229</v>
      </c>
      <c r="E11" s="9" t="s">
        <v>106</v>
      </c>
      <c r="F11" s="9" t="s">
        <v>233</v>
      </c>
      <c r="G11" s="9" t="s">
        <v>34</v>
      </c>
      <c r="H11" s="9" t="s">
        <v>58</v>
      </c>
      <c r="I11" s="47"/>
      <c r="K11" s="2"/>
      <c r="L11" s="49"/>
    </row>
    <row r="12" spans="1:16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6" x14ac:dyDescent="0.2">
      <c r="K13" s="2"/>
      <c r="L13" s="57"/>
      <c r="O13" t="s">
        <v>42</v>
      </c>
      <c r="P13" t="s">
        <v>248</v>
      </c>
    </row>
    <row r="14" spans="1:16" x14ac:dyDescent="0.2">
      <c r="A14" s="307">
        <v>1983</v>
      </c>
      <c r="C14" s="223">
        <v>7250559</v>
      </c>
      <c r="D14" s="36">
        <v>7334192</v>
      </c>
      <c r="E14" s="226">
        <f>'6.4'!E14</f>
        <v>3.6469825610545685</v>
      </c>
      <c r="F14" s="29">
        <f>D14*$E$23</f>
        <v>19777781.586235203</v>
      </c>
      <c r="G14" s="223">
        <v>33451768</v>
      </c>
      <c r="H14" s="22">
        <f t="shared" ref="H14:H45" si="1">ROUND(G14/F14,3)</f>
        <v>1.6910000000000001</v>
      </c>
      <c r="I14" s="22"/>
      <c r="K14" s="2"/>
      <c r="L14" s="34"/>
    </row>
    <row r="15" spans="1:16" x14ac:dyDescent="0.2">
      <c r="A15" s="211">
        <f>A14+1</f>
        <v>1984</v>
      </c>
      <c r="C15" s="223">
        <v>6146403</v>
      </c>
      <c r="D15" s="36">
        <v>7090092</v>
      </c>
      <c r="E15" s="226">
        <f>'6.4'!E15</f>
        <v>3.3440803344216081</v>
      </c>
      <c r="F15" s="29">
        <f t="shared" ref="F15:F21" si="2">D15*$E$23</f>
        <v>19119528.231918871</v>
      </c>
      <c r="G15" s="223">
        <v>3096573</v>
      </c>
      <c r="H15" s="22">
        <f t="shared" si="1"/>
        <v>0.16200000000000001</v>
      </c>
      <c r="I15" s="22"/>
      <c r="K15" s="2"/>
    </row>
    <row r="16" spans="1:16" x14ac:dyDescent="0.2">
      <c r="A16" s="211">
        <f t="shared" ref="A16:A47" si="3">A15+1</f>
        <v>1985</v>
      </c>
      <c r="C16" s="223">
        <v>7715669</v>
      </c>
      <c r="D16" s="36">
        <v>8264972</v>
      </c>
      <c r="E16" s="226">
        <f>'6.4'!E16</f>
        <v>2.7418460800704461</v>
      </c>
      <c r="F16" s="29">
        <f t="shared" si="2"/>
        <v>22287773.62691753</v>
      </c>
      <c r="G16" s="223">
        <v>2019280</v>
      </c>
      <c r="H16" s="22">
        <f t="shared" si="1"/>
        <v>9.0999999999999998E-2</v>
      </c>
      <c r="I16" s="22"/>
      <c r="K16" s="2"/>
      <c r="L16" t="s">
        <v>554</v>
      </c>
      <c r="O16" s="211">
        <f>'6.4'!O47</f>
        <v>1983</v>
      </c>
      <c r="P16" s="40">
        <f>'6.4'!Q47</f>
        <v>3.6469825610545685</v>
      </c>
    </row>
    <row r="17" spans="1:16" x14ac:dyDescent="0.2">
      <c r="A17" s="211">
        <f t="shared" si="3"/>
        <v>1986</v>
      </c>
      <c r="C17" s="223">
        <v>11101057</v>
      </c>
      <c r="D17" s="36">
        <v>8943773</v>
      </c>
      <c r="E17" s="226">
        <f>'6.4'!E17</f>
        <v>1.9522653230479203</v>
      </c>
      <c r="F17" s="29">
        <f t="shared" si="2"/>
        <v>24118265.372772839</v>
      </c>
      <c r="G17" s="223">
        <v>3439343</v>
      </c>
      <c r="H17" s="22">
        <f t="shared" si="1"/>
        <v>0.14299999999999999</v>
      </c>
      <c r="I17" s="22"/>
      <c r="K17" s="2"/>
      <c r="L17" s="306">
        <v>1</v>
      </c>
      <c r="O17" s="211">
        <f>'6.4'!O48</f>
        <v>1984</v>
      </c>
      <c r="P17" s="40">
        <f>'6.4'!Q48</f>
        <v>3.3440803344216081</v>
      </c>
    </row>
    <row r="18" spans="1:16" x14ac:dyDescent="0.2">
      <c r="A18" s="211">
        <f t="shared" si="3"/>
        <v>1987</v>
      </c>
      <c r="C18" s="223">
        <v>19731857</v>
      </c>
      <c r="D18" s="36">
        <v>16746125</v>
      </c>
      <c r="E18" s="226">
        <f>'6.4'!E18</f>
        <v>1.898708277784215</v>
      </c>
      <c r="F18" s="29">
        <f t="shared" si="2"/>
        <v>45158512.712210558</v>
      </c>
      <c r="G18" s="223">
        <v>1552595</v>
      </c>
      <c r="H18" s="22">
        <f t="shared" si="1"/>
        <v>3.4000000000000002E-2</v>
      </c>
      <c r="I18" s="22"/>
      <c r="K18" s="2"/>
      <c r="O18" s="211">
        <f>'6.4'!O49</f>
        <v>1985</v>
      </c>
      <c r="P18" s="40">
        <f>'6.4'!Q49</f>
        <v>2.7418460800704461</v>
      </c>
    </row>
    <row r="19" spans="1:16" x14ac:dyDescent="0.2">
      <c r="A19" s="211">
        <f t="shared" si="3"/>
        <v>1988</v>
      </c>
      <c r="C19" s="223">
        <v>14491218</v>
      </c>
      <c r="D19" s="36">
        <v>13901265</v>
      </c>
      <c r="E19" s="226">
        <f>'6.4'!E19</f>
        <v>2.0450595082333063</v>
      </c>
      <c r="F19" s="29">
        <f t="shared" si="2"/>
        <v>37486908.297788754</v>
      </c>
      <c r="G19" s="223">
        <v>2041063</v>
      </c>
      <c r="H19" s="22">
        <f t="shared" si="1"/>
        <v>5.3999999999999999E-2</v>
      </c>
      <c r="I19" s="22"/>
      <c r="K19" s="2"/>
      <c r="O19" s="211">
        <f>'6.4'!O50</f>
        <v>1986</v>
      </c>
      <c r="P19" s="40">
        <f>'6.4'!Q50</f>
        <v>1.9522653230479203</v>
      </c>
    </row>
    <row r="20" spans="1:16" x14ac:dyDescent="0.2">
      <c r="A20" s="211">
        <f t="shared" si="3"/>
        <v>1989</v>
      </c>
      <c r="C20" s="223">
        <v>14584082</v>
      </c>
      <c r="D20" s="36">
        <v>16324747</v>
      </c>
      <c r="E20" s="226">
        <f>'6.4'!E20</f>
        <v>2.271681540349014</v>
      </c>
      <c r="F20" s="29">
        <f t="shared" si="2"/>
        <v>44022201.848076567</v>
      </c>
      <c r="G20" s="223">
        <v>2746147</v>
      </c>
      <c r="H20" s="22">
        <f t="shared" si="1"/>
        <v>6.2E-2</v>
      </c>
      <c r="I20" s="22"/>
      <c r="K20" s="2"/>
      <c r="O20" s="211">
        <f>'6.4'!O51</f>
        <v>1987</v>
      </c>
      <c r="P20" s="40">
        <f>'6.4'!Q51</f>
        <v>1.898708277784215</v>
      </c>
    </row>
    <row r="21" spans="1:16" x14ac:dyDescent="0.2">
      <c r="A21" s="211">
        <f t="shared" si="3"/>
        <v>1990</v>
      </c>
      <c r="C21" s="223">
        <v>12102427</v>
      </c>
      <c r="D21" s="36">
        <v>14172295</v>
      </c>
      <c r="E21" s="226">
        <f>'6.4'!E21</f>
        <v>2.3863589189959433</v>
      </c>
      <c r="F21" s="29">
        <f t="shared" si="2"/>
        <v>38217782.556782432</v>
      </c>
      <c r="G21" s="223">
        <v>2967816</v>
      </c>
      <c r="H21" s="22">
        <f t="shared" si="1"/>
        <v>7.8E-2</v>
      </c>
      <c r="I21" s="22"/>
      <c r="K21" s="2"/>
      <c r="O21" s="211">
        <f>'6.4'!O52</f>
        <v>1988</v>
      </c>
      <c r="P21" s="40">
        <f>'6.4'!Q52</f>
        <v>2.0450595082333063</v>
      </c>
    </row>
    <row r="22" spans="1:16" x14ac:dyDescent="0.2">
      <c r="A22" s="211">
        <f>A21+1</f>
        <v>1991</v>
      </c>
      <c r="C22" s="223">
        <v>13947169</v>
      </c>
      <c r="D22" s="36">
        <v>17133114</v>
      </c>
      <c r="E22" s="226">
        <f>'6.4'!E22</f>
        <v>2.3719773922128735</v>
      </c>
      <c r="F22" s="29">
        <f>D22*$E$23</f>
        <v>46202088.326030813</v>
      </c>
      <c r="G22" s="223">
        <v>2440246</v>
      </c>
      <c r="H22" s="22">
        <f t="shared" si="1"/>
        <v>5.2999999999999999E-2</v>
      </c>
      <c r="I22" s="22"/>
      <c r="K22" s="2"/>
      <c r="O22" s="211">
        <f>'6.4'!O53</f>
        <v>1989</v>
      </c>
      <c r="P22" s="40">
        <f>'6.4'!Q53</f>
        <v>2.271681540349014</v>
      </c>
    </row>
    <row r="23" spans="1:16" x14ac:dyDescent="0.2">
      <c r="A23" s="211">
        <f t="shared" si="3"/>
        <v>1992</v>
      </c>
      <c r="B23" s="21"/>
      <c r="C23" s="223">
        <v>15779782</v>
      </c>
      <c r="D23" s="36">
        <v>19121264</v>
      </c>
      <c r="E23" s="226">
        <f>'6.4'!E23</f>
        <v>2.6966544625822726</v>
      </c>
      <c r="F23" s="29">
        <f>D23*E23</f>
        <v>51563441.895813756</v>
      </c>
      <c r="G23" s="223">
        <v>2232412</v>
      </c>
      <c r="H23" s="22">
        <f t="shared" si="1"/>
        <v>4.2999999999999997E-2</v>
      </c>
      <c r="I23" s="22"/>
      <c r="K23" s="2"/>
      <c r="O23" s="211">
        <f>'6.4'!O54</f>
        <v>1990</v>
      </c>
      <c r="P23" s="40">
        <f>'6.4'!Q54</f>
        <v>2.3863589189959433</v>
      </c>
    </row>
    <row r="24" spans="1:16" x14ac:dyDescent="0.2">
      <c r="A24" s="211">
        <f t="shared" si="3"/>
        <v>1993</v>
      </c>
      <c r="B24" s="21"/>
      <c r="C24" s="223">
        <v>13455788</v>
      </c>
      <c r="E24" s="226">
        <f>'6.4'!E24</f>
        <v>3.0982344271115743</v>
      </c>
      <c r="F24" s="29">
        <f>C24*E24</f>
        <v>41689185.625514798</v>
      </c>
      <c r="G24" s="223">
        <v>2357383</v>
      </c>
      <c r="H24" s="22">
        <f t="shared" si="1"/>
        <v>5.7000000000000002E-2</v>
      </c>
      <c r="I24" s="22"/>
      <c r="K24" s="2"/>
      <c r="O24" s="211">
        <f>'6.4'!O55</f>
        <v>1991</v>
      </c>
      <c r="P24" s="40">
        <f>'6.4'!Q55</f>
        <v>2.3719773922128735</v>
      </c>
    </row>
    <row r="25" spans="1:16" x14ac:dyDescent="0.2">
      <c r="A25" s="211">
        <f t="shared" si="3"/>
        <v>1994</v>
      </c>
      <c r="B25" s="21"/>
      <c r="C25" s="223">
        <v>6449086</v>
      </c>
      <c r="D25" s="36"/>
      <c r="E25" s="226">
        <f>'6.4'!E25</f>
        <v>3.0982344271115743</v>
      </c>
      <c r="F25" s="29">
        <f t="shared" ref="F25:F49" si="4">C25*E25</f>
        <v>19980780.268603273</v>
      </c>
      <c r="G25" s="223">
        <v>1579205</v>
      </c>
      <c r="H25" s="22">
        <f t="shared" si="1"/>
        <v>7.9000000000000001E-2</v>
      </c>
      <c r="I25" s="22"/>
      <c r="K25" s="2"/>
      <c r="O25" s="211">
        <f>'6.4'!O56</f>
        <v>1992</v>
      </c>
      <c r="P25" s="40">
        <f>'6.4'!Q56</f>
        <v>2.6966544625822726</v>
      </c>
    </row>
    <row r="26" spans="1:16" x14ac:dyDescent="0.2">
      <c r="A26" s="211">
        <f t="shared" si="3"/>
        <v>1995</v>
      </c>
      <c r="C26" s="223">
        <v>17734471</v>
      </c>
      <c r="D26" s="36"/>
      <c r="E26" s="226">
        <f>'6.4'!E26</f>
        <v>3.0982344271115743</v>
      </c>
      <c r="F26" s="29">
        <f t="shared" si="4"/>
        <v>54945548.598811828</v>
      </c>
      <c r="G26" s="223">
        <v>11314057</v>
      </c>
      <c r="H26" s="22">
        <f t="shared" si="1"/>
        <v>0.20599999999999999</v>
      </c>
      <c r="I26" s="22"/>
      <c r="K26" s="2"/>
      <c r="O26" s="211">
        <f>'6.4'!O57</f>
        <v>1993</v>
      </c>
      <c r="P26" s="40">
        <f>'6.4'!Q57</f>
        <v>3.0982344271115743</v>
      </c>
    </row>
    <row r="27" spans="1:16" x14ac:dyDescent="0.2">
      <c r="A27" s="211">
        <f t="shared" si="3"/>
        <v>1996</v>
      </c>
      <c r="C27" s="223">
        <v>28876403</v>
      </c>
      <c r="D27" s="57"/>
      <c r="E27" s="226">
        <f>'6.4'!E27</f>
        <v>3.0982344271115743</v>
      </c>
      <c r="F27" s="29">
        <f t="shared" si="4"/>
        <v>89465865.90574795</v>
      </c>
      <c r="G27" s="223">
        <v>5938855</v>
      </c>
      <c r="H27" s="22">
        <f t="shared" si="1"/>
        <v>6.6000000000000003E-2</v>
      </c>
      <c r="I27" s="22"/>
      <c r="K27" s="2"/>
      <c r="O27" s="211">
        <f>'6.4'!O58</f>
        <v>1994</v>
      </c>
      <c r="P27" s="40">
        <f>'6.4'!Q58</f>
        <v>3.0982344271115743</v>
      </c>
    </row>
    <row r="28" spans="1:16" x14ac:dyDescent="0.2">
      <c r="A28" s="211">
        <f t="shared" si="3"/>
        <v>1997</v>
      </c>
      <c r="B28" s="57"/>
      <c r="C28" s="223">
        <v>27434262</v>
      </c>
      <c r="D28" s="36"/>
      <c r="E28" s="226">
        <f>'6.4'!E28</f>
        <v>3.0982344271115743</v>
      </c>
      <c r="F28" s="29">
        <f t="shared" si="4"/>
        <v>84997775.010798827</v>
      </c>
      <c r="G28" s="223">
        <v>7691121</v>
      </c>
      <c r="H28" s="22">
        <f t="shared" si="1"/>
        <v>0.09</v>
      </c>
      <c r="I28" s="22"/>
      <c r="K28" s="2"/>
      <c r="O28" s="211">
        <f>'6.4'!O59</f>
        <v>1995</v>
      </c>
      <c r="P28" s="40">
        <f>'6.4'!Q59</f>
        <v>3.0982344271115743</v>
      </c>
    </row>
    <row r="29" spans="1:16" x14ac:dyDescent="0.2">
      <c r="A29" s="211">
        <f t="shared" si="3"/>
        <v>1998</v>
      </c>
      <c r="C29" s="223">
        <v>26616230</v>
      </c>
      <c r="D29" s="36"/>
      <c r="E29" s="226">
        <f>'6.4'!E29</f>
        <v>3.1454156620422076</v>
      </c>
      <c r="F29" s="29">
        <f t="shared" si="4"/>
        <v>83719106.706517667</v>
      </c>
      <c r="G29" s="223">
        <v>7574576</v>
      </c>
      <c r="H29" s="22">
        <f t="shared" si="1"/>
        <v>0.09</v>
      </c>
      <c r="I29" s="22"/>
      <c r="K29" s="2"/>
      <c r="O29" s="211">
        <f>'6.4'!O60</f>
        <v>1996</v>
      </c>
      <c r="P29" s="40">
        <f>'6.4'!Q60</f>
        <v>3.0982344271115743</v>
      </c>
    </row>
    <row r="30" spans="1:16" x14ac:dyDescent="0.2">
      <c r="A30" s="211">
        <f t="shared" si="3"/>
        <v>1999</v>
      </c>
      <c r="C30" s="223">
        <v>23901401</v>
      </c>
      <c r="D30" s="36"/>
      <c r="E30" s="226">
        <f>'6.4'!E30</f>
        <v>3.1940561104243033</v>
      </c>
      <c r="F30" s="29">
        <f t="shared" si="4"/>
        <v>76342415.911751553</v>
      </c>
      <c r="G30" s="223">
        <v>6821707</v>
      </c>
      <c r="H30" s="22">
        <f t="shared" si="1"/>
        <v>8.8999999999999996E-2</v>
      </c>
      <c r="I30" s="22"/>
      <c r="K30" s="2"/>
      <c r="O30" s="211">
        <f>'6.4'!O61</f>
        <v>1997</v>
      </c>
      <c r="P30" s="40">
        <f>'6.4'!Q61</f>
        <v>3.0982344271115743</v>
      </c>
    </row>
    <row r="31" spans="1:16" x14ac:dyDescent="0.2">
      <c r="A31" s="211">
        <f t="shared" si="3"/>
        <v>2000</v>
      </c>
      <c r="C31" s="223">
        <v>19819200</v>
      </c>
      <c r="D31" s="36"/>
      <c r="E31" s="226">
        <f>'6.4'!E31</f>
        <v>3.0565130243294769</v>
      </c>
      <c r="F31" s="29">
        <f t="shared" si="4"/>
        <v>60577642.931790769</v>
      </c>
      <c r="G31" s="223">
        <v>35670537</v>
      </c>
      <c r="H31" s="22">
        <f t="shared" si="1"/>
        <v>0.58899999999999997</v>
      </c>
      <c r="I31" s="22"/>
      <c r="K31" s="2"/>
      <c r="L31" t="s">
        <v>234</v>
      </c>
      <c r="O31" s="211">
        <f>'6.4'!O62</f>
        <v>1998</v>
      </c>
      <c r="P31" s="40">
        <f>'6.4'!Q62</f>
        <v>3.1454156620422076</v>
      </c>
    </row>
    <row r="32" spans="1:16" x14ac:dyDescent="0.2">
      <c r="A32" s="211">
        <f t="shared" si="3"/>
        <v>2001</v>
      </c>
      <c r="C32" s="223">
        <v>21641352</v>
      </c>
      <c r="D32" s="36"/>
      <c r="E32" s="226">
        <f>'6.4'!E32</f>
        <v>2.8728693204032227</v>
      </c>
      <c r="F32" s="29">
        <f t="shared" si="4"/>
        <v>62172776.212846927</v>
      </c>
      <c r="G32" s="223">
        <v>17852673</v>
      </c>
      <c r="H32" s="22">
        <f t="shared" si="1"/>
        <v>0.28699999999999998</v>
      </c>
      <c r="I32" s="22"/>
      <c r="K32" s="2"/>
      <c r="L32" s="107">
        <f>[3]ISO!$R$67</f>
        <v>9.6651280936081475E-3</v>
      </c>
      <c r="N32" s="72"/>
      <c r="O32" s="211">
        <f>'6.4'!O63</f>
        <v>1999</v>
      </c>
      <c r="P32" s="40">
        <f>'6.4'!Q63</f>
        <v>3.1940561104243033</v>
      </c>
    </row>
    <row r="33" spans="1:16" x14ac:dyDescent="0.2">
      <c r="A33" s="211">
        <f t="shared" si="3"/>
        <v>2002</v>
      </c>
      <c r="C33" s="223">
        <v>31941586</v>
      </c>
      <c r="D33" s="36"/>
      <c r="E33" s="226">
        <f>'6.4'!E33</f>
        <v>2.7488993497291627</v>
      </c>
      <c r="F33" s="29">
        <f t="shared" si="4"/>
        <v>87804204.984718129</v>
      </c>
      <c r="G33" s="223">
        <v>8461924</v>
      </c>
      <c r="H33" s="22">
        <f t="shared" si="1"/>
        <v>9.6000000000000002E-2</v>
      </c>
      <c r="I33" s="22"/>
      <c r="K33" s="2"/>
      <c r="N33" s="87"/>
      <c r="O33" s="211">
        <f>'6.4'!O64</f>
        <v>2000</v>
      </c>
      <c r="P33" s="40">
        <f>'6.4'!Q64</f>
        <v>3.0565130243294769</v>
      </c>
    </row>
    <row r="34" spans="1:16" x14ac:dyDescent="0.2">
      <c r="A34" s="211">
        <f t="shared" si="3"/>
        <v>2003</v>
      </c>
      <c r="C34" s="223">
        <v>35755041</v>
      </c>
      <c r="D34" s="36"/>
      <c r="E34" s="226">
        <f>'6.4'!E34</f>
        <v>2.4394994229198184</v>
      </c>
      <c r="F34" s="29">
        <f t="shared" si="4"/>
        <v>87224401.885974452</v>
      </c>
      <c r="G34" s="223">
        <v>28411179</v>
      </c>
      <c r="H34" s="22">
        <f t="shared" si="1"/>
        <v>0.32600000000000001</v>
      </c>
      <c r="I34" s="22"/>
      <c r="K34" s="2"/>
      <c r="N34" s="72"/>
      <c r="O34" s="211">
        <f>'6.4'!O65</f>
        <v>2001</v>
      </c>
      <c r="P34" s="40">
        <f>'6.4'!Q65</f>
        <v>2.8728693204032227</v>
      </c>
    </row>
    <row r="35" spans="1:16" x14ac:dyDescent="0.2">
      <c r="A35" s="211">
        <f t="shared" si="3"/>
        <v>2004</v>
      </c>
      <c r="B35" s="24"/>
      <c r="C35" s="223">
        <v>54522810</v>
      </c>
      <c r="D35" s="58"/>
      <c r="E35" s="226">
        <f>'6.4'!E35</f>
        <v>2.3315946597095789</v>
      </c>
      <c r="F35" s="29">
        <f t="shared" si="4"/>
        <v>127125092.62836003</v>
      </c>
      <c r="G35" s="255">
        <v>3982223</v>
      </c>
      <c r="H35" s="22">
        <f t="shared" si="1"/>
        <v>3.1E-2</v>
      </c>
      <c r="I35" s="22"/>
      <c r="K35" s="2"/>
      <c r="O35" s="211">
        <f>'6.4'!O66</f>
        <v>2002</v>
      </c>
      <c r="P35" s="40">
        <f>'6.4'!Q66</f>
        <v>2.7488993497291627</v>
      </c>
    </row>
    <row r="36" spans="1:16" s="57" customFormat="1" x14ac:dyDescent="0.2">
      <c r="A36" s="211">
        <f t="shared" si="3"/>
        <v>2005</v>
      </c>
      <c r="B36" s="42"/>
      <c r="C36" s="223">
        <v>55697704</v>
      </c>
      <c r="D36" s="42"/>
      <c r="E36" s="226">
        <f>'6.4'!E36</f>
        <v>2.1139483009259492</v>
      </c>
      <c r="F36" s="29">
        <f t="shared" si="4"/>
        <v>117742066.73627645</v>
      </c>
      <c r="G36" s="255">
        <v>59821556</v>
      </c>
      <c r="H36" s="22">
        <f t="shared" si="1"/>
        <v>0.50800000000000001</v>
      </c>
      <c r="I36" s="22"/>
      <c r="K36" s="2"/>
      <c r="O36" s="211">
        <f>'6.4'!O67</f>
        <v>2003</v>
      </c>
      <c r="P36" s="40">
        <f>'6.4'!Q67</f>
        <v>2.5556660621064777</v>
      </c>
    </row>
    <row r="37" spans="1:16" s="57" customFormat="1" x14ac:dyDescent="0.2">
      <c r="A37" s="211">
        <f t="shared" si="3"/>
        <v>2006</v>
      </c>
      <c r="C37" s="223">
        <v>61057252</v>
      </c>
      <c r="E37" s="226">
        <f>'6.4'!E37</f>
        <v>1.9398940742398449</v>
      </c>
      <c r="F37" s="29">
        <f t="shared" si="4"/>
        <v>118444601.34416892</v>
      </c>
      <c r="G37" s="255">
        <v>6946289</v>
      </c>
      <c r="H37" s="22">
        <f t="shared" si="1"/>
        <v>5.8999999999999997E-2</v>
      </c>
      <c r="I37" s="22"/>
      <c r="K37" s="2"/>
      <c r="O37" s="211">
        <f>'6.4'!O68</f>
        <v>2004</v>
      </c>
      <c r="P37" s="40">
        <f>'6.4'!Q68</f>
        <v>2.3233327837331608</v>
      </c>
    </row>
    <row r="38" spans="1:16" x14ac:dyDescent="0.2">
      <c r="A38" s="211">
        <f t="shared" si="3"/>
        <v>2007</v>
      </c>
      <c r="B38" s="57"/>
      <c r="C38" s="223">
        <v>61608161</v>
      </c>
      <c r="D38" s="57"/>
      <c r="E38" s="226">
        <f>'6.4'!E38</f>
        <v>1.7686162847181024</v>
      </c>
      <c r="F38" s="29">
        <f t="shared" si="4"/>
        <v>108961196.81613469</v>
      </c>
      <c r="G38" s="255">
        <v>10794322</v>
      </c>
      <c r="H38" s="22">
        <f t="shared" si="1"/>
        <v>9.9000000000000005E-2</v>
      </c>
      <c r="I38" s="50"/>
      <c r="K38" s="2"/>
      <c r="N38" s="72"/>
      <c r="O38" s="211">
        <f>'6.4'!O69</f>
        <v>2005</v>
      </c>
      <c r="P38" s="40">
        <f>'6.4'!Q69</f>
        <v>2.1121207124846917</v>
      </c>
    </row>
    <row r="39" spans="1:16" s="57" customFormat="1" x14ac:dyDescent="0.2">
      <c r="A39" s="211">
        <f t="shared" si="3"/>
        <v>2008</v>
      </c>
      <c r="C39" s="223">
        <v>58154456</v>
      </c>
      <c r="E39" s="226">
        <f>'6.4'!E39</f>
        <v>1.6801411926584762</v>
      </c>
      <c r="F39" s="29">
        <f t="shared" si="4"/>
        <v>97707697.062244877</v>
      </c>
      <c r="G39" s="255">
        <v>477796637</v>
      </c>
      <c r="H39" s="22">
        <f t="shared" si="1"/>
        <v>4.8899999999999997</v>
      </c>
      <c r="K39" s="2"/>
      <c r="O39" s="211">
        <f>'6.4'!O70</f>
        <v>2006</v>
      </c>
      <c r="P39" s="40">
        <f>'6.4'!Q70</f>
        <v>1.9580270885920068</v>
      </c>
    </row>
    <row r="40" spans="1:16" x14ac:dyDescent="0.2">
      <c r="A40" s="211">
        <f t="shared" si="3"/>
        <v>2009</v>
      </c>
      <c r="B40" s="57"/>
      <c r="C40" s="223">
        <v>62172956</v>
      </c>
      <c r="D40" s="57"/>
      <c r="E40" s="226">
        <f>'6.4'!E40</f>
        <v>1.5235854713266888</v>
      </c>
      <c r="F40" s="29">
        <f t="shared" si="4"/>
        <v>94725812.471033484</v>
      </c>
      <c r="G40" s="255">
        <v>9127735</v>
      </c>
      <c r="H40" s="22">
        <f t="shared" si="1"/>
        <v>9.6000000000000002E-2</v>
      </c>
      <c r="I40" s="57"/>
      <c r="J40" s="57"/>
      <c r="K40" s="2"/>
      <c r="N40" s="72"/>
      <c r="O40" s="211">
        <f>'6.4'!O71</f>
        <v>2007</v>
      </c>
      <c r="P40" s="40">
        <f>'6.4'!Q71</f>
        <v>1.7742615004796827</v>
      </c>
    </row>
    <row r="41" spans="1:16" s="57" customFormat="1" x14ac:dyDescent="0.2">
      <c r="A41" s="211">
        <f t="shared" si="3"/>
        <v>2010</v>
      </c>
      <c r="C41" s="97">
        <f>[3]ISO!R54</f>
        <v>70966450</v>
      </c>
      <c r="D41" s="36"/>
      <c r="E41" s="226">
        <f>'6.4'!E41</f>
        <v>1.4076196408284309</v>
      </c>
      <c r="F41" s="29">
        <f t="shared" si="4"/>
        <v>99893768.85986881</v>
      </c>
      <c r="G41" s="89">
        <f>[3]ISO!W54</f>
        <v>3378802</v>
      </c>
      <c r="H41" s="22">
        <f t="shared" si="1"/>
        <v>3.4000000000000002E-2</v>
      </c>
      <c r="I41" s="31"/>
      <c r="K41" s="2"/>
      <c r="O41" s="211">
        <f>'6.4'!O72</f>
        <v>2008</v>
      </c>
      <c r="P41" s="40">
        <f>'6.4'!Q72</f>
        <v>1.6764113430295366</v>
      </c>
    </row>
    <row r="42" spans="1:16" x14ac:dyDescent="0.2">
      <c r="A42" s="211">
        <f t="shared" si="3"/>
        <v>2011</v>
      </c>
      <c r="B42" s="42"/>
      <c r="C42" s="97">
        <f>[3]ISO!R55</f>
        <v>69133046</v>
      </c>
      <c r="D42" s="44"/>
      <c r="E42" s="226">
        <f>'6.4'!E42</f>
        <v>1.3743158191343243</v>
      </c>
      <c r="F42" s="29">
        <f t="shared" si="4"/>
        <v>95010638.742740929</v>
      </c>
      <c r="G42" s="89">
        <f>[3]ISO!W55</f>
        <v>18130744</v>
      </c>
      <c r="H42" s="22">
        <f t="shared" si="1"/>
        <v>0.191</v>
      </c>
      <c r="I42" s="22"/>
      <c r="K42" s="2"/>
      <c r="O42" s="211">
        <f>'6.4'!O73</f>
        <v>2009</v>
      </c>
      <c r="P42" s="40">
        <f>'6.4'!Q73</f>
        <v>1.5268100248230916</v>
      </c>
    </row>
    <row r="43" spans="1:16" ht="10.5" customHeight="1" x14ac:dyDescent="0.2">
      <c r="A43" s="211">
        <f t="shared" si="3"/>
        <v>2012</v>
      </c>
      <c r="B43" s="42"/>
      <c r="C43" s="97">
        <f>[3]ISO!R56</f>
        <v>76363642</v>
      </c>
      <c r="D43" s="44"/>
      <c r="E43" s="226">
        <f>'6.4'!E43</f>
        <v>1.3069936300796305</v>
      </c>
      <c r="F43" s="29">
        <f t="shared" si="4"/>
        <v>99806793.663681343</v>
      </c>
      <c r="G43" s="89">
        <f>[3]ISO!W56</f>
        <v>10920824</v>
      </c>
      <c r="H43" s="50">
        <f t="shared" si="1"/>
        <v>0.109</v>
      </c>
      <c r="I43" s="28"/>
      <c r="J43" s="57"/>
      <c r="K43" s="2"/>
      <c r="O43" s="211">
        <f>'6.4'!O74</f>
        <v>2010</v>
      </c>
      <c r="P43" s="40">
        <f>'6.4'!Q74</f>
        <v>1.4077600564774084</v>
      </c>
    </row>
    <row r="44" spans="1:16" x14ac:dyDescent="0.2">
      <c r="A44" s="211">
        <f t="shared" si="3"/>
        <v>2013</v>
      </c>
      <c r="B44" s="42"/>
      <c r="C44" s="97">
        <f>[3]ISO!R57</f>
        <v>88134494</v>
      </c>
      <c r="D44" s="44"/>
      <c r="E44" s="226">
        <f>'6.4'!E44</f>
        <v>1.2453140098300952</v>
      </c>
      <c r="F44" s="29">
        <f t="shared" si="4"/>
        <v>109755120.12748647</v>
      </c>
      <c r="G44" s="89">
        <f>[3]ISO!W57</f>
        <v>8026884</v>
      </c>
      <c r="H44" s="50">
        <f t="shared" si="1"/>
        <v>7.2999999999999995E-2</v>
      </c>
      <c r="I44" s="19"/>
      <c r="K44" s="2"/>
      <c r="O44" s="211">
        <f>'6.4'!O75</f>
        <v>2011</v>
      </c>
      <c r="P44" s="40">
        <f>'6.4'!Q75</f>
        <v>1.3727809001524396</v>
      </c>
    </row>
    <row r="45" spans="1:16" x14ac:dyDescent="0.2">
      <c r="A45" s="211">
        <f t="shared" si="3"/>
        <v>2014</v>
      </c>
      <c r="B45" s="42"/>
      <c r="C45" s="97">
        <f>[3]ISO!R58</f>
        <v>102589286</v>
      </c>
      <c r="D45" s="44"/>
      <c r="E45" s="226">
        <f>'6.4'!E45</f>
        <v>1.187362617565584</v>
      </c>
      <c r="F45" s="29">
        <f t="shared" si="4"/>
        <v>121810683.15914433</v>
      </c>
      <c r="G45" s="89">
        <f>[3]ISO!W58</f>
        <v>5642475</v>
      </c>
      <c r="H45" s="50">
        <f t="shared" si="1"/>
        <v>4.5999999999999999E-2</v>
      </c>
      <c r="I45" s="22"/>
      <c r="K45" s="2"/>
      <c r="L45" t="s">
        <v>238</v>
      </c>
      <c r="M45" t="s">
        <v>239</v>
      </c>
      <c r="O45" s="211">
        <f>'6.4'!O76</f>
        <v>2012</v>
      </c>
      <c r="P45" s="40">
        <f>'6.4'!Q76</f>
        <v>1.3074103810975615</v>
      </c>
    </row>
    <row r="46" spans="1:16" x14ac:dyDescent="0.2">
      <c r="A46" s="211">
        <f t="shared" si="3"/>
        <v>2015</v>
      </c>
      <c r="B46" s="42"/>
      <c r="C46" s="97">
        <f>[3]ISO!R59</f>
        <v>103529224</v>
      </c>
      <c r="D46" s="44"/>
      <c r="E46" s="226">
        <f>'6.4'!E46</f>
        <v>1.1298337004132681</v>
      </c>
      <c r="F46" s="29">
        <f t="shared" si="4"/>
        <v>116970806.25283413</v>
      </c>
      <c r="G46" s="89">
        <f>[3]ISO!W59</f>
        <v>16863405</v>
      </c>
      <c r="H46" s="50">
        <f>ROUND(G46/F46,3)</f>
        <v>0.14399999999999999</v>
      </c>
      <c r="I46" s="22"/>
      <c r="K46" s="2"/>
      <c r="O46" s="211">
        <f>'6.4'!O77</f>
        <v>2013</v>
      </c>
      <c r="P46" s="40">
        <f>'6.4'!Q77</f>
        <v>1.2451527439024395</v>
      </c>
    </row>
    <row r="47" spans="1:16" x14ac:dyDescent="0.2">
      <c r="A47" s="283">
        <f t="shared" si="3"/>
        <v>2016</v>
      </c>
      <c r="B47" s="42"/>
      <c r="C47" s="97">
        <f>[3]ISO!R60</f>
        <v>96520601</v>
      </c>
      <c r="D47" s="44"/>
      <c r="E47" s="226">
        <f>'6.4'!E47</f>
        <v>1.0758917350262633</v>
      </c>
      <c r="F47" s="177">
        <f t="shared" si="4"/>
        <v>103845716.87566769</v>
      </c>
      <c r="G47" s="89">
        <f>[3]ISO!W60</f>
        <v>33421153</v>
      </c>
      <c r="H47" s="50">
        <f>ROUND(G47/F47,3)</f>
        <v>0.32200000000000001</v>
      </c>
      <c r="I47" s="28"/>
      <c r="J47" s="57"/>
      <c r="K47" s="2"/>
      <c r="L47" s="95">
        <f>'6.4'!L48</f>
        <v>34607</v>
      </c>
      <c r="M47" s="95">
        <f>'6.4'!M48</f>
        <v>36525</v>
      </c>
      <c r="N47" t="s">
        <v>240</v>
      </c>
      <c r="O47" s="211">
        <f>'6.4'!O78</f>
        <v>2014</v>
      </c>
      <c r="P47" s="40">
        <f>'6.4'!Q78</f>
        <v>1.1858597560975614</v>
      </c>
    </row>
    <row r="48" spans="1:16" s="57" customFormat="1" x14ac:dyDescent="0.2">
      <c r="A48" s="48">
        <v>2017</v>
      </c>
      <c r="B48" s="47"/>
      <c r="C48" s="97">
        <f>[3]ISO!R61</f>
        <v>88573490</v>
      </c>
      <c r="D48" s="56"/>
      <c r="E48" s="226">
        <f>'6.4'!E48</f>
        <v>1.0500000000000045</v>
      </c>
      <c r="F48" s="177">
        <f t="shared" si="4"/>
        <v>93002164.500000402</v>
      </c>
      <c r="G48" s="89">
        <f>[3]ISO!W61</f>
        <v>124480881</v>
      </c>
      <c r="H48" s="50">
        <f>ROUND(G48/F48,3)</f>
        <v>1.3380000000000001</v>
      </c>
      <c r="I48" s="47"/>
      <c r="J48"/>
      <c r="K48" s="2"/>
      <c r="L48" s="95">
        <f>'6.4'!L50</f>
        <v>43830</v>
      </c>
      <c r="M48" s="95">
        <f>'6.4'!M50</f>
        <v>43830</v>
      </c>
      <c r="N48" t="s">
        <v>241</v>
      </c>
      <c r="O48" s="211">
        <f>'6.4'!O79</f>
        <v>2015</v>
      </c>
      <c r="P48" s="40">
        <f>'6.4'!Q79</f>
        <v>1.1293902439024393</v>
      </c>
    </row>
    <row r="49" spans="1:16" s="57" customFormat="1" x14ac:dyDescent="0.2">
      <c r="A49" s="101">
        <v>2018</v>
      </c>
      <c r="B49" s="42"/>
      <c r="C49" s="97">
        <f>[3]ISO!R62</f>
        <v>91576398</v>
      </c>
      <c r="D49" s="42"/>
      <c r="E49" s="226">
        <f>'6.4'!E49</f>
        <v>1.0243345041628875</v>
      </c>
      <c r="F49" s="177">
        <f t="shared" si="4"/>
        <v>93804864.238353238</v>
      </c>
      <c r="G49" s="89">
        <f>[3]ISO!W62</f>
        <v>12086495</v>
      </c>
      <c r="H49" s="50">
        <f>ROUND(G49/F49,3)</f>
        <v>0.129</v>
      </c>
      <c r="I49"/>
      <c r="J49"/>
      <c r="K49" s="2"/>
      <c r="O49" s="211">
        <f>'6.4'!O80</f>
        <v>2016</v>
      </c>
      <c r="P49" s="40">
        <f>'6.4'!Q80</f>
        <v>1.075609756097561</v>
      </c>
    </row>
    <row r="50" spans="1:16" x14ac:dyDescent="0.2">
      <c r="A50" s="55">
        <v>2019</v>
      </c>
      <c r="B50" s="136"/>
      <c r="C50" s="88">
        <f>[3]ISO!R63</f>
        <v>91917080</v>
      </c>
      <c r="D50" s="136"/>
      <c r="E50" s="106">
        <f>'6.4'!E50</f>
        <v>1</v>
      </c>
      <c r="F50" s="30">
        <f>C50*E50</f>
        <v>91917080</v>
      </c>
      <c r="G50" s="88">
        <f>[3]ISO!W63</f>
        <v>25743583</v>
      </c>
      <c r="H50" s="66">
        <f>ROUND(G50/F50,3)</f>
        <v>0.28000000000000003</v>
      </c>
      <c r="K50" s="2"/>
      <c r="O50" s="211">
        <f>'6.4'!O81</f>
        <v>2017</v>
      </c>
      <c r="P50" s="40">
        <f>'6.4'!Q81</f>
        <v>1.05</v>
      </c>
    </row>
    <row r="51" spans="1:16" x14ac:dyDescent="0.2">
      <c r="K51" s="2"/>
      <c r="O51" s="211">
        <f>'6.4'!O82</f>
        <v>2018</v>
      </c>
      <c r="P51" s="40">
        <f>'6.4'!Q82</f>
        <v>1.024390243902439</v>
      </c>
    </row>
    <row r="52" spans="1:16" x14ac:dyDescent="0.2">
      <c r="A52" t="s">
        <v>8</v>
      </c>
      <c r="C52" s="68">
        <f>SUM(C14:C50)</f>
        <v>1608992093</v>
      </c>
      <c r="D52" s="68"/>
      <c r="E52" s="22"/>
      <c r="F52" s="68">
        <f>SUM(F14:F50)</f>
        <v>2787398091.9756193</v>
      </c>
      <c r="G52" s="68">
        <f>SUM(G14:G50)</f>
        <v>1016824468</v>
      </c>
      <c r="H52" s="22">
        <f>ROUND(G52/F52,3)</f>
        <v>0.36499999999999999</v>
      </c>
      <c r="K52" s="2"/>
      <c r="O52" s="211">
        <f>'6.4'!O83</f>
        <v>2019</v>
      </c>
      <c r="P52" s="40">
        <f>'6.4'!Q83</f>
        <v>1</v>
      </c>
    </row>
    <row r="53" spans="1:16" ht="12" thickBot="1" x14ac:dyDescent="0.25">
      <c r="A53" s="6"/>
      <c r="B53" s="6"/>
      <c r="C53" s="6"/>
      <c r="D53" s="6"/>
      <c r="E53" s="6"/>
      <c r="F53" s="6"/>
      <c r="G53" s="6"/>
      <c r="H53" s="6"/>
      <c r="K53" s="2"/>
    </row>
    <row r="54" spans="1:16" ht="12" thickTop="1" x14ac:dyDescent="0.2">
      <c r="K54" s="2"/>
    </row>
    <row r="55" spans="1:16" x14ac:dyDescent="0.2">
      <c r="A55" t="s">
        <v>18</v>
      </c>
      <c r="F55" s="42"/>
      <c r="K55" s="2"/>
    </row>
    <row r="56" spans="1:16" x14ac:dyDescent="0.2">
      <c r="B56" s="21" t="str">
        <f>C12&amp;" Provided by TDI. "&amp;A14&amp;" - "&amp;A26&amp;" are year ending "&amp;TEXT($L$47,"m/d/xx")&amp;" as of "&amp;TEXT($M$47,"m/d/yy")&amp;"; "&amp;A27&amp;" - "&amp;A50&amp;" are year ending "&amp;TEXT($L$48,"m/d/xx")&amp;" as of "&amp;TEXT($M$48,"m/d/yy")</f>
        <v>(2) Provided by TDI. 1983 - 1995 are year ending 9/30/xx as of 12/31/99; 1996 - 2019 are year ending 12/31/xx as of 12/31/19</v>
      </c>
      <c r="I56" s="86"/>
      <c r="K56" s="2"/>
      <c r="O56" s="57"/>
      <c r="P56" s="57"/>
    </row>
    <row r="57" spans="1:16" s="57" customFormat="1" x14ac:dyDescent="0.2">
      <c r="A57"/>
      <c r="B57" s="21" t="str">
        <f>D12&amp;" Provided by TDI (1992 MR = 1992 manual rates)"</f>
        <v>(3) Provided by TDI (1992 MR = 1992 manual rates)</v>
      </c>
      <c r="C57" s="21"/>
      <c r="D57"/>
      <c r="E57"/>
      <c r="F57"/>
      <c r="G57"/>
      <c r="H57"/>
      <c r="I57"/>
      <c r="J57"/>
      <c r="K57" s="2"/>
    </row>
    <row r="58" spans="1:16" s="57" customFormat="1" x14ac:dyDescent="0.2">
      <c r="A58"/>
      <c r="B58" s="21" t="str">
        <f>'6.4'!B58</f>
        <v>(4) Represents 8/1/80 through 6/30/20 rate changes for TWIA; factors assume uniform earning of written premium</v>
      </c>
      <c r="C58"/>
      <c r="D58"/>
      <c r="E58"/>
      <c r="F58"/>
      <c r="G58"/>
      <c r="H58"/>
      <c r="I58"/>
      <c r="J58"/>
      <c r="K58" s="2"/>
      <c r="O58"/>
      <c r="P58"/>
    </row>
    <row r="59" spans="1:16" x14ac:dyDescent="0.2">
      <c r="B59" s="100" t="str">
        <f>"      and that TWIA premium represents "&amp;TEXT(L32,"0.0%")&amp;" of industry data in "&amp;LEFT(A5,FIND("(",A5)-2)</f>
        <v xml:space="preserve">      and that TWIA premium represents 1.0% of industry data in Tier 2</v>
      </c>
      <c r="C59" s="86"/>
      <c r="D59" s="86"/>
      <c r="E59" s="86"/>
      <c r="F59" s="86"/>
      <c r="G59" s="86"/>
      <c r="H59" s="86"/>
      <c r="J59" s="57"/>
      <c r="K59" s="2"/>
    </row>
    <row r="60" spans="1:16" x14ac:dyDescent="0.2">
      <c r="B60" s="21" t="str">
        <f>F12&amp;" = "&amp;D12&amp;" * "&amp;E12&amp;" for "&amp;A14&amp;" - "&amp;A23&amp;"; "&amp;C12&amp;" * "&amp;E12&amp;" for "&amp;A24&amp;" - "&amp;A50</f>
        <v>(5) = (3) * (4) for 1983 - 1992; (2) * (4) for 1993 - 2019</v>
      </c>
      <c r="J60" s="57"/>
      <c r="K60" s="2"/>
    </row>
    <row r="61" spans="1:16" x14ac:dyDescent="0.2">
      <c r="B61" s="21" t="str">
        <f>'6.5'!B61</f>
        <v>(6) Provided by TDI. 1983 - 1995 are year ending 9/30/xx as of 12/31/99; 1996 - 2008 are year ending 12/31/xx as of 12/31/17</v>
      </c>
      <c r="D61" s="58"/>
      <c r="E61" s="58"/>
      <c r="F61" s="58"/>
      <c r="G61" s="22"/>
      <c r="I61" s="42"/>
      <c r="J61" s="57"/>
      <c r="K61" s="2"/>
    </row>
    <row r="62" spans="1:16" x14ac:dyDescent="0.2">
      <c r="B62" s="21" t="str">
        <f>'6.5'!B62</f>
        <v xml:space="preserve">    2009 - 2019 are year ending 12/31/xx as of 12/31/2019</v>
      </c>
      <c r="I62" s="28"/>
      <c r="J62" s="57"/>
      <c r="K62" s="2"/>
    </row>
    <row r="63" spans="1:16" x14ac:dyDescent="0.2">
      <c r="B63" s="21" t="str">
        <f>'6.5'!B63</f>
        <v>(7) = (6) / (5)</v>
      </c>
      <c r="I63" s="28"/>
      <c r="J63" s="57"/>
      <c r="K63" s="2"/>
    </row>
    <row r="64" spans="1:16" x14ac:dyDescent="0.2">
      <c r="A64" s="67"/>
      <c r="B64" s="57"/>
      <c r="C64" s="31"/>
      <c r="D64" s="31"/>
      <c r="E64" s="28"/>
      <c r="F64" s="28"/>
      <c r="G64" s="28"/>
      <c r="H64" s="28"/>
      <c r="I64" s="28"/>
      <c r="J64" s="57"/>
      <c r="K64" s="2"/>
    </row>
    <row r="65" spans="1:11" x14ac:dyDescent="0.2">
      <c r="A65" s="67"/>
      <c r="B65" s="57"/>
      <c r="C65" s="31"/>
      <c r="D65" s="31"/>
      <c r="E65" s="28"/>
      <c r="F65" s="28"/>
      <c r="G65" s="28"/>
      <c r="H65" s="28"/>
      <c r="I65" s="28"/>
      <c r="J65" s="57"/>
      <c r="K65" s="2"/>
    </row>
    <row r="66" spans="1:11" x14ac:dyDescent="0.2">
      <c r="A66" s="67"/>
      <c r="B66" s="57"/>
      <c r="C66" s="31"/>
      <c r="D66" s="31"/>
      <c r="E66" s="28"/>
      <c r="F66" s="28"/>
      <c r="G66" s="28"/>
      <c r="H66" s="28"/>
      <c r="K66" s="2"/>
    </row>
    <row r="67" spans="1:11" x14ac:dyDescent="0.2">
      <c r="A67" s="67"/>
      <c r="B67" s="57"/>
      <c r="C67" s="31"/>
      <c r="D67" s="28"/>
      <c r="E67" s="28"/>
      <c r="F67" s="28"/>
      <c r="G67" s="28"/>
      <c r="H67" s="28"/>
      <c r="K67" s="2"/>
    </row>
    <row r="68" spans="1:11" x14ac:dyDescent="0.2">
      <c r="B68" s="24"/>
      <c r="C68" s="58"/>
      <c r="D68" s="58"/>
      <c r="E68" s="58"/>
      <c r="F68" s="58"/>
      <c r="G68" s="22"/>
      <c r="K68" s="2"/>
    </row>
    <row r="69" spans="1:11" x14ac:dyDescent="0.2">
      <c r="B69" s="24"/>
      <c r="C69" s="58"/>
      <c r="D69" s="58"/>
      <c r="E69" s="58"/>
      <c r="F69" s="58"/>
      <c r="G69" s="22"/>
      <c r="K69" s="2"/>
    </row>
    <row r="70" spans="1:11" ht="12" thickBot="1" x14ac:dyDescent="0.25">
      <c r="B70" s="24"/>
      <c r="C70" s="58"/>
      <c r="D70" s="58"/>
      <c r="E70" s="58"/>
      <c r="F70" s="58"/>
      <c r="G70" s="22"/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>
    <tabColor rgb="FF92D050"/>
  </sheetPr>
  <dimension ref="A1:O69"/>
  <sheetViews>
    <sheetView showGridLines="0" zoomScaleNormal="100" workbookViewId="0">
      <selection activeCell="F41" sqref="F41"/>
    </sheetView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20.5" customWidth="1"/>
    <col min="5" max="5" width="15.33203125" customWidth="1"/>
    <col min="6" max="9" width="11.33203125" customWidth="1"/>
    <col min="10" max="10" width="5.1640625" customWidth="1"/>
    <col min="12" max="12" width="1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364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21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137</v>
      </c>
      <c r="B4" s="12"/>
      <c r="K4" s="2"/>
    </row>
    <row r="5" spans="1:12" x14ac:dyDescent="0.2">
      <c r="A5" s="57"/>
      <c r="B5" s="21"/>
      <c r="C5" s="57"/>
      <c r="D5" s="57"/>
      <c r="E5" s="57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49" t="s">
        <v>111</v>
      </c>
      <c r="K9" s="2"/>
      <c r="L9" s="26"/>
    </row>
    <row r="10" spans="1:12" x14ac:dyDescent="0.2">
      <c r="C10" t="s">
        <v>112</v>
      </c>
      <c r="D10" s="11" t="s">
        <v>113</v>
      </c>
      <c r="E10" t="s">
        <v>116</v>
      </c>
      <c r="K10" s="2"/>
      <c r="L10" s="21" t="s">
        <v>133</v>
      </c>
    </row>
    <row r="11" spans="1:12" x14ac:dyDescent="0.2">
      <c r="A11" s="9" t="s">
        <v>110</v>
      </c>
      <c r="B11" s="9"/>
      <c r="C11" s="9" t="str">
        <f>"as of "&amp;TEXT($L$11,"m/d/yy")</f>
        <v>as of 11/30/19</v>
      </c>
      <c r="D11" s="336" t="s">
        <v>114</v>
      </c>
      <c r="E11" s="9" t="s">
        <v>115</v>
      </c>
      <c r="K11" s="2"/>
      <c r="L11" s="98">
        <f>'8.1'!L11</f>
        <v>43799</v>
      </c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">
        <v>118</v>
      </c>
      <c r="C14" s="253">
        <f>'7.2'!C14</f>
        <v>214790</v>
      </c>
      <c r="D14" s="349">
        <f>'7.2'!F14</f>
        <v>3.59</v>
      </c>
      <c r="E14" s="29">
        <f t="shared" ref="E14:E27" si="0">ROUND(C14*D14,0)</f>
        <v>771096</v>
      </c>
      <c r="K14" s="2"/>
    </row>
    <row r="15" spans="1:12" x14ac:dyDescent="0.2">
      <c r="A15" t="s">
        <v>119</v>
      </c>
      <c r="C15" s="253">
        <f>'7.2'!C15</f>
        <v>407860</v>
      </c>
      <c r="D15" s="349">
        <f>'7.2'!F15</f>
        <v>3.08</v>
      </c>
      <c r="E15" s="29">
        <f t="shared" si="0"/>
        <v>1256209</v>
      </c>
      <c r="K15" s="2"/>
    </row>
    <row r="16" spans="1:12" x14ac:dyDescent="0.2">
      <c r="A16" t="s">
        <v>120</v>
      </c>
      <c r="C16" s="253">
        <f>'7.2'!C16</f>
        <v>106660</v>
      </c>
      <c r="D16" s="349">
        <f>'7.2'!F16</f>
        <v>3.1520000000000001</v>
      </c>
      <c r="E16" s="29">
        <f>ROUND(C16*D16,0)</f>
        <v>336192</v>
      </c>
      <c r="K16" s="2"/>
    </row>
    <row r="17" spans="1:15" x14ac:dyDescent="0.2">
      <c r="A17" t="s">
        <v>121</v>
      </c>
      <c r="C17" s="253">
        <f>'7.2'!C17</f>
        <v>940171</v>
      </c>
      <c r="D17" s="349">
        <f>'7.2'!F17</f>
        <v>3.3260000000000001</v>
      </c>
      <c r="E17" s="29">
        <f t="shared" si="0"/>
        <v>3127009</v>
      </c>
      <c r="K17" s="2"/>
    </row>
    <row r="18" spans="1:15" x14ac:dyDescent="0.2">
      <c r="A18" t="s">
        <v>122</v>
      </c>
      <c r="C18" s="253">
        <f>'7.2'!C18</f>
        <v>54565</v>
      </c>
      <c r="D18" s="349">
        <f>'7.2'!F18</f>
        <v>2.5150000000000001</v>
      </c>
      <c r="E18" s="29">
        <f t="shared" si="0"/>
        <v>137231</v>
      </c>
      <c r="K18" s="2"/>
    </row>
    <row r="19" spans="1:15" x14ac:dyDescent="0.2">
      <c r="A19" t="s">
        <v>123</v>
      </c>
      <c r="C19" s="253">
        <f>'7.2'!C19</f>
        <v>2266405</v>
      </c>
      <c r="D19" s="349">
        <f>'7.2'!F19</f>
        <v>8.6820000000000004</v>
      </c>
      <c r="E19" s="29">
        <f t="shared" si="0"/>
        <v>19676928</v>
      </c>
      <c r="K19" s="2"/>
    </row>
    <row r="20" spans="1:15" x14ac:dyDescent="0.2">
      <c r="A20" t="s">
        <v>124</v>
      </c>
      <c r="C20" s="253">
        <f>'7.2'!C20</f>
        <v>34538</v>
      </c>
      <c r="D20" s="349">
        <f>'7.2'!F20</f>
        <v>5.952</v>
      </c>
      <c r="E20" s="29">
        <f t="shared" si="0"/>
        <v>205570</v>
      </c>
      <c r="K20" s="2"/>
    </row>
    <row r="21" spans="1:15" x14ac:dyDescent="0.2">
      <c r="A21" t="s">
        <v>125</v>
      </c>
      <c r="C21" s="253">
        <f>'7.2'!C21</f>
        <v>330152</v>
      </c>
      <c r="D21" s="349">
        <f>'7.2'!F21</f>
        <v>2.7629999999999999</v>
      </c>
      <c r="E21" s="29">
        <f>ROUND(C21*D21,0)</f>
        <v>912210</v>
      </c>
      <c r="K21" s="2"/>
    </row>
    <row r="22" spans="1:15" x14ac:dyDescent="0.2">
      <c r="A22" t="s">
        <v>126</v>
      </c>
      <c r="C22" s="253">
        <f>'7.2'!C22</f>
        <v>694</v>
      </c>
      <c r="D22" s="349">
        <f>'7.2'!F22</f>
        <v>1.2869999999999999</v>
      </c>
      <c r="E22" s="29">
        <f t="shared" si="0"/>
        <v>893</v>
      </c>
      <c r="K22" s="2"/>
    </row>
    <row r="23" spans="1:15" x14ac:dyDescent="0.2">
      <c r="A23" t="s">
        <v>127</v>
      </c>
      <c r="B23" s="21"/>
      <c r="C23" s="253">
        <f>'7.2'!C23</f>
        <v>13597</v>
      </c>
      <c r="D23" s="349">
        <f>'7.2'!F23</f>
        <v>1.1599999999999999</v>
      </c>
      <c r="E23" s="29">
        <f t="shared" si="0"/>
        <v>15773</v>
      </c>
      <c r="K23" s="2"/>
    </row>
    <row r="24" spans="1:15" x14ac:dyDescent="0.2">
      <c r="A24" t="s">
        <v>128</v>
      </c>
      <c r="B24" s="21"/>
      <c r="C24" s="253">
        <f>'7.2'!C24</f>
        <v>81017</v>
      </c>
      <c r="D24" s="349">
        <f>'7.2'!F24</f>
        <v>2.988</v>
      </c>
      <c r="E24" s="29">
        <f t="shared" si="0"/>
        <v>242079</v>
      </c>
      <c r="K24" s="2"/>
    </row>
    <row r="25" spans="1:15" x14ac:dyDescent="0.2">
      <c r="A25" t="s">
        <v>129</v>
      </c>
      <c r="B25" s="21"/>
      <c r="C25" s="253">
        <f>'7.2'!C25</f>
        <v>1434990</v>
      </c>
      <c r="D25" s="349">
        <f>'7.2'!F25</f>
        <v>3.7080000000000002</v>
      </c>
      <c r="E25" s="29">
        <f t="shared" si="0"/>
        <v>5320943</v>
      </c>
      <c r="K25" s="2"/>
      <c r="M25" s="18"/>
      <c r="N25" s="18"/>
      <c r="O25" s="18"/>
    </row>
    <row r="26" spans="1:15" x14ac:dyDescent="0.2">
      <c r="A26" t="s">
        <v>130</v>
      </c>
      <c r="C26" s="253">
        <f>'7.2'!C26</f>
        <v>23556</v>
      </c>
      <c r="D26" s="349">
        <f>'7.2'!F26</f>
        <v>1.4890000000000001</v>
      </c>
      <c r="E26" s="29">
        <f t="shared" si="0"/>
        <v>35075</v>
      </c>
      <c r="K26" s="2"/>
      <c r="M26" s="18"/>
      <c r="N26" s="18"/>
      <c r="O26" s="18"/>
    </row>
    <row r="27" spans="1:15" x14ac:dyDescent="0.2">
      <c r="A27" t="s">
        <v>131</v>
      </c>
      <c r="C27" s="253">
        <f>'7.2'!C27</f>
        <v>109129</v>
      </c>
      <c r="D27" s="349">
        <f>'7.2'!F27</f>
        <v>2.4620000000000002</v>
      </c>
      <c r="E27" s="29">
        <f t="shared" si="0"/>
        <v>268676</v>
      </c>
      <c r="K27" s="2"/>
      <c r="M27" s="18"/>
      <c r="N27" s="18"/>
      <c r="O27" s="18"/>
    </row>
    <row r="28" spans="1:15" x14ac:dyDescent="0.2">
      <c r="A28" t="s">
        <v>132</v>
      </c>
      <c r="C28" s="253">
        <f>'7.2'!C28</f>
        <v>13589</v>
      </c>
      <c r="D28" s="349">
        <f>'7.2'!F28</f>
        <v>2.552</v>
      </c>
      <c r="E28" s="29">
        <f>ROUND(C28*D28,0)</f>
        <v>34679</v>
      </c>
      <c r="K28" s="2"/>
      <c r="M28" s="18"/>
      <c r="N28" s="18"/>
      <c r="O28" s="18"/>
    </row>
    <row r="29" spans="1:15" x14ac:dyDescent="0.2">
      <c r="A29" s="9"/>
      <c r="B29" s="25"/>
      <c r="C29" s="254"/>
      <c r="D29" s="38"/>
      <c r="E29" s="30"/>
      <c r="K29" s="2"/>
    </row>
    <row r="30" spans="1:15" x14ac:dyDescent="0.2">
      <c r="C30" s="18"/>
      <c r="D30" s="18"/>
      <c r="E30" s="12"/>
      <c r="K30" s="2"/>
    </row>
    <row r="31" spans="1:15" x14ac:dyDescent="0.2">
      <c r="A31" t="s">
        <v>8</v>
      </c>
      <c r="C31" s="29">
        <f>SUM(C14:C28)</f>
        <v>6031713</v>
      </c>
      <c r="D31" s="349">
        <f>E31/C31</f>
        <v>5.3617542810806817</v>
      </c>
      <c r="E31" s="29">
        <f>SUM(E14:E28)</f>
        <v>32340563</v>
      </c>
      <c r="K31" s="2"/>
    </row>
    <row r="32" spans="1:15" x14ac:dyDescent="0.2">
      <c r="K32" s="2"/>
    </row>
    <row r="33" spans="1:13" x14ac:dyDescent="0.2">
      <c r="A33" s="53" t="s">
        <v>90</v>
      </c>
      <c r="B33" t="str">
        <f>"Inforce-Premium as of "&amp;TEXT(L11,"mm/dd/yy")&amp;" at Present Rates"</f>
        <v>Inforce-Premium as of 11/30/19 at Present Rates</v>
      </c>
      <c r="E33" s="29">
        <v>57743025</v>
      </c>
      <c r="K33" s="2"/>
      <c r="M33" s="57"/>
    </row>
    <row r="34" spans="1:13" x14ac:dyDescent="0.2">
      <c r="A34" s="53" t="s">
        <v>94</v>
      </c>
      <c r="B34" t="s">
        <v>117</v>
      </c>
      <c r="E34" s="19">
        <f>ROUND(E31/E33,3)</f>
        <v>0.56000000000000005</v>
      </c>
      <c r="F34" s="42"/>
      <c r="K34" s="2"/>
      <c r="M34" s="57"/>
    </row>
    <row r="35" spans="1:13" ht="12" thickBot="1" x14ac:dyDescent="0.25">
      <c r="A35" s="6"/>
      <c r="B35" s="6"/>
      <c r="C35" s="6"/>
      <c r="D35" s="6"/>
      <c r="E35" s="6"/>
      <c r="K35" s="2"/>
      <c r="M35" s="57"/>
    </row>
    <row r="36" spans="1:13" ht="12" thickTop="1" x14ac:dyDescent="0.2">
      <c r="K36" s="2"/>
    </row>
    <row r="37" spans="1:13" x14ac:dyDescent="0.2">
      <c r="A37" t="s">
        <v>18</v>
      </c>
      <c r="K37" s="2"/>
    </row>
    <row r="38" spans="1:13" x14ac:dyDescent="0.2">
      <c r="B38" s="21" t="str">
        <f>C12&amp;" Provided by TWIA"</f>
        <v>(2) Provided by TWIA</v>
      </c>
      <c r="K38" s="2"/>
    </row>
    <row r="39" spans="1:13" x14ac:dyDescent="0.2">
      <c r="B39" s="21" t="str">
        <f>D12&amp;" "&amp;'7.2'!$K$1&amp;", "&amp;'7.2'!$K$2</f>
        <v>(3) Exhibit 7, Sheet 2</v>
      </c>
      <c r="K39" s="2"/>
    </row>
    <row r="40" spans="1:13" x14ac:dyDescent="0.2">
      <c r="B40" s="21" t="str">
        <f>E12&amp;" = "&amp;C12&amp;" * "&amp;D12</f>
        <v>(4) = (2) * (3)</v>
      </c>
      <c r="F40" s="58"/>
      <c r="G40" s="22"/>
      <c r="H40" s="22"/>
      <c r="K40" s="2"/>
    </row>
    <row r="41" spans="1:13" x14ac:dyDescent="0.2">
      <c r="B41" s="21" t="str">
        <f>A33&amp;" Provided by TWIA"</f>
        <v>(5) Provided by TWIA</v>
      </c>
      <c r="K41" s="2"/>
    </row>
    <row r="42" spans="1:13" x14ac:dyDescent="0.2">
      <c r="B42" s="21" t="str">
        <f>A34&amp;" = "&amp;E12&amp;" Total / "&amp;A33&amp;""</f>
        <v>(6) = (4) Total / (5)</v>
      </c>
      <c r="K42" s="2"/>
    </row>
    <row r="43" spans="1:13" s="57" customFormat="1" x14ac:dyDescent="0.2">
      <c r="A43" s="42"/>
      <c r="B43" s="42"/>
      <c r="C43" s="42"/>
      <c r="D43" s="42"/>
      <c r="E43" s="42"/>
      <c r="F43" s="42"/>
      <c r="G43" s="42"/>
      <c r="H43" s="42"/>
      <c r="I43" s="42"/>
      <c r="K43" s="2"/>
    </row>
    <row r="44" spans="1:13" s="57" customFormat="1" x14ac:dyDescent="0.2">
      <c r="K44" s="2"/>
    </row>
    <row r="45" spans="1:13" x14ac:dyDescent="0.2">
      <c r="K45" s="2"/>
    </row>
    <row r="46" spans="1:13" x14ac:dyDescent="0.2">
      <c r="K46" s="2"/>
    </row>
    <row r="47" spans="1:13" x14ac:dyDescent="0.2">
      <c r="K47" s="2"/>
    </row>
    <row r="48" spans="1:13" x14ac:dyDescent="0.2">
      <c r="K48" s="2"/>
    </row>
    <row r="49" spans="1:11" x14ac:dyDescent="0.2">
      <c r="K49" s="2"/>
    </row>
    <row r="50" spans="1:11" x14ac:dyDescent="0.2">
      <c r="K50" s="2"/>
    </row>
    <row r="51" spans="1:11" s="57" customFormat="1" x14ac:dyDescent="0.2">
      <c r="A51"/>
      <c r="B51"/>
      <c r="C51"/>
      <c r="D51"/>
      <c r="E51"/>
      <c r="K51" s="2"/>
    </row>
    <row r="52" spans="1:11" s="57" customFormat="1" x14ac:dyDescent="0.2">
      <c r="K52" s="2"/>
    </row>
    <row r="53" spans="1:11" s="57" customFormat="1" x14ac:dyDescent="0.2">
      <c r="A53" s="42"/>
      <c r="B53" s="42"/>
      <c r="C53" s="42"/>
      <c r="D53" s="42"/>
      <c r="E53" s="42"/>
      <c r="F53" s="42"/>
      <c r="G53" s="42"/>
      <c r="H53" s="42"/>
      <c r="I53" s="42"/>
      <c r="K53" s="2"/>
    </row>
    <row r="54" spans="1:11" s="57" customFormat="1" x14ac:dyDescent="0.2">
      <c r="K54" s="2"/>
    </row>
    <row r="55" spans="1:11" s="57" customFormat="1" x14ac:dyDescent="0.2">
      <c r="K55" s="2"/>
    </row>
    <row r="56" spans="1:11" s="57" customFormat="1" x14ac:dyDescent="0.2">
      <c r="K56" s="2"/>
    </row>
    <row r="57" spans="1:11" s="57" customFormat="1" x14ac:dyDescent="0.2">
      <c r="K57" s="2"/>
    </row>
    <row r="58" spans="1:11" s="57" customFormat="1" x14ac:dyDescent="0.2">
      <c r="K58" s="2"/>
    </row>
    <row r="59" spans="1:11" s="57" customFormat="1" x14ac:dyDescent="0.2">
      <c r="K59" s="2"/>
    </row>
    <row r="60" spans="1:11" s="57" customFormat="1" x14ac:dyDescent="0.2">
      <c r="K60" s="2"/>
    </row>
    <row r="61" spans="1:11" s="57" customFormat="1" x14ac:dyDescent="0.2">
      <c r="K61" s="2"/>
    </row>
    <row r="62" spans="1:11" s="57" customFormat="1" x14ac:dyDescent="0.2">
      <c r="K62" s="2"/>
    </row>
    <row r="63" spans="1:11" s="57" customFormat="1" x14ac:dyDescent="0.2">
      <c r="A63" s="67"/>
      <c r="C63" s="36"/>
      <c r="D63" s="36"/>
      <c r="E63" s="36"/>
      <c r="F63" s="36"/>
      <c r="G63" s="31"/>
      <c r="H63" s="31"/>
      <c r="I63" s="31"/>
      <c r="K63" s="2"/>
    </row>
    <row r="64" spans="1:11" s="57" customFormat="1" x14ac:dyDescent="0.2">
      <c r="A64" s="67"/>
      <c r="C64" s="28"/>
      <c r="D64" s="28"/>
      <c r="E64" s="28"/>
      <c r="F64" s="28"/>
      <c r="G64" s="28"/>
      <c r="H64" s="28"/>
      <c r="I64" s="28"/>
      <c r="K64" s="2"/>
    </row>
    <row r="65" spans="1:11" x14ac:dyDescent="0.2">
      <c r="B65" s="24"/>
      <c r="C65" s="58"/>
      <c r="D65" s="58"/>
      <c r="E65" s="58"/>
      <c r="F65" s="58"/>
      <c r="G65" s="22"/>
      <c r="H65" s="22"/>
      <c r="K65" s="2"/>
    </row>
    <row r="66" spans="1:11" x14ac:dyDescent="0.2">
      <c r="B66" s="24"/>
      <c r="C66" s="58"/>
      <c r="D66" s="58"/>
      <c r="E66" s="58"/>
      <c r="F66" s="58"/>
      <c r="G66" s="22"/>
      <c r="H66" s="22"/>
      <c r="K66" s="2"/>
    </row>
    <row r="67" spans="1:11" x14ac:dyDescent="0.2">
      <c r="B67" s="24"/>
      <c r="C67" s="58"/>
      <c r="D67" s="58"/>
      <c r="E67" s="58"/>
      <c r="F67" s="58"/>
      <c r="G67" s="22"/>
      <c r="H67" s="22"/>
      <c r="K67" s="2"/>
    </row>
    <row r="68" spans="1:11" ht="12" thickBot="1" x14ac:dyDescent="0.25">
      <c r="B68" s="24"/>
      <c r="C68" s="58"/>
      <c r="D68" s="58"/>
      <c r="E68" s="58"/>
      <c r="F68" s="58"/>
      <c r="G68" s="22"/>
      <c r="H68" s="22"/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9">
    <tabColor rgb="FF92D050"/>
  </sheetPr>
  <dimension ref="A1:N69"/>
  <sheetViews>
    <sheetView showGridLines="0" zoomScaleNormal="100" workbookViewId="0">
      <selection activeCell="H22" sqref="H22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5" width="15.33203125" customWidth="1"/>
    <col min="6" max="10" width="11.33203125" customWidth="1"/>
    <col min="11" max="11" width="4.6640625" customWidth="1"/>
    <col min="13" max="13" width="14.1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364</v>
      </c>
      <c r="L1" s="1"/>
    </row>
    <row r="2" spans="1:13" x14ac:dyDescent="0.2">
      <c r="A2" s="8" t="str">
        <f>'1'!$A$2</f>
        <v>Commercial Property - Wind &amp; Hail</v>
      </c>
      <c r="B2" s="12"/>
      <c r="K2" s="7" t="s">
        <v>65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138</v>
      </c>
      <c r="B4" s="12"/>
      <c r="L4" s="2"/>
    </row>
    <row r="5" spans="1:13" x14ac:dyDescent="0.2">
      <c r="A5" s="57"/>
      <c r="B5" s="21"/>
      <c r="C5" s="57"/>
      <c r="D5" s="57"/>
      <c r="E5" s="57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F7" s="6"/>
      <c r="L7" s="2"/>
    </row>
    <row r="8" spans="1:13" ht="12" thickTop="1" x14ac:dyDescent="0.2">
      <c r="L8" s="2"/>
    </row>
    <row r="9" spans="1:13" x14ac:dyDescent="0.2">
      <c r="C9" s="49" t="s">
        <v>111</v>
      </c>
      <c r="D9" t="s">
        <v>51</v>
      </c>
      <c r="L9" s="2"/>
      <c r="M9" s="26"/>
    </row>
    <row r="10" spans="1:13" x14ac:dyDescent="0.2">
      <c r="C10" t="s">
        <v>112</v>
      </c>
      <c r="D10" t="s">
        <v>134</v>
      </c>
      <c r="E10" t="s">
        <v>401</v>
      </c>
      <c r="F10" t="s">
        <v>113</v>
      </c>
      <c r="L10" s="2"/>
      <c r="M10" s="21" t="s">
        <v>133</v>
      </c>
    </row>
    <row r="11" spans="1:13" x14ac:dyDescent="0.2">
      <c r="A11" s="9" t="s">
        <v>110</v>
      </c>
      <c r="B11" s="9"/>
      <c r="C11" s="9" t="str">
        <f>"as of "&amp;TEXT($M$11,"m/d/yy")</f>
        <v>as of 11/30/19</v>
      </c>
      <c r="D11" s="9" t="s">
        <v>135</v>
      </c>
      <c r="E11" s="9" t="s">
        <v>402</v>
      </c>
      <c r="F11" s="9" t="s">
        <v>114</v>
      </c>
      <c r="L11" s="2"/>
      <c r="M11" s="98">
        <f>'[3]Hurr Models'!$C$1</f>
        <v>43799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L12" s="2"/>
    </row>
    <row r="13" spans="1:13" x14ac:dyDescent="0.2">
      <c r="L13" s="2"/>
    </row>
    <row r="14" spans="1:13" x14ac:dyDescent="0.2">
      <c r="A14" t="s">
        <v>118</v>
      </c>
      <c r="C14" s="97">
        <f>ROUND('[3]Hurr Models'!$E30/1000, 0)</f>
        <v>214790</v>
      </c>
      <c r="D14" s="97">
        <f>'[3]Hurr Models'!$K30</f>
        <v>768014.58089985244</v>
      </c>
      <c r="E14" s="37">
        <f>$M$37/10+1</f>
        <v>1.004</v>
      </c>
      <c r="F14" s="37">
        <f>ROUND(D14/C14*E14,3)</f>
        <v>3.59</v>
      </c>
      <c r="H14" s="63"/>
      <c r="I14" s="18"/>
      <c r="L14" s="2"/>
    </row>
    <row r="15" spans="1:13" x14ac:dyDescent="0.2">
      <c r="A15" t="s">
        <v>119</v>
      </c>
      <c r="C15" s="97">
        <f>ROUND('[3]Hurr Models'!$E31/1000, 0)</f>
        <v>407860</v>
      </c>
      <c r="D15" s="97">
        <f>'[3]Hurr Models'!$K31</f>
        <v>1251300.1768322419</v>
      </c>
      <c r="E15" s="37">
        <f t="shared" ref="E15:E31" si="0">$M$37/10+1</f>
        <v>1.004</v>
      </c>
      <c r="F15" s="37">
        <f t="shared" ref="F15:F31" si="1">ROUND(D15/C15*E15,3)</f>
        <v>3.08</v>
      </c>
      <c r="H15" s="63"/>
      <c r="I15" s="18"/>
      <c r="L15" s="2"/>
    </row>
    <row r="16" spans="1:13" x14ac:dyDescent="0.2">
      <c r="A16" t="s">
        <v>120</v>
      </c>
      <c r="C16" s="97">
        <f>ROUND('[3]Hurr Models'!$E32/1000, 0)</f>
        <v>106660</v>
      </c>
      <c r="D16" s="97">
        <f>'[3]Hurr Models'!$K32</f>
        <v>334880.0492786931</v>
      </c>
      <c r="E16" s="37">
        <f t="shared" si="0"/>
        <v>1.004</v>
      </c>
      <c r="F16" s="37">
        <f t="shared" si="1"/>
        <v>3.1520000000000001</v>
      </c>
      <c r="H16" s="63"/>
      <c r="I16" s="18"/>
      <c r="L16" s="2"/>
    </row>
    <row r="17" spans="1:14" x14ac:dyDescent="0.2">
      <c r="A17" t="s">
        <v>121</v>
      </c>
      <c r="C17" s="97">
        <f>ROUND('[3]Hurr Models'!$E33/1000, 0)</f>
        <v>940171</v>
      </c>
      <c r="D17" s="97">
        <f>'[3]Hurr Models'!$K33</f>
        <v>3114923.4854965732</v>
      </c>
      <c r="E17" s="37">
        <f t="shared" si="0"/>
        <v>1.004</v>
      </c>
      <c r="F17" s="37">
        <f t="shared" si="1"/>
        <v>3.3260000000000001</v>
      </c>
      <c r="H17" s="63"/>
      <c r="I17" s="18"/>
      <c r="L17" s="2"/>
    </row>
    <row r="18" spans="1:14" x14ac:dyDescent="0.2">
      <c r="A18" t="s">
        <v>122</v>
      </c>
      <c r="C18" s="97">
        <f>ROUND('[3]Hurr Models'!$E34/1000, 0)</f>
        <v>54565</v>
      </c>
      <c r="D18" s="97">
        <f>'[3]Hurr Models'!$K34</f>
        <v>136702.00484991167</v>
      </c>
      <c r="E18" s="37">
        <f t="shared" si="0"/>
        <v>1.004</v>
      </c>
      <c r="F18" s="37">
        <f t="shared" si="1"/>
        <v>2.5150000000000001</v>
      </c>
      <c r="H18" s="63"/>
      <c r="I18" s="18"/>
      <c r="L18" s="2"/>
    </row>
    <row r="19" spans="1:14" x14ac:dyDescent="0.2">
      <c r="A19" t="s">
        <v>123</v>
      </c>
      <c r="C19" s="97">
        <f>ROUND('[3]Hurr Models'!$E35/1000, 0)</f>
        <v>2266405</v>
      </c>
      <c r="D19" s="97">
        <f>'[3]Hurr Models'!$K35</f>
        <v>19598001.769626275</v>
      </c>
      <c r="E19" s="37">
        <f t="shared" si="0"/>
        <v>1.004</v>
      </c>
      <c r="F19" s="37">
        <f t="shared" si="1"/>
        <v>8.6820000000000004</v>
      </c>
      <c r="H19" s="63"/>
      <c r="I19" s="18"/>
      <c r="L19" s="2"/>
    </row>
    <row r="20" spans="1:14" x14ac:dyDescent="0.2">
      <c r="A20" t="s">
        <v>124</v>
      </c>
      <c r="C20" s="97">
        <f>ROUND('[3]Hurr Models'!$E36/1000, 0)</f>
        <v>34538</v>
      </c>
      <c r="D20" s="97">
        <f>'[3]Hurr Models'!$K36</f>
        <v>204759.90472650822</v>
      </c>
      <c r="E20" s="37">
        <f t="shared" si="0"/>
        <v>1.004</v>
      </c>
      <c r="F20" s="37">
        <f t="shared" si="1"/>
        <v>5.952</v>
      </c>
      <c r="H20" s="63"/>
      <c r="I20" s="18"/>
      <c r="L20" s="2"/>
    </row>
    <row r="21" spans="1:14" x14ac:dyDescent="0.2">
      <c r="A21" t="s">
        <v>125</v>
      </c>
      <c r="C21" s="97">
        <f>ROUND('[3]Hurr Models'!$E37/1000, 0)</f>
        <v>330152</v>
      </c>
      <c r="D21" s="97">
        <f>'[3]Hurr Models'!$K37</f>
        <v>908703.41680645698</v>
      </c>
      <c r="E21" s="37">
        <f t="shared" si="0"/>
        <v>1.004</v>
      </c>
      <c r="F21" s="37">
        <f t="shared" si="1"/>
        <v>2.7629999999999999</v>
      </c>
      <c r="H21" s="63"/>
      <c r="I21" s="18"/>
      <c r="L21" s="2"/>
    </row>
    <row r="22" spans="1:14" x14ac:dyDescent="0.2">
      <c r="A22" t="s">
        <v>126</v>
      </c>
      <c r="C22" s="97">
        <f>ROUND('[3]Hurr Models'!$E38/1000, 0)</f>
        <v>694</v>
      </c>
      <c r="D22" s="97">
        <f>'[3]Hurr Models'!$K38</f>
        <v>889.56649004320479</v>
      </c>
      <c r="E22" s="37">
        <f t="shared" si="0"/>
        <v>1.004</v>
      </c>
      <c r="F22" s="37">
        <f t="shared" si="1"/>
        <v>1.2869999999999999</v>
      </c>
      <c r="H22" s="63"/>
      <c r="I22" s="18"/>
      <c r="L22" s="2"/>
    </row>
    <row r="23" spans="1:14" x14ac:dyDescent="0.2">
      <c r="A23" t="s">
        <v>127</v>
      </c>
      <c r="B23" s="21"/>
      <c r="C23" s="97">
        <f>ROUND('[3]Hurr Models'!$E39/1000, 0)</f>
        <v>13597</v>
      </c>
      <c r="D23" s="97">
        <f>'[3]Hurr Models'!$K39</f>
        <v>15713.462584812614</v>
      </c>
      <c r="E23" s="37">
        <f t="shared" si="0"/>
        <v>1.004</v>
      </c>
      <c r="F23" s="37">
        <f t="shared" si="1"/>
        <v>1.1599999999999999</v>
      </c>
      <c r="H23" s="63"/>
      <c r="I23" s="18"/>
      <c r="L23" s="2"/>
    </row>
    <row r="24" spans="1:14" x14ac:dyDescent="0.2">
      <c r="A24" t="s">
        <v>128</v>
      </c>
      <c r="B24" s="21"/>
      <c r="C24" s="97">
        <f>ROUND('[3]Hurr Models'!$E40/1000, 0)</f>
        <v>81017</v>
      </c>
      <c r="D24" s="97">
        <f>'[3]Hurr Models'!$K40</f>
        <v>241128.9695809719</v>
      </c>
      <c r="E24" s="37">
        <f t="shared" si="0"/>
        <v>1.004</v>
      </c>
      <c r="F24" s="37">
        <f t="shared" si="1"/>
        <v>2.988</v>
      </c>
      <c r="H24" s="63"/>
      <c r="I24" s="18"/>
      <c r="L24" s="2"/>
    </row>
    <row r="25" spans="1:14" x14ac:dyDescent="0.2">
      <c r="A25" t="s">
        <v>129</v>
      </c>
      <c r="B25" s="21"/>
      <c r="C25" s="97">
        <f>ROUND('[3]Hurr Models'!$E41/1000, 0)</f>
        <v>1434990</v>
      </c>
      <c r="D25" s="97">
        <f>'[3]Hurr Models'!$K41</f>
        <v>5299838.291109262</v>
      </c>
      <c r="E25" s="37">
        <f t="shared" si="0"/>
        <v>1.004</v>
      </c>
      <c r="F25" s="37">
        <f>ROUND(D25/C25*E25,3)</f>
        <v>3.7080000000000002</v>
      </c>
      <c r="H25" s="63"/>
      <c r="I25" s="18"/>
      <c r="L25" s="2"/>
    </row>
    <row r="26" spans="1:14" x14ac:dyDescent="0.2">
      <c r="A26" t="s">
        <v>130</v>
      </c>
      <c r="C26" s="97">
        <f>ROUND('[3]Hurr Models'!$E42/1000, 0)</f>
        <v>23556</v>
      </c>
      <c r="D26" s="97">
        <f>'[3]Hurr Models'!$K42</f>
        <v>34929.063180756675</v>
      </c>
      <c r="E26" s="37">
        <f t="shared" si="0"/>
        <v>1.004</v>
      </c>
      <c r="F26" s="37">
        <f t="shared" si="1"/>
        <v>1.4890000000000001</v>
      </c>
      <c r="H26" s="63"/>
      <c r="I26" s="18"/>
      <c r="L26" s="2"/>
    </row>
    <row r="27" spans="1:14" x14ac:dyDescent="0.2">
      <c r="A27" t="s">
        <v>131</v>
      </c>
      <c r="C27" s="97">
        <f>ROUND('[3]Hurr Models'!$E43/1000, 0)</f>
        <v>109129</v>
      </c>
      <c r="D27" s="97">
        <f>'[3]Hurr Models'!$K43</f>
        <v>267643.47081202042</v>
      </c>
      <c r="E27" s="37">
        <f t="shared" si="0"/>
        <v>1.004</v>
      </c>
      <c r="F27" s="37">
        <f t="shared" si="1"/>
        <v>2.4620000000000002</v>
      </c>
      <c r="H27" s="63"/>
      <c r="I27" s="18"/>
      <c r="L27" s="2"/>
      <c r="M27" s="40"/>
    </row>
    <row r="28" spans="1:14" x14ac:dyDescent="0.2">
      <c r="A28" t="s">
        <v>132</v>
      </c>
      <c r="C28" s="97">
        <f>ROUND('[3]Hurr Models'!$E44/1000, 0)</f>
        <v>13589</v>
      </c>
      <c r="D28" s="97">
        <f>'[3]Hurr Models'!$K44</f>
        <v>34543.697129481829</v>
      </c>
      <c r="E28" s="37">
        <f t="shared" si="0"/>
        <v>1.004</v>
      </c>
      <c r="F28" s="37">
        <f t="shared" si="1"/>
        <v>2.552</v>
      </c>
      <c r="H28" s="63"/>
      <c r="I28" s="18"/>
      <c r="L28" s="2"/>
      <c r="M28" s="40" t="s">
        <v>517</v>
      </c>
      <c r="N28" s="18">
        <v>32910025.013514452</v>
      </c>
    </row>
    <row r="29" spans="1:14" x14ac:dyDescent="0.2">
      <c r="A29" s="9"/>
      <c r="B29" s="25"/>
      <c r="C29" s="88"/>
      <c r="D29" s="88"/>
      <c r="E29" s="38"/>
      <c r="F29" s="38"/>
      <c r="G29" s="42"/>
      <c r="H29" s="46"/>
      <c r="I29" s="46"/>
      <c r="J29" s="42"/>
      <c r="K29" s="57"/>
      <c r="L29" s="2"/>
      <c r="N29" s="306">
        <f>N28/D31</f>
        <v>1.0216706107305034</v>
      </c>
    </row>
    <row r="30" spans="1:14" x14ac:dyDescent="0.2">
      <c r="C30" s="18"/>
      <c r="D30" s="18"/>
      <c r="E30" s="12"/>
      <c r="F30" s="12"/>
      <c r="H30" s="18"/>
      <c r="I30" s="18"/>
      <c r="L30" s="2"/>
    </row>
    <row r="31" spans="1:14" x14ac:dyDescent="0.2">
      <c r="A31" t="s">
        <v>8</v>
      </c>
      <c r="C31" s="29">
        <f>SUM(C14:C28)</f>
        <v>6031713</v>
      </c>
      <c r="D31" s="29">
        <f>SUM(D14:D28)</f>
        <v>32211971.909403853</v>
      </c>
      <c r="E31" s="37">
        <f t="shared" si="0"/>
        <v>1.004</v>
      </c>
      <c r="F31" s="37">
        <f t="shared" si="1"/>
        <v>5.3620000000000001</v>
      </c>
      <c r="H31" s="18"/>
      <c r="I31" s="18"/>
      <c r="L31" s="2"/>
    </row>
    <row r="32" spans="1:14" ht="12" thickBot="1" x14ac:dyDescent="0.25">
      <c r="A32" s="6"/>
      <c r="B32" s="6"/>
      <c r="C32" s="6"/>
      <c r="D32" s="6"/>
      <c r="E32" s="6"/>
      <c r="F32" s="6"/>
      <c r="L32" s="2"/>
    </row>
    <row r="33" spans="1:14" ht="12" thickTop="1" x14ac:dyDescent="0.2">
      <c r="L33" s="2"/>
    </row>
    <row r="34" spans="1:14" x14ac:dyDescent="0.2">
      <c r="A34" t="s">
        <v>18</v>
      </c>
      <c r="L34" s="2"/>
    </row>
    <row r="35" spans="1:14" x14ac:dyDescent="0.2">
      <c r="B35" s="21" t="str">
        <f>C12&amp;" Provided by TWIA and Geo-coded by AIR"</f>
        <v>(2) Provided by TWIA and Geo-coded by AIR</v>
      </c>
      <c r="L35" s="2"/>
    </row>
    <row r="36" spans="1:14" x14ac:dyDescent="0.2">
      <c r="B36" s="21" t="str">
        <f>D12&amp;" Provided by AIR"</f>
        <v>(3) Provided by AIR</v>
      </c>
      <c r="L36" s="2"/>
    </row>
    <row r="37" spans="1:14" x14ac:dyDescent="0.2">
      <c r="B37" s="21" t="str">
        <f>E12&amp;" = 10% of modeled storm surge increase, estimated to be "&amp;TEXT($M$37,"0.0%")</f>
        <v>(4) = 10% of modeled storm surge increase, estimated to be 4.0%</v>
      </c>
      <c r="F37" s="58"/>
      <c r="G37" s="22"/>
      <c r="H37" s="22"/>
      <c r="I37" s="22"/>
      <c r="L37" s="2"/>
      <c r="M37" s="381">
        <v>0.04</v>
      </c>
      <c r="N37" t="s">
        <v>403</v>
      </c>
    </row>
    <row r="38" spans="1:14" x14ac:dyDescent="0.2">
      <c r="B38" s="21" t="str">
        <f>F12&amp;" = "&amp;D12&amp;" / "&amp;C12&amp;" * "&amp;E12</f>
        <v>(5) = (3) / (2) * (4)</v>
      </c>
      <c r="L38" s="2"/>
    </row>
    <row r="39" spans="1:14" x14ac:dyDescent="0.2">
      <c r="L39" s="2"/>
    </row>
    <row r="40" spans="1:14" x14ac:dyDescent="0.2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2"/>
    </row>
    <row r="41" spans="1:14" x14ac:dyDescent="0.2">
      <c r="L41" s="2"/>
    </row>
    <row r="42" spans="1:14" s="57" customFormat="1" x14ac:dyDescent="0.2">
      <c r="A42"/>
      <c r="B42"/>
      <c r="C42"/>
      <c r="D42"/>
      <c r="E42"/>
      <c r="F42"/>
      <c r="G42"/>
      <c r="H42"/>
      <c r="I42"/>
      <c r="J42"/>
      <c r="K42"/>
      <c r="L42" s="2"/>
    </row>
    <row r="43" spans="1:14" s="57" customFormat="1" x14ac:dyDescent="0.2">
      <c r="A43"/>
      <c r="B43"/>
      <c r="C43"/>
      <c r="D43"/>
      <c r="E43"/>
      <c r="F43" s="42"/>
      <c r="G43"/>
      <c r="H43"/>
      <c r="I43"/>
      <c r="J43"/>
      <c r="K43"/>
      <c r="L43" s="2"/>
    </row>
    <row r="44" spans="1:14" x14ac:dyDescent="0.2">
      <c r="L44" s="2"/>
    </row>
    <row r="45" spans="1:14" x14ac:dyDescent="0.2">
      <c r="L45" s="2"/>
    </row>
    <row r="46" spans="1:14" x14ac:dyDescent="0.2">
      <c r="L46" s="2"/>
    </row>
    <row r="47" spans="1:14" x14ac:dyDescent="0.2">
      <c r="L47" s="2"/>
    </row>
    <row r="48" spans="1:14" x14ac:dyDescent="0.2">
      <c r="L48" s="2"/>
    </row>
    <row r="49" spans="1:12" x14ac:dyDescent="0.2">
      <c r="L49" s="2"/>
    </row>
    <row r="50" spans="1:12" x14ac:dyDescent="0.2">
      <c r="L50" s="2"/>
    </row>
    <row r="51" spans="1:12" s="57" customFormat="1" x14ac:dyDescent="0.2">
      <c r="A51"/>
      <c r="B51"/>
      <c r="C51"/>
      <c r="D51"/>
      <c r="E51"/>
      <c r="L51" s="2"/>
    </row>
    <row r="52" spans="1:12" s="57" customFormat="1" x14ac:dyDescent="0.2">
      <c r="L52" s="2"/>
    </row>
    <row r="53" spans="1:12" s="57" customFormat="1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L53" s="2"/>
    </row>
    <row r="54" spans="1:12" s="57" customFormat="1" x14ac:dyDescent="0.2">
      <c r="L54" s="2"/>
    </row>
    <row r="55" spans="1:12" s="57" customFormat="1" x14ac:dyDescent="0.2">
      <c r="L55" s="2"/>
    </row>
    <row r="56" spans="1:12" s="57" customFormat="1" x14ac:dyDescent="0.2">
      <c r="L56" s="2"/>
    </row>
    <row r="57" spans="1:12" s="57" customFormat="1" x14ac:dyDescent="0.2">
      <c r="L57" s="2"/>
    </row>
    <row r="58" spans="1:12" s="57" customFormat="1" x14ac:dyDescent="0.2">
      <c r="L58" s="2"/>
    </row>
    <row r="59" spans="1:12" s="57" customFormat="1" x14ac:dyDescent="0.2">
      <c r="L59" s="2"/>
    </row>
    <row r="60" spans="1:12" s="57" customFormat="1" x14ac:dyDescent="0.2">
      <c r="L60" s="2"/>
    </row>
    <row r="61" spans="1:12" s="57" customFormat="1" x14ac:dyDescent="0.2">
      <c r="L61" s="2"/>
    </row>
    <row r="62" spans="1:12" s="57" customFormat="1" x14ac:dyDescent="0.2">
      <c r="L62" s="2"/>
    </row>
    <row r="63" spans="1:12" s="57" customFormat="1" x14ac:dyDescent="0.2">
      <c r="A63" s="67"/>
      <c r="C63" s="36"/>
      <c r="D63" s="36"/>
      <c r="E63" s="36"/>
      <c r="F63" s="36"/>
      <c r="G63" s="31"/>
      <c r="H63" s="31"/>
      <c r="I63" s="31"/>
      <c r="J63" s="31"/>
      <c r="L63" s="2"/>
    </row>
    <row r="64" spans="1:12" s="57" customFormat="1" x14ac:dyDescent="0.2">
      <c r="A64" s="67"/>
      <c r="C64" s="28"/>
      <c r="D64" s="28"/>
      <c r="E64" s="28"/>
      <c r="F64" s="28"/>
      <c r="G64" s="28"/>
      <c r="H64" s="28"/>
      <c r="I64" s="28"/>
      <c r="J64" s="28"/>
      <c r="L64" s="2"/>
    </row>
    <row r="65" spans="1:12" x14ac:dyDescent="0.2">
      <c r="B65" s="24"/>
      <c r="C65" s="58"/>
      <c r="D65" s="58"/>
      <c r="E65" s="58"/>
      <c r="F65" s="58"/>
      <c r="G65" s="22"/>
      <c r="H65" s="22"/>
      <c r="I65" s="22"/>
      <c r="L65" s="2"/>
    </row>
    <row r="66" spans="1:12" x14ac:dyDescent="0.2">
      <c r="B66" s="24"/>
      <c r="C66" s="58"/>
      <c r="D66" s="58"/>
      <c r="E66" s="58"/>
      <c r="F66" s="58"/>
      <c r="G66" s="22"/>
      <c r="H66" s="22"/>
      <c r="I66" s="22"/>
      <c r="L66" s="2"/>
    </row>
    <row r="67" spans="1:12" x14ac:dyDescent="0.2">
      <c r="B67" s="24"/>
      <c r="C67" s="58"/>
      <c r="D67" s="58"/>
      <c r="E67" s="58"/>
      <c r="F67" s="58"/>
      <c r="G67" s="22"/>
      <c r="H67" s="22"/>
      <c r="I67" s="22"/>
      <c r="L67" s="2"/>
    </row>
    <row r="68" spans="1:12" ht="12" thickBot="1" x14ac:dyDescent="0.25">
      <c r="B68" s="24"/>
      <c r="C68" s="58"/>
      <c r="D68" s="58"/>
      <c r="E68" s="58"/>
      <c r="F68" s="58"/>
      <c r="G68" s="22"/>
      <c r="H68" s="22"/>
      <c r="I68" s="22"/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0">
    <tabColor rgb="FF92D050"/>
  </sheetPr>
  <dimension ref="A1:L69"/>
  <sheetViews>
    <sheetView showGridLines="0" zoomScaleNormal="100" workbookViewId="0">
      <selection activeCell="H42" sqref="H42"/>
    </sheetView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19.5" customWidth="1"/>
    <col min="5" max="5" width="15.33203125" customWidth="1"/>
    <col min="6" max="9" width="11.33203125" customWidth="1"/>
    <col min="10" max="10" width="5.1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136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21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140</v>
      </c>
      <c r="B4" s="12"/>
      <c r="K4" s="2"/>
    </row>
    <row r="5" spans="1:12" x14ac:dyDescent="0.2">
      <c r="A5" s="57"/>
      <c r="B5" s="21"/>
      <c r="C5" s="57"/>
      <c r="D5" s="57"/>
      <c r="E5" s="57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49" t="s">
        <v>111</v>
      </c>
      <c r="D9" s="11"/>
      <c r="K9" s="2"/>
      <c r="L9" s="26"/>
    </row>
    <row r="10" spans="1:12" x14ac:dyDescent="0.2">
      <c r="C10" t="s">
        <v>112</v>
      </c>
      <c r="D10" s="11" t="s">
        <v>113</v>
      </c>
      <c r="E10" t="s">
        <v>116</v>
      </c>
      <c r="K10" s="2"/>
      <c r="L10" s="21" t="s">
        <v>133</v>
      </c>
    </row>
    <row r="11" spans="1:12" x14ac:dyDescent="0.2">
      <c r="A11" s="9" t="s">
        <v>110</v>
      </c>
      <c r="B11" s="9"/>
      <c r="C11" s="9" t="str">
        <f>"as of "&amp;TEXT($L$11,"m/d/yy")</f>
        <v>as of 11/30/19</v>
      </c>
      <c r="D11" s="336" t="s">
        <v>114</v>
      </c>
      <c r="E11" s="9" t="s">
        <v>115</v>
      </c>
      <c r="K11" s="2"/>
      <c r="L11" s="49">
        <f>'8.2'!M11</f>
        <v>43799</v>
      </c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">
        <v>118</v>
      </c>
      <c r="C14" s="253">
        <f>'8.2'!C14</f>
        <v>214790</v>
      </c>
      <c r="D14" s="349">
        <f>'8.2'!F14</f>
        <v>3.9140000000000001</v>
      </c>
      <c r="E14" s="29">
        <f>ROUND(C14*D14,0)</f>
        <v>840688</v>
      </c>
      <c r="K14" s="2"/>
    </row>
    <row r="15" spans="1:12" x14ac:dyDescent="0.2">
      <c r="A15" t="s">
        <v>119</v>
      </c>
      <c r="C15" s="253">
        <f>'8.2'!C15</f>
        <v>407860</v>
      </c>
      <c r="D15" s="349">
        <f>'8.2'!F15</f>
        <v>3.637</v>
      </c>
      <c r="E15" s="29">
        <f t="shared" ref="E15:E28" si="0">ROUND(C15*D15,0)</f>
        <v>1483387</v>
      </c>
      <c r="K15" s="2"/>
    </row>
    <row r="16" spans="1:12" x14ac:dyDescent="0.2">
      <c r="A16" t="s">
        <v>120</v>
      </c>
      <c r="C16" s="253">
        <f>'8.2'!C16</f>
        <v>106660</v>
      </c>
      <c r="D16" s="349">
        <f>'8.2'!F16</f>
        <v>4.6710000000000003</v>
      </c>
      <c r="E16" s="29">
        <f t="shared" si="0"/>
        <v>498209</v>
      </c>
      <c r="K16" s="2"/>
    </row>
    <row r="17" spans="1:11" x14ac:dyDescent="0.2">
      <c r="A17" t="s">
        <v>121</v>
      </c>
      <c r="C17" s="253">
        <f>'8.2'!C17</f>
        <v>940171</v>
      </c>
      <c r="D17" s="349">
        <f>'8.2'!F17</f>
        <v>5.0010000000000003</v>
      </c>
      <c r="E17" s="29">
        <f t="shared" si="0"/>
        <v>4701795</v>
      </c>
      <c r="K17" s="2"/>
    </row>
    <row r="18" spans="1:11" x14ac:dyDescent="0.2">
      <c r="A18" t="s">
        <v>122</v>
      </c>
      <c r="C18" s="253">
        <f>'8.2'!C18</f>
        <v>54565</v>
      </c>
      <c r="D18" s="349">
        <f>'8.2'!F18</f>
        <v>3.1659999999999999</v>
      </c>
      <c r="E18" s="29">
        <f t="shared" si="0"/>
        <v>172753</v>
      </c>
      <c r="K18" s="2"/>
    </row>
    <row r="19" spans="1:11" x14ac:dyDescent="0.2">
      <c r="A19" t="s">
        <v>123</v>
      </c>
      <c r="C19" s="253">
        <f>'8.2'!C19</f>
        <v>2266405</v>
      </c>
      <c r="D19" s="349">
        <f>'8.2'!F19</f>
        <v>6.39</v>
      </c>
      <c r="E19" s="29">
        <f t="shared" si="0"/>
        <v>14482328</v>
      </c>
      <c r="K19" s="2"/>
    </row>
    <row r="20" spans="1:11" x14ac:dyDescent="0.2">
      <c r="A20" t="s">
        <v>124</v>
      </c>
      <c r="C20" s="253">
        <f>'8.2'!C20</f>
        <v>34538</v>
      </c>
      <c r="D20" s="349">
        <f>'8.2'!F20</f>
        <v>5.101</v>
      </c>
      <c r="E20" s="29">
        <f t="shared" si="0"/>
        <v>176178</v>
      </c>
      <c r="K20" s="2"/>
    </row>
    <row r="21" spans="1:11" x14ac:dyDescent="0.2">
      <c r="A21" t="s">
        <v>125</v>
      </c>
      <c r="C21" s="253">
        <f>'8.2'!C21</f>
        <v>330152</v>
      </c>
      <c r="D21" s="349">
        <f>'8.2'!F21</f>
        <v>2.8420000000000001</v>
      </c>
      <c r="E21" s="29">
        <f t="shared" si="0"/>
        <v>938292</v>
      </c>
      <c r="K21" s="2"/>
    </row>
    <row r="22" spans="1:11" x14ac:dyDescent="0.2">
      <c r="A22" t="s">
        <v>126</v>
      </c>
      <c r="C22" s="253">
        <f>'8.2'!C22</f>
        <v>694</v>
      </c>
      <c r="D22" s="349">
        <f>'8.2'!F22</f>
        <v>2.4169999999999998</v>
      </c>
      <c r="E22" s="29">
        <f t="shared" si="0"/>
        <v>1677</v>
      </c>
      <c r="K22" s="2"/>
    </row>
    <row r="23" spans="1:11" x14ac:dyDescent="0.2">
      <c r="A23" t="s">
        <v>127</v>
      </c>
      <c r="B23" s="21"/>
      <c r="C23" s="253">
        <f>'8.2'!C23</f>
        <v>13597</v>
      </c>
      <c r="D23" s="349">
        <f>'8.2'!F23</f>
        <v>2.0459999999999998</v>
      </c>
      <c r="E23" s="29">
        <f t="shared" si="0"/>
        <v>27819</v>
      </c>
      <c r="K23" s="2"/>
    </row>
    <row r="24" spans="1:11" x14ac:dyDescent="0.2">
      <c r="A24" t="s">
        <v>128</v>
      </c>
      <c r="B24" s="21"/>
      <c r="C24" s="253">
        <f>'8.2'!C24</f>
        <v>81017</v>
      </c>
      <c r="D24" s="349">
        <f>'8.2'!F24</f>
        <v>4.0190000000000001</v>
      </c>
      <c r="E24" s="29">
        <f t="shared" si="0"/>
        <v>325607</v>
      </c>
      <c r="K24" s="2"/>
    </row>
    <row r="25" spans="1:11" x14ac:dyDescent="0.2">
      <c r="A25" t="s">
        <v>129</v>
      </c>
      <c r="B25" s="21"/>
      <c r="C25" s="253">
        <f>'8.2'!C25</f>
        <v>1434990</v>
      </c>
      <c r="D25" s="349">
        <f>'8.2'!F25</f>
        <v>4.0789999999999997</v>
      </c>
      <c r="E25" s="29">
        <f>ROUND(C25*D25,0)</f>
        <v>5853324</v>
      </c>
      <c r="K25" s="2"/>
    </row>
    <row r="26" spans="1:11" x14ac:dyDescent="0.2">
      <c r="A26" t="s">
        <v>130</v>
      </c>
      <c r="C26" s="253">
        <f>'8.2'!C26</f>
        <v>23556</v>
      </c>
      <c r="D26" s="349">
        <f>'8.2'!F26</f>
        <v>2.746</v>
      </c>
      <c r="E26" s="29">
        <f t="shared" si="0"/>
        <v>64685</v>
      </c>
      <c r="K26" s="2"/>
    </row>
    <row r="27" spans="1:11" x14ac:dyDescent="0.2">
      <c r="A27" t="s">
        <v>131</v>
      </c>
      <c r="C27" s="253">
        <f>'8.2'!C27</f>
        <v>109129</v>
      </c>
      <c r="D27" s="349">
        <f>'8.2'!F27</f>
        <v>3.407</v>
      </c>
      <c r="E27" s="29">
        <f t="shared" si="0"/>
        <v>371803</v>
      </c>
      <c r="K27" s="2"/>
    </row>
    <row r="28" spans="1:11" x14ac:dyDescent="0.2">
      <c r="A28" t="s">
        <v>132</v>
      </c>
      <c r="C28" s="253">
        <f>'8.2'!C28</f>
        <v>13589</v>
      </c>
      <c r="D28" s="349">
        <f>'8.2'!F28</f>
        <v>4.03</v>
      </c>
      <c r="E28" s="29">
        <f t="shared" si="0"/>
        <v>54764</v>
      </c>
      <c r="K28" s="2"/>
    </row>
    <row r="29" spans="1:11" s="57" customFormat="1" x14ac:dyDescent="0.2">
      <c r="A29" s="9"/>
      <c r="B29" s="25"/>
      <c r="C29" s="254"/>
      <c r="D29" s="350"/>
      <c r="E29" s="30"/>
      <c r="K29" s="2"/>
    </row>
    <row r="30" spans="1:11" x14ac:dyDescent="0.2">
      <c r="C30" s="18"/>
      <c r="D30" s="310"/>
      <c r="E30" s="12"/>
      <c r="K30" s="2"/>
    </row>
    <row r="31" spans="1:11" x14ac:dyDescent="0.2">
      <c r="A31" t="s">
        <v>8</v>
      </c>
      <c r="C31" s="29">
        <f>SUM(C14:C28)</f>
        <v>6031713</v>
      </c>
      <c r="D31" s="349">
        <f>E31/C31</f>
        <v>4.9726021446975341</v>
      </c>
      <c r="E31" s="29">
        <f>SUM(E14:E28)</f>
        <v>29993309</v>
      </c>
      <c r="K31" s="2"/>
    </row>
    <row r="32" spans="1:11" x14ac:dyDescent="0.2">
      <c r="K32" s="2"/>
    </row>
    <row r="33" spans="1:11" x14ac:dyDescent="0.2">
      <c r="A33" s="53" t="s">
        <v>90</v>
      </c>
      <c r="B33" t="str">
        <f>'7.1'!B33</f>
        <v>Inforce-Premium as of 11/30/19 at Present Rates</v>
      </c>
      <c r="E33" s="29">
        <f>'7.1'!E33</f>
        <v>57743025</v>
      </c>
      <c r="K33" s="2"/>
    </row>
    <row r="34" spans="1:11" x14ac:dyDescent="0.2">
      <c r="A34" s="53" t="s">
        <v>94</v>
      </c>
      <c r="B34" t="s">
        <v>117</v>
      </c>
      <c r="E34" s="19">
        <f>ROUND(E31/E33,3)</f>
        <v>0.51900000000000002</v>
      </c>
      <c r="F34" s="42"/>
      <c r="G34" s="42"/>
      <c r="H34" s="42"/>
      <c r="K34" s="2"/>
    </row>
    <row r="35" spans="1:11" ht="12" thickBot="1" x14ac:dyDescent="0.25">
      <c r="A35" s="6"/>
      <c r="B35" s="6"/>
      <c r="C35" s="6"/>
      <c r="D35" s="6"/>
      <c r="E35" s="6"/>
      <c r="K35" s="2"/>
    </row>
    <row r="36" spans="1:11" ht="12" thickTop="1" x14ac:dyDescent="0.2">
      <c r="K36" s="2"/>
    </row>
    <row r="37" spans="1:11" x14ac:dyDescent="0.2">
      <c r="A37" t="s">
        <v>18</v>
      </c>
      <c r="K37" s="2"/>
    </row>
    <row r="38" spans="1:11" x14ac:dyDescent="0.2">
      <c r="B38" s="21" t="str">
        <f>C12&amp;" Provided by TWIA"</f>
        <v>(2) Provided by TWIA</v>
      </c>
      <c r="K38" s="2"/>
    </row>
    <row r="39" spans="1:11" x14ac:dyDescent="0.2">
      <c r="B39" s="21" t="str">
        <f>D12&amp;" "&amp;'8.2'!$K$1&amp;", "&amp;'8.2'!$K$2</f>
        <v>(3) Exhibit 8, Sheet 2</v>
      </c>
      <c r="K39" s="2"/>
    </row>
    <row r="40" spans="1:11" x14ac:dyDescent="0.2">
      <c r="B40" s="21" t="str">
        <f>E12&amp;" = "&amp;C12&amp;" * "&amp;D12</f>
        <v>(4) = (2) * (3)</v>
      </c>
      <c r="F40" s="58"/>
      <c r="G40" s="58"/>
      <c r="H40" s="58"/>
      <c r="K40" s="2"/>
    </row>
    <row r="41" spans="1:11" x14ac:dyDescent="0.2">
      <c r="B41" s="21" t="str">
        <f>A33&amp;" Provided by TWIA"</f>
        <v>(5) Provided by TWIA</v>
      </c>
      <c r="K41" s="2"/>
    </row>
    <row r="42" spans="1:11" x14ac:dyDescent="0.2">
      <c r="B42" s="21" t="str">
        <f>A34&amp;" = "&amp;E12&amp;" Total / "&amp;A33</f>
        <v>(6) = (4) Total / (5)</v>
      </c>
      <c r="K42" s="2"/>
    </row>
    <row r="43" spans="1:11" s="57" customFormat="1" x14ac:dyDescent="0.2">
      <c r="A43" s="42"/>
      <c r="B43" s="42"/>
      <c r="C43" s="42"/>
      <c r="D43" s="42"/>
      <c r="E43" s="42"/>
      <c r="F43" s="42"/>
      <c r="G43" s="42"/>
      <c r="H43" s="42"/>
      <c r="I43" s="42"/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1" spans="1:11" s="57" customFormat="1" x14ac:dyDescent="0.2">
      <c r="A51"/>
      <c r="B51"/>
      <c r="C51"/>
      <c r="D51"/>
      <c r="E51"/>
      <c r="K51" s="2"/>
    </row>
    <row r="52" spans="1:11" s="57" customFormat="1" x14ac:dyDescent="0.2">
      <c r="K52" s="2"/>
    </row>
    <row r="53" spans="1:11" s="57" customFormat="1" x14ac:dyDescent="0.2">
      <c r="A53" s="42"/>
      <c r="B53" s="42"/>
      <c r="C53" s="42"/>
      <c r="D53" s="42"/>
      <c r="E53" s="42"/>
      <c r="F53" s="42"/>
      <c r="G53" s="42"/>
      <c r="H53" s="42"/>
      <c r="I53" s="42"/>
      <c r="K53" s="2"/>
    </row>
    <row r="54" spans="1:11" s="57" customFormat="1" x14ac:dyDescent="0.2">
      <c r="K54" s="2"/>
    </row>
    <row r="55" spans="1:11" s="57" customFormat="1" x14ac:dyDescent="0.2">
      <c r="A55" s="67"/>
      <c r="C55" s="36"/>
      <c r="D55" s="36"/>
      <c r="E55" s="36"/>
      <c r="F55" s="36"/>
      <c r="G55" s="36"/>
      <c r="H55" s="36"/>
      <c r="I55" s="31"/>
      <c r="K55" s="2"/>
    </row>
    <row r="56" spans="1:11" s="57" customFormat="1" x14ac:dyDescent="0.2">
      <c r="A56" s="67"/>
      <c r="C56" s="36"/>
      <c r="D56" s="36"/>
      <c r="E56" s="36"/>
      <c r="F56" s="36"/>
      <c r="G56" s="36"/>
      <c r="H56" s="36"/>
      <c r="I56" s="31"/>
      <c r="K56" s="2"/>
    </row>
    <row r="57" spans="1:11" s="57" customFormat="1" x14ac:dyDescent="0.2">
      <c r="A57" s="67"/>
      <c r="C57" s="36"/>
      <c r="D57" s="36"/>
      <c r="E57" s="36"/>
      <c r="F57" s="36"/>
      <c r="G57" s="36"/>
      <c r="H57" s="36"/>
      <c r="I57" s="31"/>
      <c r="K57" s="2"/>
    </row>
    <row r="58" spans="1:11" s="57" customFormat="1" x14ac:dyDescent="0.2">
      <c r="A58" s="67"/>
      <c r="C58" s="36"/>
      <c r="D58" s="36"/>
      <c r="E58" s="36"/>
      <c r="F58" s="36"/>
      <c r="G58" s="36"/>
      <c r="H58" s="36"/>
      <c r="I58" s="31"/>
      <c r="K58" s="2"/>
    </row>
    <row r="59" spans="1:11" s="57" customFormat="1" x14ac:dyDescent="0.2">
      <c r="A59" s="67"/>
      <c r="C59" s="36"/>
      <c r="D59" s="36"/>
      <c r="E59" s="36"/>
      <c r="F59" s="36"/>
      <c r="G59" s="36"/>
      <c r="H59" s="36"/>
      <c r="I59" s="31"/>
      <c r="K59" s="2"/>
    </row>
    <row r="60" spans="1:11" s="57" customFormat="1" x14ac:dyDescent="0.2">
      <c r="A60" s="67"/>
      <c r="C60" s="36"/>
      <c r="D60" s="36"/>
      <c r="E60" s="36"/>
      <c r="F60" s="36"/>
      <c r="G60" s="36"/>
      <c r="H60" s="36"/>
      <c r="I60" s="31"/>
      <c r="K60" s="2"/>
    </row>
    <row r="61" spans="1:11" s="57" customFormat="1" x14ac:dyDescent="0.2">
      <c r="A61" s="67"/>
      <c r="C61" s="36"/>
      <c r="D61" s="36"/>
      <c r="E61" s="36"/>
      <c r="F61" s="36"/>
      <c r="G61" s="36"/>
      <c r="H61" s="36"/>
      <c r="I61" s="31"/>
      <c r="K61" s="2"/>
    </row>
    <row r="62" spans="1:11" s="57" customFormat="1" x14ac:dyDescent="0.2">
      <c r="A62" s="67"/>
      <c r="C62" s="36"/>
      <c r="D62" s="36"/>
      <c r="E62" s="36"/>
      <c r="F62" s="36"/>
      <c r="G62" s="36"/>
      <c r="H62" s="36"/>
      <c r="I62" s="31"/>
      <c r="K62" s="2"/>
    </row>
    <row r="63" spans="1:11" s="57" customFormat="1" x14ac:dyDescent="0.2">
      <c r="A63" s="67"/>
      <c r="C63" s="28"/>
      <c r="D63" s="28"/>
      <c r="E63" s="28"/>
      <c r="F63" s="28"/>
      <c r="G63" s="28"/>
      <c r="H63" s="28"/>
      <c r="I63" s="28"/>
      <c r="K63" s="2"/>
    </row>
    <row r="64" spans="1:11" x14ac:dyDescent="0.2">
      <c r="B64" s="24"/>
      <c r="C64" s="58"/>
      <c r="D64" s="58"/>
      <c r="E64" s="58"/>
      <c r="F64" s="58"/>
      <c r="G64" s="58"/>
      <c r="H64" s="58"/>
      <c r="K64" s="2"/>
    </row>
    <row r="65" spans="1:11" x14ac:dyDescent="0.2">
      <c r="B65" s="24"/>
      <c r="C65" s="58"/>
      <c r="D65" s="58"/>
      <c r="E65" s="58"/>
      <c r="F65" s="58"/>
      <c r="G65" s="58"/>
      <c r="H65" s="58"/>
      <c r="K65" s="2"/>
    </row>
    <row r="66" spans="1:11" x14ac:dyDescent="0.2">
      <c r="B66" s="24"/>
      <c r="C66" s="58"/>
      <c r="D66" s="58"/>
      <c r="E66" s="58"/>
      <c r="F66" s="58"/>
      <c r="G66" s="58"/>
      <c r="H66" s="58"/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M71"/>
  <sheetViews>
    <sheetView showGridLines="0" zoomScaleNormal="100" workbookViewId="0">
      <selection activeCell="F37" sqref="F37"/>
    </sheetView>
  </sheetViews>
  <sheetFormatPr defaultColWidth="11.33203125" defaultRowHeight="11.25" x14ac:dyDescent="0.2"/>
  <cols>
    <col min="1" max="1" width="2.5" bestFit="1" customWidth="1"/>
    <col min="2" max="2" width="28.5" customWidth="1"/>
    <col min="3" max="3" width="9.6640625" customWidth="1"/>
    <col min="4" max="4" width="13.33203125" customWidth="1"/>
    <col min="5" max="5" width="9.6640625" customWidth="1"/>
    <col min="6" max="6" width="12.6640625" customWidth="1"/>
    <col min="7" max="7" width="11.1640625" customWidth="1"/>
    <col min="8" max="8" width="9.6640625" customWidth="1"/>
    <col min="9" max="9" width="11.33203125" customWidth="1"/>
    <col min="10" max="10" width="6.33203125" customWidth="1"/>
    <col min="11" max="11" width="3.6640625" customWidth="1"/>
    <col min="13" max="13" width="3.5" customWidth="1"/>
  </cols>
  <sheetData>
    <row r="1" spans="1:12" x14ac:dyDescent="0.2">
      <c r="A1" s="8" t="s">
        <v>0</v>
      </c>
      <c r="B1" s="12"/>
      <c r="K1" s="7" t="s">
        <v>4</v>
      </c>
      <c r="L1" s="1"/>
    </row>
    <row r="2" spans="1:12" x14ac:dyDescent="0.2">
      <c r="A2" s="8" t="s">
        <v>188</v>
      </c>
      <c r="B2" s="12"/>
      <c r="H2" s="7"/>
      <c r="I2" s="7"/>
      <c r="J2" s="7"/>
      <c r="K2" s="7"/>
      <c r="L2" s="2"/>
    </row>
    <row r="3" spans="1:12" x14ac:dyDescent="0.2">
      <c r="A3" s="8" t="s">
        <v>1</v>
      </c>
      <c r="B3" s="12"/>
      <c r="L3" s="2"/>
    </row>
    <row r="4" spans="1:12" x14ac:dyDescent="0.2">
      <c r="A4" t="s">
        <v>2</v>
      </c>
      <c r="B4" s="12"/>
      <c r="L4" s="2"/>
    </row>
    <row r="5" spans="1:12" x14ac:dyDescent="0.2">
      <c r="A5" s="57" t="s">
        <v>3</v>
      </c>
      <c r="B5" s="21"/>
      <c r="C5" s="57"/>
      <c r="D5" s="57"/>
      <c r="E5" s="57"/>
      <c r="L5" s="2"/>
    </row>
    <row r="6" spans="1:12" x14ac:dyDescent="0.2">
      <c r="L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47"/>
      <c r="K7" s="47"/>
      <c r="L7" s="2"/>
    </row>
    <row r="8" spans="1:12" ht="12" thickTop="1" x14ac:dyDescent="0.2">
      <c r="L8" s="2"/>
    </row>
    <row r="9" spans="1:12" x14ac:dyDescent="0.2">
      <c r="C9" s="10" t="s">
        <v>6</v>
      </c>
      <c r="H9" t="s">
        <v>12</v>
      </c>
      <c r="L9" s="2"/>
    </row>
    <row r="10" spans="1:12" x14ac:dyDescent="0.2">
      <c r="E10" t="s">
        <v>252</v>
      </c>
      <c r="G10" t="s">
        <v>9</v>
      </c>
      <c r="H10" t="s">
        <v>13</v>
      </c>
      <c r="L10" s="2"/>
    </row>
    <row r="11" spans="1:12" x14ac:dyDescent="0.2">
      <c r="A11" s="9" t="s">
        <v>17</v>
      </c>
      <c r="B11" s="9"/>
      <c r="C11" s="9" t="s">
        <v>5</v>
      </c>
      <c r="D11" s="9" t="s">
        <v>7</v>
      </c>
      <c r="E11" s="9" t="s">
        <v>253</v>
      </c>
      <c r="F11" s="9" t="s">
        <v>8</v>
      </c>
      <c r="G11" s="9" t="s">
        <v>254</v>
      </c>
      <c r="H11" s="9" t="s">
        <v>14</v>
      </c>
      <c r="I11" s="9"/>
      <c r="J11" s="47"/>
      <c r="K11" s="47"/>
      <c r="L11" s="2"/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J12" s="11"/>
      <c r="K12" s="11"/>
      <c r="L12" s="2"/>
    </row>
    <row r="13" spans="1:12" x14ac:dyDescent="0.2">
      <c r="L13" s="2"/>
    </row>
    <row r="14" spans="1:12" x14ac:dyDescent="0.2">
      <c r="J14" s="47"/>
      <c r="K14" s="47"/>
      <c r="L14" s="2"/>
    </row>
    <row r="15" spans="1:12" x14ac:dyDescent="0.2">
      <c r="B15" t="s">
        <v>378</v>
      </c>
      <c r="C15" s="19">
        <f>AVERAGE(AVERAGE(C21:C23),C19)</f>
        <v>0.58200000000000007</v>
      </c>
      <c r="D15" s="22">
        <f>D$19</f>
        <v>0.09</v>
      </c>
      <c r="E15" s="22">
        <f>E$19</f>
        <v>0.47743946022948658</v>
      </c>
      <c r="F15" s="17">
        <f>C15+D15+E15</f>
        <v>1.1494394602294866</v>
      </c>
      <c r="G15" s="22">
        <f>G$19</f>
        <v>0.77099999999999991</v>
      </c>
      <c r="H15" s="361">
        <f>ROUND(F15/G15-1,2)</f>
        <v>0.49</v>
      </c>
      <c r="I15" s="216"/>
      <c r="L15" s="2"/>
    </row>
    <row r="16" spans="1:12" x14ac:dyDescent="0.2">
      <c r="A16" s="9"/>
      <c r="B16" s="9"/>
      <c r="C16" s="9"/>
      <c r="D16" s="9"/>
      <c r="E16" s="9"/>
      <c r="F16" s="9"/>
      <c r="G16" s="9"/>
      <c r="H16" s="9"/>
      <c r="I16" s="9"/>
      <c r="J16" s="19"/>
      <c r="L16" s="2"/>
    </row>
    <row r="17" spans="1:13" x14ac:dyDescent="0.2">
      <c r="L17" s="2"/>
    </row>
    <row r="18" spans="1:13" x14ac:dyDescent="0.2">
      <c r="C18" s="14"/>
      <c r="D18" s="14"/>
      <c r="E18" s="14"/>
      <c r="F18" s="14"/>
      <c r="G18" s="14"/>
      <c r="H18" s="15"/>
      <c r="I18" s="15"/>
      <c r="J18" s="15"/>
      <c r="K18" s="15"/>
      <c r="L18" s="2"/>
    </row>
    <row r="19" spans="1:13" x14ac:dyDescent="0.2">
      <c r="B19" t="s">
        <v>318</v>
      </c>
      <c r="C19" s="22">
        <f>'5'!$E$14</f>
        <v>0.54300000000000004</v>
      </c>
      <c r="D19" s="22">
        <f>'2.1'!$H$26</f>
        <v>0.09</v>
      </c>
      <c r="E19" s="22">
        <f>'11.1'!$G$42</f>
        <v>0.47743946022948658</v>
      </c>
      <c r="F19" s="17">
        <f>C19+D19+E19</f>
        <v>1.1104394602294865</v>
      </c>
      <c r="G19" s="22">
        <f>'11.1'!$G$50</f>
        <v>0.77099999999999991</v>
      </c>
      <c r="H19" s="16">
        <f>ROUND(F19/G19-1,2)</f>
        <v>0.44</v>
      </c>
      <c r="I19" s="16"/>
      <c r="J19" s="16"/>
      <c r="K19" s="16"/>
      <c r="L19" s="2"/>
    </row>
    <row r="20" spans="1:13" x14ac:dyDescent="0.2">
      <c r="L20" s="2"/>
    </row>
    <row r="21" spans="1:13" x14ac:dyDescent="0.2">
      <c r="B21" t="s">
        <v>537</v>
      </c>
      <c r="C21" s="22">
        <f>'5'!$E$17</f>
        <v>0.64500000000000002</v>
      </c>
      <c r="D21" s="22">
        <f>D$19</f>
        <v>0.09</v>
      </c>
      <c r="E21" s="22">
        <f>E$19</f>
        <v>0.47743946022948658</v>
      </c>
      <c r="F21" s="17">
        <f>C21+D21+E21</f>
        <v>1.2124394602294866</v>
      </c>
      <c r="G21" s="22">
        <f>G$19</f>
        <v>0.77099999999999991</v>
      </c>
      <c r="H21" s="16">
        <f>ROUND(F21/G21-1,2)</f>
        <v>0.56999999999999995</v>
      </c>
      <c r="I21" s="16"/>
      <c r="J21" s="16"/>
      <c r="K21" s="16"/>
      <c r="L21" s="2"/>
    </row>
    <row r="22" spans="1:13" x14ac:dyDescent="0.2">
      <c r="C22" s="19"/>
      <c r="D22" s="19"/>
      <c r="E22" s="19"/>
      <c r="L22" s="2"/>
    </row>
    <row r="23" spans="1:13" x14ac:dyDescent="0.2">
      <c r="B23" t="s">
        <v>536</v>
      </c>
      <c r="C23" s="22">
        <f>'5'!$E$18</f>
        <v>0.59699999999999998</v>
      </c>
      <c r="D23" s="22">
        <f>D$19</f>
        <v>0.09</v>
      </c>
      <c r="E23" s="22">
        <f>E$19</f>
        <v>0.47743946022948658</v>
      </c>
      <c r="F23" s="17">
        <f>C23+D23+E23</f>
        <v>1.1644394602294865</v>
      </c>
      <c r="G23" s="22">
        <f>G$19</f>
        <v>0.77099999999999991</v>
      </c>
      <c r="H23" s="16">
        <f>ROUND(F23/G23-1,2)</f>
        <v>0.51</v>
      </c>
      <c r="I23" s="16"/>
      <c r="J23" s="16"/>
      <c r="K23" s="16"/>
      <c r="L23" s="2"/>
    </row>
    <row r="24" spans="1:13" x14ac:dyDescent="0.2">
      <c r="C24" s="22"/>
      <c r="D24" s="22"/>
      <c r="E24" s="22"/>
      <c r="F24" s="17"/>
      <c r="G24" s="22"/>
      <c r="H24" s="16"/>
      <c r="I24" s="16"/>
      <c r="J24" s="16"/>
      <c r="K24" s="16"/>
      <c r="L24" s="2"/>
    </row>
    <row r="25" spans="1:13" ht="12" thickBot="1" x14ac:dyDescent="0.25">
      <c r="A25" s="6"/>
      <c r="B25" s="6" t="s">
        <v>574</v>
      </c>
      <c r="C25" s="453">
        <f>AVERAGE(C21,C23)</f>
        <v>0.621</v>
      </c>
      <c r="D25" s="453">
        <f>D23</f>
        <v>0.09</v>
      </c>
      <c r="E25" s="454">
        <f>E23</f>
        <v>0.47743946022948658</v>
      </c>
      <c r="F25" s="453">
        <f>C25+D25+E25</f>
        <v>1.1884394602294865</v>
      </c>
      <c r="G25" s="455">
        <f>G23</f>
        <v>0.77099999999999991</v>
      </c>
      <c r="H25" s="456">
        <f>F25/G25-1</f>
        <v>0.54142601845588412</v>
      </c>
      <c r="I25" s="6"/>
      <c r="L25" s="2"/>
    </row>
    <row r="26" spans="1:13" ht="12" thickTop="1" x14ac:dyDescent="0.2">
      <c r="E26" s="57"/>
      <c r="L26" s="2"/>
    </row>
    <row r="27" spans="1:13" x14ac:dyDescent="0.2">
      <c r="A27" t="s">
        <v>18</v>
      </c>
      <c r="L27" s="2"/>
      <c r="M27" s="12"/>
    </row>
    <row r="28" spans="1:13" x14ac:dyDescent="0.2">
      <c r="B28" s="21" t="str">
        <f>C12&amp;" "&amp;'5'!$H$1</f>
        <v>(2) Exhibit 5</v>
      </c>
      <c r="L28" s="2"/>
    </row>
    <row r="29" spans="1:13" x14ac:dyDescent="0.2">
      <c r="B29" s="21" t="str">
        <f>D12&amp;" "&amp;'2.1'!$J$1&amp;", "&amp;'2.1'!$J$2</f>
        <v>(3) Exhibit 2, Sheet 1</v>
      </c>
      <c r="L29" s="2"/>
    </row>
    <row r="30" spans="1:13" x14ac:dyDescent="0.2">
      <c r="B30" s="21" t="str">
        <f>E12&amp;" "&amp;'11.1'!$J$1</f>
        <v>(4) Exhibit 11</v>
      </c>
      <c r="L30" s="2"/>
    </row>
    <row r="31" spans="1:13" x14ac:dyDescent="0.2">
      <c r="B31" s="112" t="str">
        <f>F12&amp;" = "&amp;C12&amp;" + "&amp;D12&amp;" + "&amp;E12</f>
        <v>(5) = (2) + (3) + (4)</v>
      </c>
      <c r="D31" s="19"/>
      <c r="L31" s="2"/>
    </row>
    <row r="32" spans="1:13" x14ac:dyDescent="0.2">
      <c r="B32" s="21" t="str">
        <f>G12&amp;" "&amp;'11.1'!$J$1</f>
        <v>(6) Exhibit 11</v>
      </c>
      <c r="D32" s="19"/>
      <c r="L32" s="2"/>
    </row>
    <row r="33" spans="2:13" x14ac:dyDescent="0.2">
      <c r="B33" s="12" t="str">
        <f>H12&amp;" = "&amp;F12&amp;" / "&amp;G12&amp;" - 1"</f>
        <v>(7) = (5) / (6) - 1</v>
      </c>
      <c r="I33" s="16"/>
      <c r="J33" s="16"/>
      <c r="K33" s="16"/>
      <c r="L33" s="2"/>
      <c r="M33" s="171"/>
    </row>
    <row r="34" spans="2:13" x14ac:dyDescent="0.2">
      <c r="B34" s="21" t="str">
        <f>I12&amp;" Selected"</f>
        <v xml:space="preserve"> Selected</v>
      </c>
      <c r="L34" s="2"/>
    </row>
    <row r="35" spans="2:13" x14ac:dyDescent="0.2">
      <c r="B35" s="57"/>
      <c r="C35" s="22"/>
      <c r="D35" s="22"/>
      <c r="E35" s="22"/>
      <c r="F35" s="17"/>
      <c r="G35" s="22"/>
      <c r="H35" s="16"/>
      <c r="I35" s="16"/>
      <c r="J35" s="16"/>
      <c r="K35" s="16"/>
      <c r="L35" s="2"/>
      <c r="M35" s="171"/>
    </row>
    <row r="36" spans="2:13" x14ac:dyDescent="0.2">
      <c r="L36" s="2"/>
    </row>
    <row r="37" spans="2:13" x14ac:dyDescent="0.2">
      <c r="L37" s="2"/>
    </row>
    <row r="38" spans="2:13" x14ac:dyDescent="0.2">
      <c r="L38" s="2"/>
    </row>
    <row r="39" spans="2:13" x14ac:dyDescent="0.2">
      <c r="L39" s="2"/>
    </row>
    <row r="40" spans="2:13" x14ac:dyDescent="0.2">
      <c r="L40" s="2"/>
    </row>
    <row r="41" spans="2:13" x14ac:dyDescent="0.2">
      <c r="L41" s="2"/>
    </row>
    <row r="42" spans="2:13" x14ac:dyDescent="0.2">
      <c r="L42" s="2"/>
    </row>
    <row r="43" spans="2:13" x14ac:dyDescent="0.2">
      <c r="L43" s="2"/>
    </row>
    <row r="44" spans="2:13" x14ac:dyDescent="0.2">
      <c r="L44" s="2"/>
    </row>
    <row r="45" spans="2:13" x14ac:dyDescent="0.2">
      <c r="L45" s="2"/>
    </row>
    <row r="46" spans="2:13" x14ac:dyDescent="0.2">
      <c r="L46" s="2"/>
    </row>
    <row r="47" spans="2:13" x14ac:dyDescent="0.2">
      <c r="L47" s="2"/>
    </row>
    <row r="48" spans="2:13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x14ac:dyDescent="0.2">
      <c r="L68" s="2"/>
    </row>
    <row r="69" spans="1:12" x14ac:dyDescent="0.2">
      <c r="L69" s="2"/>
    </row>
    <row r="70" spans="1:12" ht="12" thickBot="1" x14ac:dyDescent="0.25">
      <c r="L70" s="2"/>
    </row>
    <row r="71" spans="1:12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1">
    <tabColor rgb="FF92D050"/>
  </sheetPr>
  <dimension ref="A1:N69"/>
  <sheetViews>
    <sheetView showGridLines="0" zoomScaleNormal="100" workbookViewId="0">
      <selection activeCell="I19" sqref="I19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5" width="15.33203125" customWidth="1"/>
    <col min="6" max="10" width="11.33203125" customWidth="1"/>
    <col min="11" max="11" width="4.6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136</v>
      </c>
      <c r="L1" s="1"/>
    </row>
    <row r="2" spans="1:13" x14ac:dyDescent="0.2">
      <c r="A2" s="8" t="str">
        <f>'1'!$A$2</f>
        <v>Commercial Property - Wind &amp; Hail</v>
      </c>
      <c r="B2" s="12"/>
      <c r="K2" s="7" t="s">
        <v>65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141</v>
      </c>
      <c r="B4" s="12"/>
      <c r="L4" s="2"/>
    </row>
    <row r="5" spans="1:13" x14ac:dyDescent="0.2">
      <c r="A5" s="57"/>
      <c r="B5" s="21"/>
      <c r="C5" s="57"/>
      <c r="D5" s="57"/>
      <c r="E5" s="57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F7" s="6"/>
      <c r="L7" s="2"/>
    </row>
    <row r="8" spans="1:13" ht="12" thickTop="1" x14ac:dyDescent="0.2">
      <c r="L8" s="2"/>
    </row>
    <row r="9" spans="1:13" x14ac:dyDescent="0.2">
      <c r="C9" s="49" t="s">
        <v>111</v>
      </c>
      <c r="D9" t="s">
        <v>51</v>
      </c>
      <c r="L9" s="2"/>
      <c r="M9" s="26"/>
    </row>
    <row r="10" spans="1:13" x14ac:dyDescent="0.2">
      <c r="C10" t="s">
        <v>112</v>
      </c>
      <c r="D10" t="s">
        <v>134</v>
      </c>
      <c r="E10" t="s">
        <v>401</v>
      </c>
      <c r="F10" t="s">
        <v>113</v>
      </c>
      <c r="L10" s="2"/>
      <c r="M10" s="21" t="s">
        <v>133</v>
      </c>
    </row>
    <row r="11" spans="1:13" x14ac:dyDescent="0.2">
      <c r="A11" s="9" t="s">
        <v>110</v>
      </c>
      <c r="B11" s="9"/>
      <c r="C11" s="9" t="str">
        <f>"as of "&amp;TEXT($M$11,"m/d/yy")</f>
        <v>as of 11/30/19</v>
      </c>
      <c r="D11" s="9" t="s">
        <v>135</v>
      </c>
      <c r="E11" s="9" t="s">
        <v>402</v>
      </c>
      <c r="F11" s="9" t="s">
        <v>114</v>
      </c>
      <c r="L11" s="2"/>
      <c r="M11" s="98">
        <f>'[3]Hurr Models'!$C$1</f>
        <v>43799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L12" s="2"/>
    </row>
    <row r="13" spans="1:13" x14ac:dyDescent="0.2">
      <c r="L13" s="2"/>
    </row>
    <row r="14" spans="1:13" x14ac:dyDescent="0.2">
      <c r="A14" t="s">
        <v>118</v>
      </c>
      <c r="C14" s="97">
        <f>ROUND('[3]Hurr Models'!$B5/1000,0)</f>
        <v>214790</v>
      </c>
      <c r="D14" s="97">
        <f>'[3]Hurr Models'!$K5</f>
        <v>825863.68674154696</v>
      </c>
      <c r="E14" s="37">
        <f>$M$37/10+1</f>
        <v>1.018</v>
      </c>
      <c r="F14" s="37">
        <f>ROUND(D14/C14*E14,3)</f>
        <v>3.9140000000000001</v>
      </c>
      <c r="L14" s="2"/>
    </row>
    <row r="15" spans="1:13" x14ac:dyDescent="0.2">
      <c r="A15" t="s">
        <v>119</v>
      </c>
      <c r="C15" s="97">
        <f>ROUND('[3]Hurr Models'!$B6/1000,0)</f>
        <v>407860</v>
      </c>
      <c r="D15" s="97">
        <f>'[3]Hurr Models'!$K6</f>
        <v>1457234.6864390962</v>
      </c>
      <c r="E15" s="37">
        <f t="shared" ref="E15:E31" si="0">$M$37/10+1</f>
        <v>1.018</v>
      </c>
      <c r="F15" s="37">
        <f t="shared" ref="F15:F31" si="1">ROUND(D15/C15*E15,3)</f>
        <v>3.637</v>
      </c>
      <c r="L15" s="2"/>
    </row>
    <row r="16" spans="1:13" x14ac:dyDescent="0.2">
      <c r="A16" t="s">
        <v>120</v>
      </c>
      <c r="C16" s="97">
        <f>ROUND('[3]Hurr Models'!$B7/1000,0)</f>
        <v>106660</v>
      </c>
      <c r="D16" s="97">
        <f>'[3]Hurr Models'!$K7</f>
        <v>489386.11535193556</v>
      </c>
      <c r="E16" s="37">
        <f t="shared" si="0"/>
        <v>1.018</v>
      </c>
      <c r="F16" s="37">
        <f t="shared" si="1"/>
        <v>4.6710000000000003</v>
      </c>
      <c r="L16" s="2"/>
    </row>
    <row r="17" spans="1:13" x14ac:dyDescent="0.2">
      <c r="A17" t="s">
        <v>121</v>
      </c>
      <c r="C17" s="97">
        <f>ROUND('[3]Hurr Models'!$B8/1000,0)</f>
        <v>940171</v>
      </c>
      <c r="D17" s="97">
        <f>'[3]Hurr Models'!$K8</f>
        <v>4618466.2627352457</v>
      </c>
      <c r="E17" s="37">
        <f t="shared" si="0"/>
        <v>1.018</v>
      </c>
      <c r="F17" s="37">
        <f t="shared" si="1"/>
        <v>5.0010000000000003</v>
      </c>
      <c r="L17" s="2"/>
    </row>
    <row r="18" spans="1:13" x14ac:dyDescent="0.2">
      <c r="A18" t="s">
        <v>122</v>
      </c>
      <c r="C18" s="97">
        <f>ROUND('[3]Hurr Models'!$B9/1000,0)</f>
        <v>54565</v>
      </c>
      <c r="D18" s="97">
        <f>'[3]Hurr Models'!$K9</f>
        <v>169691.08398730613</v>
      </c>
      <c r="E18" s="37">
        <f t="shared" si="0"/>
        <v>1.018</v>
      </c>
      <c r="F18" s="37">
        <f>ROUND(D18/C18*E18,3)</f>
        <v>3.1659999999999999</v>
      </c>
      <c r="L18" s="2"/>
    </row>
    <row r="19" spans="1:13" x14ac:dyDescent="0.2">
      <c r="A19" t="s">
        <v>123</v>
      </c>
      <c r="C19" s="97">
        <f>ROUND('[3]Hurr Models'!$B10/1000,0)</f>
        <v>2266405</v>
      </c>
      <c r="D19" s="97">
        <f>'[3]Hurr Models'!$K10</f>
        <v>14226701.955138598</v>
      </c>
      <c r="E19" s="37">
        <f t="shared" si="0"/>
        <v>1.018</v>
      </c>
      <c r="F19" s="37">
        <f t="shared" si="1"/>
        <v>6.39</v>
      </c>
      <c r="L19" s="2"/>
    </row>
    <row r="20" spans="1:13" x14ac:dyDescent="0.2">
      <c r="A20" t="s">
        <v>124</v>
      </c>
      <c r="C20" s="97">
        <f>ROUND('[3]Hurr Models'!$B11/1000,0)</f>
        <v>34538</v>
      </c>
      <c r="D20" s="97">
        <f>'[3]Hurr Models'!$K11</f>
        <v>173079.9303714431</v>
      </c>
      <c r="E20" s="37">
        <f t="shared" si="0"/>
        <v>1.018</v>
      </c>
      <c r="F20" s="37">
        <f t="shared" si="1"/>
        <v>5.101</v>
      </c>
      <c r="L20" s="2"/>
    </row>
    <row r="21" spans="1:13" x14ac:dyDescent="0.2">
      <c r="A21" t="s">
        <v>125</v>
      </c>
      <c r="C21" s="97">
        <f>ROUND('[3]Hurr Models'!$B12/1000,0)</f>
        <v>330152</v>
      </c>
      <c r="D21" s="97">
        <f>'[3]Hurr Models'!$K12</f>
        <v>921853.45562475349</v>
      </c>
      <c r="E21" s="37">
        <f t="shared" si="0"/>
        <v>1.018</v>
      </c>
      <c r="F21" s="37">
        <f t="shared" si="1"/>
        <v>2.8420000000000001</v>
      </c>
      <c r="L21" s="2"/>
    </row>
    <row r="22" spans="1:13" x14ac:dyDescent="0.2">
      <c r="A22" t="s">
        <v>126</v>
      </c>
      <c r="C22" s="97">
        <f>ROUND('[3]Hurr Models'!$B13/1000,0)</f>
        <v>694</v>
      </c>
      <c r="D22" s="97">
        <f>'[3]Hurr Models'!$K13</f>
        <v>1647.4683708108316</v>
      </c>
      <c r="E22" s="37">
        <f t="shared" si="0"/>
        <v>1.018</v>
      </c>
      <c r="F22" s="37">
        <f t="shared" si="1"/>
        <v>2.4169999999999998</v>
      </c>
      <c r="L22" s="2"/>
    </row>
    <row r="23" spans="1:13" x14ac:dyDescent="0.2">
      <c r="A23" t="s">
        <v>127</v>
      </c>
      <c r="B23" s="21"/>
      <c r="C23" s="97">
        <f>ROUND('[3]Hurr Models'!$B14/1000,0)</f>
        <v>13597</v>
      </c>
      <c r="D23" s="97">
        <f>'[3]Hurr Models'!$K14</f>
        <v>27325.317600864415</v>
      </c>
      <c r="E23" s="37">
        <f t="shared" si="0"/>
        <v>1.018</v>
      </c>
      <c r="F23" s="37">
        <f t="shared" si="1"/>
        <v>2.0459999999999998</v>
      </c>
      <c r="L23" s="2"/>
    </row>
    <row r="24" spans="1:13" x14ac:dyDescent="0.2">
      <c r="A24" t="s">
        <v>128</v>
      </c>
      <c r="B24" s="21"/>
      <c r="C24" s="97">
        <f>ROUND('[3]Hurr Models'!$B15/1000,0)</f>
        <v>81017</v>
      </c>
      <c r="D24" s="97">
        <f>'[3]Hurr Models'!$K15</f>
        <v>319859.86468401359</v>
      </c>
      <c r="E24" s="37">
        <f t="shared" si="0"/>
        <v>1.018</v>
      </c>
      <c r="F24" s="37">
        <f t="shared" si="1"/>
        <v>4.0190000000000001</v>
      </c>
      <c r="L24" s="2"/>
    </row>
    <row r="25" spans="1:13" x14ac:dyDescent="0.2">
      <c r="A25" t="s">
        <v>129</v>
      </c>
      <c r="B25" s="21"/>
      <c r="C25" s="97">
        <f>ROUND('[3]Hurr Models'!$B16/1000,0)</f>
        <v>1434990</v>
      </c>
      <c r="D25" s="97">
        <f>'[3]Hurr Models'!$K16</f>
        <v>5750449.1353416583</v>
      </c>
      <c r="E25" s="37">
        <f t="shared" si="0"/>
        <v>1.018</v>
      </c>
      <c r="F25" s="37">
        <f t="shared" si="1"/>
        <v>4.0789999999999997</v>
      </c>
      <c r="L25" s="2"/>
    </row>
    <row r="26" spans="1:13" x14ac:dyDescent="0.2">
      <c r="A26" t="s">
        <v>130</v>
      </c>
      <c r="C26" s="97">
        <f>ROUND('[3]Hurr Models'!$B17/1000,0)</f>
        <v>23556</v>
      </c>
      <c r="D26" s="97">
        <f>'[3]Hurr Models'!$K17</f>
        <v>63531.807121664402</v>
      </c>
      <c r="E26" s="37">
        <f t="shared" si="0"/>
        <v>1.018</v>
      </c>
      <c r="F26" s="37">
        <f t="shared" si="1"/>
        <v>2.746</v>
      </c>
      <c r="L26" s="2"/>
    </row>
    <row r="27" spans="1:13" x14ac:dyDescent="0.2">
      <c r="A27" t="s">
        <v>131</v>
      </c>
      <c r="C27" s="97">
        <f>ROUND('[3]Hurr Models'!$B18/1000,0)</f>
        <v>109129</v>
      </c>
      <c r="D27" s="97">
        <f>'[3]Hurr Models'!$K18</f>
        <v>365239.08426314447</v>
      </c>
      <c r="E27" s="37">
        <f t="shared" si="0"/>
        <v>1.018</v>
      </c>
      <c r="F27" s="37">
        <f t="shared" si="1"/>
        <v>3.407</v>
      </c>
      <c r="L27" s="2"/>
      <c r="M27" s="40"/>
    </row>
    <row r="28" spans="1:13" x14ac:dyDescent="0.2">
      <c r="A28" t="s">
        <v>132</v>
      </c>
      <c r="C28" s="97">
        <f>ROUND('[3]Hurr Models'!$B19/1000,0)</f>
        <v>13589</v>
      </c>
      <c r="D28" s="97">
        <f>'[3]Hurr Models'!$K19</f>
        <v>53799.540340249099</v>
      </c>
      <c r="E28" s="37">
        <f t="shared" si="0"/>
        <v>1.018</v>
      </c>
      <c r="F28" s="37">
        <f t="shared" si="1"/>
        <v>4.03</v>
      </c>
      <c r="L28" s="2"/>
      <c r="M28" s="40"/>
    </row>
    <row r="29" spans="1:13" x14ac:dyDescent="0.2">
      <c r="A29" s="9"/>
      <c r="B29" s="25"/>
      <c r="C29" s="88"/>
      <c r="D29" s="88"/>
      <c r="E29" s="38"/>
      <c r="F29" s="38"/>
      <c r="G29" s="42"/>
      <c r="H29" s="42"/>
      <c r="I29" s="42"/>
      <c r="J29" s="42"/>
      <c r="K29" s="57"/>
      <c r="L29" s="2"/>
    </row>
    <row r="30" spans="1:13" x14ac:dyDescent="0.2">
      <c r="C30" s="18"/>
      <c r="D30" s="18"/>
      <c r="E30" s="12"/>
      <c r="F30" s="12"/>
      <c r="L30" s="2"/>
    </row>
    <row r="31" spans="1:13" x14ac:dyDescent="0.2">
      <c r="A31" t="s">
        <v>8</v>
      </c>
      <c r="C31" s="29">
        <f>SUM(C14:C28)</f>
        <v>6031713</v>
      </c>
      <c r="D31" s="29">
        <f>SUM(D14:D28)</f>
        <v>29464129.39411233</v>
      </c>
      <c r="E31" s="37">
        <f t="shared" si="0"/>
        <v>1.018</v>
      </c>
      <c r="F31" s="37">
        <f t="shared" si="1"/>
        <v>4.9729999999999999</v>
      </c>
      <c r="H31" s="18"/>
      <c r="L31" s="2"/>
    </row>
    <row r="32" spans="1:13" ht="12" thickBot="1" x14ac:dyDescent="0.25">
      <c r="A32" s="6"/>
      <c r="B32" s="6"/>
      <c r="C32" s="6"/>
      <c r="D32" s="6"/>
      <c r="E32" s="6"/>
      <c r="F32" s="6"/>
      <c r="L32" s="2"/>
    </row>
    <row r="33" spans="1:14" ht="12" thickTop="1" x14ac:dyDescent="0.2">
      <c r="L33" s="2"/>
    </row>
    <row r="34" spans="1:14" x14ac:dyDescent="0.2">
      <c r="A34" t="s">
        <v>18</v>
      </c>
      <c r="L34" s="2"/>
      <c r="M34" t="s">
        <v>516</v>
      </c>
      <c r="N34" s="18">
        <v>33572322.861826628</v>
      </c>
    </row>
    <row r="35" spans="1:14" x14ac:dyDescent="0.2">
      <c r="B35" s="21" t="str">
        <f>C12&amp;" Provided by TWIA and Geo-coded by RMS"</f>
        <v>(2) Provided by TWIA and Geo-coded by RMS</v>
      </c>
      <c r="L35" s="2"/>
      <c r="N35">
        <f>N34/D31</f>
        <v>1.1394303362153717</v>
      </c>
    </row>
    <row r="36" spans="1:14" x14ac:dyDescent="0.2">
      <c r="B36" s="21" t="str">
        <f>D12&amp;" Provided by RMS"&amp;" Excluding Storm Surge"</f>
        <v>(3) Provided by RMS Excluding Storm Surge</v>
      </c>
      <c r="L36" s="2"/>
    </row>
    <row r="37" spans="1:14" x14ac:dyDescent="0.2">
      <c r="B37" s="21" t="str">
        <f>E12&amp;" = 10% of modeled storm surge increase, estimated to be "&amp;TEXT($M$37,"0.0%")</f>
        <v>(4) = 10% of modeled storm surge increase, estimated to be 18.0%</v>
      </c>
      <c r="F37" s="58"/>
      <c r="G37" s="58"/>
      <c r="H37" s="58"/>
      <c r="I37" s="22"/>
      <c r="L37" s="2"/>
      <c r="M37" s="381">
        <v>0.18</v>
      </c>
      <c r="N37" t="s">
        <v>404</v>
      </c>
    </row>
    <row r="38" spans="1:14" x14ac:dyDescent="0.2">
      <c r="B38" s="21" t="str">
        <f>F12&amp;" = "&amp;D12&amp;" / "&amp;C12&amp;" * "&amp;E12</f>
        <v>(5) = (3) / (2) * (4)</v>
      </c>
      <c r="L38" s="2"/>
    </row>
    <row r="39" spans="1:14" x14ac:dyDescent="0.2">
      <c r="L39" s="2"/>
    </row>
    <row r="40" spans="1:14" x14ac:dyDescent="0.2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2"/>
    </row>
    <row r="41" spans="1:14" x14ac:dyDescent="0.2">
      <c r="L41" s="2"/>
    </row>
    <row r="42" spans="1:14" s="57" customFormat="1" x14ac:dyDescent="0.2">
      <c r="A42"/>
      <c r="B42"/>
      <c r="C42"/>
      <c r="D42"/>
      <c r="E42"/>
      <c r="F42"/>
      <c r="G42"/>
      <c r="H42"/>
      <c r="I42"/>
      <c r="J42"/>
      <c r="K42"/>
      <c r="L42" s="2"/>
    </row>
    <row r="43" spans="1:14" s="57" customFormat="1" x14ac:dyDescent="0.2">
      <c r="A43"/>
      <c r="B43"/>
      <c r="C43"/>
      <c r="D43"/>
      <c r="E43"/>
      <c r="F43" s="42"/>
      <c r="G43" s="42"/>
      <c r="H43" s="42"/>
      <c r="I43"/>
      <c r="J43"/>
      <c r="K43"/>
      <c r="L43" s="2"/>
    </row>
    <row r="44" spans="1:14" x14ac:dyDescent="0.2">
      <c r="L44" s="2"/>
    </row>
    <row r="45" spans="1:14" x14ac:dyDescent="0.2">
      <c r="L45" s="2"/>
    </row>
    <row r="46" spans="1:14" x14ac:dyDescent="0.2">
      <c r="L46" s="2"/>
    </row>
    <row r="47" spans="1:14" x14ac:dyDescent="0.2">
      <c r="L47" s="2"/>
    </row>
    <row r="48" spans="1:14" x14ac:dyDescent="0.2">
      <c r="L48" s="2"/>
    </row>
    <row r="49" spans="1:12" x14ac:dyDescent="0.2">
      <c r="L49" s="2"/>
    </row>
    <row r="50" spans="1:12" x14ac:dyDescent="0.2">
      <c r="L50" s="2"/>
    </row>
    <row r="51" spans="1:12" s="57" customFormat="1" x14ac:dyDescent="0.2">
      <c r="A51"/>
      <c r="B51"/>
      <c r="C51"/>
      <c r="D51"/>
      <c r="E51"/>
      <c r="L51" s="2"/>
    </row>
    <row r="52" spans="1:12" s="57" customFormat="1" x14ac:dyDescent="0.2">
      <c r="L52" s="2"/>
    </row>
    <row r="53" spans="1:12" s="57" customFormat="1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L53" s="2"/>
    </row>
    <row r="54" spans="1:12" s="57" customFormat="1" x14ac:dyDescent="0.2">
      <c r="L54" s="2"/>
    </row>
    <row r="55" spans="1:12" s="57" customFormat="1" x14ac:dyDescent="0.2">
      <c r="A55" s="67"/>
      <c r="C55" s="36"/>
      <c r="D55" s="36"/>
      <c r="E55" s="36"/>
      <c r="F55" s="36"/>
      <c r="G55" s="36"/>
      <c r="H55" s="36"/>
      <c r="I55" s="31"/>
      <c r="J55" s="31"/>
      <c r="L55" s="2"/>
    </row>
    <row r="56" spans="1:12" s="57" customFormat="1" x14ac:dyDescent="0.2">
      <c r="A56" s="67"/>
      <c r="C56" s="28"/>
      <c r="D56" s="28"/>
      <c r="E56" s="28"/>
      <c r="F56" s="28"/>
      <c r="G56" s="28"/>
      <c r="H56" s="28"/>
      <c r="I56" s="28"/>
      <c r="J56" s="28"/>
      <c r="L56" s="2"/>
    </row>
    <row r="57" spans="1:12" s="57" customFormat="1" x14ac:dyDescent="0.2">
      <c r="A57" s="67"/>
      <c r="C57" s="28"/>
      <c r="D57" s="28"/>
      <c r="E57" s="28"/>
      <c r="F57" s="28"/>
      <c r="G57" s="28"/>
      <c r="H57" s="28"/>
      <c r="I57" s="28"/>
      <c r="J57" s="28"/>
      <c r="L57" s="2"/>
    </row>
    <row r="58" spans="1:12" s="57" customFormat="1" x14ac:dyDescent="0.2">
      <c r="A58" s="67"/>
      <c r="C58" s="28"/>
      <c r="D58" s="28"/>
      <c r="E58" s="28"/>
      <c r="F58" s="28"/>
      <c r="G58" s="28"/>
      <c r="H58" s="28"/>
      <c r="I58" s="28"/>
      <c r="J58" s="28"/>
      <c r="L58" s="2"/>
    </row>
    <row r="59" spans="1:12" s="57" customFormat="1" x14ac:dyDescent="0.2">
      <c r="A59" s="67"/>
      <c r="C59" s="28"/>
      <c r="D59" s="28"/>
      <c r="E59" s="28"/>
      <c r="F59" s="28"/>
      <c r="G59" s="28"/>
      <c r="H59" s="28"/>
      <c r="I59" s="28"/>
      <c r="J59" s="28"/>
      <c r="L59" s="2"/>
    </row>
    <row r="60" spans="1:12" s="57" customFormat="1" x14ac:dyDescent="0.2">
      <c r="A60" s="67"/>
      <c r="C60" s="28"/>
      <c r="D60" s="28"/>
      <c r="E60" s="28"/>
      <c r="F60" s="28"/>
      <c r="G60" s="28"/>
      <c r="H60" s="28"/>
      <c r="I60" s="28"/>
      <c r="J60" s="28"/>
      <c r="L60" s="2"/>
    </row>
    <row r="61" spans="1:12" s="57" customFormat="1" x14ac:dyDescent="0.2">
      <c r="A61" s="67"/>
      <c r="C61" s="28"/>
      <c r="D61" s="28"/>
      <c r="E61" s="28"/>
      <c r="F61" s="28"/>
      <c r="G61" s="28"/>
      <c r="H61" s="28"/>
      <c r="I61" s="28"/>
      <c r="J61" s="28"/>
      <c r="L61" s="2"/>
    </row>
    <row r="62" spans="1:12" s="57" customFormat="1" x14ac:dyDescent="0.2">
      <c r="A62" s="67"/>
      <c r="C62" s="28"/>
      <c r="D62" s="28"/>
      <c r="E62" s="28"/>
      <c r="F62" s="28"/>
      <c r="G62" s="28"/>
      <c r="H62" s="28"/>
      <c r="I62" s="28"/>
      <c r="J62" s="28"/>
      <c r="L62" s="2"/>
    </row>
    <row r="63" spans="1:12" x14ac:dyDescent="0.2">
      <c r="B63" s="24"/>
      <c r="C63" s="58"/>
      <c r="D63" s="58"/>
      <c r="E63" s="58"/>
      <c r="F63" s="58"/>
      <c r="G63" s="58"/>
      <c r="H63" s="58"/>
      <c r="I63" s="22"/>
      <c r="L63" s="2"/>
    </row>
    <row r="64" spans="1:12" x14ac:dyDescent="0.2">
      <c r="B64" s="24"/>
      <c r="C64" s="58"/>
      <c r="D64" s="58"/>
      <c r="E64" s="58"/>
      <c r="F64" s="58"/>
      <c r="G64" s="58"/>
      <c r="H64" s="58"/>
      <c r="I64" s="22"/>
      <c r="L64" s="2"/>
    </row>
    <row r="65" spans="1:12" x14ac:dyDescent="0.2">
      <c r="B65" s="24"/>
      <c r="C65" s="58"/>
      <c r="D65" s="58"/>
      <c r="E65" s="58"/>
      <c r="F65" s="58"/>
      <c r="G65" s="58"/>
      <c r="H65" s="58"/>
      <c r="I65" s="22"/>
      <c r="L65" s="2"/>
    </row>
    <row r="66" spans="1:12" x14ac:dyDescent="0.2">
      <c r="B66" s="24"/>
      <c r="C66" s="58"/>
      <c r="D66" s="58"/>
      <c r="E66" s="58"/>
      <c r="F66" s="58"/>
      <c r="G66" s="58"/>
      <c r="H66" s="58"/>
      <c r="I66" s="22"/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2">
    <tabColor rgb="FF92D050"/>
  </sheetPr>
  <dimension ref="A1:M68"/>
  <sheetViews>
    <sheetView showGridLines="0" zoomScaleNormal="100" workbookViewId="0">
      <selection activeCell="C40" sqref="C40"/>
    </sheetView>
  </sheetViews>
  <sheetFormatPr defaultColWidth="11.33203125" defaultRowHeight="11.25" x14ac:dyDescent="0.2"/>
  <cols>
    <col min="1" max="1" width="6.33203125" customWidth="1"/>
    <col min="2" max="2" width="10.1640625" customWidth="1"/>
    <col min="3" max="3" width="20.1640625" customWidth="1"/>
    <col min="4" max="4" width="11.33203125" customWidth="1"/>
    <col min="5" max="5" width="6.33203125" customWidth="1"/>
    <col min="6" max="6" width="10.1640625" customWidth="1"/>
    <col min="7" max="7" width="20.1640625" customWidth="1"/>
    <col min="8" max="9" width="11.33203125" customWidth="1"/>
    <col min="10" max="10" width="14" customWidth="1"/>
  </cols>
  <sheetData>
    <row r="1" spans="1:13" x14ac:dyDescent="0.2">
      <c r="A1" s="8" t="str">
        <f>'1'!$A$1</f>
        <v>Texas Windstorm Insurance Association</v>
      </c>
      <c r="B1" s="8"/>
      <c r="J1" s="7" t="s">
        <v>139</v>
      </c>
      <c r="K1" s="1"/>
    </row>
    <row r="2" spans="1:13" x14ac:dyDescent="0.2">
      <c r="A2" s="8" t="str">
        <f>'1'!$A$2</f>
        <v>Commercial Property - Wind &amp; Hail</v>
      </c>
      <c r="B2" s="8"/>
      <c r="J2" s="7"/>
      <c r="K2" s="2"/>
    </row>
    <row r="3" spans="1:13" x14ac:dyDescent="0.2">
      <c r="A3" s="8" t="str">
        <f>'1'!$A$3</f>
        <v>Rate Level Review</v>
      </c>
      <c r="B3" s="8"/>
      <c r="K3" s="2"/>
      <c r="L3" s="11" t="s">
        <v>86</v>
      </c>
      <c r="M3" t="s">
        <v>87</v>
      </c>
    </row>
    <row r="4" spans="1:13" x14ac:dyDescent="0.2">
      <c r="A4" t="str">
        <f>"Texas Hurricanes "&amp;L4&amp;" - "&amp;YEAR(M4)</f>
        <v>Texas Hurricanes 1850 - 2019</v>
      </c>
      <c r="K4" s="2"/>
      <c r="L4" s="329">
        <v>1850</v>
      </c>
      <c r="M4" s="102">
        <v>43830</v>
      </c>
    </row>
    <row r="5" spans="1:13" x14ac:dyDescent="0.2">
      <c r="A5" s="57"/>
      <c r="B5" s="57"/>
      <c r="C5" s="57"/>
      <c r="D5" s="57"/>
      <c r="E5" s="57"/>
      <c r="F5" s="57"/>
      <c r="G5" s="57"/>
      <c r="K5" s="2"/>
      <c r="L5" s="102">
        <v>25569</v>
      </c>
      <c r="M5" s="102">
        <v>43830</v>
      </c>
    </row>
    <row r="6" spans="1:13" x14ac:dyDescent="0.2">
      <c r="K6" s="2"/>
    </row>
    <row r="7" spans="1:13" ht="12" thickBot="1" x14ac:dyDescent="0.25">
      <c r="A7" s="6"/>
      <c r="B7" s="6"/>
      <c r="C7" s="6"/>
      <c r="D7" s="6"/>
      <c r="E7" s="6"/>
      <c r="F7" s="6"/>
      <c r="G7" s="6"/>
      <c r="K7" s="2"/>
    </row>
    <row r="8" spans="1:13" ht="12" thickTop="1" x14ac:dyDescent="0.2">
      <c r="K8" s="2"/>
    </row>
    <row r="9" spans="1:13" x14ac:dyDescent="0.2">
      <c r="C9" s="49"/>
      <c r="K9" s="2"/>
      <c r="L9" s="26"/>
    </row>
    <row r="10" spans="1:13" x14ac:dyDescent="0.2">
      <c r="A10" s="10" t="s">
        <v>347</v>
      </c>
      <c r="E10" s="10" t="s">
        <v>347</v>
      </c>
      <c r="K10" s="2"/>
      <c r="L10" s="11"/>
    </row>
    <row r="11" spans="1:13" x14ac:dyDescent="0.2">
      <c r="A11" s="9" t="s">
        <v>42</v>
      </c>
      <c r="B11" s="9" t="s">
        <v>346</v>
      </c>
      <c r="C11" s="9" t="s">
        <v>144</v>
      </c>
      <c r="E11" s="9" t="s">
        <v>42</v>
      </c>
      <c r="F11" s="9" t="s">
        <v>346</v>
      </c>
      <c r="G11" s="9" t="s">
        <v>144</v>
      </c>
      <c r="K11" s="2"/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E12" s="13" t="str">
        <f>A12</f>
        <v>(1)</v>
      </c>
      <c r="F12" s="13"/>
      <c r="G12" s="13" t="str">
        <f>C12</f>
        <v>(2)</v>
      </c>
      <c r="K12" s="2"/>
    </row>
    <row r="13" spans="1:13" x14ac:dyDescent="0.2">
      <c r="K13" s="2"/>
    </row>
    <row r="14" spans="1:13" x14ac:dyDescent="0.2">
      <c r="A14">
        <v>1851</v>
      </c>
      <c r="B14" t="s">
        <v>348</v>
      </c>
      <c r="E14">
        <v>1929</v>
      </c>
      <c r="F14" t="s">
        <v>348</v>
      </c>
      <c r="K14" s="2"/>
      <c r="L14" s="71"/>
      <c r="M14" s="71"/>
    </row>
    <row r="15" spans="1:13" x14ac:dyDescent="0.2">
      <c r="A15">
        <v>1854</v>
      </c>
      <c r="B15" t="s">
        <v>348</v>
      </c>
      <c r="E15">
        <v>1932</v>
      </c>
      <c r="F15" t="s">
        <v>352</v>
      </c>
      <c r="G15" t="s">
        <v>359</v>
      </c>
      <c r="K15" s="2"/>
      <c r="M15" s="71"/>
    </row>
    <row r="16" spans="1:13" x14ac:dyDescent="0.2">
      <c r="A16">
        <v>1854</v>
      </c>
      <c r="B16" t="s">
        <v>349</v>
      </c>
      <c r="C16" t="s">
        <v>353</v>
      </c>
      <c r="E16">
        <v>1933</v>
      </c>
      <c r="F16" t="s">
        <v>352</v>
      </c>
      <c r="K16" s="2"/>
      <c r="M16" s="71"/>
    </row>
    <row r="17" spans="1:13" x14ac:dyDescent="0.2">
      <c r="A17">
        <v>1865</v>
      </c>
      <c r="B17" t="s">
        <v>349</v>
      </c>
      <c r="C17" t="s">
        <v>354</v>
      </c>
      <c r="E17">
        <v>1933</v>
      </c>
      <c r="F17" t="s">
        <v>349</v>
      </c>
      <c r="K17" s="2"/>
      <c r="M17" s="71"/>
    </row>
    <row r="18" spans="1:13" x14ac:dyDescent="0.2">
      <c r="A18">
        <v>1866</v>
      </c>
      <c r="B18" t="s">
        <v>350</v>
      </c>
      <c r="E18">
        <v>1934</v>
      </c>
      <c r="F18" t="s">
        <v>350</v>
      </c>
      <c r="K18" s="2"/>
      <c r="M18" s="71"/>
    </row>
    <row r="19" spans="1:13" x14ac:dyDescent="0.2">
      <c r="A19">
        <v>1867</v>
      </c>
      <c r="B19" t="s">
        <v>351</v>
      </c>
      <c r="C19" t="s">
        <v>355</v>
      </c>
      <c r="E19">
        <v>1936</v>
      </c>
      <c r="F19" t="s">
        <v>348</v>
      </c>
      <c r="K19" s="2"/>
      <c r="M19" s="71"/>
    </row>
    <row r="20" spans="1:13" x14ac:dyDescent="0.2">
      <c r="A20">
        <v>1869</v>
      </c>
      <c r="B20" t="s">
        <v>352</v>
      </c>
      <c r="C20" t="s">
        <v>356</v>
      </c>
      <c r="E20">
        <v>1940</v>
      </c>
      <c r="F20" t="s">
        <v>352</v>
      </c>
      <c r="K20" s="2"/>
      <c r="M20" s="71"/>
    </row>
    <row r="21" spans="1:13" x14ac:dyDescent="0.2">
      <c r="A21">
        <v>1875</v>
      </c>
      <c r="B21" t="s">
        <v>349</v>
      </c>
      <c r="E21">
        <v>1941</v>
      </c>
      <c r="F21" t="s">
        <v>349</v>
      </c>
      <c r="K21" s="2"/>
      <c r="M21" s="71"/>
    </row>
    <row r="22" spans="1:13" x14ac:dyDescent="0.2">
      <c r="A22">
        <v>1879</v>
      </c>
      <c r="B22" t="s">
        <v>352</v>
      </c>
      <c r="E22">
        <v>1942</v>
      </c>
      <c r="F22" t="s">
        <v>352</v>
      </c>
      <c r="K22" s="2"/>
      <c r="M22" s="71"/>
    </row>
    <row r="23" spans="1:13" x14ac:dyDescent="0.2">
      <c r="A23">
        <v>1880</v>
      </c>
      <c r="B23" t="s">
        <v>352</v>
      </c>
      <c r="E23">
        <v>1942</v>
      </c>
      <c r="F23" t="s">
        <v>352</v>
      </c>
      <c r="K23" s="2"/>
      <c r="M23" s="71"/>
    </row>
    <row r="24" spans="1:13" x14ac:dyDescent="0.2">
      <c r="A24">
        <v>1882</v>
      </c>
      <c r="B24" t="s">
        <v>349</v>
      </c>
      <c r="E24">
        <v>1943</v>
      </c>
      <c r="F24" t="s">
        <v>350</v>
      </c>
      <c r="K24" s="2"/>
      <c r="M24" s="71"/>
    </row>
    <row r="25" spans="1:13" x14ac:dyDescent="0.2">
      <c r="A25">
        <v>1886</v>
      </c>
      <c r="B25" t="s">
        <v>348</v>
      </c>
      <c r="E25">
        <v>1945</v>
      </c>
      <c r="F25" t="s">
        <v>352</v>
      </c>
      <c r="K25" s="2"/>
      <c r="M25" s="71"/>
    </row>
    <row r="26" spans="1:13" x14ac:dyDescent="0.2">
      <c r="A26">
        <v>1886</v>
      </c>
      <c r="B26" t="s">
        <v>352</v>
      </c>
      <c r="C26" t="s">
        <v>357</v>
      </c>
      <c r="E26">
        <v>1947</v>
      </c>
      <c r="F26" t="s">
        <v>352</v>
      </c>
      <c r="K26" s="2"/>
      <c r="M26" s="71"/>
    </row>
    <row r="27" spans="1:13" x14ac:dyDescent="0.2">
      <c r="A27">
        <v>1886</v>
      </c>
      <c r="B27" t="s">
        <v>349</v>
      </c>
      <c r="E27">
        <v>1949</v>
      </c>
      <c r="F27" t="s">
        <v>351</v>
      </c>
      <c r="K27" s="2"/>
      <c r="M27" s="71"/>
    </row>
    <row r="28" spans="1:13" x14ac:dyDescent="0.2">
      <c r="A28">
        <v>1886</v>
      </c>
      <c r="B28" t="s">
        <v>351</v>
      </c>
      <c r="E28">
        <v>1957</v>
      </c>
      <c r="F28" t="s">
        <v>348</v>
      </c>
      <c r="G28" t="s">
        <v>145</v>
      </c>
      <c r="K28" s="2"/>
      <c r="M28" s="71"/>
    </row>
    <row r="29" spans="1:13" x14ac:dyDescent="0.2">
      <c r="A29">
        <v>1887</v>
      </c>
      <c r="B29" t="s">
        <v>349</v>
      </c>
      <c r="E29">
        <v>1959</v>
      </c>
      <c r="F29" t="s">
        <v>350</v>
      </c>
      <c r="G29" t="s">
        <v>146</v>
      </c>
      <c r="K29" s="2"/>
      <c r="M29" s="71"/>
    </row>
    <row r="30" spans="1:13" x14ac:dyDescent="0.2">
      <c r="A30">
        <v>1888</v>
      </c>
      <c r="B30" t="s">
        <v>348</v>
      </c>
      <c r="E30">
        <v>1961</v>
      </c>
      <c r="F30" t="s">
        <v>349</v>
      </c>
      <c r="G30" t="s">
        <v>147</v>
      </c>
      <c r="K30" s="2"/>
      <c r="M30" s="71"/>
    </row>
    <row r="31" spans="1:13" x14ac:dyDescent="0.2">
      <c r="A31">
        <v>1891</v>
      </c>
      <c r="B31" t="s">
        <v>350</v>
      </c>
      <c r="E31" s="9">
        <v>1963</v>
      </c>
      <c r="F31" s="9" t="s">
        <v>349</v>
      </c>
      <c r="G31" s="9" t="s">
        <v>148</v>
      </c>
      <c r="K31" s="2"/>
      <c r="M31" s="71"/>
    </row>
    <row r="32" spans="1:13" x14ac:dyDescent="0.2">
      <c r="A32">
        <v>1895</v>
      </c>
      <c r="B32" t="s">
        <v>352</v>
      </c>
      <c r="E32" s="47">
        <v>1967</v>
      </c>
      <c r="F32" s="47" t="s">
        <v>349</v>
      </c>
      <c r="G32" s="47" t="s">
        <v>360</v>
      </c>
      <c r="K32" s="2"/>
      <c r="M32" s="71"/>
    </row>
    <row r="33" spans="1:13" x14ac:dyDescent="0.2">
      <c r="A33">
        <v>1897</v>
      </c>
      <c r="B33" t="s">
        <v>349</v>
      </c>
      <c r="E33">
        <v>1970</v>
      </c>
      <c r="F33" t="s">
        <v>352</v>
      </c>
      <c r="G33" t="s">
        <v>149</v>
      </c>
      <c r="K33" s="2"/>
      <c r="M33" s="71"/>
    </row>
    <row r="34" spans="1:13" x14ac:dyDescent="0.2">
      <c r="A34">
        <v>1900</v>
      </c>
      <c r="B34" t="s">
        <v>349</v>
      </c>
      <c r="C34" t="s">
        <v>355</v>
      </c>
      <c r="E34">
        <v>1971</v>
      </c>
      <c r="F34" t="s">
        <v>349</v>
      </c>
      <c r="G34" t="s">
        <v>150</v>
      </c>
      <c r="K34" s="2"/>
      <c r="M34" s="71"/>
    </row>
    <row r="35" spans="1:13" x14ac:dyDescent="0.2">
      <c r="A35">
        <v>1909</v>
      </c>
      <c r="B35" t="s">
        <v>348</v>
      </c>
      <c r="E35">
        <v>1980</v>
      </c>
      <c r="F35" t="s">
        <v>352</v>
      </c>
      <c r="G35" s="58" t="s">
        <v>151</v>
      </c>
      <c r="K35" s="2"/>
      <c r="M35" s="71"/>
    </row>
    <row r="36" spans="1:13" x14ac:dyDescent="0.2">
      <c r="A36">
        <v>1909</v>
      </c>
      <c r="B36" t="s">
        <v>350</v>
      </c>
      <c r="C36" t="s">
        <v>358</v>
      </c>
      <c r="E36">
        <v>1983</v>
      </c>
      <c r="F36" t="s">
        <v>352</v>
      </c>
      <c r="G36" t="s">
        <v>152</v>
      </c>
      <c r="K36" s="2"/>
      <c r="M36" s="71"/>
    </row>
    <row r="37" spans="1:13" x14ac:dyDescent="0.2">
      <c r="A37">
        <v>1909</v>
      </c>
      <c r="B37" t="s">
        <v>352</v>
      </c>
      <c r="E37">
        <v>1986</v>
      </c>
      <c r="F37" t="s">
        <v>348</v>
      </c>
      <c r="G37" t="s">
        <v>153</v>
      </c>
      <c r="K37" s="2"/>
      <c r="M37" s="71"/>
    </row>
    <row r="38" spans="1:13" x14ac:dyDescent="0.2">
      <c r="A38">
        <v>1910</v>
      </c>
      <c r="B38" t="s">
        <v>349</v>
      </c>
      <c r="E38">
        <v>1989</v>
      </c>
      <c r="F38" t="s">
        <v>352</v>
      </c>
      <c r="G38" s="42" t="s">
        <v>154</v>
      </c>
      <c r="K38" s="2"/>
      <c r="M38" s="71"/>
    </row>
    <row r="39" spans="1:13" x14ac:dyDescent="0.2">
      <c r="A39">
        <v>1912</v>
      </c>
      <c r="B39" t="s">
        <v>351</v>
      </c>
      <c r="E39" s="306">
        <v>1989</v>
      </c>
      <c r="F39" t="s">
        <v>351</v>
      </c>
      <c r="G39" s="57" t="s">
        <v>155</v>
      </c>
      <c r="I39" s="42"/>
      <c r="J39" s="57"/>
      <c r="K39" s="2"/>
      <c r="M39" s="71"/>
    </row>
    <row r="40" spans="1:13" x14ac:dyDescent="0.2">
      <c r="A40">
        <v>1913</v>
      </c>
      <c r="B40" t="s">
        <v>348</v>
      </c>
      <c r="E40">
        <v>1999</v>
      </c>
      <c r="F40" t="s">
        <v>352</v>
      </c>
      <c r="G40" t="s">
        <v>361</v>
      </c>
      <c r="I40" s="57"/>
      <c r="J40" s="57"/>
      <c r="K40" s="2"/>
      <c r="M40" s="71"/>
    </row>
    <row r="41" spans="1:13" x14ac:dyDescent="0.2">
      <c r="A41">
        <v>1915</v>
      </c>
      <c r="B41" t="s">
        <v>352</v>
      </c>
      <c r="C41" t="s">
        <v>355</v>
      </c>
      <c r="E41">
        <v>2003</v>
      </c>
      <c r="F41" t="s">
        <v>350</v>
      </c>
      <c r="G41" t="s">
        <v>310</v>
      </c>
      <c r="K41" s="2"/>
      <c r="M41" s="71"/>
    </row>
    <row r="42" spans="1:13" s="57" customFormat="1" x14ac:dyDescent="0.2">
      <c r="A42">
        <v>1916</v>
      </c>
      <c r="B42" t="s">
        <v>352</v>
      </c>
      <c r="C42"/>
      <c r="D42"/>
      <c r="E42">
        <v>2005</v>
      </c>
      <c r="F42" t="s">
        <v>349</v>
      </c>
      <c r="G42" s="42" t="s">
        <v>324</v>
      </c>
      <c r="H42"/>
      <c r="I42"/>
      <c r="J42"/>
      <c r="K42" s="2"/>
      <c r="M42" s="77"/>
    </row>
    <row r="43" spans="1:13" s="57" customFormat="1" x14ac:dyDescent="0.2">
      <c r="A43">
        <v>1919</v>
      </c>
      <c r="B43" t="s">
        <v>349</v>
      </c>
      <c r="C43"/>
      <c r="D43"/>
      <c r="E43" s="57">
        <v>2007</v>
      </c>
      <c r="F43" t="s">
        <v>349</v>
      </c>
      <c r="G43" s="42" t="s">
        <v>365</v>
      </c>
      <c r="H43"/>
      <c r="I43"/>
      <c r="J43"/>
      <c r="K43" s="2"/>
      <c r="M43" s="77"/>
    </row>
    <row r="44" spans="1:13" x14ac:dyDescent="0.2">
      <c r="A44">
        <v>1921</v>
      </c>
      <c r="B44" t="s">
        <v>348</v>
      </c>
      <c r="D44" s="47"/>
      <c r="E44" s="42">
        <v>2008</v>
      </c>
      <c r="F44" s="47" t="s">
        <v>350</v>
      </c>
      <c r="G44" s="42" t="s">
        <v>374</v>
      </c>
      <c r="K44" s="2"/>
    </row>
    <row r="45" spans="1:13" x14ac:dyDescent="0.2">
      <c r="D45" s="47"/>
      <c r="E45" s="42">
        <v>2008</v>
      </c>
      <c r="F45" s="47" t="s">
        <v>349</v>
      </c>
      <c r="G45" s="42" t="s">
        <v>375</v>
      </c>
      <c r="K45" s="2"/>
      <c r="M45" s="71"/>
    </row>
    <row r="46" spans="1:13" x14ac:dyDescent="0.2">
      <c r="A46" s="9"/>
      <c r="B46" s="9"/>
      <c r="C46" s="9"/>
      <c r="D46" s="9"/>
      <c r="E46" s="9">
        <v>2017</v>
      </c>
      <c r="F46" s="9" t="s">
        <v>352</v>
      </c>
      <c r="G46" s="9" t="s">
        <v>465</v>
      </c>
      <c r="K46" s="2"/>
    </row>
    <row r="47" spans="1:13" x14ac:dyDescent="0.2">
      <c r="K47" s="2"/>
      <c r="M47" s="71"/>
    </row>
    <row r="48" spans="1:13" x14ac:dyDescent="0.2">
      <c r="A48" s="73" t="s">
        <v>156</v>
      </c>
      <c r="B48" s="73"/>
      <c r="C48" s="65" t="s">
        <v>157</v>
      </c>
      <c r="D48" s="65" t="s">
        <v>158</v>
      </c>
      <c r="E48" s="65" t="s">
        <v>263</v>
      </c>
      <c r="F48" s="65" t="s">
        <v>159</v>
      </c>
      <c r="G48" s="65"/>
      <c r="H48" s="22"/>
      <c r="K48" s="2"/>
    </row>
    <row r="49" spans="1:11" x14ac:dyDescent="0.2">
      <c r="A49" s="72"/>
      <c r="B49" s="72"/>
      <c r="C49" s="58"/>
      <c r="D49" s="58"/>
      <c r="E49" s="58"/>
      <c r="F49" s="58"/>
      <c r="G49" s="58"/>
      <c r="H49" s="22"/>
      <c r="K49" s="2"/>
    </row>
    <row r="50" spans="1:11" x14ac:dyDescent="0.2">
      <c r="A50" s="75" t="str">
        <f>TEXT(E50,"0.0")&amp;"-Year"</f>
        <v>50.0-Year</v>
      </c>
      <c r="B50" s="75"/>
      <c r="C50" s="58" t="str">
        <f>TEXT(L5,"m/d/yyyy")&amp;" - "&amp;TEXT('6.1'!$M$5,"m/d/yyyy")</f>
        <v>1/1/1970 - 12/31/2019</v>
      </c>
      <c r="D50" s="74">
        <f>SUM(COUNTIF($A$14:$A$44,"&gt;=1970"),COUNTIF($E$14:$E$46,"&gt;=1970"))</f>
        <v>14</v>
      </c>
      <c r="E50" s="109">
        <f>YEAR(M5)-YEAR(L5)+1</f>
        <v>50</v>
      </c>
      <c r="G50" s="206">
        <f>ROUND(D50/E50,3)</f>
        <v>0.28000000000000003</v>
      </c>
      <c r="H50" s="22"/>
      <c r="K50" s="2"/>
    </row>
    <row r="51" spans="1:11" x14ac:dyDescent="0.2">
      <c r="A51" s="75" t="str">
        <f>E51&amp;"-Year"</f>
        <v>169-Year</v>
      </c>
      <c r="B51" s="75"/>
      <c r="C51" s="12" t="str">
        <f>MONTH(M4+1)&amp;"/1/"&amp;YEAR(M4+1)-E51&amp;" - "&amp;TEXT(M4,"m/d/yyyy")</f>
        <v>1/1/1851 - 12/31/2019</v>
      </c>
      <c r="D51" s="76">
        <f>SUM(COUNTA(A14:A44),COUNTA(E14:E46))</f>
        <v>64</v>
      </c>
      <c r="E51" s="109">
        <f>YEAR($M$4)-$L$4</f>
        <v>169</v>
      </c>
      <c r="G51" s="206">
        <f>ROUND(D51/E51,3)</f>
        <v>0.379</v>
      </c>
      <c r="K51" s="2"/>
    </row>
    <row r="52" spans="1:11" ht="12" thickBot="1" x14ac:dyDescent="0.25">
      <c r="A52" s="6"/>
      <c r="B52" s="6"/>
      <c r="C52" s="6"/>
      <c r="D52" s="6"/>
      <c r="E52" s="6"/>
      <c r="F52" s="6"/>
      <c r="G52" s="6"/>
      <c r="K52" s="2"/>
    </row>
    <row r="53" spans="1:11" ht="12" thickTop="1" x14ac:dyDescent="0.2">
      <c r="A53" s="47"/>
      <c r="B53" s="47"/>
      <c r="C53" s="47"/>
      <c r="D53" s="47"/>
      <c r="E53" s="47"/>
      <c r="F53" s="47"/>
      <c r="G53" s="47"/>
      <c r="K53" s="2"/>
    </row>
    <row r="54" spans="1:11" x14ac:dyDescent="0.2">
      <c r="A54" s="47" t="s">
        <v>18</v>
      </c>
      <c r="B54" s="47"/>
      <c r="D54" s="47"/>
      <c r="E54" s="47"/>
      <c r="F54" s="47"/>
      <c r="G54" s="47"/>
      <c r="K54" s="2"/>
    </row>
    <row r="55" spans="1:11" x14ac:dyDescent="0.2">
      <c r="A55" s="47"/>
      <c r="B55" s="47" t="str">
        <f>$A$12&amp;", "&amp;$C$12&amp;" from NOAA Technical Memorandum NWS-NHC-6, updated with actual experience through 2019"</f>
        <v>(1), (2) from NOAA Technical Memorandum NWS-NHC-6, updated with actual experience through 2019</v>
      </c>
      <c r="D55" s="47"/>
      <c r="E55" s="47"/>
      <c r="F55" s="47"/>
      <c r="G55" s="47"/>
      <c r="K55" s="2"/>
    </row>
    <row r="56" spans="1:11" x14ac:dyDescent="0.2">
      <c r="A56" s="47"/>
      <c r="B56" s="47"/>
      <c r="D56" s="47"/>
      <c r="E56" s="47"/>
      <c r="F56" s="47"/>
      <c r="G56" s="47"/>
      <c r="K56" s="2"/>
    </row>
    <row r="57" spans="1:11" x14ac:dyDescent="0.2">
      <c r="A57" s="47"/>
      <c r="B57" s="47"/>
      <c r="D57" s="47"/>
      <c r="E57" s="47"/>
      <c r="F57" s="47"/>
      <c r="G57" s="47"/>
      <c r="K57" s="2"/>
    </row>
    <row r="58" spans="1:11" x14ac:dyDescent="0.2">
      <c r="A58" s="47"/>
      <c r="B58" s="47"/>
      <c r="D58" s="47"/>
      <c r="E58" s="47"/>
      <c r="F58" s="47"/>
      <c r="G58" s="47"/>
      <c r="K58" s="2"/>
    </row>
    <row r="59" spans="1:11" x14ac:dyDescent="0.2">
      <c r="A59" s="47"/>
      <c r="B59" s="47"/>
      <c r="D59" s="47"/>
      <c r="E59" s="47"/>
      <c r="F59" s="47"/>
      <c r="G59" s="47"/>
      <c r="K59" s="2"/>
    </row>
    <row r="60" spans="1:11" x14ac:dyDescent="0.2">
      <c r="A60" s="47"/>
      <c r="B60" s="47"/>
      <c r="D60" s="47"/>
      <c r="E60" s="47"/>
      <c r="F60" s="47"/>
      <c r="G60" s="47"/>
      <c r="K60" s="2"/>
    </row>
    <row r="61" spans="1:11" x14ac:dyDescent="0.2">
      <c r="A61" s="47"/>
      <c r="B61" s="47"/>
      <c r="D61" s="47"/>
      <c r="E61" s="47"/>
      <c r="F61" s="47"/>
      <c r="G61" s="47"/>
      <c r="K61" s="2"/>
    </row>
    <row r="62" spans="1:11" x14ac:dyDescent="0.2">
      <c r="A62" s="47"/>
      <c r="B62" s="47"/>
      <c r="D62" s="47"/>
      <c r="E62" s="47"/>
      <c r="F62" s="47"/>
      <c r="G62" s="47"/>
      <c r="K62" s="2"/>
    </row>
    <row r="63" spans="1:11" x14ac:dyDescent="0.2">
      <c r="A63" s="47"/>
      <c r="B63" s="47"/>
      <c r="D63" s="47"/>
      <c r="E63" s="47"/>
      <c r="F63" s="47"/>
      <c r="G63" s="47"/>
      <c r="K63" s="2"/>
    </row>
    <row r="64" spans="1:11" x14ac:dyDescent="0.2">
      <c r="A64" s="47"/>
      <c r="B64" s="47"/>
      <c r="D64" s="47"/>
      <c r="E64" s="47"/>
      <c r="F64" s="47"/>
      <c r="G64" s="47"/>
      <c r="K64" s="2"/>
    </row>
    <row r="65" spans="1:11" x14ac:dyDescent="0.2">
      <c r="A65" s="47"/>
      <c r="B65" s="47"/>
      <c r="D65" s="47"/>
      <c r="E65" s="47"/>
      <c r="F65" s="47"/>
      <c r="G65" s="47"/>
      <c r="K65" s="2"/>
    </row>
    <row r="66" spans="1:11" x14ac:dyDescent="0.2">
      <c r="A66" s="47"/>
      <c r="B66" s="47"/>
      <c r="C66" s="47"/>
      <c r="D66" s="47"/>
      <c r="E66" s="47"/>
      <c r="F66" s="47"/>
      <c r="G66" s="47"/>
      <c r="K66" s="2"/>
    </row>
    <row r="67" spans="1:11" ht="12" thickBot="1" x14ac:dyDescent="0.25">
      <c r="A67" s="47"/>
      <c r="B67" s="47"/>
      <c r="C67" s="47"/>
      <c r="D67" s="47"/>
      <c r="E67" s="47"/>
      <c r="F67" s="47"/>
      <c r="G67" s="47"/>
      <c r="K67" s="2"/>
    </row>
    <row r="68" spans="1:11" ht="12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3">
    <tabColor rgb="FF92D050"/>
  </sheetPr>
  <dimension ref="A1:L73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6" width="14" customWidth="1"/>
    <col min="7" max="9" width="11.33203125" customWidth="1"/>
    <col min="10" max="10" width="10.6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142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21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224</v>
      </c>
      <c r="B4" s="12"/>
      <c r="K4" s="2"/>
    </row>
    <row r="5" spans="1:12" x14ac:dyDescent="0.2">
      <c r="A5" s="57"/>
      <c r="B5" s="21"/>
      <c r="C5" s="57"/>
      <c r="D5" s="57"/>
      <c r="E5" s="57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K7" s="2"/>
    </row>
    <row r="8" spans="1:12" ht="12" thickTop="1" x14ac:dyDescent="0.2">
      <c r="K8" s="2"/>
    </row>
    <row r="9" spans="1:12" x14ac:dyDescent="0.2">
      <c r="C9" s="21" t="s">
        <v>225</v>
      </c>
      <c r="D9" t="s">
        <v>223</v>
      </c>
      <c r="E9" t="s">
        <v>185</v>
      </c>
      <c r="F9" t="s">
        <v>37</v>
      </c>
      <c r="K9" s="2"/>
      <c r="L9" s="26"/>
    </row>
    <row r="10" spans="1:12" x14ac:dyDescent="0.2">
      <c r="C10" t="s">
        <v>226</v>
      </c>
      <c r="D10" t="s">
        <v>215</v>
      </c>
      <c r="E10" t="s">
        <v>35</v>
      </c>
      <c r="F10" t="s">
        <v>35</v>
      </c>
      <c r="K10" s="2"/>
    </row>
    <row r="11" spans="1:12" x14ac:dyDescent="0.2">
      <c r="A11" s="9" t="s">
        <v>42</v>
      </c>
      <c r="B11" s="9"/>
      <c r="C11" s="9" t="s">
        <v>97</v>
      </c>
      <c r="D11" s="9" t="s">
        <v>106</v>
      </c>
      <c r="E11" s="9" t="s">
        <v>106</v>
      </c>
      <c r="F11" s="9" t="s">
        <v>106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K12" s="2"/>
    </row>
    <row r="13" spans="1:12" x14ac:dyDescent="0.2">
      <c r="K13" s="2"/>
    </row>
    <row r="14" spans="1:12" x14ac:dyDescent="0.2">
      <c r="A14" s="210">
        <v>1994</v>
      </c>
      <c r="B14" s="24"/>
      <c r="C14" s="29">
        <f>'12.2'!C14</f>
        <v>10672677</v>
      </c>
      <c r="D14" s="34">
        <f>'10.2'!O28</f>
        <v>3.0979999999999999</v>
      </c>
      <c r="E14" s="29">
        <f>ROUND(C14*D14,0)</f>
        <v>33063953</v>
      </c>
      <c r="F14" s="29">
        <f>ROUND(AVERAGE(E13:E14),0)</f>
        <v>33063953</v>
      </c>
      <c r="K14" s="2"/>
    </row>
    <row r="15" spans="1:12" x14ac:dyDescent="0.2">
      <c r="A15" t="str">
        <f>TEXT(A14+1,"#")</f>
        <v>1995</v>
      </c>
      <c r="B15" s="24"/>
      <c r="C15" s="29">
        <f>'12.2'!C15</f>
        <v>12865905</v>
      </c>
      <c r="D15" s="34">
        <f>'10.2'!O29</f>
        <v>3.0979999999999999</v>
      </c>
      <c r="E15" s="29">
        <f t="shared" ref="E15:E32" si="0">ROUND(C15*D15,0)</f>
        <v>39858574</v>
      </c>
      <c r="F15" s="29">
        <f>ROUND(AVERAGE(E14:E15),0)</f>
        <v>36461264</v>
      </c>
      <c r="K15" s="2"/>
      <c r="L15" s="36"/>
    </row>
    <row r="16" spans="1:12" x14ac:dyDescent="0.2">
      <c r="A16" t="str">
        <f t="shared" ref="A16:A36" si="1">TEXT(A15+1,"#")</f>
        <v>1996</v>
      </c>
      <c r="B16" s="24"/>
      <c r="C16" s="29">
        <f>'12.2'!C16</f>
        <v>15640660</v>
      </c>
      <c r="D16" s="34">
        <f>'10.2'!O30</f>
        <v>3.0979999999999999</v>
      </c>
      <c r="E16" s="29">
        <f t="shared" si="0"/>
        <v>48454765</v>
      </c>
      <c r="F16" s="29">
        <f>ROUND(AVERAGE(E15:E16),0)</f>
        <v>44156670</v>
      </c>
      <c r="K16" s="2"/>
    </row>
    <row r="17" spans="1:12" x14ac:dyDescent="0.2">
      <c r="A17" t="str">
        <f t="shared" si="1"/>
        <v>1997</v>
      </c>
      <c r="B17" s="24"/>
      <c r="C17" s="29">
        <f>'12.2'!C17</f>
        <v>16536186</v>
      </c>
      <c r="D17" s="34">
        <f>'10.2'!O31</f>
        <v>3.0979999999999999</v>
      </c>
      <c r="E17" s="29">
        <f t="shared" si="0"/>
        <v>51229104</v>
      </c>
      <c r="F17" s="29">
        <f t="shared" ref="F17:F31" si="2">ROUND(AVERAGE(E16:E17),0)</f>
        <v>49841935</v>
      </c>
      <c r="K17" s="2"/>
      <c r="L17" s="33"/>
    </row>
    <row r="18" spans="1:12" x14ac:dyDescent="0.2">
      <c r="A18" t="str">
        <f t="shared" si="1"/>
        <v>1998</v>
      </c>
      <c r="B18" s="24"/>
      <c r="C18" s="29">
        <f>'12.2'!C18</f>
        <v>16558977</v>
      </c>
      <c r="D18" s="34">
        <f>'10.2'!O32</f>
        <v>3.1930000000000001</v>
      </c>
      <c r="E18" s="29">
        <f t="shared" si="0"/>
        <v>52872814</v>
      </c>
      <c r="F18" s="29">
        <f t="shared" si="2"/>
        <v>52050959</v>
      </c>
      <c r="K18" s="2"/>
      <c r="L18" s="33"/>
    </row>
    <row r="19" spans="1:12" x14ac:dyDescent="0.2">
      <c r="A19" t="str">
        <f t="shared" si="1"/>
        <v>1999</v>
      </c>
      <c r="B19" s="24"/>
      <c r="C19" s="29">
        <f>'12.2'!C19</f>
        <v>17394142.049999997</v>
      </c>
      <c r="D19" s="34">
        <f>'10.2'!O33</f>
        <v>3.1930000000000001</v>
      </c>
      <c r="E19" s="29">
        <f t="shared" si="0"/>
        <v>55539496</v>
      </c>
      <c r="F19" s="29">
        <f>ROUND(AVERAGE(E18:E19),0)</f>
        <v>54206155</v>
      </c>
      <c r="K19" s="2"/>
      <c r="L19" s="33"/>
    </row>
    <row r="20" spans="1:12" x14ac:dyDescent="0.2">
      <c r="A20" t="str">
        <f t="shared" si="1"/>
        <v>2000</v>
      </c>
      <c r="B20" s="24"/>
      <c r="C20" s="29">
        <f>'12.2'!C20</f>
        <v>17332561</v>
      </c>
      <c r="D20" s="34">
        <f>'10.2'!O34</f>
        <v>2.93</v>
      </c>
      <c r="E20" s="29">
        <f t="shared" si="0"/>
        <v>50784404</v>
      </c>
      <c r="F20" s="29">
        <f t="shared" si="2"/>
        <v>53161950</v>
      </c>
      <c r="K20" s="2"/>
      <c r="L20" s="33"/>
    </row>
    <row r="21" spans="1:12" x14ac:dyDescent="0.2">
      <c r="A21" t="str">
        <f t="shared" si="1"/>
        <v>2001</v>
      </c>
      <c r="B21" s="24"/>
      <c r="C21" s="29">
        <f>'12.2'!C21</f>
        <v>17544251</v>
      </c>
      <c r="D21" s="34">
        <f>'10.2'!O35</f>
        <v>2.8170000000000002</v>
      </c>
      <c r="E21" s="29">
        <f t="shared" si="0"/>
        <v>49422155</v>
      </c>
      <c r="F21" s="29">
        <f>ROUND(AVERAGE(E20:E21),0)</f>
        <v>50103280</v>
      </c>
      <c r="K21" s="2"/>
      <c r="L21" s="33"/>
    </row>
    <row r="22" spans="1:12" x14ac:dyDescent="0.2">
      <c r="A22" t="str">
        <f t="shared" si="1"/>
        <v>2002</v>
      </c>
      <c r="B22" s="24"/>
      <c r="C22" s="29">
        <f>'12.2'!C22</f>
        <v>24013525</v>
      </c>
      <c r="D22" s="34">
        <f>'10.2'!O36</f>
        <v>2.6840000000000002</v>
      </c>
      <c r="E22" s="177">
        <f t="shared" si="0"/>
        <v>64452301</v>
      </c>
      <c r="F22" s="29">
        <f>ROUND(AVERAGE(E21:E22),0)</f>
        <v>56937228</v>
      </c>
      <c r="K22" s="2"/>
      <c r="L22" s="33"/>
    </row>
    <row r="23" spans="1:12" x14ac:dyDescent="0.2">
      <c r="A23" t="str">
        <f t="shared" si="1"/>
        <v>2003</v>
      </c>
      <c r="B23" s="24"/>
      <c r="C23" s="29">
        <f>'12.2'!C23</f>
        <v>29220514</v>
      </c>
      <c r="D23" s="34">
        <f>'10.2'!O37</f>
        <v>2.44</v>
      </c>
      <c r="E23" s="177">
        <f t="shared" si="0"/>
        <v>71298054</v>
      </c>
      <c r="F23" s="177">
        <f>ROUND(AVERAGE(E22:E23),0)</f>
        <v>67875178</v>
      </c>
      <c r="K23" s="2"/>
      <c r="L23" s="33"/>
    </row>
    <row r="24" spans="1:12" x14ac:dyDescent="0.2">
      <c r="A24" t="str">
        <f t="shared" si="1"/>
        <v>2004</v>
      </c>
      <c r="B24" s="24"/>
      <c r="C24" s="29">
        <f>'12.2'!C24</f>
        <v>31009323</v>
      </c>
      <c r="D24" s="34">
        <f>'10.2'!O38</f>
        <v>2.218</v>
      </c>
      <c r="E24" s="177">
        <f t="shared" si="0"/>
        <v>68778678</v>
      </c>
      <c r="F24" s="177">
        <f t="shared" si="2"/>
        <v>70038366</v>
      </c>
      <c r="K24" s="2"/>
      <c r="L24" t="s">
        <v>236</v>
      </c>
    </row>
    <row r="25" spans="1:12" x14ac:dyDescent="0.2">
      <c r="A25" t="str">
        <f t="shared" si="1"/>
        <v>2005</v>
      </c>
      <c r="C25" s="29">
        <f>'12.2'!C25</f>
        <v>35740174</v>
      </c>
      <c r="D25" s="34">
        <f>'10.2'!O39</f>
        <v>2.016</v>
      </c>
      <c r="E25" s="177">
        <f t="shared" si="0"/>
        <v>72052191</v>
      </c>
      <c r="F25" s="177">
        <f>ROUND(AVERAGE(E24:E25),0)</f>
        <v>70415435</v>
      </c>
      <c r="K25" s="2"/>
      <c r="L25" s="95">
        <f>'12.2'!$L$44</f>
        <v>43830</v>
      </c>
    </row>
    <row r="26" spans="1:12" x14ac:dyDescent="0.2">
      <c r="A26" t="str">
        <f t="shared" si="1"/>
        <v>2006</v>
      </c>
      <c r="B26" s="21"/>
      <c r="C26" s="29">
        <f>'12.2'!C26</f>
        <v>76847840</v>
      </c>
      <c r="D26" s="34">
        <f>'10.2'!O40</f>
        <v>1.87</v>
      </c>
      <c r="E26" s="177">
        <f t="shared" si="0"/>
        <v>143705461</v>
      </c>
      <c r="F26" s="177">
        <f t="shared" si="2"/>
        <v>107878826</v>
      </c>
      <c r="K26" s="2"/>
    </row>
    <row r="27" spans="1:12" x14ac:dyDescent="0.2">
      <c r="A27" t="str">
        <f t="shared" si="1"/>
        <v>2007</v>
      </c>
      <c r="C27" s="29">
        <f>'12.2'!C27</f>
        <v>110951718</v>
      </c>
      <c r="D27" s="34">
        <f>'10.2'!O41</f>
        <v>1.714</v>
      </c>
      <c r="E27" s="177">
        <f t="shared" si="0"/>
        <v>190171245</v>
      </c>
      <c r="F27" s="177">
        <f>ROUND(AVERAGE(E26:E27),0)</f>
        <v>166938353</v>
      </c>
      <c r="K27" s="2"/>
    </row>
    <row r="28" spans="1:12" x14ac:dyDescent="0.2">
      <c r="A28" t="str">
        <f t="shared" si="1"/>
        <v>2008</v>
      </c>
      <c r="C28" s="29">
        <f>'12.2'!C28</f>
        <v>98036118.420000017</v>
      </c>
      <c r="D28" s="34">
        <f>'10.2'!O42</f>
        <v>1.633</v>
      </c>
      <c r="E28" s="177">
        <f t="shared" si="0"/>
        <v>160092981</v>
      </c>
      <c r="F28" s="177">
        <f>ROUND(AVERAGE(E27:E28),0)</f>
        <v>175132113</v>
      </c>
      <c r="K28" s="2"/>
    </row>
    <row r="29" spans="1:12" x14ac:dyDescent="0.2">
      <c r="A29" t="str">
        <f t="shared" si="1"/>
        <v>2009</v>
      </c>
      <c r="B29" s="24"/>
      <c r="C29" s="29">
        <f>'12.2'!C29</f>
        <v>111269572.63</v>
      </c>
      <c r="D29" s="34">
        <f>'10.2'!O43</f>
        <v>1.423</v>
      </c>
      <c r="E29" s="177">
        <f t="shared" si="0"/>
        <v>158336602</v>
      </c>
      <c r="F29" s="177">
        <f t="shared" si="2"/>
        <v>159214792</v>
      </c>
      <c r="K29" s="2"/>
    </row>
    <row r="30" spans="1:12" x14ac:dyDescent="0.2">
      <c r="A30" t="str">
        <f t="shared" si="1"/>
        <v>2010</v>
      </c>
      <c r="B30" s="24"/>
      <c r="C30" s="29">
        <f>'12.2'!C30</f>
        <v>102174679.52999991</v>
      </c>
      <c r="D30" s="34">
        <f>'10.2'!O44</f>
        <v>1.407</v>
      </c>
      <c r="E30" s="177">
        <f t="shared" si="0"/>
        <v>143759774</v>
      </c>
      <c r="F30" s="177">
        <f>ROUND(AVERAGE(E29:E30),0)</f>
        <v>151048188</v>
      </c>
      <c r="K30" s="2"/>
      <c r="L30" s="40"/>
    </row>
    <row r="31" spans="1:12" x14ac:dyDescent="0.2">
      <c r="A31" t="str">
        <f t="shared" si="1"/>
        <v>2011</v>
      </c>
      <c r="B31" s="24"/>
      <c r="C31" s="29">
        <f>'12.2'!C31</f>
        <v>100017021</v>
      </c>
      <c r="D31" s="34">
        <f>'10.2'!O45</f>
        <v>1.34</v>
      </c>
      <c r="E31" s="177">
        <f t="shared" si="0"/>
        <v>134022808</v>
      </c>
      <c r="F31" s="177">
        <f t="shared" si="2"/>
        <v>138891291</v>
      </c>
      <c r="K31" s="2"/>
    </row>
    <row r="32" spans="1:12" x14ac:dyDescent="0.2">
      <c r="A32" t="str">
        <f t="shared" si="1"/>
        <v>2012</v>
      </c>
      <c r="B32" s="24"/>
      <c r="C32" s="29">
        <f>'12.2'!C32</f>
        <v>110524396.51999998</v>
      </c>
      <c r="D32" s="34">
        <f>'10.2'!O46</f>
        <v>1.276</v>
      </c>
      <c r="E32" s="177">
        <f t="shared" si="0"/>
        <v>141029130</v>
      </c>
      <c r="F32" s="177">
        <f t="shared" ref="F32:F37" si="3">ROUND(AVERAGE(E31:E32),0)</f>
        <v>137525969</v>
      </c>
      <c r="K32" s="2"/>
      <c r="L32" s="40"/>
    </row>
    <row r="33" spans="1:11" x14ac:dyDescent="0.2">
      <c r="A33" t="str">
        <f t="shared" si="1"/>
        <v>2013</v>
      </c>
      <c r="B33" s="24"/>
      <c r="C33" s="29">
        <f>'12.2'!C33</f>
        <v>112904624</v>
      </c>
      <c r="D33" s="34">
        <f>'10.2'!O47</f>
        <v>1.216</v>
      </c>
      <c r="E33" s="177">
        <f t="shared" ref="E33:E38" si="4">ROUND(C33*D33,0)</f>
        <v>137292023</v>
      </c>
      <c r="F33" s="177">
        <f>ROUND(AVERAGE(E32:E33),0)</f>
        <v>139160577</v>
      </c>
      <c r="K33" s="2"/>
    </row>
    <row r="34" spans="1:11" x14ac:dyDescent="0.2">
      <c r="A34" t="str">
        <f t="shared" si="1"/>
        <v>2014</v>
      </c>
      <c r="B34" s="48"/>
      <c r="C34" s="29">
        <f>'12.2'!C34</f>
        <v>104642688</v>
      </c>
      <c r="D34" s="34">
        <f>'10.2'!O48</f>
        <v>1.1579999999999999</v>
      </c>
      <c r="E34" s="177">
        <f t="shared" si="4"/>
        <v>121176233</v>
      </c>
      <c r="F34" s="177">
        <f t="shared" si="3"/>
        <v>129234128</v>
      </c>
      <c r="K34" s="2"/>
    </row>
    <row r="35" spans="1:11" x14ac:dyDescent="0.2">
      <c r="A35" s="47" t="str">
        <f t="shared" si="1"/>
        <v>2015</v>
      </c>
      <c r="B35" s="48"/>
      <c r="C35" s="177">
        <f>'12.2'!C35</f>
        <v>98715934</v>
      </c>
      <c r="D35" s="34">
        <f>'10.2'!O49</f>
        <v>1.1020000000000001</v>
      </c>
      <c r="E35" s="177">
        <f t="shared" si="4"/>
        <v>108784959</v>
      </c>
      <c r="F35" s="177">
        <f t="shared" si="3"/>
        <v>114980596</v>
      </c>
      <c r="K35" s="2"/>
    </row>
    <row r="36" spans="1:11" x14ac:dyDescent="0.2">
      <c r="A36" s="47" t="str">
        <f t="shared" si="1"/>
        <v>2016</v>
      </c>
      <c r="B36" s="48"/>
      <c r="C36" s="177">
        <f>'12.2'!C36</f>
        <v>88278690</v>
      </c>
      <c r="D36" s="34">
        <f>'10.2'!O50</f>
        <v>1.05</v>
      </c>
      <c r="E36" s="177">
        <f t="shared" si="4"/>
        <v>92692625</v>
      </c>
      <c r="F36" s="177">
        <f t="shared" si="3"/>
        <v>100738792</v>
      </c>
      <c r="K36" s="2"/>
    </row>
    <row r="37" spans="1:11" x14ac:dyDescent="0.2">
      <c r="A37" s="48">
        <v>2017</v>
      </c>
      <c r="B37" s="47"/>
      <c r="C37" s="177">
        <f>'12.2'!C37</f>
        <v>70749081</v>
      </c>
      <c r="D37" s="78">
        <f>'10.2'!O51</f>
        <v>1.05</v>
      </c>
      <c r="E37" s="177">
        <f t="shared" si="4"/>
        <v>74286535</v>
      </c>
      <c r="F37" s="177">
        <f t="shared" si="3"/>
        <v>83489580</v>
      </c>
      <c r="K37" s="2"/>
    </row>
    <row r="38" spans="1:11" x14ac:dyDescent="0.2">
      <c r="A38" s="48">
        <v>2018</v>
      </c>
      <c r="B38" s="47"/>
      <c r="C38" s="177">
        <f>'12.2'!C38</f>
        <v>65696833</v>
      </c>
      <c r="D38" s="78">
        <f>'10.2'!O52</f>
        <v>1</v>
      </c>
      <c r="E38" s="177">
        <f t="shared" si="4"/>
        <v>65696833</v>
      </c>
      <c r="F38" s="177">
        <f>ROUND(AVERAGE(E37:E38),0)</f>
        <v>69991684</v>
      </c>
      <c r="K38" s="2"/>
    </row>
    <row r="39" spans="1:11" x14ac:dyDescent="0.2">
      <c r="A39" s="48">
        <v>2019</v>
      </c>
      <c r="B39" s="47"/>
      <c r="C39" s="177">
        <f>'12.2'!C39</f>
        <v>59123729</v>
      </c>
      <c r="D39" s="78">
        <f>'10.2'!O53</f>
        <v>1</v>
      </c>
      <c r="E39" s="177">
        <f t="shared" ref="E39" si="5">ROUND(C39*D39,0)</f>
        <v>59123729</v>
      </c>
      <c r="F39" s="177">
        <f>ROUND(AVERAGE(E38:E39),0)</f>
        <v>62410281</v>
      </c>
      <c r="K39" s="2"/>
    </row>
    <row r="40" spans="1:11" x14ac:dyDescent="0.2">
      <c r="K40" s="2"/>
    </row>
    <row r="41" spans="1:11" x14ac:dyDescent="0.2">
      <c r="A41" t="s">
        <v>8</v>
      </c>
      <c r="C41" s="18">
        <f>SUM(C14:C39)</f>
        <v>1554461820.1499999</v>
      </c>
      <c r="D41" s="18"/>
      <c r="E41" s="18">
        <f>SUM(E14:E39)</f>
        <v>2387977427</v>
      </c>
      <c r="F41" s="18">
        <f>SUM(F14:F39)</f>
        <v>2374947543</v>
      </c>
      <c r="K41" s="2"/>
    </row>
    <row r="42" spans="1:11" ht="12" thickBot="1" x14ac:dyDescent="0.25">
      <c r="A42" s="6"/>
      <c r="B42" s="6"/>
      <c r="C42" s="6"/>
      <c r="D42" s="6"/>
      <c r="E42" s="6"/>
      <c r="F42" s="6"/>
      <c r="K42" s="2"/>
    </row>
    <row r="43" spans="1:11" ht="12" thickTop="1" x14ac:dyDescent="0.2">
      <c r="K43" s="2"/>
    </row>
    <row r="44" spans="1:11" x14ac:dyDescent="0.2">
      <c r="A44" t="s">
        <v>18</v>
      </c>
      <c r="K44" s="2"/>
    </row>
    <row r="45" spans="1:11" x14ac:dyDescent="0.2">
      <c r="B45" s="21" t="str">
        <f>C12&amp;" Provided by TWIA"</f>
        <v>(2) Provided by TWIA</v>
      </c>
      <c r="K45" s="2"/>
    </row>
    <row r="46" spans="1:11" x14ac:dyDescent="0.2">
      <c r="B46" s="21" t="str">
        <f>D12&amp;" "&amp;'10.2'!$O$1&amp;", "&amp;'10.2'!$O$2</f>
        <v>(3) Exhibit 10, Sheet 2</v>
      </c>
      <c r="K46" s="2"/>
    </row>
    <row r="47" spans="1:11" x14ac:dyDescent="0.2">
      <c r="B47" s="21" t="str">
        <f>E12&amp;" = "&amp;C12&amp;" * "&amp;D12&amp;" (calculated on a monthly basis)"</f>
        <v>(4) = (2) * (3) (calculated on a monthly basis)</v>
      </c>
      <c r="K47" s="2"/>
    </row>
    <row r="48" spans="1:11" x14ac:dyDescent="0.2">
      <c r="B48" s="21" t="str">
        <f>F12&amp;" Calculated from "&amp;E12&amp;", using annual uniform earning assumption for "&amp;A22&amp;" and prior and monthly for "&amp;A23&amp;" and after"</f>
        <v>(5) Calculated from (4), using annual uniform earning assumption for 2002 and prior and monthly for 2003 and after</v>
      </c>
      <c r="K48" s="2"/>
    </row>
    <row r="49" spans="2:11" x14ac:dyDescent="0.2">
      <c r="B49" s="21"/>
      <c r="K49" s="2"/>
    </row>
    <row r="50" spans="2:11" x14ac:dyDescent="0.2">
      <c r="K50" s="2"/>
    </row>
    <row r="51" spans="2:11" x14ac:dyDescent="0.2">
      <c r="K51" s="2"/>
    </row>
    <row r="52" spans="2:11" x14ac:dyDescent="0.2">
      <c r="K52" s="2"/>
    </row>
    <row r="53" spans="2:11" x14ac:dyDescent="0.2">
      <c r="K53" s="2"/>
    </row>
    <row r="54" spans="2:11" x14ac:dyDescent="0.2">
      <c r="K54" s="2"/>
    </row>
    <row r="55" spans="2:11" x14ac:dyDescent="0.2">
      <c r="K55" s="2"/>
    </row>
    <row r="56" spans="2:11" x14ac:dyDescent="0.2">
      <c r="K56" s="2"/>
    </row>
    <row r="57" spans="2:11" x14ac:dyDescent="0.2">
      <c r="K57" s="2"/>
    </row>
    <row r="58" spans="2:11" x14ac:dyDescent="0.2">
      <c r="K58" s="2"/>
    </row>
    <row r="59" spans="2:11" x14ac:dyDescent="0.2">
      <c r="K59" s="2"/>
    </row>
    <row r="60" spans="2:11" x14ac:dyDescent="0.2">
      <c r="K60" s="2"/>
    </row>
    <row r="61" spans="2:11" x14ac:dyDescent="0.2">
      <c r="K61" s="2"/>
    </row>
    <row r="62" spans="2:11" x14ac:dyDescent="0.2">
      <c r="K62" s="2"/>
    </row>
    <row r="63" spans="2:11" x14ac:dyDescent="0.2">
      <c r="K63" s="2"/>
    </row>
    <row r="64" spans="2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idden="1" x14ac:dyDescent="0.2">
      <c r="K71" s="2"/>
    </row>
    <row r="72" spans="1:11" ht="12" hidden="1" thickBot="1" x14ac:dyDescent="0.25">
      <c r="K72" s="2"/>
    </row>
    <row r="73" spans="1:11" ht="12" thickBot="1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4">
    <tabColor rgb="FF92D050"/>
  </sheetPr>
  <dimension ref="A1:Q72"/>
  <sheetViews>
    <sheetView showGridLines="0" zoomScaleNormal="100" workbookViewId="0">
      <selection activeCell="A71" sqref="A71:XFD71"/>
    </sheetView>
  </sheetViews>
  <sheetFormatPr defaultColWidth="11.33203125" defaultRowHeight="11.25" x14ac:dyDescent="0.2"/>
  <cols>
    <col min="1" max="1" width="7.1640625" customWidth="1"/>
    <col min="2" max="2" width="10.6640625" customWidth="1"/>
    <col min="3" max="3" width="9.1640625" customWidth="1"/>
    <col min="4" max="4" width="9.6640625" customWidth="1"/>
    <col min="5" max="5" width="10.6640625" customWidth="1"/>
    <col min="6" max="10" width="7" customWidth="1"/>
    <col min="11" max="12" width="6.6640625" customWidth="1"/>
    <col min="13" max="13" width="7" customWidth="1"/>
    <col min="14" max="14" width="8.5" customWidth="1"/>
    <col min="15" max="15" width="9.6640625" customWidth="1"/>
    <col min="17" max="17" width="8.6640625" customWidth="1"/>
  </cols>
  <sheetData>
    <row r="1" spans="1:16" x14ac:dyDescent="0.2">
      <c r="A1" s="8" t="str">
        <f>'1'!$A$1</f>
        <v>Texas Windstorm Insurance Association</v>
      </c>
      <c r="O1" s="7" t="s">
        <v>142</v>
      </c>
      <c r="P1" s="1"/>
    </row>
    <row r="2" spans="1:16" x14ac:dyDescent="0.2">
      <c r="A2" s="8" t="str">
        <f>'1'!$A$2</f>
        <v>Commercial Property - Wind &amp; Hail</v>
      </c>
      <c r="O2" s="7" t="s">
        <v>65</v>
      </c>
      <c r="P2" s="2"/>
    </row>
    <row r="3" spans="1:16" x14ac:dyDescent="0.2">
      <c r="A3" s="8" t="str">
        <f>'1'!$A$3</f>
        <v>Rate Level Review</v>
      </c>
      <c r="P3" s="2"/>
    </row>
    <row r="4" spans="1:16" x14ac:dyDescent="0.2">
      <c r="A4" t="s">
        <v>214</v>
      </c>
      <c r="P4" s="2"/>
    </row>
    <row r="5" spans="1:16" x14ac:dyDescent="0.2">
      <c r="A5" s="57"/>
      <c r="B5" s="57"/>
      <c r="C5" s="57"/>
      <c r="D5" s="57"/>
      <c r="P5" s="2"/>
    </row>
    <row r="6" spans="1:16" x14ac:dyDescent="0.2">
      <c r="P6" s="2"/>
    </row>
    <row r="7" spans="1:16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2"/>
    </row>
    <row r="8" spans="1:16" ht="12" thickTop="1" x14ac:dyDescent="0.2">
      <c r="P8" s="2"/>
    </row>
    <row r="9" spans="1:16" x14ac:dyDescent="0.2">
      <c r="B9" s="23" t="s">
        <v>217</v>
      </c>
      <c r="N9" t="s">
        <v>51</v>
      </c>
      <c r="O9" t="s">
        <v>223</v>
      </c>
      <c r="P9" s="2"/>
    </row>
    <row r="10" spans="1:16" x14ac:dyDescent="0.2">
      <c r="B10" t="s">
        <v>216</v>
      </c>
      <c r="F10" t="s">
        <v>220</v>
      </c>
      <c r="J10" t="s">
        <v>221</v>
      </c>
      <c r="N10" t="s">
        <v>13</v>
      </c>
      <c r="O10" t="s">
        <v>215</v>
      </c>
      <c r="P10" s="2"/>
    </row>
    <row r="11" spans="1:16" x14ac:dyDescent="0.2">
      <c r="A11" s="9" t="s">
        <v>42</v>
      </c>
      <c r="B11" s="9" t="s">
        <v>218</v>
      </c>
      <c r="C11" s="9"/>
      <c r="D11" s="9"/>
      <c r="E11" s="9" t="s">
        <v>219</v>
      </c>
      <c r="F11" s="9" t="s">
        <v>218</v>
      </c>
      <c r="G11" s="9"/>
      <c r="H11" s="9"/>
      <c r="I11" s="9" t="s">
        <v>219</v>
      </c>
      <c r="J11" s="9" t="s">
        <v>218</v>
      </c>
      <c r="K11" s="9"/>
      <c r="L11" s="9"/>
      <c r="M11" s="9" t="s">
        <v>219</v>
      </c>
      <c r="N11" s="9" t="s">
        <v>222</v>
      </c>
      <c r="O11" s="9" t="s">
        <v>106</v>
      </c>
      <c r="P11" s="2"/>
    </row>
    <row r="12" spans="1:16" x14ac:dyDescent="0.2">
      <c r="A12" s="13" t="str">
        <f>TEXT(COLUMN(),"(#)")</f>
        <v>(1)</v>
      </c>
      <c r="B12" s="11" t="str">
        <f>TEXT(COLUMN()-1,"(#)")</f>
        <v>(1)</v>
      </c>
      <c r="C12" s="11" t="str">
        <f>TEXT(COLUMN()-1,"(#)")</f>
        <v>(2)</v>
      </c>
      <c r="D12" s="11" t="str">
        <f>TEXT(COLUMN()-1,"(#)")</f>
        <v>(3)</v>
      </c>
      <c r="E12" s="11" t="str">
        <f t="shared" ref="E12:O12" si="0">TEXT(COLUMN()-1,"(#)")</f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 t="str">
        <f t="shared" si="0"/>
        <v>(11)</v>
      </c>
      <c r="M12" s="11" t="str">
        <f t="shared" si="0"/>
        <v>(12)</v>
      </c>
      <c r="N12" s="11" t="str">
        <f t="shared" si="0"/>
        <v>(13)</v>
      </c>
      <c r="O12" s="11" t="str">
        <f t="shared" si="0"/>
        <v>(14)</v>
      </c>
      <c r="P12" s="2"/>
    </row>
    <row r="13" spans="1:16" x14ac:dyDescent="0.2">
      <c r="P13" s="2"/>
    </row>
    <row r="14" spans="1:16" x14ac:dyDescent="0.2">
      <c r="A14" s="211">
        <v>1980</v>
      </c>
      <c r="B14" s="91" t="s">
        <v>196</v>
      </c>
      <c r="C14" s="92"/>
      <c r="D14" s="74"/>
      <c r="E14" s="93">
        <v>29434</v>
      </c>
      <c r="F14" s="33">
        <f>ROUND(VLOOKUP(TEXT(B14,"m/d/yy"),'10.3'!$A$14:$D$42,4,0),3)</f>
        <v>1</v>
      </c>
      <c r="G14" s="33"/>
      <c r="H14" s="33"/>
      <c r="I14" s="33">
        <f>ROUND(VLOOKUP(TEXT(E14,"m/d/yy"),'10.3'!$A$14:$D$42,4,0),3)</f>
        <v>1.175</v>
      </c>
      <c r="J14" s="84">
        <f>ROUND(IF(E14&gt;DATE($A14,1,1),MONTH(E14)-1+(DAY(E14)-1)/30,12),1)</f>
        <v>7</v>
      </c>
      <c r="K14" s="84"/>
      <c r="L14" s="84"/>
      <c r="M14" s="84">
        <f>12-SUM(J14:L14)</f>
        <v>5</v>
      </c>
      <c r="N14" s="33">
        <f>ROUND(SUMPRODUCT(F14:I14,J14:M14)/12,3)</f>
        <v>1.073</v>
      </c>
      <c r="O14" s="33">
        <f t="shared" ref="O14:O53" si="1">ROUND(N$55/N14,3)</f>
        <v>4.6369999999999996</v>
      </c>
      <c r="P14" s="2"/>
    </row>
    <row r="15" spans="1:16" x14ac:dyDescent="0.2">
      <c r="A15" s="211">
        <v>1981</v>
      </c>
      <c r="B15" s="93">
        <v>29434</v>
      </c>
      <c r="C15" s="92"/>
      <c r="D15" s="74"/>
      <c r="E15" s="93">
        <v>29830</v>
      </c>
      <c r="F15" s="33">
        <f>ROUND(VLOOKUP(TEXT(B15,"m/d/yy"),'10.3'!$A$14:$D$42,4,0),3)</f>
        <v>1.175</v>
      </c>
      <c r="G15" s="33"/>
      <c r="H15" s="33"/>
      <c r="I15" s="33">
        <f>ROUND(VLOOKUP(TEXT(E15,"m/d/yy"),'10.3'!$A$14:$D$42,4,0),3)</f>
        <v>1.1319999999999999</v>
      </c>
      <c r="J15" s="84">
        <f>ROUND(IF(E15&gt;DATE($A15,1,1),MONTH(E15)-1+(DAY(E15)-1)/30,12),1)</f>
        <v>8</v>
      </c>
      <c r="K15" s="84"/>
      <c r="L15" s="84"/>
      <c r="M15" s="84">
        <f t="shared" ref="M15:M36" si="2">12-SUM(J15:L15)</f>
        <v>4</v>
      </c>
      <c r="N15" s="33">
        <f t="shared" ref="N15:N36" si="3">ROUND(SUMPRODUCT(F15:I15,J15:M15)/12,3)</f>
        <v>1.161</v>
      </c>
      <c r="O15" s="33">
        <f t="shared" si="1"/>
        <v>4.2850000000000001</v>
      </c>
      <c r="P15" s="2"/>
    </row>
    <row r="16" spans="1:16" x14ac:dyDescent="0.2">
      <c r="A16" s="211">
        <v>1982</v>
      </c>
      <c r="B16" s="93">
        <v>29830</v>
      </c>
      <c r="C16" s="92"/>
      <c r="D16" s="74"/>
      <c r="E16" s="93">
        <v>30195</v>
      </c>
      <c r="F16" s="33">
        <f>ROUND(VLOOKUP(TEXT(B16,"m/d/yy"),'10.3'!$A$14:$D$42,4,0),3)</f>
        <v>1.1319999999999999</v>
      </c>
      <c r="G16" s="33"/>
      <c r="H16" s="33"/>
      <c r="I16" s="33">
        <f>ROUND(VLOOKUP(TEXT(E16,"m/d/yy"),'10.3'!$A$14:$D$42,4,0),3)</f>
        <v>1.4279999999999999</v>
      </c>
      <c r="J16" s="84">
        <f>ROUND(IF(E16&gt;DATE($A16,1,1),MONTH(E16)-1+(DAY(E16)-1)/30,12),1)</f>
        <v>8</v>
      </c>
      <c r="K16" s="84"/>
      <c r="L16" s="84"/>
      <c r="M16" s="84">
        <f t="shared" si="2"/>
        <v>4</v>
      </c>
      <c r="N16" s="33">
        <f t="shared" si="3"/>
        <v>1.2310000000000001</v>
      </c>
      <c r="O16" s="33">
        <f t="shared" si="1"/>
        <v>4.0419999999999998</v>
      </c>
      <c r="P16" s="2"/>
    </row>
    <row r="17" spans="1:17" x14ac:dyDescent="0.2">
      <c r="A17" s="211">
        <v>1983</v>
      </c>
      <c r="B17" s="93">
        <v>30195</v>
      </c>
      <c r="C17" s="92"/>
      <c r="D17" s="74"/>
      <c r="E17" s="93">
        <v>30599</v>
      </c>
      <c r="F17" s="33">
        <f>ROUND(VLOOKUP(TEXT(B17,"m/d/yy"),'10.3'!$A$14:$D$42,4,0),3)</f>
        <v>1.4279999999999999</v>
      </c>
      <c r="G17" s="33"/>
      <c r="H17" s="33"/>
      <c r="I17" s="33">
        <f>ROUND(VLOOKUP(TEXT(E17,"m/d/yy"),'10.3'!$A$14:$D$42,4,0),3)</f>
        <v>1.514</v>
      </c>
      <c r="J17" s="84">
        <f>ROUND(IF(E17&gt;DATE($A17,1,1),MONTH(E17)-1+(DAY(E17)-1)/30,12),1)</f>
        <v>9.3000000000000007</v>
      </c>
      <c r="K17" s="84"/>
      <c r="L17" s="84"/>
      <c r="M17" s="84">
        <f t="shared" si="2"/>
        <v>2.6999999999999993</v>
      </c>
      <c r="N17" s="33">
        <f t="shared" si="3"/>
        <v>1.4470000000000001</v>
      </c>
      <c r="O17" s="33">
        <f t="shared" si="1"/>
        <v>3.4380000000000002</v>
      </c>
      <c r="P17" s="2"/>
    </row>
    <row r="18" spans="1:17" x14ac:dyDescent="0.2">
      <c r="A18" s="211">
        <v>1984</v>
      </c>
      <c r="B18" s="93">
        <v>30599</v>
      </c>
      <c r="C18" s="92"/>
      <c r="D18" s="74"/>
      <c r="E18" s="93">
        <v>30599</v>
      </c>
      <c r="F18" s="33">
        <f>ROUND(VLOOKUP(TEXT(B18,"m/d/yy"),'10.3'!$A$14:$D$42,4,0),3)</f>
        <v>1.514</v>
      </c>
      <c r="G18" s="33"/>
      <c r="H18" s="33"/>
      <c r="I18" s="33">
        <f>ROUND(VLOOKUP(TEXT(E18,"m/d/yy"),'10.3'!$A$14:$D$42,4,0),3)</f>
        <v>1.514</v>
      </c>
      <c r="J18" s="84">
        <f>ROUND(IF(E18&gt;DATE($A18,1,1),MONTH(E18)-1+(DAY(E18)-1)/30,12),1)</f>
        <v>12</v>
      </c>
      <c r="K18" s="84"/>
      <c r="L18" s="84"/>
      <c r="M18" s="84">
        <f t="shared" si="2"/>
        <v>0</v>
      </c>
      <c r="N18" s="33">
        <f t="shared" si="3"/>
        <v>1.514</v>
      </c>
      <c r="O18" s="33">
        <f t="shared" si="1"/>
        <v>3.286</v>
      </c>
      <c r="P18" s="2"/>
    </row>
    <row r="19" spans="1:17" x14ac:dyDescent="0.2">
      <c r="A19" s="287">
        <v>1985</v>
      </c>
      <c r="B19" s="93">
        <v>30599</v>
      </c>
      <c r="C19" s="93">
        <v>31107</v>
      </c>
      <c r="D19" s="93">
        <v>31121</v>
      </c>
      <c r="E19" s="93">
        <v>31366</v>
      </c>
      <c r="F19" s="33">
        <f>ROUND(VLOOKUP(TEXT(B19,"m/d/yy"),'10.3'!$A$14:$D$42,4,0),3)</f>
        <v>1.514</v>
      </c>
      <c r="G19" s="33">
        <f>ROUND(VLOOKUP(TEXT(C19,"m/d/yy"),'10.3'!$A$14:$D$42,4,0),3)</f>
        <v>1.8919999999999999</v>
      </c>
      <c r="H19" s="33">
        <f>ROUND(VLOOKUP(TEXT(D19,"m/d/yy"),'10.3'!$A$14:$D$42,4,0),3)</f>
        <v>2.4279999999999999</v>
      </c>
      <c r="I19" s="33">
        <f>ROUND(VLOOKUP(TEXT(E19,"m/d/yy"),'10.3'!$A$14:$D$42,4,0),3)</f>
        <v>2.6509999999999998</v>
      </c>
      <c r="J19" s="94">
        <f>ROUND(IF(C19&gt;DATE($A19,1,1),MONTH(C19)-1+(DAY(C19)-1)/30,12),1)</f>
        <v>2</v>
      </c>
      <c r="K19" s="94">
        <f>ROUND(IF(D19&gt;DATE($A19,1,1),MONTH(D19)-1+(DAY(D19)-1)/30,12)-J19,1)</f>
        <v>0.5</v>
      </c>
      <c r="L19" s="94">
        <f>ROUND(IF(E19&gt;DATE($A19,1,1),MONTH(E19)-1+(DAY(E19)-1)/30,12)-J19-K19,1)</f>
        <v>8</v>
      </c>
      <c r="M19" s="84">
        <f t="shared" si="2"/>
        <v>1.5</v>
      </c>
      <c r="N19" s="33">
        <f t="shared" si="3"/>
        <v>2.2810000000000001</v>
      </c>
      <c r="O19" s="33">
        <f t="shared" si="1"/>
        <v>2.181</v>
      </c>
      <c r="P19" s="2"/>
    </row>
    <row r="20" spans="1:17" x14ac:dyDescent="0.2">
      <c r="A20" s="211">
        <v>1986</v>
      </c>
      <c r="B20" s="93">
        <v>31366</v>
      </c>
      <c r="C20" s="92"/>
      <c r="D20" s="74"/>
      <c r="E20" s="93">
        <v>31366</v>
      </c>
      <c r="F20" s="33">
        <f>ROUND(VLOOKUP(TEXT(B20,"m/d/yy"),'10.3'!$A$14:$D$42,4,0),3)</f>
        <v>2.6509999999999998</v>
      </c>
      <c r="G20" s="33"/>
      <c r="H20" s="33"/>
      <c r="I20" s="33">
        <f>ROUND(VLOOKUP(TEXT(E20,"m/d/yy"),'10.3'!$A$14:$D$42,4,0),3)</f>
        <v>2.6509999999999998</v>
      </c>
      <c r="J20" s="84">
        <f t="shared" ref="J20:J36" si="4">ROUND(IF(E20&gt;DATE($A20,1,1),MONTH(E20)-1+(DAY(E20)-1)/30,12),1)</f>
        <v>12</v>
      </c>
      <c r="K20" s="84"/>
      <c r="L20" s="84"/>
      <c r="M20" s="84">
        <f t="shared" si="2"/>
        <v>0</v>
      </c>
      <c r="N20" s="33">
        <f t="shared" si="3"/>
        <v>2.6509999999999998</v>
      </c>
      <c r="O20" s="33">
        <f t="shared" si="1"/>
        <v>1.877</v>
      </c>
      <c r="P20" s="2"/>
    </row>
    <row r="21" spans="1:17" x14ac:dyDescent="0.2">
      <c r="A21" s="211">
        <v>1987</v>
      </c>
      <c r="B21" s="93">
        <v>31366</v>
      </c>
      <c r="C21" s="92"/>
      <c r="D21" s="74"/>
      <c r="E21" s="93">
        <v>31959</v>
      </c>
      <c r="F21" s="33">
        <f>ROUND(VLOOKUP(TEXT(B21,"m/d/yy"),'10.3'!$A$14:$D$42,4,0),3)</f>
        <v>2.6509999999999998</v>
      </c>
      <c r="G21" s="33"/>
      <c r="H21" s="33"/>
      <c r="I21" s="33">
        <f>ROUND(VLOOKUP(TEXT(E21,"m/d/yy"),'10.3'!$A$14:$D$42,4,0),3)</f>
        <v>2.407</v>
      </c>
      <c r="J21" s="84">
        <f t="shared" si="4"/>
        <v>6</v>
      </c>
      <c r="K21" s="84"/>
      <c r="L21" s="84"/>
      <c r="M21" s="84">
        <f t="shared" si="2"/>
        <v>6</v>
      </c>
      <c r="N21" s="33">
        <f t="shared" si="3"/>
        <v>2.5289999999999999</v>
      </c>
      <c r="O21" s="33">
        <f t="shared" si="1"/>
        <v>1.9670000000000001</v>
      </c>
      <c r="P21" s="2"/>
    </row>
    <row r="22" spans="1:17" x14ac:dyDescent="0.2">
      <c r="A22" s="211">
        <v>1988</v>
      </c>
      <c r="B22" s="93">
        <v>31959</v>
      </c>
      <c r="C22" s="92"/>
      <c r="D22" s="74"/>
      <c r="E22" s="93">
        <v>32448</v>
      </c>
      <c r="F22" s="33">
        <f>ROUND(VLOOKUP(TEXT(B22,"m/d/yy"),'10.3'!$A$14:$D$42,4,0),3)</f>
        <v>2.407</v>
      </c>
      <c r="G22" s="33"/>
      <c r="H22" s="33"/>
      <c r="I22" s="33">
        <f>ROUND(VLOOKUP(TEXT(E22,"m/d/yy"),'10.3'!$A$14:$D$42,4,0),3)</f>
        <v>2.0750000000000002</v>
      </c>
      <c r="J22" s="84">
        <f t="shared" si="4"/>
        <v>10</v>
      </c>
      <c r="K22" s="84"/>
      <c r="L22" s="84"/>
      <c r="M22" s="84">
        <f t="shared" si="2"/>
        <v>2</v>
      </c>
      <c r="N22" s="33">
        <f t="shared" si="3"/>
        <v>2.3519999999999999</v>
      </c>
      <c r="O22" s="33">
        <f t="shared" si="1"/>
        <v>2.1150000000000002</v>
      </c>
      <c r="P22" s="2"/>
    </row>
    <row r="23" spans="1:17" x14ac:dyDescent="0.2">
      <c r="A23" s="211">
        <v>1989</v>
      </c>
      <c r="B23" s="93">
        <v>32448</v>
      </c>
      <c r="C23" s="92"/>
      <c r="D23" s="74"/>
      <c r="E23" s="93">
        <v>32448</v>
      </c>
      <c r="F23" s="33">
        <f>ROUND(VLOOKUP(TEXT(B23,"m/d/yy"),'10.3'!$A$14:$D$42,4,0),3)</f>
        <v>2.0750000000000002</v>
      </c>
      <c r="G23" s="33"/>
      <c r="H23" s="33"/>
      <c r="I23" s="33">
        <f>ROUND(VLOOKUP(TEXT(E23,"m/d/yy"),'10.3'!$A$14:$D$42,4,0),3)</f>
        <v>2.0750000000000002</v>
      </c>
      <c r="J23" s="84">
        <f t="shared" si="4"/>
        <v>12</v>
      </c>
      <c r="K23" s="84"/>
      <c r="L23" s="84"/>
      <c r="M23" s="84">
        <f t="shared" si="2"/>
        <v>0</v>
      </c>
      <c r="N23" s="33">
        <f t="shared" si="3"/>
        <v>2.0750000000000002</v>
      </c>
      <c r="O23" s="33">
        <f t="shared" si="1"/>
        <v>2.3980000000000001</v>
      </c>
      <c r="P23" s="2"/>
    </row>
    <row r="24" spans="1:17" x14ac:dyDescent="0.2">
      <c r="A24" s="211">
        <v>1990</v>
      </c>
      <c r="B24" s="93">
        <v>32448</v>
      </c>
      <c r="C24" s="92"/>
      <c r="D24" s="74"/>
      <c r="E24" s="93">
        <v>32933</v>
      </c>
      <c r="F24" s="33">
        <f>ROUND(VLOOKUP(TEXT(B24,"m/d/yy"),'10.3'!$A$14:$D$42,4,0),3)</f>
        <v>2.0750000000000002</v>
      </c>
      <c r="G24" s="33"/>
      <c r="H24" s="33"/>
      <c r="I24" s="33">
        <f>ROUND(VLOOKUP(TEXT(E24,"m/d/yy"),'10.3'!$A$14:$D$42,4,0),3)</f>
        <v>2.1040000000000001</v>
      </c>
      <c r="J24" s="84">
        <f t="shared" si="4"/>
        <v>2</v>
      </c>
      <c r="K24" s="84"/>
      <c r="L24" s="84"/>
      <c r="M24" s="84">
        <f t="shared" si="2"/>
        <v>10</v>
      </c>
      <c r="N24" s="33">
        <f t="shared" si="3"/>
        <v>2.0990000000000002</v>
      </c>
      <c r="O24" s="33">
        <f t="shared" si="1"/>
        <v>2.37</v>
      </c>
      <c r="P24" s="2"/>
    </row>
    <row r="25" spans="1:17" x14ac:dyDescent="0.2">
      <c r="A25" s="211">
        <v>1991</v>
      </c>
      <c r="B25" s="93">
        <v>32933</v>
      </c>
      <c r="C25" s="92"/>
      <c r="D25" s="74"/>
      <c r="E25" s="93">
        <v>33329</v>
      </c>
      <c r="F25" s="33">
        <f>ROUND(VLOOKUP(TEXT(B25,"m/d/yy"),'10.3'!$A$14:$D$42,4,0),3)</f>
        <v>2.1040000000000001</v>
      </c>
      <c r="G25" s="33"/>
      <c r="H25" s="33"/>
      <c r="I25" s="33">
        <f>ROUND(VLOOKUP(TEXT(E25,"m/d/yy"),'10.3'!$A$14:$D$42,4,0),3)</f>
        <v>2.0830000000000002</v>
      </c>
      <c r="J25" s="84">
        <f t="shared" si="4"/>
        <v>3</v>
      </c>
      <c r="K25" s="84"/>
      <c r="L25" s="84"/>
      <c r="M25" s="84">
        <f t="shared" si="2"/>
        <v>9</v>
      </c>
      <c r="N25" s="33">
        <f t="shared" si="3"/>
        <v>2.0880000000000001</v>
      </c>
      <c r="O25" s="33">
        <f t="shared" si="1"/>
        <v>2.383</v>
      </c>
      <c r="P25" s="2"/>
    </row>
    <row r="26" spans="1:17" x14ac:dyDescent="0.2">
      <c r="A26" s="211">
        <v>1992</v>
      </c>
      <c r="B26" s="93">
        <v>33604</v>
      </c>
      <c r="C26" s="92"/>
      <c r="D26" s="74"/>
      <c r="E26" s="93">
        <v>33604</v>
      </c>
      <c r="F26" s="33">
        <f>ROUND(VLOOKUP(TEXT(B26,"m/d/yy"),'10.3'!$A$14:$D$42,4,0),3)</f>
        <v>1.6060000000000001</v>
      </c>
      <c r="G26" s="33"/>
      <c r="H26" s="33"/>
      <c r="I26" s="33">
        <f>ROUND(VLOOKUP(TEXT(E26,"m/d/yy"),'10.3'!$A$14:$D$42,4,0),3)</f>
        <v>1.6060000000000001</v>
      </c>
      <c r="J26" s="84">
        <f t="shared" si="4"/>
        <v>12</v>
      </c>
      <c r="K26" s="84"/>
      <c r="L26" s="84"/>
      <c r="M26" s="84">
        <f t="shared" si="2"/>
        <v>0</v>
      </c>
      <c r="N26" s="33">
        <f t="shared" si="3"/>
        <v>1.6060000000000001</v>
      </c>
      <c r="O26" s="33">
        <f t="shared" si="1"/>
        <v>3.0979999999999999</v>
      </c>
      <c r="P26" s="2"/>
      <c r="Q26" s="24">
        <v>1992</v>
      </c>
    </row>
    <row r="27" spans="1:17" x14ac:dyDescent="0.2">
      <c r="A27" s="211">
        <v>1993</v>
      </c>
      <c r="B27" s="93">
        <v>33604</v>
      </c>
      <c r="C27" s="92"/>
      <c r="D27" s="74"/>
      <c r="E27" s="93">
        <v>34243</v>
      </c>
      <c r="F27" s="33">
        <f>ROUND(VLOOKUP(TEXT(B27,"m/d/yy"),'10.3'!$A$14:$D$42,4,0),3)</f>
        <v>1.6060000000000001</v>
      </c>
      <c r="G27" s="33"/>
      <c r="H27" s="33"/>
      <c r="I27" s="33">
        <f>ROUND(VLOOKUP(TEXT(E27,"m/d/yy"),'10.3'!$A$14:$D$42,4,0),3)</f>
        <v>1.6060000000000001</v>
      </c>
      <c r="J27" s="84">
        <f t="shared" si="4"/>
        <v>9</v>
      </c>
      <c r="K27" s="84"/>
      <c r="L27" s="84"/>
      <c r="M27" s="84">
        <f t="shared" si="2"/>
        <v>3</v>
      </c>
      <c r="N27" s="33">
        <f t="shared" si="3"/>
        <v>1.6060000000000001</v>
      </c>
      <c r="O27" s="33">
        <f t="shared" si="1"/>
        <v>3.0979999999999999</v>
      </c>
      <c r="P27" s="2"/>
      <c r="Q27" s="211">
        <v>1993</v>
      </c>
    </row>
    <row r="28" spans="1:17" x14ac:dyDescent="0.2">
      <c r="A28" s="211">
        <v>1994</v>
      </c>
      <c r="B28" s="93">
        <v>34243</v>
      </c>
      <c r="C28" s="92"/>
      <c r="D28" s="74"/>
      <c r="E28" s="93">
        <v>34243</v>
      </c>
      <c r="F28" s="33">
        <f>ROUND(VLOOKUP(TEXT(B28,"m/d/yy"),'10.3'!$A$14:$D$42,4,0),3)</f>
        <v>1.6060000000000001</v>
      </c>
      <c r="G28" s="33"/>
      <c r="H28" s="33"/>
      <c r="I28" s="33">
        <f>ROUND(VLOOKUP(TEXT(E28,"m/d/yy"),'10.3'!$A$14:$D$42,4,0),3)</f>
        <v>1.6060000000000001</v>
      </c>
      <c r="J28" s="84">
        <f t="shared" si="4"/>
        <v>12</v>
      </c>
      <c r="K28" s="84"/>
      <c r="L28" s="84"/>
      <c r="M28" s="84">
        <f t="shared" si="2"/>
        <v>0</v>
      </c>
      <c r="N28" s="33">
        <f t="shared" si="3"/>
        <v>1.6060000000000001</v>
      </c>
      <c r="O28" s="33">
        <f t="shared" si="1"/>
        <v>3.0979999999999999</v>
      </c>
      <c r="P28" s="2"/>
      <c r="Q28" s="211">
        <v>1994</v>
      </c>
    </row>
    <row r="29" spans="1:17" x14ac:dyDescent="0.2">
      <c r="A29" s="211">
        <v>1995</v>
      </c>
      <c r="B29" s="93">
        <v>34243</v>
      </c>
      <c r="C29" s="92"/>
      <c r="D29" s="74"/>
      <c r="E29" s="93">
        <v>34243</v>
      </c>
      <c r="F29" s="33">
        <f>ROUND(VLOOKUP(TEXT(B29,"m/d/yy"),'10.3'!$A$14:$D$42,4,0),3)</f>
        <v>1.6060000000000001</v>
      </c>
      <c r="G29" s="33"/>
      <c r="H29" s="33"/>
      <c r="I29" s="33">
        <f>ROUND(VLOOKUP(TEXT(E29,"m/d/yy"),'10.3'!$A$14:$D$42,4,0),3)</f>
        <v>1.6060000000000001</v>
      </c>
      <c r="J29" s="84">
        <f t="shared" si="4"/>
        <v>12</v>
      </c>
      <c r="K29" s="84"/>
      <c r="L29" s="84"/>
      <c r="M29" s="84">
        <f t="shared" si="2"/>
        <v>0</v>
      </c>
      <c r="N29" s="33">
        <f t="shared" si="3"/>
        <v>1.6060000000000001</v>
      </c>
      <c r="O29" s="33">
        <f t="shared" si="1"/>
        <v>3.0979999999999999</v>
      </c>
      <c r="P29" s="2"/>
      <c r="Q29" s="211">
        <v>1995</v>
      </c>
    </row>
    <row r="30" spans="1:17" x14ac:dyDescent="0.2">
      <c r="A30" s="211">
        <v>1996</v>
      </c>
      <c r="B30" s="93">
        <v>34243</v>
      </c>
      <c r="C30" s="92"/>
      <c r="D30" s="74"/>
      <c r="E30" s="93">
        <v>34243</v>
      </c>
      <c r="F30" s="33">
        <f>ROUND(VLOOKUP(TEXT(B30,"m/d/yy"),'10.3'!$A$14:$D$42,4,0),3)</f>
        <v>1.6060000000000001</v>
      </c>
      <c r="G30" s="33"/>
      <c r="H30" s="33"/>
      <c r="I30" s="33">
        <f>ROUND(VLOOKUP(TEXT(E30,"m/d/yy"),'10.3'!$A$14:$D$42,4,0),3)</f>
        <v>1.6060000000000001</v>
      </c>
      <c r="J30" s="84">
        <f t="shared" si="4"/>
        <v>12</v>
      </c>
      <c r="K30" s="84"/>
      <c r="L30" s="84"/>
      <c r="M30" s="84">
        <f t="shared" si="2"/>
        <v>0</v>
      </c>
      <c r="N30" s="33">
        <f>ROUND(SUMPRODUCT(F30:I30,J30:M30)/12,3)</f>
        <v>1.6060000000000001</v>
      </c>
      <c r="O30" s="33">
        <f t="shared" si="1"/>
        <v>3.0979999999999999</v>
      </c>
      <c r="P30" s="2"/>
      <c r="Q30" s="211">
        <v>1996</v>
      </c>
    </row>
    <row r="31" spans="1:17" x14ac:dyDescent="0.2">
      <c r="A31" s="211">
        <v>1997</v>
      </c>
      <c r="B31" s="93">
        <v>34243</v>
      </c>
      <c r="C31" s="92"/>
      <c r="D31" s="74"/>
      <c r="E31" s="93">
        <v>34243</v>
      </c>
      <c r="F31" s="33">
        <f>ROUND(VLOOKUP(TEXT(B31,"m/d/yy"),'10.3'!$A$14:$D$42,4,0),3)</f>
        <v>1.6060000000000001</v>
      </c>
      <c r="G31" s="33"/>
      <c r="H31" s="33"/>
      <c r="I31" s="33">
        <f>ROUND(VLOOKUP(TEXT(E31,"m/d/yy"),'10.3'!$A$14:$D$42,4,0),3)</f>
        <v>1.6060000000000001</v>
      </c>
      <c r="J31" s="84">
        <f t="shared" si="4"/>
        <v>12</v>
      </c>
      <c r="K31" s="84"/>
      <c r="L31" s="84"/>
      <c r="M31" s="84">
        <f t="shared" si="2"/>
        <v>0</v>
      </c>
      <c r="N31" s="33">
        <f t="shared" si="3"/>
        <v>1.6060000000000001</v>
      </c>
      <c r="O31" s="33">
        <f t="shared" si="1"/>
        <v>3.0979999999999999</v>
      </c>
      <c r="P31" s="2"/>
      <c r="Q31" s="211">
        <v>1997</v>
      </c>
    </row>
    <row r="32" spans="1:17" x14ac:dyDescent="0.2">
      <c r="A32" s="211">
        <v>1998</v>
      </c>
      <c r="B32" s="93">
        <v>35796</v>
      </c>
      <c r="C32" s="92"/>
      <c r="D32" s="74"/>
      <c r="E32" s="93">
        <v>35796</v>
      </c>
      <c r="F32" s="33">
        <f>ROUND(VLOOKUP(TEXT(B32,"m/d/yy"),'10.3'!$A$14:$D$42,4,0),3)</f>
        <v>1.5580000000000001</v>
      </c>
      <c r="G32" s="33"/>
      <c r="H32" s="33"/>
      <c r="I32" s="33">
        <f>ROUND(VLOOKUP(TEXT(E32,"m/d/yy"),'10.3'!$A$14:$D$42,4,0),3)</f>
        <v>1.5580000000000001</v>
      </c>
      <c r="J32" s="84">
        <f t="shared" si="4"/>
        <v>12</v>
      </c>
      <c r="K32" s="84"/>
      <c r="L32" s="84"/>
      <c r="M32" s="84">
        <f t="shared" si="2"/>
        <v>0</v>
      </c>
      <c r="N32" s="33">
        <f t="shared" si="3"/>
        <v>1.5580000000000001</v>
      </c>
      <c r="O32" s="33">
        <f t="shared" si="1"/>
        <v>3.1930000000000001</v>
      </c>
      <c r="P32" s="2"/>
      <c r="Q32" s="211">
        <v>1998</v>
      </c>
    </row>
    <row r="33" spans="1:17" x14ac:dyDescent="0.2">
      <c r="A33" s="211">
        <v>1999</v>
      </c>
      <c r="B33" s="93">
        <v>35796</v>
      </c>
      <c r="C33" s="92"/>
      <c r="D33" s="286"/>
      <c r="E33" s="93">
        <v>35796</v>
      </c>
      <c r="F33" s="33">
        <f>ROUND(VLOOKUP(TEXT(B33,"m/d/yy"),'10.3'!$A$14:$D$42,4,0),3)</f>
        <v>1.5580000000000001</v>
      </c>
      <c r="G33" s="33"/>
      <c r="H33" s="33"/>
      <c r="I33" s="33">
        <f>ROUND(VLOOKUP(TEXT(E33,"m/d/yy"),'10.3'!$A$14:$D$42,4,0),3)</f>
        <v>1.5580000000000001</v>
      </c>
      <c r="J33" s="84">
        <f t="shared" si="4"/>
        <v>12</v>
      </c>
      <c r="K33" s="84"/>
      <c r="L33" s="84"/>
      <c r="M33" s="84">
        <f t="shared" si="2"/>
        <v>0</v>
      </c>
      <c r="N33" s="33">
        <f t="shared" si="3"/>
        <v>1.5580000000000001</v>
      </c>
      <c r="O33" s="33">
        <f t="shared" si="1"/>
        <v>3.1930000000000001</v>
      </c>
      <c r="P33" s="2"/>
      <c r="Q33" s="211">
        <v>1999</v>
      </c>
    </row>
    <row r="34" spans="1:17" x14ac:dyDescent="0.2">
      <c r="A34" s="211">
        <v>2000</v>
      </c>
      <c r="B34" s="93">
        <v>36526</v>
      </c>
      <c r="C34" s="92"/>
      <c r="D34" s="74"/>
      <c r="E34" s="93">
        <v>36526</v>
      </c>
      <c r="F34" s="33">
        <f>ROUND(VLOOKUP(TEXT(B34,"m/d/yy"),'10.3'!$A$14:$D$42,4,0),3)</f>
        <v>1.698</v>
      </c>
      <c r="G34" s="33"/>
      <c r="H34" s="33"/>
      <c r="I34" s="33">
        <f>ROUND(VLOOKUP(TEXT(E34,"m/d/yy"),'10.3'!$A$14:$D$42,4,0),3)</f>
        <v>1.698</v>
      </c>
      <c r="J34" s="84">
        <f t="shared" si="4"/>
        <v>12</v>
      </c>
      <c r="K34" s="84"/>
      <c r="L34" s="84"/>
      <c r="M34" s="84">
        <f t="shared" si="2"/>
        <v>0</v>
      </c>
      <c r="N34" s="33">
        <f t="shared" si="3"/>
        <v>1.698</v>
      </c>
      <c r="O34" s="33">
        <f t="shared" si="1"/>
        <v>2.93</v>
      </c>
      <c r="P34" s="2"/>
      <c r="Q34" s="211">
        <v>2000</v>
      </c>
    </row>
    <row r="35" spans="1:17" x14ac:dyDescent="0.2">
      <c r="A35" s="211">
        <v>2001</v>
      </c>
      <c r="B35" s="93">
        <v>36892</v>
      </c>
      <c r="C35" s="92"/>
      <c r="D35" s="74"/>
      <c r="E35" s="93">
        <v>36892</v>
      </c>
      <c r="F35" s="33">
        <f>ROUND(VLOOKUP(TEXT(B35,"m/d/yy"),'10.3'!$A$14:$D$42,4,0),3)</f>
        <v>1.766</v>
      </c>
      <c r="G35" s="33"/>
      <c r="H35" s="33"/>
      <c r="I35" s="33">
        <f>ROUND(VLOOKUP(TEXT(E35,"m/d/yy"),'10.3'!$A$14:$D$42,4,0),3)</f>
        <v>1.766</v>
      </c>
      <c r="J35" s="84">
        <f t="shared" si="4"/>
        <v>12</v>
      </c>
      <c r="K35" s="84"/>
      <c r="L35" s="84"/>
      <c r="M35" s="84">
        <f t="shared" si="2"/>
        <v>0</v>
      </c>
      <c r="N35" s="33">
        <f t="shared" si="3"/>
        <v>1.766</v>
      </c>
      <c r="O35" s="33">
        <f t="shared" si="1"/>
        <v>2.8170000000000002</v>
      </c>
      <c r="P35" s="2"/>
      <c r="Q35" s="211">
        <v>2001</v>
      </c>
    </row>
    <row r="36" spans="1:17" x14ac:dyDescent="0.2">
      <c r="A36" s="211">
        <v>2002</v>
      </c>
      <c r="B36" s="96">
        <v>37257</v>
      </c>
      <c r="C36" s="92"/>
      <c r="D36" s="74"/>
      <c r="E36" s="93">
        <v>37257</v>
      </c>
      <c r="F36" s="33">
        <f>ROUND(VLOOKUP(TEXT(B36,"m/d/yy"),'10.3'!$A$14:$D$42,4,0),3)</f>
        <v>1.8540000000000001</v>
      </c>
      <c r="I36" s="33">
        <f>ROUND(VLOOKUP(TEXT(E36,"m/d/yy"),'10.3'!$A$14:$D$42,4,0),3)</f>
        <v>1.8540000000000001</v>
      </c>
      <c r="J36" s="84">
        <f t="shared" si="4"/>
        <v>12</v>
      </c>
      <c r="M36" s="84">
        <f t="shared" si="2"/>
        <v>0</v>
      </c>
      <c r="N36" s="33">
        <f t="shared" si="3"/>
        <v>1.8540000000000001</v>
      </c>
      <c r="O36" s="33">
        <f t="shared" si="1"/>
        <v>2.6840000000000002</v>
      </c>
      <c r="P36" s="2"/>
      <c r="Q36" s="211">
        <v>2002</v>
      </c>
    </row>
    <row r="37" spans="1:17" x14ac:dyDescent="0.2">
      <c r="A37" s="211">
        <v>2003</v>
      </c>
      <c r="B37" s="96">
        <v>37622</v>
      </c>
      <c r="C37" s="92"/>
      <c r="D37" s="74"/>
      <c r="E37" s="93">
        <v>37622</v>
      </c>
      <c r="F37" s="33">
        <f>ROUND(VLOOKUP(TEXT(B37,"m/d/yy"),'10.3'!$A$14:$D$42,4,0),3)</f>
        <v>2.0390000000000001</v>
      </c>
      <c r="I37" s="33">
        <f>ROUND(VLOOKUP(TEXT(E37,"m/d/yy"),'10.3'!$A$14:$D$42,4,0),3)</f>
        <v>2.0390000000000001</v>
      </c>
      <c r="J37" s="84">
        <f t="shared" ref="J37:J47" si="5">ROUND(IF(E37&gt;DATE($A37,1,1),MONTH(E37)-1+(DAY(E37)-1)/30,12),1)</f>
        <v>12</v>
      </c>
      <c r="M37" s="84">
        <f t="shared" ref="M37:M44" si="6">12-SUM(J37:L37)</f>
        <v>0</v>
      </c>
      <c r="N37" s="33">
        <f t="shared" ref="N37:N43" si="7">ROUND(SUMPRODUCT(F37:I37,J37:M37)/12,3)</f>
        <v>2.0390000000000001</v>
      </c>
      <c r="O37" s="33">
        <f t="shared" si="1"/>
        <v>2.44</v>
      </c>
      <c r="P37" s="2"/>
      <c r="Q37" s="211">
        <v>2003</v>
      </c>
    </row>
    <row r="38" spans="1:17" x14ac:dyDescent="0.2">
      <c r="A38" s="211">
        <v>2004</v>
      </c>
      <c r="B38" s="96">
        <v>37987</v>
      </c>
      <c r="C38" s="92"/>
      <c r="D38" s="74"/>
      <c r="E38" s="93">
        <v>37987</v>
      </c>
      <c r="F38" s="33">
        <f>ROUND(VLOOKUP(TEXT(B38,"m/d/yy"),'10.3'!$A$14:$D$42,4,0),3)</f>
        <v>2.2429999999999999</v>
      </c>
      <c r="I38" s="33">
        <f>ROUND(VLOOKUP(TEXT(E38,"m/d/yy"),'10.3'!$A$14:$D$42,4,0),3)</f>
        <v>2.2429999999999999</v>
      </c>
      <c r="J38" s="84">
        <f t="shared" si="5"/>
        <v>12</v>
      </c>
      <c r="M38" s="84">
        <f t="shared" si="6"/>
        <v>0</v>
      </c>
      <c r="N38" s="33">
        <f t="shared" si="7"/>
        <v>2.2429999999999999</v>
      </c>
      <c r="O38" s="33">
        <f t="shared" si="1"/>
        <v>2.218</v>
      </c>
      <c r="P38" s="2"/>
      <c r="Q38" s="211">
        <v>2004</v>
      </c>
    </row>
    <row r="39" spans="1:17" x14ac:dyDescent="0.2">
      <c r="A39" s="211">
        <v>2005</v>
      </c>
      <c r="B39" s="96">
        <v>38353</v>
      </c>
      <c r="C39" s="92"/>
      <c r="D39" s="74"/>
      <c r="E39" s="93">
        <v>38353</v>
      </c>
      <c r="F39" s="33">
        <f>ROUND(VLOOKUP(TEXT(B39,"m/d/yy"),'10.3'!$A$14:$D$42,4,0),3)</f>
        <v>2.468</v>
      </c>
      <c r="I39" s="33">
        <f>ROUND(VLOOKUP(TEXT(E39,"m/d/yy"),'10.3'!$A$14:$D$42,4,0),3)</f>
        <v>2.468</v>
      </c>
      <c r="J39" s="84">
        <f t="shared" si="5"/>
        <v>12</v>
      </c>
      <c r="M39" s="84">
        <f t="shared" si="6"/>
        <v>0</v>
      </c>
      <c r="N39" s="33">
        <f>ROUND(SUMPRODUCT(F39:I39,J39:M39)/12,3)</f>
        <v>2.468</v>
      </c>
      <c r="O39" s="33">
        <f t="shared" si="1"/>
        <v>2.016</v>
      </c>
      <c r="P39" s="2"/>
      <c r="Q39" s="211">
        <v>2005</v>
      </c>
    </row>
    <row r="40" spans="1:17" x14ac:dyDescent="0.2">
      <c r="A40" s="287">
        <v>2006</v>
      </c>
      <c r="B40" s="96">
        <v>38718</v>
      </c>
      <c r="C40" s="96"/>
      <c r="D40" s="74"/>
      <c r="E40" s="93">
        <v>38961</v>
      </c>
      <c r="F40" s="33">
        <f>ROUND(VLOOKUP(TEXT(B40,"m/d/yy"),'10.3'!$A$14:$D$42,4,0),3)</f>
        <v>2.5910000000000002</v>
      </c>
      <c r="I40" s="33">
        <f>ROUND(VLOOKUP(TEXT(E40,"m/d/yy"),'10.3'!$A$14:$D$42,4,0),3)</f>
        <v>2.798</v>
      </c>
      <c r="J40" s="84">
        <f t="shared" si="5"/>
        <v>8</v>
      </c>
      <c r="K40" s="94"/>
      <c r="M40" s="84">
        <f t="shared" si="6"/>
        <v>4</v>
      </c>
      <c r="N40" s="33">
        <f t="shared" si="7"/>
        <v>2.66</v>
      </c>
      <c r="O40" s="33">
        <f t="shared" si="1"/>
        <v>1.87</v>
      </c>
      <c r="P40" s="2"/>
      <c r="Q40" s="211">
        <v>2006</v>
      </c>
    </row>
    <row r="41" spans="1:17" x14ac:dyDescent="0.2">
      <c r="A41" s="287">
        <v>2007</v>
      </c>
      <c r="B41" s="96">
        <v>39083</v>
      </c>
      <c r="E41" s="96">
        <v>39083</v>
      </c>
      <c r="F41" s="33">
        <f>ROUND(VLOOKUP(TEXT(B41,"m/d/yy"),'10.3'!$A$14:$D$42,4,0),3)</f>
        <v>2.9020000000000001</v>
      </c>
      <c r="I41" s="33">
        <f>ROUND(VLOOKUP(TEXT(E41,"m/d/yy"),'10.3'!$A$14:$D$42,4,0),3)</f>
        <v>2.9020000000000001</v>
      </c>
      <c r="J41" s="84">
        <f t="shared" si="5"/>
        <v>12</v>
      </c>
      <c r="M41" s="84">
        <f t="shared" si="6"/>
        <v>0</v>
      </c>
      <c r="N41" s="33">
        <f t="shared" si="7"/>
        <v>2.9020000000000001</v>
      </c>
      <c r="O41" s="33">
        <f t="shared" si="1"/>
        <v>1.714</v>
      </c>
      <c r="P41" s="2"/>
      <c r="Q41" s="211">
        <v>2007</v>
      </c>
    </row>
    <row r="42" spans="1:17" x14ac:dyDescent="0.2">
      <c r="A42" s="287">
        <v>2008</v>
      </c>
      <c r="B42" s="96">
        <v>39083</v>
      </c>
      <c r="C42" s="96"/>
      <c r="E42" s="96">
        <v>39479</v>
      </c>
      <c r="F42" s="33">
        <f>ROUND(VLOOKUP(TEXT(B42,"m/d/yy"),'10.3'!$A$14:$D$42,4,0),3)</f>
        <v>2.9020000000000001</v>
      </c>
      <c r="I42" s="33">
        <f>ROUND(VLOOKUP(TEXT(E42,"m/d/yy"),'10.3'!$A$14:$D$42,4,0),3)</f>
        <v>3.0590000000000002</v>
      </c>
      <c r="J42" s="84">
        <f t="shared" si="5"/>
        <v>1</v>
      </c>
      <c r="K42" s="94"/>
      <c r="M42" s="84">
        <f t="shared" si="6"/>
        <v>11</v>
      </c>
      <c r="N42" s="33">
        <f>ROUND(SUMPRODUCT(F42:I42,J42:M42)/12,3)</f>
        <v>3.0459999999999998</v>
      </c>
      <c r="O42" s="33">
        <f t="shared" si="1"/>
        <v>1.633</v>
      </c>
      <c r="P42" s="2"/>
      <c r="Q42" s="211">
        <v>2008</v>
      </c>
    </row>
    <row r="43" spans="1:17" x14ac:dyDescent="0.2">
      <c r="A43" s="211">
        <v>2009</v>
      </c>
      <c r="B43" s="96">
        <v>39479</v>
      </c>
      <c r="C43" s="96"/>
      <c r="D43" s="47"/>
      <c r="E43" s="96">
        <v>39845</v>
      </c>
      <c r="F43" s="119">
        <f>ROUND(VLOOKUP(TEXT(B43,"m/d/yy"),'10.3'!$A$14:$D$42,4,0),3)</f>
        <v>3.0590000000000002</v>
      </c>
      <c r="G43" s="47"/>
      <c r="H43" s="47"/>
      <c r="I43" s="119">
        <f>ROUND(VLOOKUP(TEXT(E43,"m/d/yy"),'10.3'!$A$14:$D$42,4,0),3)</f>
        <v>3.536</v>
      </c>
      <c r="J43" s="209">
        <f t="shared" si="5"/>
        <v>1</v>
      </c>
      <c r="K43" s="208"/>
      <c r="L43" s="47"/>
      <c r="M43" s="209">
        <f t="shared" si="6"/>
        <v>11</v>
      </c>
      <c r="N43" s="119">
        <f t="shared" si="7"/>
        <v>3.496</v>
      </c>
      <c r="O43" s="33">
        <f t="shared" si="1"/>
        <v>1.423</v>
      </c>
      <c r="P43" s="2"/>
      <c r="Q43" s="211">
        <v>2009</v>
      </c>
    </row>
    <row r="44" spans="1:17" x14ac:dyDescent="0.2">
      <c r="A44" s="211">
        <v>2010</v>
      </c>
      <c r="B44" s="96">
        <v>39845</v>
      </c>
      <c r="C44" s="96"/>
      <c r="D44" s="47"/>
      <c r="E44" s="96">
        <v>39845</v>
      </c>
      <c r="F44" s="119">
        <f>ROUND(VLOOKUP(TEXT(B44,"m/d/yy"),'10.3'!$A$14:$D$42,4,0),3)</f>
        <v>3.536</v>
      </c>
      <c r="G44" s="47"/>
      <c r="H44" s="47"/>
      <c r="I44" s="119">
        <f>ROUND(VLOOKUP(TEXT(E44,"m/d/yy"),'10.3'!$A$14:$D$42,4,0),3)</f>
        <v>3.536</v>
      </c>
      <c r="J44" s="209">
        <f t="shared" si="5"/>
        <v>12</v>
      </c>
      <c r="K44" s="208"/>
      <c r="L44" s="47"/>
      <c r="M44" s="209">
        <f t="shared" si="6"/>
        <v>0</v>
      </c>
      <c r="N44" s="119">
        <f t="shared" ref="N44:N50" si="8">ROUND(SUMPRODUCT(F44:I44,J44:M44)/12,3)</f>
        <v>3.536</v>
      </c>
      <c r="O44" s="33">
        <f t="shared" si="1"/>
        <v>1.407</v>
      </c>
      <c r="P44" s="2"/>
      <c r="Q44" s="211">
        <v>2010</v>
      </c>
    </row>
    <row r="45" spans="1:17" x14ac:dyDescent="0.2">
      <c r="A45" s="283">
        <v>2011</v>
      </c>
      <c r="B45" s="96">
        <v>40544</v>
      </c>
      <c r="C45" s="96"/>
      <c r="D45" s="47"/>
      <c r="E45" s="96">
        <v>40544</v>
      </c>
      <c r="F45" s="119">
        <f>ROUND(VLOOKUP(TEXT(B45,"m/d/yy"),'10.3'!$A$14:$D$42,4,0),3)</f>
        <v>3.7130000000000001</v>
      </c>
      <c r="G45" s="47"/>
      <c r="H45" s="47"/>
      <c r="I45" s="119">
        <f>ROUND(VLOOKUP(TEXT(E45,"m/d/yy"),'10.3'!$A$14:$D$42,4,0),3)</f>
        <v>3.7130000000000001</v>
      </c>
      <c r="J45" s="209">
        <f t="shared" si="5"/>
        <v>12</v>
      </c>
      <c r="K45" s="47"/>
      <c r="L45" s="47"/>
      <c r="M45" s="209">
        <v>0</v>
      </c>
      <c r="N45" s="119">
        <f t="shared" si="8"/>
        <v>3.7130000000000001</v>
      </c>
      <c r="O45" s="33">
        <f t="shared" si="1"/>
        <v>1.34</v>
      </c>
      <c r="P45" s="2"/>
      <c r="Q45" s="211">
        <v>2011</v>
      </c>
    </row>
    <row r="46" spans="1:17" x14ac:dyDescent="0.2">
      <c r="A46" s="211">
        <v>2012</v>
      </c>
      <c r="B46" s="96">
        <v>40909</v>
      </c>
      <c r="C46" s="96"/>
      <c r="D46" s="42"/>
      <c r="E46" s="96">
        <v>40909</v>
      </c>
      <c r="F46" s="119">
        <f>ROUND(VLOOKUP(TEXT(B46,"m/d/yy"),'10.3'!$A$14:$D$42,4,0),3)</f>
        <v>3.8980000000000001</v>
      </c>
      <c r="G46" s="42"/>
      <c r="H46" s="42"/>
      <c r="I46" s="119">
        <f>ROUND(VLOOKUP(TEXT(E46,"m/d/yy"),'10.3'!$A$14:$D$42,4,0),3)</f>
        <v>3.8980000000000001</v>
      </c>
      <c r="J46" s="209">
        <v>12</v>
      </c>
      <c r="K46" s="208"/>
      <c r="L46" s="42"/>
      <c r="M46" s="209">
        <f>12-SUM(J46:L46)</f>
        <v>0</v>
      </c>
      <c r="N46" s="119">
        <f t="shared" si="8"/>
        <v>3.8980000000000001</v>
      </c>
      <c r="O46" s="33">
        <f t="shared" si="1"/>
        <v>1.276</v>
      </c>
      <c r="P46" s="2"/>
      <c r="Q46" s="211">
        <v>2012</v>
      </c>
    </row>
    <row r="47" spans="1:17" x14ac:dyDescent="0.2">
      <c r="A47" s="283">
        <v>2013</v>
      </c>
      <c r="B47" s="96">
        <v>41275</v>
      </c>
      <c r="C47" s="96"/>
      <c r="D47" s="42"/>
      <c r="E47" s="96">
        <v>41275</v>
      </c>
      <c r="F47" s="119">
        <f>ROUND(VLOOKUP(TEXT(B47,"m/d/yy"),'10.3'!$A$14:$D$42,4,0),3)</f>
        <v>4.093</v>
      </c>
      <c r="G47" s="42"/>
      <c r="H47" s="42"/>
      <c r="I47" s="119">
        <f>ROUND(VLOOKUP(TEXT(E47,"m/d/yy"),'10.3'!$A$14:$D$42,4,0),3)</f>
        <v>4.093</v>
      </c>
      <c r="J47" s="209">
        <f t="shared" si="5"/>
        <v>12</v>
      </c>
      <c r="K47" s="42"/>
      <c r="L47" s="42"/>
      <c r="M47" s="209">
        <v>0</v>
      </c>
      <c r="N47" s="119">
        <f t="shared" si="8"/>
        <v>4.093</v>
      </c>
      <c r="O47" s="119">
        <f t="shared" si="1"/>
        <v>1.216</v>
      </c>
      <c r="P47" s="2"/>
      <c r="Q47" s="211">
        <v>2013</v>
      </c>
    </row>
    <row r="48" spans="1:17" x14ac:dyDescent="0.2">
      <c r="A48" s="283">
        <v>2014</v>
      </c>
      <c r="B48" s="96">
        <v>41640</v>
      </c>
      <c r="C48" s="96"/>
      <c r="D48" s="42"/>
      <c r="E48" s="96">
        <v>41640</v>
      </c>
      <c r="F48" s="119">
        <f>ROUND(VLOOKUP(TEXT(B48,"m/d/yy"),'10.3'!$A$14:$D$43,4,0),3)</f>
        <v>4.298</v>
      </c>
      <c r="G48" s="42"/>
      <c r="H48" s="42"/>
      <c r="I48" s="119">
        <f>ROUND(VLOOKUP(TEXT(E48,"m/d/yy"),'10.3'!$A$14:$D$43,4,0),3)</f>
        <v>4.298</v>
      </c>
      <c r="J48" s="209">
        <f>ROUND(IF(E48&gt;DATE($A48,1,1),MONTH(E48)-1+(DAY(E48)-1)/30,12),1)</f>
        <v>12</v>
      </c>
      <c r="K48" s="42"/>
      <c r="L48" s="42"/>
      <c r="M48" s="209">
        <v>0</v>
      </c>
      <c r="N48" s="119">
        <f t="shared" si="8"/>
        <v>4.298</v>
      </c>
      <c r="O48" s="119">
        <f t="shared" si="1"/>
        <v>1.1579999999999999</v>
      </c>
      <c r="P48" s="2"/>
      <c r="Q48" s="211">
        <v>2014</v>
      </c>
    </row>
    <row r="49" spans="1:17" x14ac:dyDescent="0.2">
      <c r="A49" s="283">
        <v>2015</v>
      </c>
      <c r="B49" s="96">
        <v>42005</v>
      </c>
      <c r="C49" s="96"/>
      <c r="D49" s="42"/>
      <c r="E49" s="96">
        <v>42370</v>
      </c>
      <c r="F49" s="119">
        <f>'10.3'!D44</f>
        <v>4.5127887177469237</v>
      </c>
      <c r="G49" s="42"/>
      <c r="H49" s="42"/>
      <c r="I49" s="119">
        <f>F49</f>
        <v>4.5127887177469237</v>
      </c>
      <c r="J49" s="209">
        <v>12</v>
      </c>
      <c r="K49" s="42"/>
      <c r="L49" s="42"/>
      <c r="M49" s="209">
        <v>0</v>
      </c>
      <c r="N49" s="119">
        <f t="shared" si="8"/>
        <v>4.5129999999999999</v>
      </c>
      <c r="O49" s="119">
        <f t="shared" si="1"/>
        <v>1.1020000000000001</v>
      </c>
      <c r="P49" s="2"/>
      <c r="Q49" s="24">
        <v>2015</v>
      </c>
    </row>
    <row r="50" spans="1:17" x14ac:dyDescent="0.2">
      <c r="A50" s="48">
        <v>2016</v>
      </c>
      <c r="B50" s="96">
        <v>42370</v>
      </c>
      <c r="C50" s="96"/>
      <c r="D50" s="47"/>
      <c r="E50" s="96">
        <v>42736</v>
      </c>
      <c r="F50" s="119">
        <f>'10.3'!D45</f>
        <v>4.7384281536342705</v>
      </c>
      <c r="G50" s="47"/>
      <c r="H50" s="47"/>
      <c r="I50" s="119">
        <f>F50</f>
        <v>4.7384281536342705</v>
      </c>
      <c r="J50" s="209">
        <v>12</v>
      </c>
      <c r="K50" s="47"/>
      <c r="L50" s="47"/>
      <c r="M50" s="209">
        <v>0</v>
      </c>
      <c r="N50" s="119">
        <f t="shared" si="8"/>
        <v>4.7380000000000004</v>
      </c>
      <c r="O50" s="119">
        <f t="shared" si="1"/>
        <v>1.05</v>
      </c>
      <c r="P50" s="2"/>
      <c r="Q50" s="24">
        <v>2016</v>
      </c>
    </row>
    <row r="51" spans="1:17" x14ac:dyDescent="0.2">
      <c r="A51" s="48">
        <v>2017</v>
      </c>
      <c r="B51" s="96">
        <v>42736</v>
      </c>
      <c r="C51" s="96"/>
      <c r="D51" s="47"/>
      <c r="E51" s="96">
        <v>43101</v>
      </c>
      <c r="F51" s="119">
        <f>'10.3'!D46</f>
        <v>4.7384281536342705</v>
      </c>
      <c r="G51" s="47"/>
      <c r="H51" s="47"/>
      <c r="I51" s="119">
        <f>F51</f>
        <v>4.7384281536342705</v>
      </c>
      <c r="J51" s="209">
        <v>12</v>
      </c>
      <c r="K51" s="47"/>
      <c r="L51" s="47"/>
      <c r="M51" s="209">
        <v>0</v>
      </c>
      <c r="N51" s="119">
        <f>ROUND(SUMPRODUCT(F51:I51,J51:M51)/12,3)</f>
        <v>4.7380000000000004</v>
      </c>
      <c r="O51" s="119">
        <f t="shared" si="1"/>
        <v>1.05</v>
      </c>
      <c r="P51" s="2"/>
      <c r="Q51" s="24">
        <v>2017</v>
      </c>
    </row>
    <row r="52" spans="1:17" x14ac:dyDescent="0.2">
      <c r="A52" s="48">
        <v>2018</v>
      </c>
      <c r="B52" s="96">
        <v>43101</v>
      </c>
      <c r="C52" s="96"/>
      <c r="D52" s="47"/>
      <c r="E52" s="96">
        <v>43466</v>
      </c>
      <c r="F52" s="119">
        <f>'10.3'!D47</f>
        <v>4.9753495613159844</v>
      </c>
      <c r="G52" s="47"/>
      <c r="H52" s="47"/>
      <c r="I52" s="119">
        <f>F52</f>
        <v>4.9753495613159844</v>
      </c>
      <c r="J52" s="209">
        <v>12</v>
      </c>
      <c r="K52" s="47"/>
      <c r="L52" s="47"/>
      <c r="M52" s="209">
        <v>0</v>
      </c>
      <c r="N52" s="119">
        <f>ROUND(SUMPRODUCT(F52:I52,J52:M52)/12,3)</f>
        <v>4.9749999999999996</v>
      </c>
      <c r="O52" s="119">
        <f t="shared" si="1"/>
        <v>1</v>
      </c>
      <c r="P52" s="2"/>
      <c r="Q52" s="24">
        <v>2018</v>
      </c>
    </row>
    <row r="53" spans="1:17" x14ac:dyDescent="0.2">
      <c r="A53" s="25">
        <v>2019</v>
      </c>
      <c r="B53" s="278">
        <v>43466</v>
      </c>
      <c r="C53" s="278"/>
      <c r="D53" s="9"/>
      <c r="E53" s="278">
        <v>43466</v>
      </c>
      <c r="F53" s="69">
        <f>'10.3'!D48</f>
        <v>4.9753495613159844</v>
      </c>
      <c r="G53" s="9"/>
      <c r="H53" s="9"/>
      <c r="I53" s="69">
        <f>F53</f>
        <v>4.9753495613159844</v>
      </c>
      <c r="J53" s="279">
        <v>12</v>
      </c>
      <c r="K53" s="9"/>
      <c r="L53" s="9"/>
      <c r="M53" s="279">
        <v>0</v>
      </c>
      <c r="N53" s="69">
        <f>ROUND(SUMPRODUCT(F53:I53,J53:M53)/12,3)</f>
        <v>4.9749999999999996</v>
      </c>
      <c r="O53" s="69">
        <f t="shared" si="1"/>
        <v>1</v>
      </c>
      <c r="P53" s="2"/>
      <c r="Q53" s="24">
        <v>2019</v>
      </c>
    </row>
    <row r="54" spans="1:17" x14ac:dyDescent="0.2">
      <c r="A54" s="47"/>
      <c r="B54" s="96"/>
      <c r="C54" s="96"/>
      <c r="D54" s="47"/>
      <c r="E54" s="96"/>
      <c r="F54" s="119"/>
      <c r="G54" s="47"/>
      <c r="H54" s="47"/>
      <c r="I54" s="119"/>
      <c r="J54" s="209"/>
      <c r="K54" s="47"/>
      <c r="L54" s="47"/>
      <c r="M54" s="209"/>
      <c r="N54" s="119"/>
      <c r="O54" s="119"/>
      <c r="P54" s="2"/>
    </row>
    <row r="55" spans="1:17" x14ac:dyDescent="0.2">
      <c r="A55" t="s">
        <v>215</v>
      </c>
      <c r="B55" s="18"/>
      <c r="D55" s="18"/>
      <c r="E55" s="93"/>
      <c r="F55" s="40"/>
      <c r="G55" s="40"/>
      <c r="H55" s="40"/>
      <c r="I55" s="33">
        <f>'10.3'!D47</f>
        <v>4.9753495613159844</v>
      </c>
      <c r="J55" s="85"/>
      <c r="K55" s="85"/>
      <c r="L55" s="85"/>
      <c r="M55" s="85"/>
      <c r="N55" s="40">
        <f>I55</f>
        <v>4.9753495613159844</v>
      </c>
      <c r="O55" s="120">
        <v>1</v>
      </c>
      <c r="P55" s="2"/>
    </row>
    <row r="56" spans="1:17" ht="12" thickBo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2"/>
    </row>
    <row r="57" spans="1:17" ht="12" thickTop="1" x14ac:dyDescent="0.2">
      <c r="O57" s="47"/>
      <c r="P57" s="2"/>
    </row>
    <row r="58" spans="1:17" x14ac:dyDescent="0.2">
      <c r="A58" t="s">
        <v>18</v>
      </c>
      <c r="O58" s="47"/>
      <c r="P58" s="2"/>
    </row>
    <row r="59" spans="1:17" x14ac:dyDescent="0.2">
      <c r="B59" s="21" t="str">
        <f>B12&amp;" - "&amp;E12&amp;" Rates in effect and beginning and end of year (B.O.Y. and E.O.Y.)"</f>
        <v>(1) - (4) Rates in effect and beginning and end of year (B.O.Y. and E.O.Y.)</v>
      </c>
      <c r="P59" s="2"/>
    </row>
    <row r="60" spans="1:17" x14ac:dyDescent="0.2">
      <c r="B60" t="s">
        <v>367</v>
      </c>
      <c r="P60" s="2"/>
    </row>
    <row r="61" spans="1:17" x14ac:dyDescent="0.2">
      <c r="B61" t="s">
        <v>326</v>
      </c>
      <c r="P61" s="2"/>
    </row>
    <row r="62" spans="1:17" x14ac:dyDescent="0.2">
      <c r="B62" t="s">
        <v>368</v>
      </c>
      <c r="P62" s="2"/>
    </row>
    <row r="63" spans="1:17" x14ac:dyDescent="0.2">
      <c r="B63" t="s">
        <v>369</v>
      </c>
      <c r="P63" s="2"/>
    </row>
    <row r="64" spans="1:17" x14ac:dyDescent="0.2">
      <c r="B64" s="21" t="str">
        <f>F12&amp;" - "&amp;I12&amp;" Based on "&amp;'10.3'!$K$1&amp;", "&amp;'10.3'!$K$2</f>
        <v>(5) - (8) Based on Exhibit 10, Sheet 3</v>
      </c>
      <c r="P64" s="2"/>
    </row>
    <row r="65" spans="1:16" x14ac:dyDescent="0.2">
      <c r="B65" s="21" t="str">
        <f>J12&amp;" - "&amp;M12&amp;" Number of months that each of the rates were effective"</f>
        <v>(9) - (12) Number of months that each of the rates were effective</v>
      </c>
      <c r="P65" s="2"/>
    </row>
    <row r="66" spans="1:16" x14ac:dyDescent="0.2">
      <c r="B66" s="21" t="str">
        <f>N12&amp;" = Weighted average of "&amp;F12&amp;" - "&amp;I12&amp;" using "&amp;J12&amp;" - "&amp;M12&amp;" as weights"</f>
        <v>(13) = Weighted average of (5) - (8) using (9) - (12) as weights</v>
      </c>
      <c r="P66" s="2"/>
    </row>
    <row r="67" spans="1:16" x14ac:dyDescent="0.2">
      <c r="B67" s="21" t="str">
        <f>O12&amp;" = Current "&amp;N12&amp;" / "&amp;N12</f>
        <v>(14) = Current (13) / (13)</v>
      </c>
      <c r="P67" s="2"/>
    </row>
    <row r="68" spans="1:16" x14ac:dyDescent="0.2">
      <c r="P68" s="2"/>
    </row>
    <row r="69" spans="1:16" x14ac:dyDescent="0.2">
      <c r="P69" s="2"/>
    </row>
    <row r="70" spans="1:16" ht="12" thickBot="1" x14ac:dyDescent="0.25">
      <c r="P70" s="2"/>
    </row>
    <row r="71" spans="1:16" ht="12" hidden="1" thickBot="1" x14ac:dyDescent="0.25">
      <c r="P71" s="2"/>
    </row>
    <row r="72" spans="1:16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5">
    <tabColor rgb="FF92D050"/>
  </sheetPr>
  <dimension ref="A1:M61"/>
  <sheetViews>
    <sheetView showGridLines="0" zoomScaleNormal="100" workbookViewId="0">
      <selection activeCell="C26" sqref="C26"/>
    </sheetView>
  </sheetViews>
  <sheetFormatPr defaultColWidth="11.33203125" defaultRowHeight="11.25" x14ac:dyDescent="0.2"/>
  <cols>
    <col min="1" max="1" width="8.1640625" bestFit="1" customWidth="1"/>
    <col min="2" max="2" width="11.33203125" customWidth="1"/>
    <col min="3" max="4" width="15.33203125" customWidth="1"/>
    <col min="5" max="10" width="11.33203125" customWidth="1"/>
    <col min="11" max="11" width="3.33203125" customWidth="1"/>
  </cols>
  <sheetData>
    <row r="1" spans="1:12" x14ac:dyDescent="0.2">
      <c r="A1" s="8" t="str">
        <f>'1'!$A$1</f>
        <v>Texas Windstorm Insurance Association</v>
      </c>
      <c r="B1" s="12"/>
      <c r="K1" s="7" t="s">
        <v>142</v>
      </c>
      <c r="L1" s="1"/>
    </row>
    <row r="2" spans="1:12" x14ac:dyDescent="0.2">
      <c r="A2" s="8" t="str">
        <f>'1'!$A$2</f>
        <v>Commercial Property - Wind &amp; Hail</v>
      </c>
      <c r="B2" s="12"/>
      <c r="K2" s="7" t="s">
        <v>68</v>
      </c>
      <c r="L2" s="2"/>
    </row>
    <row r="3" spans="1:12" x14ac:dyDescent="0.2">
      <c r="A3" s="8" t="str">
        <f>'1'!$A$3</f>
        <v>Rate Level Review</v>
      </c>
      <c r="B3" s="12"/>
      <c r="L3" s="2"/>
    </row>
    <row r="4" spans="1:12" x14ac:dyDescent="0.2">
      <c r="A4" t="s">
        <v>194</v>
      </c>
      <c r="B4" s="12"/>
      <c r="L4" s="2"/>
    </row>
    <row r="5" spans="1:12" x14ac:dyDescent="0.2">
      <c r="A5" s="57"/>
      <c r="B5" s="21"/>
      <c r="C5" s="57"/>
      <c r="D5" s="57"/>
      <c r="E5" s="57"/>
      <c r="L5" s="2"/>
    </row>
    <row r="6" spans="1:12" x14ac:dyDescent="0.2">
      <c r="L6" s="2"/>
    </row>
    <row r="7" spans="1:12" ht="12" thickBot="1" x14ac:dyDescent="0.25">
      <c r="A7" s="6"/>
      <c r="B7" s="6"/>
      <c r="C7" s="6"/>
      <c r="D7" s="6"/>
      <c r="L7" s="2"/>
    </row>
    <row r="8" spans="1:12" ht="12" thickTop="1" x14ac:dyDescent="0.2">
      <c r="L8" s="2"/>
    </row>
    <row r="9" spans="1:12" x14ac:dyDescent="0.2">
      <c r="C9" s="21"/>
      <c r="L9" s="2"/>
    </row>
    <row r="10" spans="1:12" x14ac:dyDescent="0.2">
      <c r="A10" t="s">
        <v>195</v>
      </c>
      <c r="C10" t="s">
        <v>13</v>
      </c>
      <c r="D10" t="s">
        <v>54</v>
      </c>
      <c r="L10" s="2"/>
    </row>
    <row r="11" spans="1:12" x14ac:dyDescent="0.2">
      <c r="A11" s="9" t="s">
        <v>143</v>
      </c>
      <c r="B11" s="9"/>
      <c r="C11" s="9" t="s">
        <v>14</v>
      </c>
      <c r="D11" s="9" t="s">
        <v>106</v>
      </c>
      <c r="L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L12" s="2"/>
    </row>
    <row r="13" spans="1:12" x14ac:dyDescent="0.2">
      <c r="L13" s="2"/>
    </row>
    <row r="14" spans="1:12" x14ac:dyDescent="0.2">
      <c r="A14" t="s">
        <v>196</v>
      </c>
      <c r="B14" s="24"/>
      <c r="C14" s="36"/>
      <c r="D14" s="41">
        <v>1</v>
      </c>
      <c r="L14" s="2"/>
    </row>
    <row r="15" spans="1:12" x14ac:dyDescent="0.2">
      <c r="A15" s="288" t="s">
        <v>197</v>
      </c>
      <c r="B15" s="54"/>
      <c r="C15" s="90">
        <v>0.17499999999999999</v>
      </c>
      <c r="D15" s="34">
        <f>D14*(1+C15)</f>
        <v>1.175</v>
      </c>
      <c r="L15" s="2"/>
    </row>
    <row r="16" spans="1:12" x14ac:dyDescent="0.2">
      <c r="A16" s="288" t="s">
        <v>198</v>
      </c>
      <c r="B16" s="54"/>
      <c r="C16" s="90">
        <v>-3.6999999999999998E-2</v>
      </c>
      <c r="D16" s="34">
        <f t="shared" ref="D16:D39" si="0">D15*(1+C16)</f>
        <v>1.1315250000000001</v>
      </c>
      <c r="L16" s="2"/>
    </row>
    <row r="17" spans="1:13" x14ac:dyDescent="0.2">
      <c r="A17" s="288" t="s">
        <v>199</v>
      </c>
      <c r="B17" s="54"/>
      <c r="C17" s="90">
        <v>0.26200000000000001</v>
      </c>
      <c r="D17" s="34">
        <f t="shared" si="0"/>
        <v>1.4279845500000001</v>
      </c>
      <c r="L17" s="2"/>
    </row>
    <row r="18" spans="1:13" x14ac:dyDescent="0.2">
      <c r="A18" s="288" t="s">
        <v>200</v>
      </c>
      <c r="B18" s="54"/>
      <c r="C18" s="90">
        <v>0.06</v>
      </c>
      <c r="D18" s="34">
        <f t="shared" si="0"/>
        <v>1.5136636230000002</v>
      </c>
      <c r="L18" s="2"/>
    </row>
    <row r="19" spans="1:13" x14ac:dyDescent="0.2">
      <c r="A19" s="288" t="s">
        <v>201</v>
      </c>
      <c r="B19" s="54"/>
      <c r="C19" s="90">
        <v>0.25</v>
      </c>
      <c r="D19" s="34">
        <f t="shared" si="0"/>
        <v>1.8920795287500003</v>
      </c>
      <c r="L19" s="2"/>
      <c r="M19" t="s">
        <v>556</v>
      </c>
    </row>
    <row r="20" spans="1:13" x14ac:dyDescent="0.2">
      <c r="A20" s="288" t="s">
        <v>202</v>
      </c>
      <c r="B20" s="54"/>
      <c r="C20" s="90">
        <v>0.28299999999999997</v>
      </c>
      <c r="D20" s="34">
        <f t="shared" si="0"/>
        <v>2.4275380353862501</v>
      </c>
      <c r="L20" s="2"/>
      <c r="M20" t="s">
        <v>555</v>
      </c>
    </row>
    <row r="21" spans="1:13" x14ac:dyDescent="0.2">
      <c r="A21" s="288" t="s">
        <v>203</v>
      </c>
      <c r="B21" s="54"/>
      <c r="C21" s="90">
        <v>9.1999999999999998E-2</v>
      </c>
      <c r="D21" s="34">
        <f t="shared" si="0"/>
        <v>2.6508715346417855</v>
      </c>
      <c r="L21" s="2"/>
    </row>
    <row r="22" spans="1:13" x14ac:dyDescent="0.2">
      <c r="A22" s="288" t="s">
        <v>204</v>
      </c>
      <c r="B22" s="54"/>
      <c r="C22" s="90">
        <v>-9.1999999999999998E-2</v>
      </c>
      <c r="D22" s="34">
        <f t="shared" si="0"/>
        <v>2.4069913534547411</v>
      </c>
      <c r="L22" s="2"/>
    </row>
    <row r="23" spans="1:13" x14ac:dyDescent="0.2">
      <c r="A23" s="288" t="s">
        <v>205</v>
      </c>
      <c r="B23" s="54"/>
      <c r="C23" s="90">
        <v>-0.13800000000000001</v>
      </c>
      <c r="D23" s="34">
        <f t="shared" si="0"/>
        <v>2.0748265466779867</v>
      </c>
      <c r="E23" s="57"/>
      <c r="L23" s="2"/>
    </row>
    <row r="24" spans="1:13" x14ac:dyDescent="0.2">
      <c r="A24" s="288" t="s">
        <v>206</v>
      </c>
      <c r="B24" s="54"/>
      <c r="C24" s="90">
        <v>1.4E-2</v>
      </c>
      <c r="D24" s="34">
        <f t="shared" si="0"/>
        <v>2.1038741183314786</v>
      </c>
      <c r="L24" s="2"/>
    </row>
    <row r="25" spans="1:13" x14ac:dyDescent="0.2">
      <c r="A25" s="288" t="s">
        <v>207</v>
      </c>
      <c r="B25" s="54"/>
      <c r="C25" s="90">
        <v>-0.01</v>
      </c>
      <c r="D25" s="34">
        <f t="shared" si="0"/>
        <v>2.082835377148164</v>
      </c>
      <c r="L25" s="2"/>
    </row>
    <row r="26" spans="1:13" x14ac:dyDescent="0.2">
      <c r="A26" s="288" t="s">
        <v>208</v>
      </c>
      <c r="B26" s="54"/>
      <c r="C26" s="90">
        <v>-0.22900000000000001</v>
      </c>
      <c r="D26" s="34">
        <f t="shared" si="0"/>
        <v>1.6058660757812344</v>
      </c>
      <c r="L26" s="2"/>
      <c r="M26" t="s">
        <v>557</v>
      </c>
    </row>
    <row r="27" spans="1:13" x14ac:dyDescent="0.2">
      <c r="A27" s="288" t="s">
        <v>209</v>
      </c>
      <c r="B27" s="54"/>
      <c r="C27" s="90">
        <v>0</v>
      </c>
      <c r="D27" s="34">
        <f t="shared" si="0"/>
        <v>1.6058660757812344</v>
      </c>
      <c r="L27" s="2"/>
    </row>
    <row r="28" spans="1:13" x14ac:dyDescent="0.2">
      <c r="A28" s="288" t="s">
        <v>210</v>
      </c>
      <c r="B28" s="54"/>
      <c r="C28" s="90">
        <v>-0.03</v>
      </c>
      <c r="D28" s="34">
        <f t="shared" si="0"/>
        <v>1.5576900935077973</v>
      </c>
      <c r="L28" s="2"/>
    </row>
    <row r="29" spans="1:13" x14ac:dyDescent="0.2">
      <c r="A29" s="288" t="s">
        <v>211</v>
      </c>
      <c r="B29" s="54"/>
      <c r="C29" s="90">
        <v>0.09</v>
      </c>
      <c r="D29" s="34">
        <f t="shared" si="0"/>
        <v>1.6978822019234991</v>
      </c>
      <c r="L29" s="2"/>
    </row>
    <row r="30" spans="1:13" x14ac:dyDescent="0.2">
      <c r="A30" s="288" t="s">
        <v>212</v>
      </c>
      <c r="B30" s="54"/>
      <c r="C30" s="90">
        <v>0.04</v>
      </c>
      <c r="D30" s="34">
        <f t="shared" si="0"/>
        <v>1.7657974900004392</v>
      </c>
      <c r="L30" s="2"/>
    </row>
    <row r="31" spans="1:13" x14ac:dyDescent="0.2">
      <c r="A31" s="288" t="s">
        <v>213</v>
      </c>
      <c r="B31" s="54"/>
      <c r="C31" s="90">
        <v>0.05</v>
      </c>
      <c r="D31" s="34">
        <f>D30*(1+C31)</f>
        <v>1.8540873645004612</v>
      </c>
      <c r="L31" s="2"/>
    </row>
    <row r="32" spans="1:13" x14ac:dyDescent="0.2">
      <c r="A32" s="289" t="s">
        <v>243</v>
      </c>
      <c r="B32" s="101"/>
      <c r="C32" s="59">
        <v>0.1</v>
      </c>
      <c r="D32" s="34">
        <f>D31*(1+C32)</f>
        <v>2.0394961009505073</v>
      </c>
      <c r="L32" s="2"/>
    </row>
    <row r="33" spans="1:12" x14ac:dyDescent="0.2">
      <c r="A33" s="289" t="s">
        <v>300</v>
      </c>
      <c r="B33" s="101"/>
      <c r="C33" s="59">
        <v>0.1</v>
      </c>
      <c r="D33" s="34">
        <f t="shared" si="0"/>
        <v>2.2434457110455583</v>
      </c>
      <c r="L33" s="2"/>
    </row>
    <row r="34" spans="1:12" x14ac:dyDescent="0.2">
      <c r="A34" s="289" t="s">
        <v>311</v>
      </c>
      <c r="B34" s="101"/>
      <c r="C34" s="59">
        <v>0.1</v>
      </c>
      <c r="D34" s="34">
        <f t="shared" si="0"/>
        <v>2.4677902821501143</v>
      </c>
      <c r="L34" s="2"/>
    </row>
    <row r="35" spans="1:12" x14ac:dyDescent="0.2">
      <c r="A35" s="289" t="s">
        <v>323</v>
      </c>
      <c r="C35" s="59">
        <v>0.05</v>
      </c>
      <c r="D35" s="34">
        <f t="shared" si="0"/>
        <v>2.5911797962576202</v>
      </c>
      <c r="L35" s="2"/>
    </row>
    <row r="36" spans="1:12" x14ac:dyDescent="0.2">
      <c r="A36" s="289" t="s">
        <v>335</v>
      </c>
      <c r="C36" s="59">
        <v>0.08</v>
      </c>
      <c r="D36" s="34">
        <f t="shared" si="0"/>
        <v>2.7984741799582298</v>
      </c>
      <c r="L36" s="2"/>
    </row>
    <row r="37" spans="1:12" x14ac:dyDescent="0.2">
      <c r="A37" s="289" t="s">
        <v>336</v>
      </c>
      <c r="C37" s="59">
        <v>3.7000000000000005E-2</v>
      </c>
      <c r="D37" s="34">
        <f t="shared" si="0"/>
        <v>2.9020177246166843</v>
      </c>
      <c r="L37" s="2"/>
    </row>
    <row r="38" spans="1:12" x14ac:dyDescent="0.2">
      <c r="A38" s="289" t="s">
        <v>366</v>
      </c>
      <c r="C38" s="59">
        <v>5.3999999999999999E-2</v>
      </c>
      <c r="D38" s="34">
        <f t="shared" si="0"/>
        <v>3.0587266817459855</v>
      </c>
      <c r="L38" s="2"/>
    </row>
    <row r="39" spans="1:12" x14ac:dyDescent="0.2">
      <c r="A39" s="289" t="s">
        <v>373</v>
      </c>
      <c r="C39" s="59">
        <v>0.156</v>
      </c>
      <c r="D39" s="34">
        <f t="shared" si="0"/>
        <v>3.5358880440983591</v>
      </c>
      <c r="L39" s="2"/>
    </row>
    <row r="40" spans="1:12" x14ac:dyDescent="0.2">
      <c r="A40" s="289" t="s">
        <v>398</v>
      </c>
      <c r="C40" s="59">
        <v>0.05</v>
      </c>
      <c r="D40" s="34">
        <f t="shared" ref="D40:D45" si="1">D39*(1+C40)</f>
        <v>3.712682446303277</v>
      </c>
      <c r="L40" s="2"/>
    </row>
    <row r="41" spans="1:12" x14ac:dyDescent="0.2">
      <c r="A41" s="289" t="s">
        <v>405</v>
      </c>
      <c r="C41" s="59">
        <v>0.05</v>
      </c>
      <c r="D41" s="34">
        <f t="shared" si="1"/>
        <v>3.8983165686184411</v>
      </c>
      <c r="L41" s="2"/>
    </row>
    <row r="42" spans="1:12" x14ac:dyDescent="0.2">
      <c r="A42" s="289" t="s">
        <v>406</v>
      </c>
      <c r="C42" s="59">
        <v>0.05</v>
      </c>
      <c r="D42" s="34">
        <f t="shared" si="1"/>
        <v>4.0932323970493636</v>
      </c>
      <c r="L42" s="2"/>
    </row>
    <row r="43" spans="1:12" x14ac:dyDescent="0.2">
      <c r="A43" s="289" t="s">
        <v>417</v>
      </c>
      <c r="B43" s="47"/>
      <c r="C43" s="285">
        <f>C42</f>
        <v>0.05</v>
      </c>
      <c r="D43" s="78">
        <f t="shared" si="1"/>
        <v>4.2978940169018323</v>
      </c>
      <c r="L43" s="2"/>
    </row>
    <row r="44" spans="1:12" x14ac:dyDescent="0.2">
      <c r="A44" s="291" t="s">
        <v>449</v>
      </c>
      <c r="B44" s="47"/>
      <c r="C44" s="285">
        <v>0.05</v>
      </c>
      <c r="D44" s="78">
        <f t="shared" si="1"/>
        <v>4.5127887177469237</v>
      </c>
      <c r="L44" s="2"/>
    </row>
    <row r="45" spans="1:12" x14ac:dyDescent="0.2">
      <c r="A45" s="291" t="s">
        <v>452</v>
      </c>
      <c r="B45" s="47"/>
      <c r="C45" s="285">
        <v>0.05</v>
      </c>
      <c r="D45" s="78">
        <f t="shared" si="1"/>
        <v>4.7384281536342705</v>
      </c>
      <c r="L45" s="2"/>
    </row>
    <row r="46" spans="1:12" x14ac:dyDescent="0.2">
      <c r="A46" s="291" t="s">
        <v>477</v>
      </c>
      <c r="B46" s="42"/>
      <c r="C46" s="324">
        <v>0</v>
      </c>
      <c r="D46" s="78">
        <f>D45*(1+C46)</f>
        <v>4.7384281536342705</v>
      </c>
      <c r="L46" s="2"/>
    </row>
    <row r="47" spans="1:12" x14ac:dyDescent="0.2">
      <c r="A47" s="291" t="s">
        <v>478</v>
      </c>
      <c r="B47" s="42"/>
      <c r="C47" s="324">
        <v>0.05</v>
      </c>
      <c r="D47" s="78">
        <f>D46*(1+C47)</f>
        <v>4.9753495613159844</v>
      </c>
      <c r="L47" s="2"/>
    </row>
    <row r="48" spans="1:12" ht="12" thickBot="1" x14ac:dyDescent="0.25">
      <c r="A48" s="304">
        <v>43466</v>
      </c>
      <c r="B48" s="139"/>
      <c r="C48" s="325">
        <v>0</v>
      </c>
      <c r="D48" s="271">
        <f>D47*(1+C48)</f>
        <v>4.9753495613159844</v>
      </c>
      <c r="L48" s="2"/>
    </row>
    <row r="49" spans="1:12" ht="12" thickTop="1" x14ac:dyDescent="0.2">
      <c r="L49" s="2"/>
    </row>
    <row r="50" spans="1:12" x14ac:dyDescent="0.2">
      <c r="A50" t="s">
        <v>18</v>
      </c>
      <c r="L50" s="2"/>
    </row>
    <row r="51" spans="1:12" x14ac:dyDescent="0.2">
      <c r="B51" s="21" t="str">
        <f>C12&amp;" Provided by TWIA, excludes 1/1/92 refund on in-force policies"</f>
        <v>(2) Provided by TWIA, excludes 1/1/92 refund on in-force policies</v>
      </c>
      <c r="L51" s="2"/>
    </row>
    <row r="52" spans="1:12" x14ac:dyDescent="0.2">
      <c r="B52" s="21" t="str">
        <f>D12&amp;" = Cumulation of "&amp;C12</f>
        <v>(3) = Cumulation of (2)</v>
      </c>
      <c r="L52" s="2"/>
    </row>
    <row r="53" spans="1:12" x14ac:dyDescent="0.2">
      <c r="B53" s="21"/>
      <c r="L53" s="2"/>
    </row>
    <row r="54" spans="1:12" x14ac:dyDescent="0.2">
      <c r="L54" s="2"/>
    </row>
    <row r="55" spans="1:12" x14ac:dyDescent="0.2">
      <c r="L55" s="2"/>
    </row>
    <row r="56" spans="1:12" x14ac:dyDescent="0.2">
      <c r="L56" s="2"/>
    </row>
    <row r="57" spans="1:12" x14ac:dyDescent="0.2">
      <c r="L57" s="2"/>
    </row>
    <row r="58" spans="1:12" x14ac:dyDescent="0.2">
      <c r="L58" s="2"/>
    </row>
    <row r="59" spans="1:12" x14ac:dyDescent="0.2">
      <c r="L59" s="2"/>
    </row>
    <row r="60" spans="1:12" ht="12" thickBot="1" x14ac:dyDescent="0.25">
      <c r="L60" s="2"/>
    </row>
    <row r="61" spans="1:12" ht="12" thickBot="1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6">
    <tabColor rgb="FF92D050"/>
  </sheetPr>
  <dimension ref="A1:N75"/>
  <sheetViews>
    <sheetView showGridLines="0" zoomScaleNormal="100" workbookViewId="0">
      <selection activeCell="H42" sqref="H42"/>
    </sheetView>
  </sheetViews>
  <sheetFormatPr defaultColWidth="11.33203125" defaultRowHeight="11.25" x14ac:dyDescent="0.2"/>
  <cols>
    <col min="1" max="1" width="4.5" customWidth="1"/>
    <col min="2" max="2" width="3.5" customWidth="1"/>
    <col min="3" max="3" width="34.1640625" customWidth="1"/>
    <col min="4" max="7" width="12.33203125" customWidth="1"/>
    <col min="8" max="9" width="11.33203125" customWidth="1"/>
    <col min="10" max="10" width="7.1640625" customWidth="1"/>
    <col min="12" max="12" width="12.6640625" customWidth="1"/>
    <col min="13" max="13" width="20.33203125" bestFit="1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160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21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460</v>
      </c>
      <c r="B4" s="12"/>
      <c r="K4" s="2"/>
    </row>
    <row r="5" spans="1:12" x14ac:dyDescent="0.2">
      <c r="A5" s="57"/>
      <c r="B5" s="21"/>
      <c r="C5" s="57"/>
      <c r="D5" s="57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K7" s="2"/>
    </row>
    <row r="8" spans="1:12" ht="12" thickTop="1" x14ac:dyDescent="0.2">
      <c r="K8" s="2"/>
    </row>
    <row r="9" spans="1:12" x14ac:dyDescent="0.2">
      <c r="K9" s="2"/>
      <c r="L9" s="26"/>
    </row>
    <row r="10" spans="1:12" x14ac:dyDescent="0.2">
      <c r="K10" s="2"/>
      <c r="L10" t="s">
        <v>237</v>
      </c>
    </row>
    <row r="11" spans="1:12" x14ac:dyDescent="0.2">
      <c r="A11" s="9" t="s">
        <v>162</v>
      </c>
      <c r="B11" s="9"/>
      <c r="C11" s="9"/>
      <c r="D11" s="80">
        <v>2017</v>
      </c>
      <c r="E11" s="80">
        <v>2018</v>
      </c>
      <c r="F11" s="80">
        <f>YEAR(L11)</f>
        <v>2019</v>
      </c>
      <c r="G11" s="9" t="s">
        <v>53</v>
      </c>
      <c r="K11" s="2"/>
      <c r="L11" s="102">
        <v>43830</v>
      </c>
    </row>
    <row r="12" spans="1:12" x14ac:dyDescent="0.2">
      <c r="A12" s="13"/>
      <c r="B12" s="13"/>
      <c r="C12" s="13"/>
      <c r="D12" s="11"/>
      <c r="E12" s="11"/>
      <c r="F12" s="11"/>
      <c r="G12" s="11"/>
      <c r="K12" s="2"/>
    </row>
    <row r="13" spans="1:12" x14ac:dyDescent="0.2">
      <c r="K13" s="2"/>
    </row>
    <row r="14" spans="1:12" x14ac:dyDescent="0.2">
      <c r="A14" s="53" t="s">
        <v>163</v>
      </c>
      <c r="B14" t="s">
        <v>167</v>
      </c>
      <c r="D14" s="103">
        <v>423074138</v>
      </c>
      <c r="E14" s="103">
        <v>395551679</v>
      </c>
      <c r="F14" s="103">
        <v>372016601</v>
      </c>
      <c r="K14" s="2"/>
      <c r="L14" t="s">
        <v>453</v>
      </c>
    </row>
    <row r="15" spans="1:12" x14ac:dyDescent="0.2">
      <c r="A15" s="53" t="s">
        <v>164</v>
      </c>
      <c r="B15" t="s">
        <v>166</v>
      </c>
      <c r="D15" s="103">
        <v>451347130</v>
      </c>
      <c r="E15" s="103">
        <v>409954258</v>
      </c>
      <c r="F15" s="103">
        <v>381571182</v>
      </c>
      <c r="K15" s="2"/>
      <c r="L15" t="s">
        <v>453</v>
      </c>
    </row>
    <row r="16" spans="1:12" x14ac:dyDescent="0.2">
      <c r="D16" s="57"/>
      <c r="E16" s="57"/>
      <c r="F16" s="57"/>
      <c r="K16" s="2"/>
    </row>
    <row r="17" spans="1:12" x14ac:dyDescent="0.2">
      <c r="A17" s="53" t="s">
        <v>165</v>
      </c>
      <c r="B17" t="s">
        <v>168</v>
      </c>
      <c r="D17" s="57"/>
      <c r="E17" s="57"/>
      <c r="F17" s="57"/>
      <c r="K17" s="2"/>
    </row>
    <row r="18" spans="1:12" x14ac:dyDescent="0.2">
      <c r="C18" t="s">
        <v>169</v>
      </c>
      <c r="D18" s="36">
        <v>67661211</v>
      </c>
      <c r="E18" s="36">
        <v>63280811</v>
      </c>
      <c r="F18" s="36">
        <v>59474929</v>
      </c>
      <c r="K18" s="2"/>
      <c r="L18" t="s">
        <v>453</v>
      </c>
    </row>
    <row r="19" spans="1:12" x14ac:dyDescent="0.2">
      <c r="C19" t="s">
        <v>170</v>
      </c>
      <c r="D19" s="28">
        <f>D18/D$14</f>
        <v>0.15992755151580548</v>
      </c>
      <c r="E19" s="28">
        <f>E18/E$14</f>
        <v>0.1599811462309581</v>
      </c>
      <c r="F19" s="28">
        <f>F18/F$14</f>
        <v>0.15987170690804736</v>
      </c>
      <c r="G19" s="205">
        <f>ROUND(AVERAGE(D19:F19),3)</f>
        <v>0.16</v>
      </c>
      <c r="K19" s="2"/>
    </row>
    <row r="20" spans="1:12" x14ac:dyDescent="0.2">
      <c r="D20" s="57"/>
      <c r="E20" s="57"/>
      <c r="F20" s="57"/>
      <c r="G20" s="57"/>
      <c r="K20" s="2"/>
    </row>
    <row r="21" spans="1:12" x14ac:dyDescent="0.2">
      <c r="A21" s="53" t="s">
        <v>109</v>
      </c>
      <c r="B21" t="s">
        <v>171</v>
      </c>
      <c r="D21" s="57"/>
      <c r="E21" s="57"/>
      <c r="F21" s="57"/>
      <c r="G21" s="57"/>
      <c r="K21" s="2"/>
    </row>
    <row r="22" spans="1:12" x14ac:dyDescent="0.2">
      <c r="C22" t="s">
        <v>169</v>
      </c>
      <c r="D22" s="103">
        <v>0</v>
      </c>
      <c r="E22" s="103">
        <v>0</v>
      </c>
      <c r="F22" s="103">
        <v>0</v>
      </c>
      <c r="G22" s="57"/>
      <c r="K22" s="2"/>
    </row>
    <row r="23" spans="1:12" x14ac:dyDescent="0.2">
      <c r="C23" t="s">
        <v>170</v>
      </c>
      <c r="D23" s="28">
        <f>D22/D$14</f>
        <v>0</v>
      </c>
      <c r="E23" s="28">
        <f>E22/E$14</f>
        <v>0</v>
      </c>
      <c r="F23" s="28">
        <f>F22/F$14</f>
        <v>0</v>
      </c>
      <c r="G23" s="205">
        <f>ROUND(AVERAGE(D23:F23),3)</f>
        <v>0</v>
      </c>
      <c r="K23" s="2"/>
    </row>
    <row r="24" spans="1:12" x14ac:dyDescent="0.2">
      <c r="D24" s="57"/>
      <c r="E24" s="57"/>
      <c r="F24" s="57"/>
      <c r="G24" s="57"/>
      <c r="K24" s="2"/>
      <c r="L24" s="290"/>
    </row>
    <row r="25" spans="1:12" x14ac:dyDescent="0.2">
      <c r="A25" s="53" t="s">
        <v>90</v>
      </c>
      <c r="B25" t="s">
        <v>172</v>
      </c>
      <c r="D25" s="57"/>
      <c r="E25" s="57"/>
      <c r="F25" s="57"/>
      <c r="G25" s="57"/>
      <c r="K25" s="2"/>
      <c r="L25" t="s">
        <v>519</v>
      </c>
    </row>
    <row r="26" spans="1:12" x14ac:dyDescent="0.2">
      <c r="C26" t="s">
        <v>173</v>
      </c>
      <c r="D26" s="103">
        <v>26359831</v>
      </c>
      <c r="E26" s="103">
        <v>30687177</v>
      </c>
      <c r="F26" s="103">
        <f>24171890+4903180+2386866</f>
        <v>31461936</v>
      </c>
      <c r="G26" s="54"/>
      <c r="I26" s="18"/>
      <c r="J26" s="18"/>
      <c r="K26" s="2"/>
      <c r="L26" s="18"/>
    </row>
    <row r="27" spans="1:12" x14ac:dyDescent="0.2">
      <c r="D27" s="57"/>
      <c r="E27" s="57"/>
      <c r="F27" s="57"/>
      <c r="G27" s="57"/>
      <c r="K27" s="2"/>
      <c r="L27" s="18" t="s">
        <v>523</v>
      </c>
    </row>
    <row r="28" spans="1:12" x14ac:dyDescent="0.2">
      <c r="B28" t="s">
        <v>174</v>
      </c>
      <c r="D28" s="57"/>
      <c r="E28" s="57"/>
      <c r="F28" s="57"/>
      <c r="G28" s="57"/>
      <c r="K28" s="2"/>
      <c r="L28" s="18"/>
    </row>
    <row r="29" spans="1:12" x14ac:dyDescent="0.2">
      <c r="C29" t="s">
        <v>175</v>
      </c>
      <c r="D29" s="36">
        <v>0</v>
      </c>
      <c r="E29" s="36">
        <v>0</v>
      </c>
      <c r="F29" s="36">
        <v>0</v>
      </c>
      <c r="G29" s="57"/>
      <c r="K29" s="2"/>
      <c r="L29" s="18" t="s">
        <v>520</v>
      </c>
    </row>
    <row r="30" spans="1:12" x14ac:dyDescent="0.2">
      <c r="D30" s="57"/>
      <c r="E30" s="57"/>
      <c r="F30" s="57"/>
      <c r="G30" s="57"/>
      <c r="K30" s="2"/>
      <c r="L30" s="18" t="s">
        <v>521</v>
      </c>
    </row>
    <row r="31" spans="1:12" ht="12" thickBot="1" x14ac:dyDescent="0.25">
      <c r="C31" t="s">
        <v>176</v>
      </c>
      <c r="D31" s="29">
        <f>D26-SUM(D29)</f>
        <v>26359831</v>
      </c>
      <c r="E31" s="29">
        <f>E26-SUM(E29)</f>
        <v>30687177</v>
      </c>
      <c r="F31" s="29">
        <f>F26-SUM(F29)</f>
        <v>31461936</v>
      </c>
      <c r="G31" s="57"/>
      <c r="K31" s="2"/>
      <c r="L31" s="383" t="s">
        <v>522</v>
      </c>
    </row>
    <row r="32" spans="1:12" ht="12" thickTop="1" x14ac:dyDescent="0.2">
      <c r="B32" s="21"/>
      <c r="C32" s="112" t="s">
        <v>506</v>
      </c>
      <c r="D32" s="28">
        <f>D31/D$15</f>
        <v>5.8402566999816746E-2</v>
      </c>
      <c r="E32" s="28">
        <f>E31/E$15</f>
        <v>7.4855124446591301E-2</v>
      </c>
      <c r="F32" s="28">
        <f>F31/F$15</f>
        <v>8.2453648189815335E-2</v>
      </c>
      <c r="G32" s="205">
        <f>ROUND(AVERAGE(D32:F32),3)+L35</f>
        <v>8.5103714944594525E-2</v>
      </c>
      <c r="H32" s="19"/>
      <c r="K32" s="2"/>
      <c r="L32" s="18" t="s">
        <v>524</v>
      </c>
    </row>
    <row r="33" spans="1:14" x14ac:dyDescent="0.2">
      <c r="B33" s="21"/>
      <c r="C33" s="21"/>
      <c r="D33" s="57"/>
      <c r="E33" s="57"/>
      <c r="F33" s="57"/>
      <c r="G33" s="57"/>
      <c r="K33" s="2"/>
      <c r="L33" s="18">
        <v>5000000</v>
      </c>
    </row>
    <row r="34" spans="1:14" x14ac:dyDescent="0.2">
      <c r="A34" s="53" t="s">
        <v>94</v>
      </c>
      <c r="B34" t="s">
        <v>177</v>
      </c>
      <c r="D34" s="57"/>
      <c r="E34" s="57"/>
      <c r="F34" s="57"/>
      <c r="G34" s="57"/>
      <c r="K34" s="2"/>
      <c r="L34" s="18" t="s">
        <v>525</v>
      </c>
    </row>
    <row r="35" spans="1:14" x14ac:dyDescent="0.2">
      <c r="B35" s="24"/>
      <c r="C35" t="s">
        <v>169</v>
      </c>
      <c r="D35" s="103">
        <v>8281293</v>
      </c>
      <c r="E35" s="103">
        <v>7590295</v>
      </c>
      <c r="F35" s="103">
        <v>7024246</v>
      </c>
      <c r="G35" s="57"/>
      <c r="K35" s="2"/>
      <c r="L35" s="19">
        <f>L33/F15</f>
        <v>1.3103714944594532E-2</v>
      </c>
    </row>
    <row r="36" spans="1:14" x14ac:dyDescent="0.2">
      <c r="B36" s="24"/>
      <c r="C36" t="s">
        <v>170</v>
      </c>
      <c r="D36" s="19">
        <f>D35/D$14</f>
        <v>1.9574094127209448E-2</v>
      </c>
      <c r="E36" s="19">
        <f>E35/E$14</f>
        <v>1.918913609263178E-2</v>
      </c>
      <c r="F36" s="19">
        <f>F35/F$14</f>
        <v>1.8881539106369073E-2</v>
      </c>
      <c r="G36" s="205">
        <f>ROUND(AVERAGE(D36:F36),3)</f>
        <v>1.9E-2</v>
      </c>
      <c r="K36" s="2"/>
    </row>
    <row r="37" spans="1:14" ht="12" thickBot="1" x14ac:dyDescent="0.25">
      <c r="G37" s="57"/>
      <c r="K37" s="2"/>
    </row>
    <row r="38" spans="1:14" x14ac:dyDescent="0.2">
      <c r="A38" s="53" t="s">
        <v>93</v>
      </c>
      <c r="B38" t="s">
        <v>178</v>
      </c>
      <c r="G38" s="58">
        <f>'11.2'!D34</f>
        <v>0.19533574528489203</v>
      </c>
      <c r="H38" s="19"/>
      <c r="K38" s="2"/>
      <c r="L38" s="311" t="s">
        <v>456</v>
      </c>
      <c r="M38" s="312" t="s">
        <v>457</v>
      </c>
    </row>
    <row r="39" spans="1:14" x14ac:dyDescent="0.2">
      <c r="G39" s="57"/>
      <c r="K39" s="2"/>
      <c r="L39" s="384">
        <f>L49/M47</f>
        <v>5.3549631504535414E-2</v>
      </c>
      <c r="M39" s="385">
        <f>L47/M47-L39</f>
        <v>0.14341610656891152</v>
      </c>
    </row>
    <row r="40" spans="1:14" x14ac:dyDescent="0.2">
      <c r="A40" s="53" t="s">
        <v>92</v>
      </c>
      <c r="B40" t="s">
        <v>473</v>
      </c>
      <c r="G40" s="266">
        <f>ROUND(L47/M47,3)</f>
        <v>0.19700000000000001</v>
      </c>
      <c r="H40" s="19"/>
      <c r="K40" s="2"/>
      <c r="L40" s="384"/>
      <c r="M40" s="385"/>
    </row>
    <row r="41" spans="1:14" x14ac:dyDescent="0.2">
      <c r="G41" s="57"/>
      <c r="K41" s="2"/>
      <c r="L41" s="384"/>
      <c r="M41" s="385"/>
    </row>
    <row r="42" spans="1:14" ht="12" thickBot="1" x14ac:dyDescent="0.25">
      <c r="A42" s="53" t="s">
        <v>91</v>
      </c>
      <c r="B42" s="112" t="s">
        <v>255</v>
      </c>
      <c r="C42" s="21"/>
      <c r="G42" s="28">
        <f>SUM(G32,G38,G40)</f>
        <v>0.47743946022948658</v>
      </c>
      <c r="K42" s="2"/>
      <c r="L42" s="386"/>
      <c r="M42" s="387"/>
    </row>
    <row r="43" spans="1:14" x14ac:dyDescent="0.2">
      <c r="B43" s="112"/>
      <c r="C43" s="21"/>
      <c r="G43" s="57"/>
      <c r="K43" s="2"/>
    </row>
    <row r="44" spans="1:14" x14ac:dyDescent="0.2">
      <c r="A44" s="53" t="s">
        <v>85</v>
      </c>
      <c r="B44" t="s">
        <v>256</v>
      </c>
      <c r="G44" s="58">
        <f>SUM(G19,G23,G36)</f>
        <v>0.17899999999999999</v>
      </c>
      <c r="K44" s="2"/>
    </row>
    <row r="45" spans="1:14" x14ac:dyDescent="0.2">
      <c r="G45" s="57"/>
      <c r="K45" s="2"/>
    </row>
    <row r="46" spans="1:14" x14ac:dyDescent="0.2">
      <c r="A46" s="67" t="s">
        <v>179</v>
      </c>
      <c r="B46" s="57" t="s">
        <v>474</v>
      </c>
      <c r="C46" s="57"/>
      <c r="D46" s="57"/>
      <c r="E46" s="57"/>
      <c r="F46" s="57"/>
      <c r="G46" s="205">
        <f>0.05</f>
        <v>0.05</v>
      </c>
      <c r="K46" s="2"/>
      <c r="L46" t="s">
        <v>448</v>
      </c>
      <c r="M46" t="s">
        <v>490</v>
      </c>
    </row>
    <row r="47" spans="1:14" ht="15" x14ac:dyDescent="0.25">
      <c r="A47" s="57"/>
      <c r="B47" s="57"/>
      <c r="C47" s="57"/>
      <c r="D47" s="57"/>
      <c r="E47" s="57"/>
      <c r="F47" s="57"/>
      <c r="K47" s="2"/>
      <c r="L47" s="393">
        <v>68944000</v>
      </c>
      <c r="M47" s="395">
        <f>372016601*(1+'11.2'!D24)^2</f>
        <v>350030419.88089997</v>
      </c>
      <c r="N47" s="18"/>
    </row>
    <row r="48" spans="1:14" x14ac:dyDescent="0.2">
      <c r="A48" s="57"/>
      <c r="B48" s="57"/>
      <c r="C48" s="57"/>
      <c r="D48" s="57"/>
      <c r="E48" s="57"/>
      <c r="F48" s="57"/>
      <c r="G48" s="266"/>
      <c r="K48" s="2"/>
      <c r="L48" s="266" t="s">
        <v>455</v>
      </c>
    </row>
    <row r="49" spans="1:12" x14ac:dyDescent="0.2">
      <c r="B49" s="112"/>
      <c r="G49" s="57"/>
      <c r="K49" s="2"/>
      <c r="L49" s="394">
        <f>2*9372000</f>
        <v>18744000</v>
      </c>
    </row>
    <row r="50" spans="1:12" x14ac:dyDescent="0.2">
      <c r="A50" s="53" t="s">
        <v>307</v>
      </c>
      <c r="B50" t="s">
        <v>538</v>
      </c>
      <c r="G50" s="28">
        <f>1-G44-G46</f>
        <v>0.77099999999999991</v>
      </c>
      <c r="K50" s="2"/>
    </row>
    <row r="51" spans="1:12" ht="12" thickBot="1" x14ac:dyDescent="0.25">
      <c r="A51" s="6"/>
      <c r="B51" s="6"/>
      <c r="C51" s="6"/>
      <c r="D51" s="6"/>
      <c r="E51" s="6"/>
      <c r="F51" s="6"/>
      <c r="G51" s="139"/>
      <c r="K51" s="2"/>
      <c r="L51" s="316"/>
    </row>
    <row r="52" spans="1:12" ht="12" thickTop="1" x14ac:dyDescent="0.2">
      <c r="G52" s="57"/>
      <c r="K52" s="2"/>
    </row>
    <row r="53" spans="1:12" x14ac:dyDescent="0.2">
      <c r="A53" t="s">
        <v>18</v>
      </c>
      <c r="G53" s="57"/>
      <c r="K53" s="2"/>
    </row>
    <row r="54" spans="1:12" x14ac:dyDescent="0.2">
      <c r="B54" t="str">
        <f>A14&amp;" - "&amp;A34&amp;" From TWIA's Statutory Annual Statements and Insurance Expense Exhibits"</f>
        <v>(1) - (6) From TWIA's Statutory Annual Statements and Insurance Expense Exhibits</v>
      </c>
      <c r="G54" s="57"/>
      <c r="K54" s="2"/>
    </row>
    <row r="55" spans="1:12" x14ac:dyDescent="0.2">
      <c r="B55" s="21" t="str">
        <f>A38&amp;" "&amp;'11.2'!H1&amp;", "&amp;'11.2'!H2</f>
        <v>(7) Exhibit 11, Sheet 2</v>
      </c>
      <c r="G55" s="57"/>
      <c r="K55" s="2"/>
    </row>
    <row r="56" spans="1:12" x14ac:dyDescent="0.2">
      <c r="B56" s="112" t="s">
        <v>512</v>
      </c>
      <c r="C56" s="57"/>
      <c r="D56" s="57"/>
      <c r="E56" s="57"/>
      <c r="F56" s="57"/>
      <c r="G56" s="57"/>
      <c r="K56" s="2"/>
    </row>
    <row r="57" spans="1:12" x14ac:dyDescent="0.2">
      <c r="B57" s="57" t="str">
        <f>G40&amp;"= Annual principal and interest payment $68.9M/Prospective written premium at present rate$350.03M"</f>
        <v>0.197= Annual principal and interest payment $68.9M/Prospective written premium at present rate$350.03M</v>
      </c>
      <c r="C57" s="57"/>
      <c r="D57" s="57"/>
      <c r="E57" s="57"/>
      <c r="F57" s="57"/>
      <c r="G57" s="57"/>
      <c r="K57" s="2"/>
    </row>
    <row r="58" spans="1:12" x14ac:dyDescent="0.2">
      <c r="B58" s="57" t="s">
        <v>527</v>
      </c>
      <c r="C58" s="57"/>
      <c r="D58" s="57"/>
      <c r="E58" s="57"/>
      <c r="F58" s="57"/>
      <c r="G58" s="57"/>
      <c r="K58" s="2"/>
    </row>
    <row r="59" spans="1:12" x14ac:dyDescent="0.2">
      <c r="B59" s="53" t="s">
        <v>505</v>
      </c>
      <c r="G59" s="57"/>
      <c r="K59" s="2"/>
    </row>
    <row r="60" spans="1:12" x14ac:dyDescent="0.2">
      <c r="B60" t="str">
        <f>A44&amp;" = "&amp;A17&amp;" + "&amp;A21&amp;" + "&amp;A34</f>
        <v>(10) = (3) + (4) + (6)</v>
      </c>
      <c r="G60" s="57"/>
      <c r="K60" s="2"/>
    </row>
    <row r="61" spans="1:12" x14ac:dyDescent="0.2">
      <c r="B61" t="str">
        <f>A46&amp;" CRTF contribution selected judgmentally; Class 1 repayment based on projected $80 million in debt service"</f>
        <v>(11) CRTF contribution selected judgmentally; Class 1 repayment based on projected $80 million in debt service</v>
      </c>
      <c r="G61" s="57"/>
      <c r="K61" s="2"/>
    </row>
    <row r="62" spans="1:12" x14ac:dyDescent="0.2">
      <c r="B62" t="str">
        <f>A50&amp;" = 100% - "&amp;A44&amp;" - "&amp;A46</f>
        <v>(12) = 100% - (10) - (11)</v>
      </c>
      <c r="G62" s="57"/>
      <c r="K62" s="2"/>
    </row>
    <row r="63" spans="1:12" x14ac:dyDescent="0.2">
      <c r="G63" s="57"/>
      <c r="K63" s="2"/>
    </row>
    <row r="64" spans="1:12" x14ac:dyDescent="0.2">
      <c r="G64" s="57"/>
      <c r="K64" s="2"/>
    </row>
    <row r="65" spans="1:11" x14ac:dyDescent="0.2">
      <c r="G65" s="57"/>
      <c r="K65" s="2"/>
    </row>
    <row r="66" spans="1:11" x14ac:dyDescent="0.2">
      <c r="G66" s="57"/>
      <c r="K66" s="2"/>
    </row>
    <row r="67" spans="1:11" x14ac:dyDescent="0.2">
      <c r="G67" s="28"/>
      <c r="K67" s="2"/>
    </row>
    <row r="68" spans="1:11" x14ac:dyDescent="0.2">
      <c r="B68" s="21"/>
      <c r="C68" s="21"/>
      <c r="G68" s="57"/>
      <c r="K68" s="2"/>
    </row>
    <row r="69" spans="1:11" ht="12" thickBot="1" x14ac:dyDescent="0.25">
      <c r="D69" s="36"/>
      <c r="E69" s="36"/>
      <c r="F69" s="36"/>
      <c r="G69" s="57"/>
      <c r="K69" s="2"/>
    </row>
    <row r="70" spans="1:11" ht="12" thickBot="1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3"/>
    </row>
    <row r="71" spans="1:11" x14ac:dyDescent="0.2">
      <c r="G71" s="57"/>
    </row>
    <row r="72" spans="1:11" x14ac:dyDescent="0.2">
      <c r="G72" s="57"/>
    </row>
    <row r="73" spans="1:11" x14ac:dyDescent="0.2">
      <c r="G73" s="57"/>
    </row>
    <row r="74" spans="1:11" x14ac:dyDescent="0.2">
      <c r="G74" s="57"/>
    </row>
    <row r="75" spans="1:11" x14ac:dyDescent="0.2">
      <c r="G75" s="57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</sheetPr>
  <dimension ref="A1:U69"/>
  <sheetViews>
    <sheetView showGridLines="0" zoomScaleNormal="100" workbookViewId="0">
      <selection activeCell="G12" sqref="G12"/>
    </sheetView>
  </sheetViews>
  <sheetFormatPr defaultColWidth="11.33203125" defaultRowHeight="11.25" x14ac:dyDescent="0.2"/>
  <cols>
    <col min="1" max="2" width="4.5" customWidth="1"/>
    <col min="3" max="3" width="54.5" customWidth="1"/>
    <col min="4" max="4" width="13.33203125" customWidth="1"/>
    <col min="5" max="7" width="11.33203125" style="47" customWidth="1"/>
    <col min="8" max="8" width="10.5" customWidth="1"/>
    <col min="10" max="10" width="23.5" customWidth="1"/>
    <col min="11" max="11" width="15.1640625" customWidth="1"/>
    <col min="15" max="15" width="13.5" customWidth="1"/>
    <col min="16" max="16" width="15.6640625" customWidth="1"/>
    <col min="17" max="19" width="11.5" bestFit="1" customWidth="1"/>
  </cols>
  <sheetData>
    <row r="1" spans="1:21" x14ac:dyDescent="0.2">
      <c r="A1" s="8" t="str">
        <f>'1'!$A$1</f>
        <v>Texas Windstorm Insurance Association</v>
      </c>
      <c r="C1" s="12"/>
      <c r="H1" s="217" t="s">
        <v>160</v>
      </c>
      <c r="I1" s="1"/>
      <c r="O1" t="s">
        <v>464</v>
      </c>
    </row>
    <row r="2" spans="1:21" ht="12.75" x14ac:dyDescent="0.2">
      <c r="A2" s="8" t="str">
        <f>'1'!$A$2</f>
        <v>Commercial Property - Wind &amp; Hail</v>
      </c>
      <c r="C2" s="12"/>
      <c r="D2" s="284"/>
      <c r="H2" s="217" t="s">
        <v>65</v>
      </c>
      <c r="I2" s="2"/>
      <c r="J2" s="382">
        <f>'1'!H15</f>
        <v>0.49</v>
      </c>
      <c r="P2" t="s">
        <v>88</v>
      </c>
      <c r="Q2" t="s">
        <v>72</v>
      </c>
      <c r="R2" t="s">
        <v>461</v>
      </c>
      <c r="S2" t="s">
        <v>462</v>
      </c>
      <c r="U2" s="222" t="s">
        <v>463</v>
      </c>
    </row>
    <row r="3" spans="1:21" x14ac:dyDescent="0.2">
      <c r="A3" s="8" t="str">
        <f>'1'!$A$3</f>
        <v>Rate Level Review</v>
      </c>
      <c r="C3" s="12"/>
      <c r="H3" s="7"/>
      <c r="I3" s="2"/>
      <c r="U3" s="24" t="s">
        <v>472</v>
      </c>
    </row>
    <row r="4" spans="1:21" x14ac:dyDescent="0.2">
      <c r="A4" t="s">
        <v>380</v>
      </c>
      <c r="C4" s="12"/>
      <c r="I4" s="2"/>
      <c r="P4" s="18">
        <v>2255505140.98</v>
      </c>
      <c r="Q4" s="18">
        <v>185023282.80000001</v>
      </c>
      <c r="R4" s="18">
        <v>108134214.57100001</v>
      </c>
      <c r="S4" s="18">
        <v>18495298.41</v>
      </c>
      <c r="U4" s="326">
        <f>(Q4+R4+S4)/P4</f>
        <v>0.13817427862105838</v>
      </c>
    </row>
    <row r="5" spans="1:21" x14ac:dyDescent="0.2">
      <c r="A5" s="57" t="s">
        <v>381</v>
      </c>
      <c r="B5" s="57"/>
      <c r="C5" s="21"/>
      <c r="D5" s="57"/>
      <c r="E5" s="42"/>
      <c r="F5" s="42"/>
      <c r="I5" s="2"/>
      <c r="U5" s="326"/>
    </row>
    <row r="6" spans="1:21" x14ac:dyDescent="0.2">
      <c r="I6" s="2"/>
      <c r="U6" s="328" t="s">
        <v>465</v>
      </c>
    </row>
    <row r="7" spans="1:21" ht="12" thickBot="1" x14ac:dyDescent="0.25">
      <c r="A7" s="6"/>
      <c r="B7" s="6"/>
      <c r="C7" s="6"/>
      <c r="D7" s="6"/>
      <c r="I7" s="2"/>
      <c r="O7" t="s">
        <v>466</v>
      </c>
      <c r="P7" t="s">
        <v>467</v>
      </c>
      <c r="Q7" t="s">
        <v>468</v>
      </c>
      <c r="R7" t="s">
        <v>469</v>
      </c>
      <c r="S7" t="s">
        <v>470</v>
      </c>
      <c r="T7" t="s">
        <v>471</v>
      </c>
      <c r="U7" s="327" t="s">
        <v>472</v>
      </c>
    </row>
    <row r="8" spans="1:21" ht="12" thickTop="1" x14ac:dyDescent="0.2">
      <c r="D8" s="11" t="s">
        <v>459</v>
      </c>
      <c r="I8" s="2"/>
      <c r="J8" t="s">
        <v>382</v>
      </c>
      <c r="O8" s="71">
        <v>43100</v>
      </c>
      <c r="P8" s="18">
        <v>989798493.48000002</v>
      </c>
      <c r="Q8" s="18">
        <v>105453894.83</v>
      </c>
      <c r="R8" s="18">
        <v>926379200.35000002</v>
      </c>
      <c r="S8" s="18">
        <v>97959276.549999997</v>
      </c>
      <c r="T8" s="18">
        <v>51267985.417249992</v>
      </c>
      <c r="U8" s="326">
        <v>0.161086585181176</v>
      </c>
    </row>
    <row r="9" spans="1:21" x14ac:dyDescent="0.2">
      <c r="I9" s="2"/>
      <c r="J9" t="s">
        <v>195</v>
      </c>
      <c r="K9" t="s">
        <v>383</v>
      </c>
      <c r="L9" t="s">
        <v>384</v>
      </c>
    </row>
    <row r="10" spans="1:21" x14ac:dyDescent="0.2">
      <c r="A10" s="53" t="s">
        <v>163</v>
      </c>
      <c r="B10" t="str">
        <f>YEAR($J$10)&amp;" - "&amp;YEAR($K$10)&amp;" Reinsurance Premium"</f>
        <v>2020 - 2021 Reinsurance Premium</v>
      </c>
      <c r="D10" s="36">
        <v>102066435.825789</v>
      </c>
      <c r="E10" s="259"/>
      <c r="F10" s="397"/>
      <c r="G10" s="131"/>
      <c r="I10" s="2"/>
      <c r="J10" s="305">
        <v>43983</v>
      </c>
      <c r="K10" s="305">
        <v>44347</v>
      </c>
      <c r="L10" s="202">
        <f>DATE(YEAR(K10+1),MONTH(K10+1)-6,1)</f>
        <v>44166</v>
      </c>
    </row>
    <row r="11" spans="1:21" x14ac:dyDescent="0.2">
      <c r="E11" s="56"/>
      <c r="F11" s="131"/>
      <c r="G11" s="131"/>
      <c r="I11" s="2"/>
    </row>
    <row r="12" spans="1:21" x14ac:dyDescent="0.2">
      <c r="A12" s="53" t="s">
        <v>385</v>
      </c>
      <c r="B12" t="s">
        <v>386</v>
      </c>
      <c r="E12" s="56"/>
      <c r="F12" s="131"/>
      <c r="G12" s="131"/>
      <c r="I12" s="2"/>
      <c r="J12" t="s">
        <v>387</v>
      </c>
    </row>
    <row r="13" spans="1:21" x14ac:dyDescent="0.2">
      <c r="C13" s="26" t="s">
        <v>504</v>
      </c>
      <c r="D13" s="371">
        <v>34140092.867083572</v>
      </c>
      <c r="E13" s="259"/>
      <c r="F13" s="131"/>
      <c r="G13" s="131"/>
      <c r="I13" s="2"/>
      <c r="J13" t="s">
        <v>257</v>
      </c>
      <c r="L13" t="s">
        <v>384</v>
      </c>
    </row>
    <row r="14" spans="1:21" x14ac:dyDescent="0.2">
      <c r="A14" s="53"/>
      <c r="D14" s="57"/>
      <c r="E14" s="46"/>
      <c r="F14" s="43"/>
      <c r="G14" s="131"/>
      <c r="I14" s="2"/>
      <c r="J14" s="95">
        <f>'8.2'!M11</f>
        <v>43799</v>
      </c>
      <c r="L14" s="202">
        <f>J14+1</f>
        <v>43800</v>
      </c>
    </row>
    <row r="15" spans="1:21" x14ac:dyDescent="0.2">
      <c r="B15" s="57"/>
      <c r="C15" s="21" t="s">
        <v>8</v>
      </c>
      <c r="D15" s="29">
        <f>SUM(D13:D13)</f>
        <v>34140092.867083572</v>
      </c>
      <c r="E15" s="177"/>
      <c r="F15" s="320"/>
      <c r="G15" s="320"/>
      <c r="I15" s="2"/>
    </row>
    <row r="16" spans="1:21" x14ac:dyDescent="0.2">
      <c r="B16" s="57"/>
      <c r="C16" s="57"/>
      <c r="D16" s="57"/>
      <c r="E16" s="46"/>
      <c r="F16" s="43"/>
      <c r="G16" s="131"/>
      <c r="I16" s="2"/>
    </row>
    <row r="17" spans="1:12" x14ac:dyDescent="0.2">
      <c r="A17" s="53" t="s">
        <v>389</v>
      </c>
      <c r="B17" t="s">
        <v>390</v>
      </c>
      <c r="D17" s="57"/>
      <c r="E17" s="46"/>
      <c r="F17" s="43"/>
      <c r="G17" s="43"/>
      <c r="H17" s="57"/>
      <c r="I17" s="2"/>
      <c r="J17" t="s">
        <v>388</v>
      </c>
    </row>
    <row r="18" spans="1:12" x14ac:dyDescent="0.2">
      <c r="C18" s="21" t="str">
        <f>C13</f>
        <v>100% of $2100M XS $2100M</v>
      </c>
      <c r="D18" s="36">
        <v>19828158.497321021</v>
      </c>
      <c r="E18" s="255"/>
      <c r="F18" s="43"/>
      <c r="G18" s="43"/>
      <c r="H18" s="57"/>
      <c r="I18" s="2"/>
      <c r="J18" s="218">
        <f>1-0.03</f>
        <v>0.97</v>
      </c>
    </row>
    <row r="19" spans="1:12" x14ac:dyDescent="0.2">
      <c r="A19" s="53"/>
      <c r="E19" s="46"/>
      <c r="F19" s="43"/>
      <c r="G19" s="131"/>
      <c r="I19" s="2"/>
      <c r="J19" t="s">
        <v>258</v>
      </c>
    </row>
    <row r="20" spans="1:12" x14ac:dyDescent="0.2">
      <c r="B20" s="57"/>
      <c r="C20" s="21" t="s">
        <v>8</v>
      </c>
      <c r="D20" s="29">
        <f>SUM(D18:D18)</f>
        <v>19828158.497321021</v>
      </c>
      <c r="E20" s="177"/>
      <c r="F20" s="131"/>
      <c r="G20" s="131"/>
      <c r="I20" s="2"/>
      <c r="J20" s="218">
        <f>ROUND(YEAR(L10)-YEAR(L14)+(MONTH(L10)-MONTH(L14))/12,3)</f>
        <v>1</v>
      </c>
    </row>
    <row r="21" spans="1:12" x14ac:dyDescent="0.2">
      <c r="B21" s="57"/>
      <c r="C21" s="57"/>
      <c r="D21" s="57"/>
      <c r="E21" s="318"/>
      <c r="F21" s="43"/>
      <c r="G21" s="322"/>
      <c r="I21" s="2"/>
    </row>
    <row r="22" spans="1:12" x14ac:dyDescent="0.2">
      <c r="A22" s="53" t="s">
        <v>392</v>
      </c>
      <c r="B22" t="s">
        <v>393</v>
      </c>
      <c r="C22" s="57"/>
      <c r="D22" s="372">
        <f>AVERAGE(D20,D15)</f>
        <v>26984125.682202294</v>
      </c>
      <c r="E22" s="321"/>
      <c r="F22" s="317"/>
      <c r="G22" s="321"/>
      <c r="I22" s="2"/>
      <c r="K22" t="s">
        <v>528</v>
      </c>
    </row>
    <row r="23" spans="1:12" x14ac:dyDescent="0.2">
      <c r="I23" s="2"/>
      <c r="K23" t="s">
        <v>184</v>
      </c>
      <c r="L23" t="s">
        <v>183</v>
      </c>
    </row>
    <row r="24" spans="1:12" x14ac:dyDescent="0.2">
      <c r="A24" s="53" t="s">
        <v>165</v>
      </c>
      <c r="B24" t="s">
        <v>394</v>
      </c>
      <c r="D24" s="58">
        <f>J18-1</f>
        <v>-3.0000000000000027E-2</v>
      </c>
      <c r="E24" s="58"/>
      <c r="I24" s="2"/>
      <c r="J24" s="53"/>
      <c r="K24" s="97"/>
    </row>
    <row r="25" spans="1:12" x14ac:dyDescent="0.2">
      <c r="A25" s="57"/>
      <c r="I25" s="2"/>
      <c r="J25" s="53" t="s">
        <v>391</v>
      </c>
      <c r="K25" s="348">
        <f>'[6]10.2'!$E$25</f>
        <v>322259385.91666603</v>
      </c>
      <c r="L25" s="31">
        <f>'10.1'!$F$39</f>
        <v>62410281</v>
      </c>
    </row>
    <row r="26" spans="1:12" x14ac:dyDescent="0.2">
      <c r="A26" s="53" t="s">
        <v>109</v>
      </c>
      <c r="B26" s="42" t="s">
        <v>395</v>
      </c>
      <c r="D26" s="18">
        <f>ROUND(D22*(1+D24)^J20,0)</f>
        <v>26174602</v>
      </c>
      <c r="E26" s="18"/>
      <c r="I26" s="2"/>
      <c r="K26" s="348"/>
      <c r="L26" s="31"/>
    </row>
    <row r="27" spans="1:12" x14ac:dyDescent="0.2">
      <c r="B27" s="57"/>
      <c r="C27" s="57"/>
      <c r="D27" s="57"/>
      <c r="I27" s="2"/>
    </row>
    <row r="28" spans="1:12" x14ac:dyDescent="0.2">
      <c r="A28" s="53" t="s">
        <v>90</v>
      </c>
      <c r="B28" t="s">
        <v>396</v>
      </c>
      <c r="D28" s="31">
        <f>D10-D26*J35</f>
        <v>71965643.525789008</v>
      </c>
      <c r="E28" s="18"/>
      <c r="I28" s="2"/>
      <c r="J28" t="s">
        <v>236</v>
      </c>
      <c r="L28" t="s">
        <v>384</v>
      </c>
    </row>
    <row r="29" spans="1:12" x14ac:dyDescent="0.2">
      <c r="I29" s="2"/>
      <c r="J29" s="95">
        <f>'10.1'!$L$25</f>
        <v>43830</v>
      </c>
      <c r="L29" s="202">
        <f>DATE(YEAR(J29+1),MONTH(J29+1)-6,1)</f>
        <v>43647</v>
      </c>
    </row>
    <row r="30" spans="1:12" x14ac:dyDescent="0.2">
      <c r="A30" s="53" t="s">
        <v>94</v>
      </c>
      <c r="B30" s="12" t="str">
        <f>"TWIA "&amp;TEXT(YEAR($J$29),"#")&amp;" Earned Premium at Present Rates"</f>
        <v>TWIA 2019 Earned Premium at Present Rates</v>
      </c>
      <c r="D30" s="29">
        <f>SUM($K$25,$L$25)</f>
        <v>384669666.91666603</v>
      </c>
      <c r="E30" s="42"/>
      <c r="I30" s="2"/>
    </row>
    <row r="31" spans="1:12" x14ac:dyDescent="0.2">
      <c r="I31" s="2"/>
      <c r="J31" s="33"/>
      <c r="L31" s="370"/>
    </row>
    <row r="32" spans="1:12" x14ac:dyDescent="0.2">
      <c r="A32" s="53" t="s">
        <v>93</v>
      </c>
      <c r="B32" s="57" t="str">
        <f>YEAR($J$10)&amp;" - "&amp;YEAR($K$10)&amp;" TWIA Prospective Earned Premium at Present Rates"</f>
        <v>2020 - 2021 TWIA Prospective Earned Premium at Present Rates</v>
      </c>
      <c r="C32" s="57"/>
      <c r="D32" s="29">
        <f>ROUND(D30*(D24+1)^$J$33,0)</f>
        <v>368420247</v>
      </c>
      <c r="E32" s="46"/>
      <c r="F32" s="46"/>
      <c r="I32" s="2"/>
      <c r="J32" t="s">
        <v>258</v>
      </c>
    </row>
    <row r="33" spans="1:12" x14ac:dyDescent="0.2">
      <c r="A33" s="42"/>
      <c r="B33" s="42"/>
      <c r="C33" s="21"/>
      <c r="D33" s="42"/>
      <c r="E33" s="42"/>
      <c r="F33" s="42"/>
      <c r="G33" s="42"/>
      <c r="H33" s="57"/>
      <c r="I33" s="2"/>
      <c r="J33" s="218">
        <f>ROUND(YEAR(L10)-YEAR(L29)+(MONTH(L10)-MONTH(L29))/12,3)</f>
        <v>1.417</v>
      </c>
      <c r="L33" s="49"/>
    </row>
    <row r="34" spans="1:12" x14ac:dyDescent="0.2">
      <c r="A34" s="53" t="s">
        <v>92</v>
      </c>
      <c r="B34" s="57" t="s">
        <v>397</v>
      </c>
      <c r="C34" s="57"/>
      <c r="D34" s="58">
        <f>D28/D32</f>
        <v>0.19533574528489203</v>
      </c>
      <c r="E34" s="58"/>
      <c r="F34" s="42"/>
      <c r="I34" s="2"/>
      <c r="J34" t="s">
        <v>518</v>
      </c>
    </row>
    <row r="35" spans="1:12" ht="12" thickBot="1" x14ac:dyDescent="0.25">
      <c r="A35" s="6"/>
      <c r="B35" s="139"/>
      <c r="C35" s="139"/>
      <c r="D35" s="139"/>
      <c r="E35" s="42"/>
      <c r="F35" s="42"/>
      <c r="I35" s="2"/>
      <c r="J35" s="57">
        <v>1.1499999999999999</v>
      </c>
    </row>
    <row r="36" spans="1:12" ht="12" thickTop="1" x14ac:dyDescent="0.2">
      <c r="B36" s="57"/>
      <c r="C36" s="57"/>
      <c r="D36" s="57"/>
      <c r="E36" s="42"/>
      <c r="F36" s="42"/>
      <c r="I36" s="2"/>
    </row>
    <row r="37" spans="1:12" x14ac:dyDescent="0.2">
      <c r="A37" t="s">
        <v>18</v>
      </c>
      <c r="B37" s="57"/>
      <c r="C37" s="57"/>
      <c r="D37" s="42"/>
      <c r="E37" s="42"/>
      <c r="F37" s="42"/>
      <c r="I37" s="2"/>
      <c r="K37" s="18"/>
    </row>
    <row r="38" spans="1:12" x14ac:dyDescent="0.2">
      <c r="B38" s="57" t="str">
        <f>A10&amp;" From TWIA reinsurance contract effective "&amp;TEXT($J$10,"m/d/yyyy")&amp;" through "&amp;TEXT($K$10,"m/d/yyyy")</f>
        <v>(1) From TWIA reinsurance contract effective 6/1/2020 through 5/31/2021</v>
      </c>
      <c r="C38" s="21"/>
      <c r="D38" s="57"/>
      <c r="E38" s="42"/>
      <c r="F38" s="42"/>
      <c r="I38" s="2"/>
      <c r="K38" s="18"/>
    </row>
    <row r="39" spans="1:12" x14ac:dyDescent="0.2">
      <c r="B39" s="57" t="str">
        <f>A12&amp;" Provided by Guy Carpenter, based on AIR model using TWIA exposures as of "&amp;TEXT($J$14,"mm/dd/yyyy")</f>
        <v>(2a) Provided by Guy Carpenter, based on AIR model using TWIA exposures as of 11/30/2019</v>
      </c>
      <c r="C39" s="21"/>
      <c r="D39" s="57"/>
      <c r="E39" s="42"/>
      <c r="F39" s="42"/>
      <c r="I39" s="2"/>
    </row>
    <row r="40" spans="1:12" x14ac:dyDescent="0.2">
      <c r="B40" s="57" t="str">
        <f>A17&amp;" Provided by Guy Carpenter, based on RMS model using TWIA exposures as of "&amp;TEXT($J$14,"mm/dd/yyyy")</f>
        <v>(2b) Provided by Guy Carpenter, based on RMS model using TWIA exposures as of 11/30/2019</v>
      </c>
      <c r="C40" s="21"/>
      <c r="D40" s="57"/>
      <c r="E40" s="42"/>
      <c r="F40" s="42"/>
      <c r="I40" s="2"/>
    </row>
    <row r="41" spans="1:12" x14ac:dyDescent="0.2">
      <c r="B41" s="57" t="str">
        <f>A22&amp;" Selected equal to the average of the modeled average annual losses"</f>
        <v>(2c) Selected equal to the average of the modeled average annual losses</v>
      </c>
      <c r="C41" s="57"/>
      <c r="D41" s="57"/>
      <c r="E41" s="42"/>
      <c r="F41" s="42"/>
      <c r="I41" s="2"/>
    </row>
    <row r="42" spans="1:12" x14ac:dyDescent="0.2">
      <c r="B42" s="57" t="str">
        <f>A24&amp;" Selected based on projections communicated to reinsurers"</f>
        <v>(3) Selected based on projections communicated to reinsurers</v>
      </c>
      <c r="C42" s="57"/>
      <c r="D42" s="57"/>
      <c r="E42" s="42"/>
      <c r="F42" s="42"/>
      <c r="I42" s="2"/>
    </row>
    <row r="43" spans="1:12" x14ac:dyDescent="0.2">
      <c r="B43" s="57" t="str">
        <f>A26&amp;" = "&amp;A22&amp;" * [(1+ "&amp;A24&amp;") ^ "&amp;TEXT($J$20,"0.000")&amp;"]"&amp;"(projected exposure growth from 11/30/2019 to 12/1/2020)"</f>
        <v>(4) = (2c) * [(1+ (3)) ^ 1.000](projected exposure growth from 11/30/2019 to 12/1/2020)</v>
      </c>
      <c r="C43" s="57"/>
      <c r="D43" s="57"/>
      <c r="E43" s="42"/>
      <c r="F43" s="42"/>
      <c r="I43" s="2"/>
    </row>
    <row r="44" spans="1:12" x14ac:dyDescent="0.2">
      <c r="B44" s="57" t="str">
        <f>A28&amp;" = "&amp;A10&amp;" - "&amp;A26&amp;"*"&amp;J35&amp;","&amp;J35&amp;" is the loading for loss adjustment factor"</f>
        <v>(5) = (1) - (4)*1.15,1.15 is the loading for loss adjustment factor</v>
      </c>
      <c r="C44" s="57"/>
      <c r="D44" s="57"/>
      <c r="E44" s="42"/>
      <c r="F44" s="42"/>
      <c r="I44" s="2"/>
    </row>
    <row r="45" spans="1:12" x14ac:dyDescent="0.2">
      <c r="B45" s="204" t="str">
        <f>A30&amp;" = Commercial "&amp;'10.1'!$J$1&amp;", "&amp;'10.1'!$J$2&amp;" + Residential "&amp;'[9]10.2'!$J$1&amp;", "&amp;'[5]10.2'!$J$2&amp;", calendar year ending 12/31/2019"</f>
        <v>(6) = Commercial Exhibit 10, Sheet 1 + Residential Exhibit 10, Sheet 2, calendar year ending 12/31/2019</v>
      </c>
      <c r="C45" s="21"/>
      <c r="D45" s="57"/>
      <c r="E45" s="42"/>
      <c r="F45" s="42"/>
      <c r="I45" s="2"/>
    </row>
    <row r="46" spans="1:12" x14ac:dyDescent="0.2">
      <c r="B46" s="57" t="str">
        <f>A32&amp;" = "&amp;A30&amp;" adjusted for exposure growth trend * [(1+ "&amp;A24&amp;") ^ "&amp;TEXT($J$33,"0.000")&amp;"] (projected exposure growth from "&amp;TEXT($L$29,"m/d/yyyy")&amp;" to "&amp;TEXT($L$10,"m/d/yyyy")&amp;")"</f>
        <v>(7) = (6) adjusted for exposure growth trend * [(1+ (3)) ^ 1.417] (projected exposure growth from 7/1/2019 to 12/1/2020)</v>
      </c>
      <c r="C46" s="21"/>
      <c r="D46" s="57"/>
      <c r="E46" s="42"/>
      <c r="F46" s="42"/>
      <c r="G46" s="42"/>
      <c r="I46" s="2"/>
    </row>
    <row r="47" spans="1:12" x14ac:dyDescent="0.2">
      <c r="B47" t="str">
        <f>A34&amp;" = "&amp;A28&amp;" / "&amp;A32</f>
        <v>(8) = (5) / (7)</v>
      </c>
      <c r="C47" s="21"/>
      <c r="D47" s="57"/>
      <c r="E47" s="42"/>
      <c r="F47" s="42"/>
      <c r="I47" s="2"/>
    </row>
    <row r="48" spans="1:12" x14ac:dyDescent="0.2">
      <c r="B48" s="57"/>
      <c r="C48" s="21"/>
      <c r="D48" s="57"/>
      <c r="E48" s="42"/>
      <c r="F48" s="42"/>
      <c r="I48" s="2"/>
    </row>
    <row r="49" spans="1:9" x14ac:dyDescent="0.2">
      <c r="A49" s="53"/>
      <c r="C49" s="26"/>
      <c r="D49" s="36"/>
      <c r="E49" s="42"/>
      <c r="F49" s="42"/>
      <c r="I49" s="2"/>
    </row>
    <row r="50" spans="1:9" x14ac:dyDescent="0.2">
      <c r="C50" s="21"/>
      <c r="D50" s="36"/>
      <c r="I50" s="2"/>
    </row>
    <row r="51" spans="1:9" x14ac:dyDescent="0.2">
      <c r="C51" s="21"/>
      <c r="D51" s="44"/>
      <c r="E51" s="42"/>
      <c r="F51" s="42"/>
      <c r="G51" s="42"/>
      <c r="H51" s="57"/>
      <c r="I51" s="2"/>
    </row>
    <row r="52" spans="1:9" x14ac:dyDescent="0.2">
      <c r="C52" s="26"/>
      <c r="D52" s="44"/>
      <c r="I52" s="2"/>
    </row>
    <row r="53" spans="1:9" s="57" customFormat="1" x14ac:dyDescent="0.2">
      <c r="A53"/>
      <c r="C53" s="21"/>
      <c r="E53" s="42"/>
      <c r="F53" s="42"/>
      <c r="G53" s="47"/>
      <c r="H53"/>
      <c r="I53" s="2"/>
    </row>
    <row r="54" spans="1:9" s="57" customFormat="1" x14ac:dyDescent="0.2">
      <c r="A54" s="53"/>
      <c r="B54"/>
      <c r="C54"/>
      <c r="D54" s="58"/>
      <c r="E54" s="47"/>
      <c r="F54" s="47"/>
      <c r="G54" s="47"/>
      <c r="H54"/>
      <c r="I54" s="2"/>
    </row>
    <row r="55" spans="1:9" s="57" customFormat="1" x14ac:dyDescent="0.2">
      <c r="A55"/>
      <c r="B55"/>
      <c r="C55"/>
      <c r="D55"/>
      <c r="E55" s="47"/>
      <c r="F55" s="47"/>
      <c r="G55" s="47"/>
      <c r="H55"/>
      <c r="I55" s="2"/>
    </row>
    <row r="56" spans="1:9" s="57" customFormat="1" x14ac:dyDescent="0.2">
      <c r="A56" s="53"/>
      <c r="B56"/>
      <c r="C56"/>
      <c r="D56" s="18"/>
      <c r="E56" s="47"/>
      <c r="F56" s="47"/>
      <c r="G56" s="47"/>
      <c r="H56"/>
      <c r="I56" s="2"/>
    </row>
    <row r="57" spans="1:9" s="57" customFormat="1" x14ac:dyDescent="0.2">
      <c r="A57" s="42"/>
      <c r="C57" s="42"/>
      <c r="D57" s="42"/>
      <c r="E57" s="42"/>
      <c r="F57" s="42"/>
      <c r="G57" s="42"/>
      <c r="I57" s="2"/>
    </row>
    <row r="58" spans="1:9" s="57" customFormat="1" x14ac:dyDescent="0.2">
      <c r="E58" s="42"/>
      <c r="F58" s="42"/>
      <c r="G58" s="42"/>
      <c r="I58" s="2"/>
    </row>
    <row r="59" spans="1:9" s="57" customFormat="1" x14ac:dyDescent="0.2">
      <c r="A59" s="67"/>
      <c r="B59" s="67"/>
      <c r="D59" s="36"/>
      <c r="E59" s="46"/>
      <c r="F59" s="46"/>
      <c r="G59" s="46"/>
      <c r="I59" s="2"/>
    </row>
    <row r="60" spans="1:9" s="57" customFormat="1" x14ac:dyDescent="0.2">
      <c r="A60" s="67"/>
      <c r="B60" s="67"/>
      <c r="D60" s="36"/>
      <c r="E60" s="46"/>
      <c r="F60" s="46"/>
      <c r="G60" s="46"/>
      <c r="I60" s="2"/>
    </row>
    <row r="61" spans="1:9" s="57" customFormat="1" x14ac:dyDescent="0.2">
      <c r="A61" s="67"/>
      <c r="B61" s="67"/>
      <c r="D61" s="36"/>
      <c r="E61" s="46"/>
      <c r="F61" s="46"/>
      <c r="G61" s="46"/>
      <c r="I61" s="2"/>
    </row>
    <row r="62" spans="1:9" s="57" customFormat="1" x14ac:dyDescent="0.2">
      <c r="A62" s="67"/>
      <c r="B62" s="67"/>
      <c r="D62" s="36"/>
      <c r="E62" s="46"/>
      <c r="F62" s="46"/>
      <c r="G62" s="46"/>
      <c r="I62" s="2"/>
    </row>
    <row r="63" spans="1:9" s="57" customFormat="1" x14ac:dyDescent="0.2">
      <c r="A63" s="67"/>
      <c r="B63" s="67"/>
      <c r="D63" s="36"/>
      <c r="E63" s="46"/>
      <c r="F63" s="46"/>
      <c r="G63" s="46"/>
      <c r="I63" s="2"/>
    </row>
    <row r="64" spans="1:9" s="57" customFormat="1" x14ac:dyDescent="0.2">
      <c r="A64" s="67"/>
      <c r="B64" s="67"/>
      <c r="D64" s="36"/>
      <c r="E64" s="46"/>
      <c r="F64" s="46"/>
      <c r="G64" s="46"/>
      <c r="I64" s="2"/>
    </row>
    <row r="65" spans="1:9" s="57" customFormat="1" x14ac:dyDescent="0.2">
      <c r="A65" s="67"/>
      <c r="B65" s="67"/>
      <c r="D65" s="28"/>
      <c r="E65" s="61"/>
      <c r="F65" s="61"/>
      <c r="G65" s="61"/>
      <c r="I65" s="2"/>
    </row>
    <row r="66" spans="1:9" x14ac:dyDescent="0.2">
      <c r="C66" s="24"/>
      <c r="D66" s="58"/>
      <c r="E66" s="50"/>
      <c r="F66" s="50"/>
      <c r="G66" s="50"/>
      <c r="I66" s="2"/>
    </row>
    <row r="67" spans="1:9" x14ac:dyDescent="0.2">
      <c r="C67" s="24"/>
      <c r="D67" s="58"/>
      <c r="E67" s="50"/>
      <c r="F67" s="50"/>
      <c r="G67" s="50"/>
      <c r="I67" s="2"/>
    </row>
    <row r="68" spans="1:9" ht="12" thickBot="1" x14ac:dyDescent="0.25">
      <c r="C68" s="24"/>
      <c r="D68" s="58"/>
      <c r="E68" s="50"/>
      <c r="F68" s="50"/>
      <c r="G68" s="50"/>
      <c r="I68" s="2"/>
    </row>
    <row r="69" spans="1:9" ht="12" thickBot="1" x14ac:dyDescent="0.25">
      <c r="A69" s="4"/>
      <c r="B69" s="5"/>
      <c r="C69" s="5"/>
      <c r="D69" s="5"/>
      <c r="E69" s="5"/>
      <c r="F69" s="5"/>
      <c r="G69" s="5"/>
      <c r="H69" s="5"/>
      <c r="I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7">
    <tabColor rgb="FF92D050"/>
  </sheetPr>
  <dimension ref="A1:Q71"/>
  <sheetViews>
    <sheetView showGridLines="0" zoomScaleNormal="100" workbookViewId="0">
      <selection activeCell="H29" sqref="H29"/>
    </sheetView>
  </sheetViews>
  <sheetFormatPr defaultColWidth="11.33203125" defaultRowHeight="11.25" x14ac:dyDescent="0.2"/>
  <cols>
    <col min="1" max="1" width="5.1640625" bestFit="1" customWidth="1"/>
    <col min="2" max="2" width="10" customWidth="1"/>
    <col min="3" max="6" width="14.6640625" customWidth="1"/>
    <col min="7" max="7" width="15.6640625" customWidth="1"/>
    <col min="8" max="8" width="19.33203125" customWidth="1"/>
    <col min="9" max="9" width="12.33203125" customWidth="1"/>
    <col min="13" max="13" width="12.6640625" bestFit="1" customWidth="1"/>
    <col min="15" max="15" width="5.5" customWidth="1"/>
    <col min="16" max="16" width="11.1640625" customWidth="1"/>
    <col min="17" max="17" width="13.6640625" customWidth="1"/>
  </cols>
  <sheetData>
    <row r="1" spans="1:17" x14ac:dyDescent="0.2">
      <c r="A1" s="8" t="str">
        <f>'1'!$A$1</f>
        <v>Texas Windstorm Insurance Association</v>
      </c>
      <c r="B1" s="12"/>
      <c r="I1" s="7" t="s">
        <v>161</v>
      </c>
      <c r="J1" s="1"/>
    </row>
    <row r="2" spans="1:17" x14ac:dyDescent="0.2">
      <c r="A2" s="8" t="str">
        <f>'1'!$A$2</f>
        <v>Commercial Property - Wind &amp; Hail</v>
      </c>
      <c r="B2" s="12"/>
      <c r="I2" s="7" t="s">
        <v>21</v>
      </c>
      <c r="J2" s="2"/>
    </row>
    <row r="3" spans="1:17" x14ac:dyDescent="0.2">
      <c r="A3" s="8" t="str">
        <f>'1'!$A$3</f>
        <v>Rate Level Review</v>
      </c>
      <c r="B3" s="12"/>
      <c r="J3" s="2"/>
    </row>
    <row r="4" spans="1:17" x14ac:dyDescent="0.2">
      <c r="A4" t="s">
        <v>189</v>
      </c>
      <c r="B4" s="12"/>
      <c r="J4" s="2"/>
    </row>
    <row r="5" spans="1:17" x14ac:dyDescent="0.2">
      <c r="A5" s="57"/>
      <c r="B5" s="21"/>
      <c r="C5" s="57"/>
      <c r="D5" s="57"/>
      <c r="E5" s="57"/>
      <c r="J5" s="2"/>
    </row>
    <row r="6" spans="1:17" x14ac:dyDescent="0.2">
      <c r="J6" s="2"/>
    </row>
    <row r="7" spans="1:17" ht="12" thickBot="1" x14ac:dyDescent="0.25">
      <c r="A7" s="6"/>
      <c r="B7" s="6"/>
      <c r="C7" s="6"/>
      <c r="D7" s="6"/>
      <c r="E7" s="6"/>
      <c r="F7" s="6"/>
      <c r="G7" s="6"/>
      <c r="J7" s="2"/>
    </row>
    <row r="8" spans="1:17" ht="12" thickTop="1" x14ac:dyDescent="0.2">
      <c r="J8" s="2"/>
    </row>
    <row r="9" spans="1:17" x14ac:dyDescent="0.2">
      <c r="C9" s="23" t="s">
        <v>190</v>
      </c>
      <c r="F9" t="s">
        <v>191</v>
      </c>
      <c r="J9" s="2"/>
      <c r="K9" s="26"/>
      <c r="L9" s="23"/>
      <c r="P9" s="222"/>
    </row>
    <row r="10" spans="1:17" x14ac:dyDescent="0.2">
      <c r="A10" t="s">
        <v>41</v>
      </c>
      <c r="C10" t="s">
        <v>183</v>
      </c>
      <c r="F10" t="s">
        <v>192</v>
      </c>
      <c r="J10" s="2"/>
      <c r="K10" s="21"/>
    </row>
    <row r="11" spans="1:17" x14ac:dyDescent="0.2">
      <c r="A11" s="9" t="s">
        <v>42</v>
      </c>
      <c r="B11" s="9"/>
      <c r="C11" s="9" t="s">
        <v>193</v>
      </c>
      <c r="D11" s="9" t="s">
        <v>184</v>
      </c>
      <c r="E11" s="9" t="s">
        <v>8</v>
      </c>
      <c r="F11" s="9" t="s">
        <v>43</v>
      </c>
      <c r="G11" s="9" t="s">
        <v>187</v>
      </c>
      <c r="H11" s="42"/>
      <c r="J11" s="2"/>
      <c r="K11" s="49"/>
      <c r="P11" s="18"/>
      <c r="Q11" s="18"/>
    </row>
    <row r="12" spans="1:17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  <c r="P12" s="18"/>
      <c r="Q12" s="18"/>
    </row>
    <row r="13" spans="1:17" x14ac:dyDescent="0.2">
      <c r="J13" s="2"/>
    </row>
    <row r="14" spans="1:17" x14ac:dyDescent="0.2">
      <c r="A14" t="s">
        <v>377</v>
      </c>
      <c r="C14" s="89">
        <f>ROUND('[3]TWIA 3'!L5,0)</f>
        <v>857250899</v>
      </c>
      <c r="D14" s="89">
        <f>ROUND('[3]TWIA 3'!M5,0)</f>
        <v>1709067474</v>
      </c>
      <c r="E14" s="29">
        <f t="shared" ref="E14:E21" si="0">SUM(C14:D14)</f>
        <v>2566318373</v>
      </c>
      <c r="F14" s="36">
        <v>2562744000</v>
      </c>
      <c r="G14" s="81">
        <f t="shared" ref="G14:G21" si="1">E14-F14</f>
        <v>3574373</v>
      </c>
      <c r="H14" s="19"/>
      <c r="J14" s="2"/>
      <c r="L14" s="223"/>
      <c r="M14" s="223"/>
      <c r="P14" s="18"/>
      <c r="Q14" s="18"/>
    </row>
    <row r="15" spans="1:17" x14ac:dyDescent="0.2">
      <c r="A15" t="s">
        <v>412</v>
      </c>
      <c r="C15" s="89">
        <f>ROUND('[3]TWIA 3'!L6,0)</f>
        <v>2553456</v>
      </c>
      <c r="D15" s="89">
        <f>ROUND('[3]TWIA 3'!M6,0)</f>
        <v>8479585</v>
      </c>
      <c r="E15" s="29">
        <f>SUM(C15:D15)</f>
        <v>11033041</v>
      </c>
      <c r="F15" s="36">
        <v>10403000</v>
      </c>
      <c r="G15" s="81">
        <f t="shared" si="1"/>
        <v>630041</v>
      </c>
      <c r="H15" s="19"/>
      <c r="J15" s="2"/>
      <c r="L15" s="223"/>
      <c r="M15" s="223"/>
      <c r="P15" s="18"/>
      <c r="Q15" s="18"/>
    </row>
    <row r="16" spans="1:17" x14ac:dyDescent="0.2">
      <c r="A16" t="s">
        <v>413</v>
      </c>
      <c r="C16" s="89">
        <f>ROUND('[3]TWIA 3'!L7,0)</f>
        <v>7478289</v>
      </c>
      <c r="D16" s="89">
        <f>ROUND('[3]TWIA 3'!M7,0)</f>
        <v>10958718</v>
      </c>
      <c r="E16" s="29">
        <f t="shared" si="0"/>
        <v>18437007</v>
      </c>
      <c r="F16" s="36">
        <v>18005000</v>
      </c>
      <c r="G16" s="81">
        <f t="shared" si="1"/>
        <v>432007</v>
      </c>
      <c r="H16" s="19"/>
      <c r="J16" s="2"/>
      <c r="L16" s="223"/>
      <c r="M16" s="224"/>
      <c r="P16" s="18"/>
      <c r="Q16" s="18"/>
    </row>
    <row r="17" spans="1:17" x14ac:dyDescent="0.2">
      <c r="A17" t="s">
        <v>416</v>
      </c>
      <c r="C17" s="89">
        <f>ROUND('[3]TWIA 3'!L8,0)</f>
        <v>19217587</v>
      </c>
      <c r="D17" s="89">
        <f>ROUND('[3]TWIA 3'!M8,0)</f>
        <v>76980633</v>
      </c>
      <c r="E17" s="29">
        <f t="shared" si="0"/>
        <v>96198220</v>
      </c>
      <c r="F17" s="36">
        <v>96089000</v>
      </c>
      <c r="G17" s="81">
        <f t="shared" si="1"/>
        <v>109220</v>
      </c>
      <c r="H17" s="19"/>
      <c r="J17" s="2"/>
      <c r="L17" s="223"/>
      <c r="M17" s="224"/>
      <c r="P17" s="18"/>
      <c r="Q17" s="18"/>
    </row>
    <row r="18" spans="1:17" x14ac:dyDescent="0.2">
      <c r="A18">
        <v>2012</v>
      </c>
      <c r="C18" s="89">
        <f>ROUND('[3]TWIA 3'!L9,0)</f>
        <v>14459642</v>
      </c>
      <c r="D18" s="89">
        <f>ROUND('[3]TWIA 3'!M9,0)</f>
        <v>52332695</v>
      </c>
      <c r="E18" s="29">
        <f t="shared" si="0"/>
        <v>66792337</v>
      </c>
      <c r="F18" s="36">
        <v>66741000</v>
      </c>
      <c r="G18" s="81">
        <f t="shared" si="1"/>
        <v>51337</v>
      </c>
      <c r="H18" s="19"/>
      <c r="J18" s="2"/>
      <c r="L18" s="223"/>
      <c r="M18" s="224"/>
      <c r="P18" s="18"/>
      <c r="Q18" s="18"/>
    </row>
    <row r="19" spans="1:17" x14ac:dyDescent="0.2">
      <c r="A19">
        <v>2013</v>
      </c>
      <c r="C19" s="89">
        <f>ROUND('[3]TWIA 3'!L10,0)</f>
        <v>7351329</v>
      </c>
      <c r="D19" s="89">
        <f>ROUND('[3]TWIA 3'!M10,0)</f>
        <v>63503334</v>
      </c>
      <c r="E19" s="29">
        <f t="shared" si="0"/>
        <v>70854663</v>
      </c>
      <c r="F19" s="36">
        <v>70811000</v>
      </c>
      <c r="G19" s="81">
        <f t="shared" si="1"/>
        <v>43663</v>
      </c>
      <c r="H19" s="19"/>
      <c r="J19" s="2"/>
      <c r="L19" s="224"/>
      <c r="M19" s="224"/>
      <c r="P19" s="18"/>
      <c r="Q19" s="18"/>
    </row>
    <row r="20" spans="1:17" x14ac:dyDescent="0.2">
      <c r="A20">
        <v>2014</v>
      </c>
      <c r="C20" s="89">
        <f>ROUND('[3]TWIA 3'!L11,0)</f>
        <v>1056281</v>
      </c>
      <c r="D20" s="89">
        <f>ROUND('[3]TWIA 3'!M11,0)</f>
        <v>6114172</v>
      </c>
      <c r="E20" s="29">
        <f t="shared" si="0"/>
        <v>7170453</v>
      </c>
      <c r="F20" s="223">
        <v>7002000</v>
      </c>
      <c r="G20" s="81">
        <f>E20-F20</f>
        <v>168453</v>
      </c>
      <c r="H20" s="19"/>
      <c r="J20" s="2"/>
      <c r="L20" s="224"/>
      <c r="M20" s="224"/>
      <c r="P20" s="18"/>
      <c r="Q20" s="18"/>
    </row>
    <row r="21" spans="1:17" x14ac:dyDescent="0.2">
      <c r="A21">
        <v>2015</v>
      </c>
      <c r="B21" s="48"/>
      <c r="C21" s="89">
        <f>ROUND('[3]TWIA 3'!L12,0)</f>
        <v>18644220</v>
      </c>
      <c r="D21" s="89">
        <f>ROUND('[3]TWIA 3'!M12,0)</f>
        <v>119859509</v>
      </c>
      <c r="E21" s="177">
        <f t="shared" si="0"/>
        <v>138503729</v>
      </c>
      <c r="F21" s="223">
        <v>138583000</v>
      </c>
      <c r="G21" s="81">
        <f t="shared" si="1"/>
        <v>-79271</v>
      </c>
      <c r="H21" s="19"/>
      <c r="J21" s="2"/>
      <c r="L21" s="224"/>
      <c r="M21" s="224"/>
      <c r="P21" s="18"/>
      <c r="Q21" s="18"/>
    </row>
    <row r="22" spans="1:17" x14ac:dyDescent="0.2">
      <c r="A22">
        <v>2016</v>
      </c>
      <c r="C22" s="89">
        <f>ROUND('[3]TWIA 3'!L13,0)</f>
        <v>2596505</v>
      </c>
      <c r="D22" s="89">
        <f>ROUND('[3]TWIA 3'!M13,0)</f>
        <v>25889298</v>
      </c>
      <c r="E22" s="29">
        <f>SUM(C22:D22)</f>
        <v>28485803</v>
      </c>
      <c r="F22" s="255">
        <v>28409000</v>
      </c>
      <c r="G22" s="81">
        <f>E22-F22</f>
        <v>76803</v>
      </c>
      <c r="H22" s="19"/>
      <c r="J22" s="2"/>
      <c r="K22" s="24"/>
      <c r="L22" s="224"/>
      <c r="M22" s="224"/>
      <c r="O22" s="24"/>
      <c r="P22" s="18"/>
      <c r="Q22" s="18"/>
    </row>
    <row r="23" spans="1:17" x14ac:dyDescent="0.2">
      <c r="A23" s="47">
        <v>2017</v>
      </c>
      <c r="B23" s="48"/>
      <c r="C23" s="89">
        <f>ROUND('[3]TWIA 3'!L14,0)</f>
        <v>437190922</v>
      </c>
      <c r="D23" s="89">
        <f>ROUND('[3]TWIA 3'!M14,0)</f>
        <v>901238563</v>
      </c>
      <c r="E23" s="177">
        <f>SUM(C23:D23)</f>
        <v>1338429485</v>
      </c>
      <c r="F23" s="255">
        <v>1338484000</v>
      </c>
      <c r="G23" s="178">
        <f>E23-F23</f>
        <v>-54515</v>
      </c>
      <c r="H23" s="19"/>
      <c r="J23" s="2"/>
      <c r="K23" s="24"/>
      <c r="L23" s="223"/>
      <c r="M23" s="223"/>
      <c r="O23" s="11"/>
      <c r="P23" s="18"/>
      <c r="Q23" s="18"/>
    </row>
    <row r="24" spans="1:17" x14ac:dyDescent="0.2">
      <c r="A24" s="47">
        <v>2018</v>
      </c>
      <c r="B24" s="48"/>
      <c r="C24" s="89">
        <f>ROUND('[3]TWIA 3'!L15,0)</f>
        <v>186803</v>
      </c>
      <c r="D24" s="89">
        <f>ROUND('[3]TWIA 3'!M15,0)</f>
        <v>11649295</v>
      </c>
      <c r="E24" s="177">
        <f>SUM(C24:D24)</f>
        <v>11836098</v>
      </c>
      <c r="F24" s="255">
        <v>11663000</v>
      </c>
      <c r="G24" s="178">
        <f>E24-F24</f>
        <v>173098</v>
      </c>
      <c r="H24" s="19"/>
      <c r="J24" s="2"/>
      <c r="K24" s="24"/>
      <c r="L24" s="223"/>
      <c r="M24" s="223"/>
      <c r="O24" s="11"/>
      <c r="P24" s="18"/>
      <c r="Q24" s="18"/>
    </row>
    <row r="25" spans="1:17" x14ac:dyDescent="0.2">
      <c r="A25" s="136">
        <v>2019</v>
      </c>
      <c r="B25" s="25"/>
      <c r="C25" s="88">
        <f>ROUND('[3]TWIA 3'!L16,0)</f>
        <v>806862</v>
      </c>
      <c r="D25" s="88">
        <f>ROUND('[3]TWIA 3'!M16,0)</f>
        <v>12384305</v>
      </c>
      <c r="E25" s="30">
        <f>SUM(C25:D25)</f>
        <v>13191167</v>
      </c>
      <c r="F25" s="225">
        <v>12936000</v>
      </c>
      <c r="G25" s="82">
        <f>E25-F25</f>
        <v>255167</v>
      </c>
      <c r="H25" s="19"/>
      <c r="J25" s="2"/>
      <c r="K25" s="24"/>
      <c r="L25" s="223"/>
      <c r="M25" s="223"/>
      <c r="O25" s="11"/>
      <c r="P25" s="18"/>
      <c r="Q25" s="18"/>
    </row>
    <row r="26" spans="1:17" x14ac:dyDescent="0.2">
      <c r="C26" s="18"/>
      <c r="D26" s="12"/>
      <c r="E26" s="18"/>
      <c r="F26" s="18"/>
      <c r="G26" s="83"/>
      <c r="H26" s="19"/>
      <c r="J26" s="2"/>
      <c r="K26" s="19"/>
    </row>
    <row r="27" spans="1:17" x14ac:dyDescent="0.2">
      <c r="A27" t="s">
        <v>8</v>
      </c>
      <c r="C27" s="68">
        <f>SUM(C14:C24)</f>
        <v>1367985933</v>
      </c>
      <c r="D27" s="68">
        <f>SUM(D14:D24)</f>
        <v>2986073276</v>
      </c>
      <c r="E27" s="68">
        <f>SUM(E14:E24)</f>
        <v>4354059209</v>
      </c>
      <c r="F27" s="68">
        <f>SUM(F14:F25)</f>
        <v>4361870000</v>
      </c>
      <c r="G27" s="68">
        <f>SUM(G14:G24)</f>
        <v>5125209</v>
      </c>
      <c r="H27" s="19"/>
      <c r="J27" s="2"/>
      <c r="L27" s="68"/>
      <c r="M27" s="68"/>
    </row>
    <row r="28" spans="1:17" ht="12" thickBot="1" x14ac:dyDescent="0.25">
      <c r="A28" s="6"/>
      <c r="B28" s="6"/>
      <c r="C28" s="6"/>
      <c r="D28" s="6"/>
      <c r="E28" s="6"/>
      <c r="F28" s="6"/>
      <c r="G28" s="6"/>
      <c r="J28" s="2"/>
    </row>
    <row r="29" spans="1:17" ht="12" thickTop="1" x14ac:dyDescent="0.2">
      <c r="J29" s="2"/>
    </row>
    <row r="30" spans="1:17" x14ac:dyDescent="0.2">
      <c r="A30" t="s">
        <v>18</v>
      </c>
      <c r="F30" s="42"/>
      <c r="J30" s="2"/>
    </row>
    <row r="31" spans="1:17" x14ac:dyDescent="0.2">
      <c r="B31" s="21" t="str">
        <f>C12&amp;", "&amp;D12&amp;" Provided by TWIA, as of "&amp;TEXT($K$32,"m/d/yyyy")</f>
        <v>(2), (3) Provided by TWIA, as of 12/31/2019</v>
      </c>
      <c r="J31" s="2"/>
      <c r="K31" t="s">
        <v>236</v>
      </c>
    </row>
    <row r="32" spans="1:17" x14ac:dyDescent="0.2">
      <c r="B32" s="21" t="str">
        <f>E12&amp;" = "&amp;C12&amp;" + "&amp;D12</f>
        <v>(4) = (2) + (3)</v>
      </c>
      <c r="J32" s="2"/>
      <c r="K32" s="98">
        <v>43830</v>
      </c>
    </row>
    <row r="33" spans="1:16" x14ac:dyDescent="0.2">
      <c r="B33" s="21" t="str">
        <f>F12&amp;" Based on TWIA "&amp;TEXT(YEAR('2.1'!$L$8),"#")&amp;" Annual Statement"</f>
        <v>(5) Based on TWIA 2019 Annual Statement</v>
      </c>
      <c r="C33" s="57"/>
      <c r="D33" s="57"/>
      <c r="E33" s="57"/>
      <c r="F33" s="57"/>
      <c r="G33" s="57"/>
      <c r="J33" s="2"/>
    </row>
    <row r="34" spans="1:16" x14ac:dyDescent="0.2">
      <c r="B34" s="21" t="str">
        <f>G12&amp;" = "&amp;E12&amp;" - "&amp;F12</f>
        <v>(6) = (4) - (5)</v>
      </c>
      <c r="J34" s="2"/>
      <c r="O34" s="57"/>
      <c r="P34" s="57"/>
    </row>
    <row r="35" spans="1:16" x14ac:dyDescent="0.2">
      <c r="B35" s="21"/>
      <c r="J35" s="2"/>
      <c r="L35" s="18"/>
      <c r="M35" s="18"/>
    </row>
    <row r="36" spans="1:16" x14ac:dyDescent="0.2">
      <c r="D36" s="58"/>
      <c r="E36" s="58"/>
      <c r="F36" s="58"/>
      <c r="G36" s="22"/>
      <c r="J36" s="2"/>
      <c r="L36" s="18"/>
      <c r="M36" s="18"/>
    </row>
    <row r="37" spans="1:16" x14ac:dyDescent="0.2">
      <c r="B37" s="24"/>
      <c r="J37" s="2"/>
      <c r="L37" s="18"/>
      <c r="M37" s="18"/>
    </row>
    <row r="38" spans="1:16" x14ac:dyDescent="0.2">
      <c r="J38" s="2"/>
      <c r="L38" s="18"/>
      <c r="M38" s="18"/>
    </row>
    <row r="39" spans="1:16" x14ac:dyDescent="0.2">
      <c r="J39" s="2"/>
      <c r="L39" s="18"/>
      <c r="M39" s="18"/>
    </row>
    <row r="40" spans="1:16" x14ac:dyDescent="0.2">
      <c r="J40" s="2"/>
      <c r="L40" s="18"/>
      <c r="M40" s="18"/>
    </row>
    <row r="41" spans="1:16" s="57" customFormat="1" x14ac:dyDescent="0.2">
      <c r="A41" s="42"/>
      <c r="B41" s="42"/>
      <c r="C41" s="42"/>
      <c r="D41" s="42"/>
      <c r="E41" s="42"/>
      <c r="F41" s="42"/>
      <c r="G41" s="42"/>
      <c r="H41" s="42"/>
      <c r="J41" s="2"/>
      <c r="K41"/>
      <c r="L41" s="18"/>
      <c r="M41" s="31"/>
      <c r="N41"/>
      <c r="O41"/>
    </row>
    <row r="42" spans="1:16" x14ac:dyDescent="0.2">
      <c r="J42" s="2"/>
      <c r="K42" s="57"/>
      <c r="L42" s="31"/>
      <c r="M42" s="18"/>
    </row>
    <row r="43" spans="1:16" x14ac:dyDescent="0.2">
      <c r="J43" s="2"/>
      <c r="L43" s="18"/>
      <c r="M43" s="18"/>
    </row>
    <row r="44" spans="1:16" x14ac:dyDescent="0.2">
      <c r="J44" s="2"/>
      <c r="L44" s="18"/>
      <c r="M44" s="18"/>
    </row>
    <row r="45" spans="1:16" x14ac:dyDescent="0.2">
      <c r="J45" s="2"/>
      <c r="O45" s="57"/>
      <c r="P45" s="57"/>
    </row>
    <row r="46" spans="1:16" x14ac:dyDescent="0.2">
      <c r="J46" s="2"/>
      <c r="O46" s="57"/>
      <c r="P46" s="57"/>
    </row>
    <row r="47" spans="1:16" x14ac:dyDescent="0.2">
      <c r="J47" s="2"/>
      <c r="O47" s="57"/>
      <c r="P47" s="57"/>
    </row>
    <row r="48" spans="1:16" x14ac:dyDescent="0.2">
      <c r="J48" s="2"/>
      <c r="O48" s="57"/>
      <c r="P48" s="57"/>
    </row>
    <row r="49" spans="1:16" x14ac:dyDescent="0.2">
      <c r="J49" s="2"/>
      <c r="O49" s="57"/>
      <c r="P49" s="57"/>
    </row>
    <row r="50" spans="1:16" x14ac:dyDescent="0.2">
      <c r="J50" s="2"/>
      <c r="O50" s="57"/>
      <c r="P50" s="57"/>
    </row>
    <row r="51" spans="1:16" x14ac:dyDescent="0.2">
      <c r="J51" s="2"/>
      <c r="O51" s="57"/>
      <c r="P51" s="57"/>
    </row>
    <row r="52" spans="1:16" s="57" customFormat="1" x14ac:dyDescent="0.2">
      <c r="J52" s="2"/>
      <c r="K52"/>
      <c r="L52"/>
      <c r="M52"/>
    </row>
    <row r="53" spans="1:16" s="57" customFormat="1" x14ac:dyDescent="0.2">
      <c r="C53" s="21"/>
      <c r="J53" s="2"/>
    </row>
    <row r="54" spans="1:16" s="57" customFormat="1" x14ac:dyDescent="0.2">
      <c r="J54" s="2"/>
    </row>
    <row r="55" spans="1:16" s="57" customFormat="1" x14ac:dyDescent="0.2">
      <c r="A55" s="42"/>
      <c r="B55" s="42"/>
      <c r="C55" s="42"/>
      <c r="D55" s="42"/>
      <c r="E55" s="42"/>
      <c r="F55" s="42"/>
      <c r="G55" s="42"/>
      <c r="H55" s="42"/>
      <c r="J55" s="2"/>
    </row>
    <row r="56" spans="1:16" s="57" customFormat="1" x14ac:dyDescent="0.2">
      <c r="J56" s="2"/>
    </row>
    <row r="57" spans="1:16" s="57" customFormat="1" x14ac:dyDescent="0.2">
      <c r="A57" s="67"/>
      <c r="C57" s="36"/>
      <c r="D57" s="36"/>
      <c r="E57" s="36"/>
      <c r="F57" s="36"/>
      <c r="G57" s="31"/>
      <c r="H57" s="31"/>
      <c r="J57" s="2"/>
    </row>
    <row r="58" spans="1:16" s="57" customFormat="1" x14ac:dyDescent="0.2">
      <c r="A58" s="67"/>
      <c r="C58" s="28"/>
      <c r="D58" s="28"/>
      <c r="E58" s="28"/>
      <c r="F58" s="28"/>
      <c r="G58" s="28"/>
      <c r="H58" s="28"/>
      <c r="J58" s="2"/>
      <c r="O58"/>
      <c r="P58"/>
    </row>
    <row r="59" spans="1:16" s="57" customFormat="1" x14ac:dyDescent="0.2">
      <c r="A59" s="67"/>
      <c r="C59" s="28"/>
      <c r="D59" s="28"/>
      <c r="E59" s="28"/>
      <c r="F59" s="28"/>
      <c r="G59" s="28"/>
      <c r="H59" s="28"/>
      <c r="J59" s="2"/>
      <c r="O59"/>
      <c r="P59"/>
    </row>
    <row r="60" spans="1:16" s="57" customFormat="1" x14ac:dyDescent="0.2">
      <c r="A60" s="67"/>
      <c r="C60" s="28"/>
      <c r="D60" s="28"/>
      <c r="E60" s="28"/>
      <c r="F60" s="28"/>
      <c r="G60" s="28"/>
      <c r="H60" s="28"/>
      <c r="J60" s="2"/>
      <c r="O60"/>
      <c r="P60"/>
    </row>
    <row r="61" spans="1:16" s="57" customFormat="1" x14ac:dyDescent="0.2">
      <c r="A61" s="67"/>
      <c r="C61" s="28"/>
      <c r="D61" s="28"/>
      <c r="E61" s="28"/>
      <c r="F61" s="28"/>
      <c r="G61" s="28"/>
      <c r="H61" s="28"/>
      <c r="J61" s="2"/>
      <c r="O61"/>
      <c r="P61"/>
    </row>
    <row r="62" spans="1:16" s="57" customFormat="1" x14ac:dyDescent="0.2">
      <c r="A62" s="67"/>
      <c r="C62" s="28"/>
      <c r="D62" s="28"/>
      <c r="E62" s="28"/>
      <c r="F62" s="28"/>
      <c r="G62" s="28"/>
      <c r="H62" s="28"/>
      <c r="J62" s="2"/>
      <c r="O62"/>
      <c r="P62"/>
    </row>
    <row r="63" spans="1:16" s="57" customFormat="1" x14ac:dyDescent="0.2">
      <c r="A63" s="67"/>
      <c r="C63" s="28"/>
      <c r="D63" s="28"/>
      <c r="E63" s="28"/>
      <c r="F63" s="28"/>
      <c r="G63" s="28"/>
      <c r="H63" s="28"/>
      <c r="J63" s="2"/>
      <c r="O63"/>
      <c r="P63"/>
    </row>
    <row r="64" spans="1:16" s="57" customFormat="1" x14ac:dyDescent="0.2">
      <c r="A64" s="67"/>
      <c r="C64" s="28"/>
      <c r="D64" s="28"/>
      <c r="E64" s="28"/>
      <c r="F64" s="28"/>
      <c r="G64" s="28"/>
      <c r="H64" s="28"/>
      <c r="J64" s="2"/>
      <c r="O64"/>
      <c r="P64"/>
    </row>
    <row r="65" spans="1:13" x14ac:dyDescent="0.2">
      <c r="B65" s="24"/>
      <c r="C65" s="58"/>
      <c r="D65" s="58"/>
      <c r="E65" s="58"/>
      <c r="F65" s="58"/>
      <c r="G65" s="22"/>
      <c r="J65" s="2"/>
      <c r="K65" s="57"/>
      <c r="L65" s="57"/>
      <c r="M65" s="57"/>
    </row>
    <row r="66" spans="1:13" x14ac:dyDescent="0.2">
      <c r="B66" s="24"/>
      <c r="C66" s="58"/>
      <c r="D66" s="58"/>
      <c r="E66" s="58"/>
      <c r="F66" s="58"/>
      <c r="G66" s="22"/>
      <c r="J66" s="2"/>
    </row>
    <row r="67" spans="1:13" x14ac:dyDescent="0.2">
      <c r="B67" s="24"/>
      <c r="C67" s="58"/>
      <c r="D67" s="58"/>
      <c r="E67" s="58"/>
      <c r="F67" s="58"/>
      <c r="G67" s="22"/>
      <c r="J67" s="2"/>
    </row>
    <row r="68" spans="1:13" x14ac:dyDescent="0.2">
      <c r="B68" s="24"/>
      <c r="C68" s="58"/>
      <c r="D68" s="58"/>
      <c r="E68" s="58"/>
      <c r="F68" s="58"/>
      <c r="G68" s="22"/>
      <c r="J68" s="2"/>
    </row>
    <row r="69" spans="1:13" x14ac:dyDescent="0.2">
      <c r="J69" s="2"/>
    </row>
    <row r="70" spans="1:13" ht="12" thickBot="1" x14ac:dyDescent="0.25">
      <c r="J70" s="2"/>
    </row>
    <row r="71" spans="1:13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8">
    <tabColor rgb="FF92D050"/>
  </sheetPr>
  <dimension ref="A1:L72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0" customWidth="1"/>
    <col min="3" max="8" width="14.6640625" customWidth="1"/>
    <col min="9" max="9" width="11.33203125" customWidth="1"/>
    <col min="10" max="10" width="5.6640625" customWidth="1"/>
    <col min="12" max="12" width="15.5" bestFit="1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161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65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180</v>
      </c>
      <c r="B4" s="12"/>
      <c r="K4" s="2"/>
    </row>
    <row r="5" spans="1:12" x14ac:dyDescent="0.2">
      <c r="A5" s="57"/>
      <c r="B5" s="21"/>
      <c r="C5" s="57"/>
      <c r="D5" s="57" t="s">
        <v>314</v>
      </c>
      <c r="E5" s="57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47"/>
      <c r="I7" s="47"/>
      <c r="K7" s="2"/>
    </row>
    <row r="8" spans="1:12" ht="12" thickTop="1" x14ac:dyDescent="0.2">
      <c r="K8" s="2"/>
    </row>
    <row r="9" spans="1:12" x14ac:dyDescent="0.2">
      <c r="C9" s="23" t="s">
        <v>182</v>
      </c>
      <c r="F9" t="s">
        <v>134</v>
      </c>
      <c r="K9" s="2"/>
      <c r="L9" s="26"/>
    </row>
    <row r="10" spans="1:12" x14ac:dyDescent="0.2">
      <c r="A10" t="s">
        <v>181</v>
      </c>
      <c r="F10" t="s">
        <v>186</v>
      </c>
      <c r="K10" s="2"/>
      <c r="L10" s="21"/>
    </row>
    <row r="11" spans="1:12" x14ac:dyDescent="0.2">
      <c r="A11" s="9" t="s">
        <v>42</v>
      </c>
      <c r="B11" s="9"/>
      <c r="C11" s="9" t="s">
        <v>183</v>
      </c>
      <c r="D11" s="9" t="s">
        <v>184</v>
      </c>
      <c r="E11" s="9" t="s">
        <v>8</v>
      </c>
      <c r="F11" s="9" t="s">
        <v>185</v>
      </c>
      <c r="G11" s="9" t="s">
        <v>187</v>
      </c>
      <c r="H11" s="47"/>
      <c r="I11" s="47"/>
      <c r="K11" s="2"/>
      <c r="L11" s="49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H12" s="11"/>
      <c r="I12" s="11"/>
      <c r="K12" s="2"/>
    </row>
    <row r="13" spans="1:12" x14ac:dyDescent="0.2">
      <c r="K13" s="2"/>
    </row>
    <row r="14" spans="1:12" x14ac:dyDescent="0.2">
      <c r="A14" s="210">
        <v>1994</v>
      </c>
      <c r="B14" s="21"/>
      <c r="C14" s="36">
        <v>10672677</v>
      </c>
      <c r="D14" s="36">
        <v>15758330</v>
      </c>
      <c r="E14" s="29">
        <f>SUM(C14:D14)</f>
        <v>26431007</v>
      </c>
      <c r="F14" s="36">
        <v>26510501</v>
      </c>
      <c r="G14" s="81">
        <f>E14-F14</f>
        <v>-79494</v>
      </c>
      <c r="H14" s="81"/>
      <c r="I14" s="81"/>
      <c r="K14" s="2"/>
      <c r="L14" s="19">
        <f>G14/F14</f>
        <v>-2.9985853530267118E-3</v>
      </c>
    </row>
    <row r="15" spans="1:12" x14ac:dyDescent="0.2">
      <c r="A15" t="str">
        <f>TEXT(A14+1,"#")</f>
        <v>1995</v>
      </c>
      <c r="B15" s="21"/>
      <c r="C15" s="36">
        <v>12865905</v>
      </c>
      <c r="D15" s="36">
        <v>19259265</v>
      </c>
      <c r="E15" s="29">
        <f t="shared" ref="E15:E30" si="0">SUM(C15:D15)</f>
        <v>32125170</v>
      </c>
      <c r="F15" s="36">
        <v>32419287</v>
      </c>
      <c r="G15" s="81">
        <f t="shared" ref="G15:G39" si="1">E15-F15</f>
        <v>-294117</v>
      </c>
      <c r="H15" s="81"/>
      <c r="I15" s="81"/>
      <c r="K15" s="2"/>
      <c r="L15" s="19">
        <f t="shared" ref="L15:L35" si="2">G15/F15</f>
        <v>-9.0722846557359516E-3</v>
      </c>
    </row>
    <row r="16" spans="1:12" x14ac:dyDescent="0.2">
      <c r="A16" t="str">
        <f t="shared" ref="A16:A34" si="3">TEXT(A15+1,"#")</f>
        <v>1996</v>
      </c>
      <c r="C16" s="36">
        <v>15640660</v>
      </c>
      <c r="D16" s="36">
        <v>24504127</v>
      </c>
      <c r="E16" s="29">
        <f t="shared" si="0"/>
        <v>40144787</v>
      </c>
      <c r="F16" s="36">
        <v>40358575</v>
      </c>
      <c r="G16" s="81">
        <f t="shared" si="1"/>
        <v>-213788</v>
      </c>
      <c r="H16" s="81"/>
      <c r="I16" s="81"/>
      <c r="K16" s="2"/>
      <c r="L16" s="19">
        <f t="shared" si="2"/>
        <v>-5.2972137891389871E-3</v>
      </c>
    </row>
    <row r="17" spans="1:12" x14ac:dyDescent="0.2">
      <c r="A17" t="str">
        <f t="shared" si="3"/>
        <v>1997</v>
      </c>
      <c r="C17" s="36">
        <v>16536186</v>
      </c>
      <c r="D17" s="36">
        <v>25783455</v>
      </c>
      <c r="E17" s="29">
        <f t="shared" si="0"/>
        <v>42319641</v>
      </c>
      <c r="F17" s="36">
        <v>42462844</v>
      </c>
      <c r="G17" s="81">
        <f t="shared" si="1"/>
        <v>-143203</v>
      </c>
      <c r="H17" s="81"/>
      <c r="I17" s="81"/>
      <c r="K17" s="2"/>
      <c r="L17" s="19">
        <f t="shared" si="2"/>
        <v>-3.3724307302638512E-3</v>
      </c>
    </row>
    <row r="18" spans="1:12" x14ac:dyDescent="0.2">
      <c r="A18" t="str">
        <f t="shared" si="3"/>
        <v>1998</v>
      </c>
      <c r="C18" s="36">
        <v>16558977</v>
      </c>
      <c r="D18" s="36">
        <v>27833800</v>
      </c>
      <c r="E18" s="29">
        <f t="shared" si="0"/>
        <v>44392777</v>
      </c>
      <c r="F18" s="36">
        <v>44410914</v>
      </c>
      <c r="G18" s="81">
        <f t="shared" si="1"/>
        <v>-18137</v>
      </c>
      <c r="H18" s="81"/>
      <c r="I18" s="81"/>
      <c r="K18" s="2"/>
      <c r="L18" s="19">
        <f t="shared" si="2"/>
        <v>-4.0839060416545357E-4</v>
      </c>
    </row>
    <row r="19" spans="1:12" x14ac:dyDescent="0.2">
      <c r="A19" t="str">
        <f t="shared" si="3"/>
        <v>1999</v>
      </c>
      <c r="C19" s="36">
        <v>17394142.049999997</v>
      </c>
      <c r="D19" s="36">
        <v>27168992</v>
      </c>
      <c r="E19" s="29">
        <f t="shared" si="0"/>
        <v>44563134.049999997</v>
      </c>
      <c r="F19" s="36">
        <v>44581218</v>
      </c>
      <c r="G19" s="81">
        <f t="shared" si="1"/>
        <v>-18083.95000000298</v>
      </c>
      <c r="H19" s="81"/>
      <c r="I19" s="81"/>
      <c r="K19" s="2"/>
      <c r="L19" s="19">
        <f t="shared" si="2"/>
        <v>-4.0564055472874203E-4</v>
      </c>
    </row>
    <row r="20" spans="1:12" x14ac:dyDescent="0.2">
      <c r="A20" t="str">
        <f t="shared" si="3"/>
        <v>2000</v>
      </c>
      <c r="C20" s="36">
        <v>17332561</v>
      </c>
      <c r="D20" s="36">
        <v>29762296</v>
      </c>
      <c r="E20" s="29">
        <f t="shared" si="0"/>
        <v>47094857</v>
      </c>
      <c r="F20" s="36">
        <v>48012426</v>
      </c>
      <c r="G20" s="81">
        <f t="shared" si="1"/>
        <v>-917569</v>
      </c>
      <c r="H20" s="81"/>
      <c r="I20" s="81"/>
      <c r="K20" s="2"/>
      <c r="L20" s="19">
        <f t="shared" si="2"/>
        <v>-1.911107345419288E-2</v>
      </c>
    </row>
    <row r="21" spans="1:12" x14ac:dyDescent="0.2">
      <c r="A21" t="str">
        <f t="shared" si="3"/>
        <v>2001</v>
      </c>
      <c r="C21" s="36">
        <v>17544251</v>
      </c>
      <c r="D21" s="36">
        <v>36220622.519999996</v>
      </c>
      <c r="E21" s="29">
        <f t="shared" si="0"/>
        <v>53764873.519999996</v>
      </c>
      <c r="F21" s="36">
        <v>54630727</v>
      </c>
      <c r="G21" s="81">
        <f t="shared" si="1"/>
        <v>-865853.48000000417</v>
      </c>
      <c r="H21" s="81"/>
      <c r="I21" s="81"/>
      <c r="K21" s="2"/>
      <c r="L21" s="19">
        <f t="shared" si="2"/>
        <v>-1.584920295862078E-2</v>
      </c>
    </row>
    <row r="22" spans="1:12" x14ac:dyDescent="0.2">
      <c r="A22" t="str">
        <f t="shared" si="3"/>
        <v>2002</v>
      </c>
      <c r="C22" s="223">
        <v>24013525</v>
      </c>
      <c r="D22" s="223">
        <v>48856422.25</v>
      </c>
      <c r="E22" s="29">
        <f>SUM(C22:D22)</f>
        <v>72869947.25</v>
      </c>
      <c r="F22" s="36">
        <v>72967831</v>
      </c>
      <c r="G22" s="81">
        <f t="shared" si="1"/>
        <v>-97883.75</v>
      </c>
      <c r="H22" s="81"/>
      <c r="I22" s="81"/>
      <c r="K22" s="2"/>
      <c r="L22" s="19">
        <f t="shared" si="2"/>
        <v>-1.3414644324565438E-3</v>
      </c>
    </row>
    <row r="23" spans="1:12" x14ac:dyDescent="0.2">
      <c r="A23" t="str">
        <f t="shared" si="3"/>
        <v>2003</v>
      </c>
      <c r="C23" s="97">
        <f>'[3]TWIA 5'!C249</f>
        <v>29220514</v>
      </c>
      <c r="D23" s="97">
        <f>'[3]TWIA 5'!D249</f>
        <v>58573191</v>
      </c>
      <c r="E23" s="29">
        <f>SUM(C23:D23)</f>
        <v>87793705</v>
      </c>
      <c r="F23" s="36">
        <v>87987279</v>
      </c>
      <c r="G23" s="81">
        <f t="shared" si="1"/>
        <v>-193574</v>
      </c>
      <c r="H23" s="81"/>
      <c r="I23" s="81"/>
      <c r="K23" s="2"/>
      <c r="L23" s="19">
        <f t="shared" si="2"/>
        <v>-2.2000225737177303E-3</v>
      </c>
    </row>
    <row r="24" spans="1:12" x14ac:dyDescent="0.2">
      <c r="A24" t="str">
        <f t="shared" si="3"/>
        <v>2004</v>
      </c>
      <c r="C24" s="97">
        <f>'[3]TWIA 5'!C250</f>
        <v>31009323</v>
      </c>
      <c r="D24" s="97">
        <f>'[3]TWIA 5'!D250</f>
        <v>71292702</v>
      </c>
      <c r="E24" s="29">
        <f>SUM(C24:D24)</f>
        <v>102302025</v>
      </c>
      <c r="F24" s="36">
        <v>102384351</v>
      </c>
      <c r="G24" s="81">
        <f t="shared" si="1"/>
        <v>-82326</v>
      </c>
      <c r="H24" s="81"/>
      <c r="I24" s="81"/>
      <c r="K24" s="2"/>
      <c r="L24" s="19">
        <f t="shared" si="2"/>
        <v>-8.0408772625808805E-4</v>
      </c>
    </row>
    <row r="25" spans="1:12" x14ac:dyDescent="0.2">
      <c r="A25" t="str">
        <f t="shared" si="3"/>
        <v>2005</v>
      </c>
      <c r="C25" s="97">
        <f>'[3]TWIA 5'!C251</f>
        <v>35740174</v>
      </c>
      <c r="D25" s="97">
        <f>'[3]TWIA 5'!D251</f>
        <v>78094458</v>
      </c>
      <c r="E25" s="29">
        <f t="shared" si="0"/>
        <v>113834632</v>
      </c>
      <c r="F25" s="36">
        <v>113927701</v>
      </c>
      <c r="G25" s="81">
        <f t="shared" si="1"/>
        <v>-93069</v>
      </c>
      <c r="H25" s="81"/>
      <c r="I25" s="81"/>
      <c r="K25" s="2"/>
      <c r="L25" s="19">
        <f t="shared" si="2"/>
        <v>-8.169128243885129E-4</v>
      </c>
    </row>
    <row r="26" spans="1:12" x14ac:dyDescent="0.2">
      <c r="A26" t="str">
        <f t="shared" si="3"/>
        <v>2006</v>
      </c>
      <c r="C26" s="97">
        <f>'[3]TWIA 5'!C252</f>
        <v>76847840</v>
      </c>
      <c r="D26" s="97">
        <f>'[3]TWIA 5'!D252</f>
        <v>119658576</v>
      </c>
      <c r="E26" s="29">
        <f>SUM(C26:D26)</f>
        <v>196506416</v>
      </c>
      <c r="F26" s="36">
        <v>196833235</v>
      </c>
      <c r="G26" s="81">
        <f t="shared" si="1"/>
        <v>-326819</v>
      </c>
      <c r="H26" s="81"/>
      <c r="I26" s="81"/>
      <c r="K26" s="2"/>
      <c r="L26" s="19">
        <f t="shared" si="2"/>
        <v>-1.6603852494727325E-3</v>
      </c>
    </row>
    <row r="27" spans="1:12" x14ac:dyDescent="0.2">
      <c r="A27" t="str">
        <f t="shared" si="3"/>
        <v>2007</v>
      </c>
      <c r="C27" s="97">
        <f>'[3]TWIA 5'!C253</f>
        <v>110951718</v>
      </c>
      <c r="D27" s="97">
        <f>'[3]TWIA 5'!D253</f>
        <v>203561196</v>
      </c>
      <c r="E27" s="29">
        <f t="shared" si="0"/>
        <v>314512914</v>
      </c>
      <c r="F27" s="44">
        <v>315139307</v>
      </c>
      <c r="G27" s="81">
        <f t="shared" si="1"/>
        <v>-626393</v>
      </c>
      <c r="H27" s="81"/>
      <c r="I27" s="81"/>
      <c r="K27" s="2"/>
      <c r="L27" s="19">
        <f t="shared" si="2"/>
        <v>-1.9876701702590213E-3</v>
      </c>
    </row>
    <row r="28" spans="1:12" x14ac:dyDescent="0.2">
      <c r="A28" t="str">
        <f t="shared" si="3"/>
        <v>2008</v>
      </c>
      <c r="B28" s="48"/>
      <c r="C28" s="97">
        <f>'[3]TWIA 5'!C254</f>
        <v>98036118.420000017</v>
      </c>
      <c r="D28" s="97">
        <f>'[3]TWIA 5'!D254</f>
        <v>232925989.76999998</v>
      </c>
      <c r="E28" s="29">
        <f t="shared" si="0"/>
        <v>330962108.19</v>
      </c>
      <c r="F28" s="44">
        <v>331057645</v>
      </c>
      <c r="G28" s="81">
        <f t="shared" si="1"/>
        <v>-95536.810000002384</v>
      </c>
      <c r="H28" s="81"/>
      <c r="I28" s="178"/>
      <c r="K28" s="2"/>
      <c r="L28" s="19">
        <f t="shared" si="2"/>
        <v>-2.8858058843499109E-4</v>
      </c>
    </row>
    <row r="29" spans="1:12" s="57" customFormat="1" x14ac:dyDescent="0.2">
      <c r="A29" t="str">
        <f t="shared" si="3"/>
        <v>2009</v>
      </c>
      <c r="B29" s="42"/>
      <c r="C29" s="97">
        <f>'[3]TWIA 5'!C255</f>
        <v>111269572.63</v>
      </c>
      <c r="D29" s="97">
        <f>'[3]TWIA 5'!D255</f>
        <v>269535059.02999997</v>
      </c>
      <c r="E29" s="29">
        <f t="shared" si="0"/>
        <v>380804631.65999997</v>
      </c>
      <c r="F29" s="44">
        <v>382342402</v>
      </c>
      <c r="G29" s="81">
        <f t="shared" si="1"/>
        <v>-1537770.3400000334</v>
      </c>
      <c r="H29" s="81"/>
      <c r="I29" s="42"/>
      <c r="K29" s="2"/>
      <c r="L29" s="19">
        <f t="shared" si="2"/>
        <v>-4.021971750860197E-3</v>
      </c>
    </row>
    <row r="30" spans="1:12" x14ac:dyDescent="0.2">
      <c r="A30" t="str">
        <f t="shared" si="3"/>
        <v>2010</v>
      </c>
      <c r="C30" s="97">
        <f>'[3]TWIA 5'!C256</f>
        <v>102174679.52999991</v>
      </c>
      <c r="D30" s="97">
        <f>'[3]TWIA 5'!D256</f>
        <v>278116922.00999999</v>
      </c>
      <c r="E30" s="29">
        <f t="shared" si="0"/>
        <v>380291601.5399999</v>
      </c>
      <c r="F30" s="44">
        <v>385549582</v>
      </c>
      <c r="G30" s="81">
        <f t="shared" si="1"/>
        <v>-5257980.4600000978</v>
      </c>
      <c r="H30" s="81"/>
      <c r="K30" s="2"/>
      <c r="L30" s="19">
        <f t="shared" si="2"/>
        <v>-1.3637624589617887E-2</v>
      </c>
    </row>
    <row r="31" spans="1:12" x14ac:dyDescent="0.2">
      <c r="A31" t="str">
        <f t="shared" si="3"/>
        <v>2011</v>
      </c>
      <c r="C31" s="97">
        <f>'[3]TWIA 5'!C257</f>
        <v>100017021</v>
      </c>
      <c r="D31" s="97">
        <f>'[3]TWIA 5'!D257</f>
        <v>307494236.20000005</v>
      </c>
      <c r="E31" s="29">
        <f t="shared" ref="E31:E39" si="4">SUM(C31:D31)</f>
        <v>407511257.20000005</v>
      </c>
      <c r="F31" s="44">
        <v>403748164</v>
      </c>
      <c r="G31" s="81">
        <f t="shared" si="1"/>
        <v>3763093.2000000477</v>
      </c>
      <c r="H31" s="81"/>
      <c r="K31" s="2"/>
      <c r="L31" s="19">
        <f t="shared" si="2"/>
        <v>9.3203970582019721E-3</v>
      </c>
    </row>
    <row r="32" spans="1:12" x14ac:dyDescent="0.2">
      <c r="A32" t="str">
        <f t="shared" si="3"/>
        <v>2012</v>
      </c>
      <c r="C32" s="97">
        <f>'[3]TWIA 5'!C258</f>
        <v>110524396.51999998</v>
      </c>
      <c r="D32" s="97">
        <f>'[3]TWIA 5'!D258</f>
        <v>335795725.19999981</v>
      </c>
      <c r="E32" s="29">
        <f t="shared" si="4"/>
        <v>446320121.71999979</v>
      </c>
      <c r="F32" s="44">
        <v>443479701</v>
      </c>
      <c r="G32" s="81">
        <f t="shared" si="1"/>
        <v>2840420.7199997902</v>
      </c>
      <c r="H32" s="81"/>
      <c r="I32" s="178"/>
      <c r="K32" s="2"/>
      <c r="L32" s="19">
        <f t="shared" si="2"/>
        <v>6.4048494521732127E-3</v>
      </c>
    </row>
    <row r="33" spans="1:12" x14ac:dyDescent="0.2">
      <c r="A33" t="str">
        <f t="shared" si="3"/>
        <v>2013</v>
      </c>
      <c r="B33" s="48"/>
      <c r="C33" s="97">
        <f>'[3]TWIA 5'!C259</f>
        <v>112904624</v>
      </c>
      <c r="D33" s="97">
        <f>'[3]TWIA 5'!D259</f>
        <v>360838080.7099998</v>
      </c>
      <c r="E33" s="177">
        <f t="shared" si="4"/>
        <v>473742704.7099998</v>
      </c>
      <c r="F33" s="44">
        <v>472739474</v>
      </c>
      <c r="G33" s="81">
        <f t="shared" si="1"/>
        <v>1003230.7099997997</v>
      </c>
      <c r="H33" s="81"/>
      <c r="K33" s="2"/>
      <c r="L33" s="19">
        <f t="shared" si="2"/>
        <v>2.1221640357449814E-3</v>
      </c>
    </row>
    <row r="34" spans="1:12" x14ac:dyDescent="0.2">
      <c r="A34" t="str">
        <f t="shared" si="3"/>
        <v>2014</v>
      </c>
      <c r="B34" s="48"/>
      <c r="C34" s="97">
        <f>'[3]TWIA 5'!C260</f>
        <v>104642688</v>
      </c>
      <c r="D34" s="97">
        <f>'[3]TWIA 5'!D260</f>
        <v>389333918.13999987</v>
      </c>
      <c r="E34" s="177">
        <f t="shared" si="4"/>
        <v>493976606.13999987</v>
      </c>
      <c r="F34" s="44">
        <v>494036010</v>
      </c>
      <c r="G34" s="81">
        <f t="shared" si="1"/>
        <v>-59403.860000133514</v>
      </c>
      <c r="H34" s="81"/>
      <c r="K34" s="2"/>
      <c r="L34" s="19">
        <f t="shared" si="2"/>
        <v>-1.2024196373890541E-4</v>
      </c>
    </row>
    <row r="35" spans="1:12" x14ac:dyDescent="0.2">
      <c r="A35" s="47" t="str">
        <f>TEXT(A34+1,"#")</f>
        <v>2015</v>
      </c>
      <c r="B35" s="48"/>
      <c r="C35" s="97">
        <f>'[3]TWIA 5'!C261</f>
        <v>98715934</v>
      </c>
      <c r="D35" s="97">
        <f>'[3]TWIA 5'!D261</f>
        <v>407969846.0800004</v>
      </c>
      <c r="E35" s="177">
        <f t="shared" si="4"/>
        <v>506685780.0800004</v>
      </c>
      <c r="F35" s="44">
        <v>503824316</v>
      </c>
      <c r="G35" s="81">
        <f t="shared" si="1"/>
        <v>2861464.0800004005</v>
      </c>
      <c r="H35" s="81"/>
      <c r="K35" s="2"/>
      <c r="L35" s="19">
        <f t="shared" si="2"/>
        <v>5.6794878475067501E-3</v>
      </c>
    </row>
    <row r="36" spans="1:12" x14ac:dyDescent="0.2">
      <c r="A36" s="47" t="str">
        <f>TEXT(A35+1,"#")</f>
        <v>2016</v>
      </c>
      <c r="B36" s="48"/>
      <c r="C36" s="97">
        <f>'[3]TWIA 5'!C262</f>
        <v>88278690</v>
      </c>
      <c r="D36" s="97">
        <f>'[3]TWIA 5'!D262</f>
        <v>399074847</v>
      </c>
      <c r="E36" s="177">
        <f t="shared" si="4"/>
        <v>487353537</v>
      </c>
      <c r="F36" s="44">
        <v>487353537</v>
      </c>
      <c r="G36" s="178">
        <f t="shared" si="1"/>
        <v>0</v>
      </c>
      <c r="H36" s="81"/>
      <c r="K36" s="2"/>
      <c r="L36" s="19">
        <f>G36/F36</f>
        <v>0</v>
      </c>
    </row>
    <row r="37" spans="1:12" x14ac:dyDescent="0.2">
      <c r="A37" s="48">
        <v>2017</v>
      </c>
      <c r="B37" s="48"/>
      <c r="C37" s="97">
        <f>'[3]TWIA 5'!C263</f>
        <v>70749081</v>
      </c>
      <c r="D37" s="97">
        <f>'[3]TWIA 5'!D263</f>
        <v>352368052</v>
      </c>
      <c r="E37" s="177">
        <f t="shared" si="4"/>
        <v>423117133</v>
      </c>
      <c r="F37" s="44">
        <v>423074138</v>
      </c>
      <c r="G37" s="178">
        <f t="shared" si="1"/>
        <v>42995</v>
      </c>
      <c r="H37" s="81"/>
      <c r="K37" s="2"/>
      <c r="L37" s="19">
        <f t="shared" ref="L37:L39" si="5">G37/F37</f>
        <v>1.0162521444409348E-4</v>
      </c>
    </row>
    <row r="38" spans="1:12" x14ac:dyDescent="0.2">
      <c r="A38" s="48">
        <v>2018</v>
      </c>
      <c r="B38" s="47"/>
      <c r="C38" s="97">
        <f>'[3]TWIA 5'!C264</f>
        <v>65696833</v>
      </c>
      <c r="D38" s="97">
        <f>'[3]TWIA 5'!D264</f>
        <v>331676957</v>
      </c>
      <c r="E38" s="177">
        <f t="shared" si="4"/>
        <v>397373790</v>
      </c>
      <c r="F38" s="259">
        <v>395551679</v>
      </c>
      <c r="G38" s="178">
        <f t="shared" si="1"/>
        <v>1822111</v>
      </c>
      <c r="K38" s="2"/>
      <c r="L38" s="19">
        <f t="shared" si="5"/>
        <v>4.6065055383066643E-3</v>
      </c>
    </row>
    <row r="39" spans="1:12" x14ac:dyDescent="0.2">
      <c r="A39" s="25">
        <v>2019</v>
      </c>
      <c r="B39" s="9"/>
      <c r="C39" s="88">
        <f>'[3]TWIA 5'!C265</f>
        <v>59123729</v>
      </c>
      <c r="D39" s="88">
        <f>'[3]TWIA 5'!D265</f>
        <v>314907158.99999952</v>
      </c>
      <c r="E39" s="30">
        <f t="shared" si="4"/>
        <v>374030887.99999952</v>
      </c>
      <c r="F39" s="351">
        <v>372016601</v>
      </c>
      <c r="G39" s="82">
        <f t="shared" si="1"/>
        <v>2014286.9999995232</v>
      </c>
      <c r="H39" s="429"/>
      <c r="K39" s="2"/>
      <c r="L39" s="19">
        <f t="shared" si="5"/>
        <v>5.4145083702851291E-3</v>
      </c>
    </row>
    <row r="40" spans="1:12" x14ac:dyDescent="0.2">
      <c r="C40" s="18"/>
      <c r="D40" s="12"/>
      <c r="E40" s="56"/>
      <c r="F40" s="56"/>
      <c r="G40" s="56"/>
      <c r="H40" s="176"/>
      <c r="I40" s="176"/>
      <c r="K40" s="2"/>
    </row>
    <row r="41" spans="1:12" x14ac:dyDescent="0.2">
      <c r="A41" t="s">
        <v>8</v>
      </c>
      <c r="C41" s="68">
        <f>SUM(C14:C39)</f>
        <v>1554461820.1499999</v>
      </c>
      <c r="D41" s="68">
        <f t="shared" ref="D41:G41" si="6">SUM(D14:D39)</f>
        <v>4766364224.9099998</v>
      </c>
      <c r="E41" s="68">
        <f t="shared" si="6"/>
        <v>6320826045.0599995</v>
      </c>
      <c r="F41" s="68">
        <f t="shared" si="6"/>
        <v>6317399445</v>
      </c>
      <c r="G41" s="68">
        <f t="shared" si="6"/>
        <v>3426600.0599992871</v>
      </c>
      <c r="H41" s="81"/>
      <c r="I41" s="81"/>
      <c r="K41" s="2"/>
    </row>
    <row r="42" spans="1:12" ht="12" thickBot="1" x14ac:dyDescent="0.25">
      <c r="A42" s="6"/>
      <c r="B42" s="6"/>
      <c r="C42" s="6"/>
      <c r="D42" s="6"/>
      <c r="E42" s="6"/>
      <c r="F42" s="6"/>
      <c r="G42" s="6"/>
      <c r="H42" s="47"/>
      <c r="I42" s="47"/>
      <c r="K42" s="2"/>
    </row>
    <row r="43" spans="1:12" ht="12" thickTop="1" x14ac:dyDescent="0.2">
      <c r="K43" s="2"/>
      <c r="L43" t="s">
        <v>236</v>
      </c>
    </row>
    <row r="44" spans="1:12" x14ac:dyDescent="0.2">
      <c r="A44" t="s">
        <v>18</v>
      </c>
      <c r="F44" s="42"/>
      <c r="K44" s="2"/>
      <c r="L44" s="102">
        <v>43830</v>
      </c>
    </row>
    <row r="45" spans="1:12" x14ac:dyDescent="0.2">
      <c r="B45" s="21" t="str">
        <f>C12&amp;", "&amp;D12&amp;" Provided by TWIA, as of "&amp;TEXT($L$44,"m/d/yyyy")</f>
        <v>(2), (3) Provided by TWIA, as of 12/31/2019</v>
      </c>
      <c r="K45" s="2"/>
    </row>
    <row r="46" spans="1:12" x14ac:dyDescent="0.2">
      <c r="B46" s="21" t="str">
        <f>E12&amp;" = "&amp;C12&amp;" + "&amp;D12</f>
        <v>(4) = (2) + (3)</v>
      </c>
      <c r="K46" s="2"/>
    </row>
    <row r="47" spans="1:12" x14ac:dyDescent="0.2">
      <c r="B47" s="21" t="str">
        <f>F12&amp;" Based on TWIA Annual Statements"</f>
        <v>(5) Based on TWIA Annual Statements</v>
      </c>
      <c r="C47" s="57"/>
      <c r="E47" s="57"/>
      <c r="F47" s="57"/>
      <c r="G47" s="57"/>
      <c r="K47" s="2"/>
    </row>
    <row r="48" spans="1:12" x14ac:dyDescent="0.2">
      <c r="B48" s="21" t="str">
        <f>G12&amp;" = "&amp;E12&amp;" - "&amp;F12</f>
        <v>(6) = (4) - (5)</v>
      </c>
      <c r="K48" s="2"/>
    </row>
    <row r="49" spans="1:11" x14ac:dyDescent="0.2">
      <c r="B49" s="21"/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s="57" customFormat="1" x14ac:dyDescent="0.2">
      <c r="D55"/>
      <c r="K55" s="2"/>
    </row>
    <row r="56" spans="1:11" s="57" customFormat="1" x14ac:dyDescent="0.2">
      <c r="C56" s="21"/>
      <c r="D56"/>
      <c r="K56" s="2"/>
    </row>
    <row r="57" spans="1:11" s="57" customFormat="1" x14ac:dyDescent="0.2">
      <c r="D57"/>
      <c r="K57" s="2"/>
    </row>
    <row r="58" spans="1:11" s="57" customFormat="1" x14ac:dyDescent="0.2">
      <c r="A58" s="42"/>
      <c r="B58" s="42"/>
      <c r="C58" s="42"/>
      <c r="D58"/>
      <c r="E58" s="42"/>
      <c r="F58" s="42"/>
      <c r="G58" s="42"/>
      <c r="H58" s="42"/>
      <c r="I58" s="42"/>
      <c r="K58" s="2"/>
    </row>
    <row r="59" spans="1:11" s="57" customFormat="1" x14ac:dyDescent="0.2">
      <c r="D59"/>
      <c r="K59" s="2"/>
    </row>
    <row r="60" spans="1:11" s="57" customFormat="1" x14ac:dyDescent="0.2">
      <c r="A60" s="67"/>
      <c r="C60" s="36"/>
      <c r="D60"/>
      <c r="E60" s="36"/>
      <c r="F60" s="36"/>
      <c r="G60" s="31"/>
      <c r="H60" s="31"/>
      <c r="I60" s="31"/>
      <c r="K60" s="2"/>
    </row>
    <row r="61" spans="1:11" s="57" customFormat="1" x14ac:dyDescent="0.2">
      <c r="A61" s="67"/>
      <c r="C61" s="28"/>
      <c r="D61"/>
      <c r="E61" s="28"/>
      <c r="F61" s="28"/>
      <c r="G61" s="28"/>
      <c r="H61" s="28"/>
      <c r="I61" s="28"/>
      <c r="K61" s="2"/>
    </row>
    <row r="62" spans="1:11" x14ac:dyDescent="0.2">
      <c r="B62" s="24"/>
      <c r="C62" s="58"/>
      <c r="E62" s="58"/>
      <c r="F62" s="58"/>
      <c r="G62" s="22"/>
      <c r="K62" s="2"/>
    </row>
    <row r="63" spans="1:11" x14ac:dyDescent="0.2">
      <c r="B63" s="24"/>
      <c r="C63" s="58"/>
      <c r="E63" s="58"/>
      <c r="F63" s="58"/>
      <c r="G63" s="22"/>
      <c r="K63" s="2"/>
    </row>
    <row r="64" spans="1:11" x14ac:dyDescent="0.2">
      <c r="B64" s="24"/>
      <c r="C64" s="58"/>
      <c r="E64" s="58"/>
      <c r="F64" s="58"/>
      <c r="G64" s="22"/>
      <c r="K64" s="2"/>
    </row>
    <row r="65" spans="1:11" x14ac:dyDescent="0.2">
      <c r="B65" s="24"/>
      <c r="C65" s="58"/>
      <c r="E65" s="58"/>
      <c r="F65" s="58"/>
      <c r="G65" s="22"/>
      <c r="K65" s="2"/>
    </row>
    <row r="66" spans="1:11" x14ac:dyDescent="0.2">
      <c r="B66" s="24"/>
      <c r="C66" s="58"/>
      <c r="E66" s="58"/>
      <c r="F66" s="58"/>
      <c r="G66" s="22"/>
      <c r="K66" s="2"/>
    </row>
    <row r="67" spans="1:11" x14ac:dyDescent="0.2">
      <c r="B67" s="24"/>
      <c r="C67" s="58"/>
      <c r="E67" s="58"/>
      <c r="F67" s="58"/>
      <c r="G67" s="22"/>
      <c r="K67" s="2"/>
    </row>
    <row r="68" spans="1:11" x14ac:dyDescent="0.2">
      <c r="B68" s="24"/>
      <c r="C68" s="58"/>
      <c r="E68" s="58"/>
      <c r="F68" s="58"/>
      <c r="G68" s="22"/>
      <c r="K68" s="2"/>
    </row>
    <row r="69" spans="1:11" x14ac:dyDescent="0.2">
      <c r="B69" s="24"/>
      <c r="C69" s="58"/>
      <c r="E69" s="58"/>
      <c r="F69" s="58"/>
      <c r="G69" s="22"/>
      <c r="K69" s="2"/>
    </row>
    <row r="70" spans="1:11" ht="12" thickBot="1" x14ac:dyDescent="0.25">
      <c r="B70" s="24"/>
      <c r="C70" s="58"/>
      <c r="E70" s="58"/>
      <c r="F70" s="58"/>
      <c r="G70" s="22"/>
      <c r="K70" s="2"/>
    </row>
    <row r="71" spans="1:11" ht="12" hidden="1" thickBot="1" x14ac:dyDescent="0.25">
      <c r="B71" s="24"/>
      <c r="C71" s="58"/>
      <c r="E71" s="58"/>
      <c r="F71" s="58"/>
      <c r="G71" s="22"/>
      <c r="K71" s="2"/>
    </row>
    <row r="72" spans="1:11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L69"/>
  <sheetViews>
    <sheetView showGridLines="0" zoomScaleNormal="100" workbookViewId="0">
      <selection activeCell="C1" sqref="C1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20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21</v>
      </c>
      <c r="K2" s="2"/>
    </row>
    <row r="3" spans="1:12" x14ac:dyDescent="0.2">
      <c r="A3" s="8" t="str">
        <f>'1'!$A$3</f>
        <v>Rate Level Review</v>
      </c>
      <c r="B3" s="12"/>
      <c r="J3" s="7"/>
      <c r="K3" s="2"/>
    </row>
    <row r="4" spans="1:12" x14ac:dyDescent="0.2">
      <c r="A4" t="s">
        <v>19</v>
      </c>
      <c r="B4" s="12"/>
      <c r="K4" s="2"/>
    </row>
    <row r="5" spans="1:12" x14ac:dyDescent="0.2">
      <c r="A5" s="57"/>
      <c r="B5" s="21"/>
      <c r="C5" s="57"/>
      <c r="D5" s="57"/>
      <c r="E5" s="57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I7" s="47"/>
      <c r="K7" s="2"/>
      <c r="L7" t="s">
        <v>237</v>
      </c>
    </row>
    <row r="8" spans="1:12" ht="12" thickTop="1" x14ac:dyDescent="0.2">
      <c r="K8" s="2"/>
      <c r="L8" s="102">
        <v>43830</v>
      </c>
    </row>
    <row r="9" spans="1:12" x14ac:dyDescent="0.2">
      <c r="C9" s="21" t="s">
        <v>28</v>
      </c>
      <c r="E9" t="s">
        <v>31</v>
      </c>
      <c r="F9" t="s">
        <v>33</v>
      </c>
      <c r="G9" t="s">
        <v>37</v>
      </c>
      <c r="H9" t="s">
        <v>12</v>
      </c>
      <c r="K9" s="2"/>
      <c r="L9" s="26"/>
    </row>
    <row r="10" spans="1:12" x14ac:dyDescent="0.2">
      <c r="A10" t="s">
        <v>41</v>
      </c>
      <c r="C10" t="s">
        <v>7</v>
      </c>
      <c r="D10" t="s">
        <v>29</v>
      </c>
      <c r="E10" t="s">
        <v>32</v>
      </c>
      <c r="F10" t="s">
        <v>7</v>
      </c>
      <c r="G10" t="s">
        <v>35</v>
      </c>
      <c r="H10" t="s">
        <v>7</v>
      </c>
      <c r="K10" s="2"/>
    </row>
    <row r="11" spans="1:12" x14ac:dyDescent="0.2">
      <c r="A11" s="9" t="s">
        <v>42</v>
      </c>
      <c r="B11" s="9"/>
      <c r="C11" s="9" t="s">
        <v>34</v>
      </c>
      <c r="D11" s="9" t="s">
        <v>30</v>
      </c>
      <c r="E11" s="9" t="s">
        <v>30</v>
      </c>
      <c r="F11" s="9" t="s">
        <v>10</v>
      </c>
      <c r="G11" s="9" t="s">
        <v>106</v>
      </c>
      <c r="H11" s="9" t="s">
        <v>24</v>
      </c>
      <c r="I11" s="47"/>
      <c r="K11" s="2"/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2" x14ac:dyDescent="0.2">
      <c r="K13" s="2"/>
    </row>
    <row r="14" spans="1:12" x14ac:dyDescent="0.2">
      <c r="A14" t="str">
        <f t="shared" ref="A14:A22" si="1">TEXT(A15-1,"#")</f>
        <v>2010</v>
      </c>
      <c r="B14" s="24"/>
      <c r="C14" s="31">
        <f>'2.2'!E14</f>
        <v>7478289</v>
      </c>
      <c r="D14" s="34">
        <f>'4.1'!$E$61</f>
        <v>0.24399999999999999</v>
      </c>
      <c r="E14" s="33">
        <f>'2.4'!G36</f>
        <v>1.1379999999999999</v>
      </c>
      <c r="F14" s="18">
        <f>ROUND(C14*(1+D14)*E14,0)</f>
        <v>10586804</v>
      </c>
      <c r="G14" s="31">
        <f>'10.1'!F30</f>
        <v>151048188</v>
      </c>
      <c r="H14" s="19">
        <f>ROUND(F14/G14,3)</f>
        <v>7.0000000000000007E-2</v>
      </c>
      <c r="I14" s="19"/>
      <c r="K14" s="2"/>
    </row>
    <row r="15" spans="1:12" x14ac:dyDescent="0.2">
      <c r="A15" t="str">
        <f t="shared" si="1"/>
        <v>2011</v>
      </c>
      <c r="B15" s="24"/>
      <c r="C15" s="31">
        <f>'2.2'!E15</f>
        <v>19217587</v>
      </c>
      <c r="D15" s="34">
        <f t="shared" ref="D15:D23" si="2">D$14</f>
        <v>0.24399999999999999</v>
      </c>
      <c r="E15" s="33">
        <f>'2.4'!G37</f>
        <v>1.1080000000000001</v>
      </c>
      <c r="F15" s="18">
        <f t="shared" ref="F15:F23" si="3">ROUND(C15*(1+D15)*E15,0)</f>
        <v>26488599</v>
      </c>
      <c r="G15" s="31">
        <f>'10.1'!F31</f>
        <v>138891291</v>
      </c>
      <c r="H15" s="19">
        <f t="shared" ref="H15:H23" si="4">ROUND(F15/G15,3)</f>
        <v>0.191</v>
      </c>
      <c r="I15" s="19"/>
      <c r="K15" s="2"/>
    </row>
    <row r="16" spans="1:12" x14ac:dyDescent="0.2">
      <c r="A16" t="str">
        <f t="shared" si="1"/>
        <v>2012</v>
      </c>
      <c r="B16" s="24"/>
      <c r="C16" s="31">
        <f>'2.2'!E16</f>
        <v>14459642</v>
      </c>
      <c r="D16" s="34">
        <f t="shared" si="2"/>
        <v>0.24399999999999999</v>
      </c>
      <c r="E16" s="33">
        <f>'2.4'!G38</f>
        <v>1.0920000000000001</v>
      </c>
      <c r="F16" s="18">
        <f t="shared" si="3"/>
        <v>19642672</v>
      </c>
      <c r="G16" s="31">
        <f>'10.1'!F32</f>
        <v>137525969</v>
      </c>
      <c r="H16" s="19">
        <f t="shared" si="4"/>
        <v>0.14299999999999999</v>
      </c>
      <c r="I16" s="19"/>
      <c r="K16" s="2"/>
    </row>
    <row r="17" spans="1:11" x14ac:dyDescent="0.2">
      <c r="A17" t="str">
        <f t="shared" si="1"/>
        <v>2013</v>
      </c>
      <c r="B17" s="24"/>
      <c r="C17" s="31">
        <f>'2.2'!E17</f>
        <v>7351329</v>
      </c>
      <c r="D17" s="34">
        <f t="shared" si="2"/>
        <v>0.24399999999999999</v>
      </c>
      <c r="E17" s="33">
        <f>'2.4'!G39</f>
        <v>1.113</v>
      </c>
      <c r="F17" s="18">
        <f t="shared" si="3"/>
        <v>10178444</v>
      </c>
      <c r="G17" s="31">
        <f>'10.1'!F33</f>
        <v>139160577</v>
      </c>
      <c r="H17" s="19">
        <f t="shared" si="4"/>
        <v>7.2999999999999995E-2</v>
      </c>
      <c r="I17" s="19"/>
      <c r="K17" s="2"/>
    </row>
    <row r="18" spans="1:11" x14ac:dyDescent="0.2">
      <c r="A18" t="str">
        <f t="shared" si="1"/>
        <v>2014</v>
      </c>
      <c r="B18" s="24"/>
      <c r="C18" s="31">
        <f>'2.2'!E18</f>
        <v>1062618</v>
      </c>
      <c r="D18" s="34">
        <f t="shared" si="2"/>
        <v>0.24399999999999999</v>
      </c>
      <c r="E18" s="33">
        <f>'2.4'!G40</f>
        <v>1.089</v>
      </c>
      <c r="F18" s="18">
        <f t="shared" si="3"/>
        <v>1439546</v>
      </c>
      <c r="G18" s="31">
        <f>'10.1'!F34</f>
        <v>129234128</v>
      </c>
      <c r="H18" s="19">
        <f t="shared" si="4"/>
        <v>1.0999999999999999E-2</v>
      </c>
      <c r="I18" s="19"/>
      <c r="K18" s="2"/>
    </row>
    <row r="19" spans="1:11" x14ac:dyDescent="0.2">
      <c r="A19" t="str">
        <f t="shared" si="1"/>
        <v>2015</v>
      </c>
      <c r="B19" s="24"/>
      <c r="C19" s="31">
        <f>'2.2'!E19</f>
        <v>19073037</v>
      </c>
      <c r="D19" s="34">
        <f t="shared" si="2"/>
        <v>0.24399999999999999</v>
      </c>
      <c r="E19" s="33">
        <f>'2.4'!G41</f>
        <v>1.0680000000000001</v>
      </c>
      <c r="F19" s="18">
        <f t="shared" si="3"/>
        <v>25340284</v>
      </c>
      <c r="G19" s="31">
        <f>'10.1'!F35</f>
        <v>114980596</v>
      </c>
      <c r="H19" s="19">
        <f t="shared" si="4"/>
        <v>0.22</v>
      </c>
      <c r="I19" s="19"/>
      <c r="K19" s="2"/>
    </row>
    <row r="20" spans="1:11" x14ac:dyDescent="0.2">
      <c r="A20" t="str">
        <f t="shared" si="1"/>
        <v>2016</v>
      </c>
      <c r="B20" s="24"/>
      <c r="C20" s="31">
        <f>'2.2'!E20</f>
        <v>2666610</v>
      </c>
      <c r="D20" s="34">
        <f t="shared" si="2"/>
        <v>0.24399999999999999</v>
      </c>
      <c r="E20" s="33">
        <f>'2.4'!G42</f>
        <v>1.0649999999999999</v>
      </c>
      <c r="F20" s="18">
        <f t="shared" si="3"/>
        <v>3532885</v>
      </c>
      <c r="G20" s="31">
        <f>'10.1'!F36</f>
        <v>100738792</v>
      </c>
      <c r="H20" s="19">
        <f t="shared" si="4"/>
        <v>3.5000000000000003E-2</v>
      </c>
      <c r="I20" s="19"/>
      <c r="K20" s="2"/>
    </row>
    <row r="21" spans="1:11" x14ac:dyDescent="0.2">
      <c r="A21" t="str">
        <f t="shared" si="1"/>
        <v>2017</v>
      </c>
      <c r="B21" s="24"/>
      <c r="C21" s="31">
        <f>'2.2'!E21</f>
        <v>2090058</v>
      </c>
      <c r="D21" s="34">
        <f t="shared" si="2"/>
        <v>0.24399999999999999</v>
      </c>
      <c r="E21" s="33">
        <f>'2.4'!G43</f>
        <v>1.04</v>
      </c>
      <c r="F21" s="18">
        <f t="shared" si="3"/>
        <v>2704033</v>
      </c>
      <c r="G21" s="31">
        <f>'10.1'!F37</f>
        <v>83489580</v>
      </c>
      <c r="H21" s="19">
        <f t="shared" si="4"/>
        <v>3.2000000000000001E-2</v>
      </c>
      <c r="I21" s="19"/>
      <c r="K21" s="2"/>
    </row>
    <row r="22" spans="1:11" x14ac:dyDescent="0.2">
      <c r="A22" t="str">
        <f t="shared" si="1"/>
        <v>2018</v>
      </c>
      <c r="B22" s="24"/>
      <c r="C22" s="31">
        <f>'2.2'!E22</f>
        <v>213516</v>
      </c>
      <c r="D22" s="34">
        <f t="shared" si="2"/>
        <v>0.24399999999999999</v>
      </c>
      <c r="E22" s="33">
        <f>'2.4'!G44</f>
        <v>0.997</v>
      </c>
      <c r="F22" s="18">
        <f t="shared" si="3"/>
        <v>264817</v>
      </c>
      <c r="G22" s="31">
        <f>'10.1'!F38</f>
        <v>69991684</v>
      </c>
      <c r="H22" s="19">
        <f t="shared" si="4"/>
        <v>4.0000000000000001E-3</v>
      </c>
      <c r="I22" s="19"/>
      <c r="K22" s="2"/>
    </row>
    <row r="23" spans="1:11" x14ac:dyDescent="0.2">
      <c r="A23" t="str">
        <f>TEXT(YEAR($L$8),"#")</f>
        <v>2019</v>
      </c>
      <c r="B23" s="24"/>
      <c r="C23" s="31">
        <f>'2.2'!E23</f>
        <v>1107015</v>
      </c>
      <c r="D23" s="34">
        <f t="shared" si="2"/>
        <v>0.24399999999999999</v>
      </c>
      <c r="E23" s="33">
        <f>'2.4'!G45</f>
        <v>1.0269999999999999</v>
      </c>
      <c r="F23" s="18">
        <f t="shared" si="3"/>
        <v>1414309</v>
      </c>
      <c r="G23" s="31">
        <f>'10.1'!F39</f>
        <v>62410281</v>
      </c>
      <c r="H23" s="19">
        <f t="shared" si="4"/>
        <v>2.3E-2</v>
      </c>
      <c r="I23" s="19"/>
      <c r="K23" s="2"/>
    </row>
    <row r="24" spans="1:11" x14ac:dyDescent="0.2">
      <c r="A24" s="9"/>
      <c r="B24" s="25"/>
      <c r="C24" s="32"/>
      <c r="D24" s="35"/>
      <c r="E24" s="69"/>
      <c r="F24" s="27"/>
      <c r="G24" s="27"/>
      <c r="H24" s="20"/>
      <c r="K24" s="2"/>
    </row>
    <row r="25" spans="1:11" x14ac:dyDescent="0.2">
      <c r="I25" s="19"/>
      <c r="K25" s="2"/>
    </row>
    <row r="26" spans="1:11" x14ac:dyDescent="0.2">
      <c r="A26" t="s">
        <v>8</v>
      </c>
      <c r="C26" s="18">
        <f>SUM(C14:C24)</f>
        <v>74719701</v>
      </c>
      <c r="F26" s="18">
        <f>SUM(F14:F24)</f>
        <v>101592393</v>
      </c>
      <c r="G26" s="18">
        <f>SUM(G14:G24)</f>
        <v>1127471086</v>
      </c>
      <c r="H26" s="28">
        <f>ROUND(F26/G26,3)</f>
        <v>0.09</v>
      </c>
      <c r="I26" s="179"/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K27" s="2"/>
    </row>
    <row r="28" spans="1:11" ht="12" thickTop="1" x14ac:dyDescent="0.2">
      <c r="K28" s="2"/>
    </row>
    <row r="29" spans="1:11" x14ac:dyDescent="0.2">
      <c r="A29" t="s">
        <v>18</v>
      </c>
      <c r="K29" s="2"/>
    </row>
    <row r="30" spans="1:11" x14ac:dyDescent="0.2">
      <c r="B30" s="21" t="str">
        <f>C12&amp;" "&amp;'2.2'!$K$1&amp;", "&amp;'2.2'!$K$2</f>
        <v>(2) Exhibit 2, Sheet 2</v>
      </c>
      <c r="K30" s="2"/>
    </row>
    <row r="31" spans="1:11" x14ac:dyDescent="0.2">
      <c r="B31" s="21" t="str">
        <f>D12&amp;" "&amp;'4.1'!$J$1&amp;", "&amp;'4.1'!$J$2</f>
        <v>(3) Exhibit 4, Sheet 1</v>
      </c>
      <c r="K31" s="2"/>
    </row>
    <row r="32" spans="1:11" x14ac:dyDescent="0.2">
      <c r="B32" s="21" t="str">
        <f>E12&amp;" = "&amp;'2.4'!$L$1&amp;", "&amp;'2.4'!$L$2</f>
        <v>(4) = Exhibit 2, Sheet 4</v>
      </c>
      <c r="K32" s="2"/>
    </row>
    <row r="33" spans="2:11" x14ac:dyDescent="0.2">
      <c r="B33" s="21" t="str">
        <f>F12&amp;" = "&amp;C12&amp;" * [1 + "&amp;D12&amp;"] * "&amp;E12</f>
        <v>(5) = (2) * [1 + (3)] * (4)</v>
      </c>
      <c r="K33" s="2"/>
    </row>
    <row r="34" spans="2:11" x14ac:dyDescent="0.2">
      <c r="B34" s="21" t="str">
        <f>G12&amp;" "&amp;'10.1'!$J$1&amp;", "&amp;'10.1'!$J$2</f>
        <v>(6) Exhibit 10, Sheet 1</v>
      </c>
      <c r="K34" s="2"/>
    </row>
    <row r="35" spans="2:11" x14ac:dyDescent="0.2">
      <c r="B35" s="21" t="str">
        <f>H12&amp;" = "&amp;F12&amp;" / "&amp;G12</f>
        <v>(7) = (5) / (6)</v>
      </c>
      <c r="K35" s="2"/>
    </row>
    <row r="36" spans="2:11" x14ac:dyDescent="0.2">
      <c r="B36" s="24"/>
      <c r="K36" s="2"/>
    </row>
    <row r="37" spans="2:11" x14ac:dyDescent="0.2">
      <c r="B37" s="24"/>
      <c r="K37" s="2"/>
    </row>
    <row r="38" spans="2:11" x14ac:dyDescent="0.2"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M69"/>
  <sheetViews>
    <sheetView showGridLines="0" zoomScaleNormal="100" workbookViewId="0">
      <selection activeCell="J16" sqref="J16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10" width="11.33203125" customWidth="1"/>
    <col min="11" max="11" width="2.332031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20</v>
      </c>
      <c r="L1" s="1"/>
    </row>
    <row r="2" spans="1:13" x14ac:dyDescent="0.2">
      <c r="A2" s="8" t="str">
        <f>'1'!$A$2</f>
        <v>Commercial Property - Wind &amp; Hail</v>
      </c>
      <c r="B2" s="12"/>
      <c r="K2" s="7" t="s">
        <v>65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40</v>
      </c>
      <c r="B4" s="12"/>
      <c r="L4" s="2"/>
    </row>
    <row r="5" spans="1:13" x14ac:dyDescent="0.2">
      <c r="A5" s="57"/>
      <c r="B5" s="21"/>
      <c r="C5" s="57"/>
      <c r="D5" s="57"/>
      <c r="E5" s="57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L7" s="2"/>
    </row>
    <row r="8" spans="1:13" ht="12" thickTop="1" x14ac:dyDescent="0.2">
      <c r="L8" s="2"/>
    </row>
    <row r="9" spans="1:13" x14ac:dyDescent="0.2">
      <c r="C9" s="21" t="s">
        <v>225</v>
      </c>
      <c r="E9" t="s">
        <v>28</v>
      </c>
      <c r="L9" s="2"/>
      <c r="M9" s="26"/>
    </row>
    <row r="10" spans="1:13" x14ac:dyDescent="0.2">
      <c r="A10" t="s">
        <v>41</v>
      </c>
      <c r="C10" t="s">
        <v>7</v>
      </c>
      <c r="D10" t="s">
        <v>44</v>
      </c>
      <c r="E10" t="s">
        <v>7</v>
      </c>
      <c r="L10" s="2"/>
    </row>
    <row r="11" spans="1:13" x14ac:dyDescent="0.2">
      <c r="A11" s="9" t="s">
        <v>42</v>
      </c>
      <c r="B11" s="9"/>
      <c r="C11" s="9" t="s">
        <v>43</v>
      </c>
      <c r="D11" s="9" t="s">
        <v>30</v>
      </c>
      <c r="E11" s="9" t="s">
        <v>34</v>
      </c>
      <c r="L11" s="2"/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7" t="str">
        <f>TEXT(COLUMN()-1,"(#)")</f>
        <v>(4)</v>
      </c>
      <c r="L12" s="2"/>
    </row>
    <row r="13" spans="1:13" x14ac:dyDescent="0.2">
      <c r="D13" s="11"/>
      <c r="L13" s="2"/>
    </row>
    <row r="14" spans="1:13" x14ac:dyDescent="0.2">
      <c r="A14" t="str">
        <f t="shared" ref="A14:A22" si="0">TEXT(A15-1,"#")</f>
        <v>2010</v>
      </c>
      <c r="B14" s="24"/>
      <c r="C14" s="31">
        <f>'2.3'!C14</f>
        <v>7478288.5800000001</v>
      </c>
      <c r="D14" s="362">
        <v>1</v>
      </c>
      <c r="E14" s="29">
        <f>ROUND(C14*D14,0)</f>
        <v>7478289</v>
      </c>
      <c r="L14" s="2"/>
      <c r="M14" s="33"/>
    </row>
    <row r="15" spans="1:13" x14ac:dyDescent="0.2">
      <c r="A15" t="str">
        <f t="shared" si="0"/>
        <v>2011</v>
      </c>
      <c r="B15" s="24"/>
      <c r="C15" s="31">
        <f>'2.3'!C15</f>
        <v>19217586.699999999</v>
      </c>
      <c r="D15" s="363">
        <f>D$14</f>
        <v>1</v>
      </c>
      <c r="E15" s="29">
        <f t="shared" ref="E15:E22" si="1">ROUND(C15*D15,0)</f>
        <v>19217587</v>
      </c>
      <c r="L15" s="2"/>
      <c r="M15" s="33"/>
    </row>
    <row r="16" spans="1:13" x14ac:dyDescent="0.2">
      <c r="A16" t="str">
        <f t="shared" si="0"/>
        <v>2012</v>
      </c>
      <c r="B16" s="24"/>
      <c r="C16" s="31">
        <f>'2.3'!C16</f>
        <v>14459641.539999999</v>
      </c>
      <c r="D16" s="363">
        <f>D$14</f>
        <v>1</v>
      </c>
      <c r="E16" s="29">
        <f t="shared" si="1"/>
        <v>14459642</v>
      </c>
      <c r="L16" s="2"/>
      <c r="M16" s="33"/>
    </row>
    <row r="17" spans="1:13" x14ac:dyDescent="0.2">
      <c r="A17" t="str">
        <f t="shared" si="0"/>
        <v>2013</v>
      </c>
      <c r="B17" s="24"/>
      <c r="C17" s="31">
        <f>'2.3'!C17</f>
        <v>7351329.1600000001</v>
      </c>
      <c r="D17" s="363">
        <f>D$14</f>
        <v>1</v>
      </c>
      <c r="E17" s="29">
        <f t="shared" si="1"/>
        <v>7351329</v>
      </c>
      <c r="L17" s="2"/>
      <c r="M17" s="33"/>
    </row>
    <row r="18" spans="1:13" x14ac:dyDescent="0.2">
      <c r="A18" t="str">
        <f t="shared" si="0"/>
        <v>2014</v>
      </c>
      <c r="B18" s="24"/>
      <c r="C18" s="31">
        <f>'2.3'!C18</f>
        <v>1056280.8</v>
      </c>
      <c r="D18" s="363">
        <f>INDEX('3.1'!$C$48:$K$48,11-MATCH(A18,A$14:A$23))</f>
        <v>1.006</v>
      </c>
      <c r="E18" s="29">
        <f t="shared" si="1"/>
        <v>1062618</v>
      </c>
      <c r="L18" s="2"/>
      <c r="M18" s="33"/>
    </row>
    <row r="19" spans="1:13" x14ac:dyDescent="0.2">
      <c r="A19" t="str">
        <f t="shared" si="0"/>
        <v>2015</v>
      </c>
      <c r="B19" s="24"/>
      <c r="C19" s="31">
        <f>'2.3'!C19</f>
        <v>18644220.16</v>
      </c>
      <c r="D19" s="363">
        <f>INDEX('3.1'!$C$48:$K$48,11-MATCH(A19,A$14:A$23))</f>
        <v>1.0229999999999999</v>
      </c>
      <c r="E19" s="29">
        <f t="shared" si="1"/>
        <v>19073037</v>
      </c>
      <c r="L19" s="2"/>
      <c r="M19" s="33"/>
    </row>
    <row r="20" spans="1:13" x14ac:dyDescent="0.2">
      <c r="A20" t="str">
        <f t="shared" si="0"/>
        <v>2016</v>
      </c>
      <c r="B20" s="24"/>
      <c r="C20" s="31">
        <f>'2.3'!C20</f>
        <v>2596504.75</v>
      </c>
      <c r="D20" s="363">
        <f>INDEX('3.1'!$C$48:$K$48,11-MATCH(A20,A$14:A$23))</f>
        <v>1.0269999999999999</v>
      </c>
      <c r="E20" s="29">
        <f t="shared" si="1"/>
        <v>2666610</v>
      </c>
      <c r="L20" s="2"/>
      <c r="M20" s="33"/>
    </row>
    <row r="21" spans="1:13" x14ac:dyDescent="0.2">
      <c r="A21" t="str">
        <f t="shared" si="0"/>
        <v>2017</v>
      </c>
      <c r="B21" s="24"/>
      <c r="C21" s="31">
        <f>'2.3'!C21</f>
        <v>1979222</v>
      </c>
      <c r="D21" s="363">
        <f>INDEX('3.1'!$C$48:$K$48,11-MATCH(A21,A$14:A$23))</f>
        <v>1.056</v>
      </c>
      <c r="E21" s="29">
        <f>ROUND(C21*D21,0)</f>
        <v>2090058</v>
      </c>
      <c r="L21" s="2"/>
      <c r="M21" s="33"/>
    </row>
    <row r="22" spans="1:13" x14ac:dyDescent="0.2">
      <c r="A22" t="str">
        <f t="shared" si="0"/>
        <v>2018</v>
      </c>
      <c r="B22" s="24"/>
      <c r="C22" s="31">
        <f>'2.3'!C22</f>
        <v>186803.22</v>
      </c>
      <c r="D22" s="363">
        <f>INDEX('3.1'!$C$48:$K$48,11-MATCH(A22,A$14:A$23))</f>
        <v>1.143</v>
      </c>
      <c r="E22" s="29">
        <f t="shared" si="1"/>
        <v>213516</v>
      </c>
      <c r="L22" s="2"/>
      <c r="M22" s="33"/>
    </row>
    <row r="23" spans="1:13" x14ac:dyDescent="0.2">
      <c r="A23" s="24">
        <v>2019</v>
      </c>
      <c r="B23" s="24"/>
      <c r="C23" s="31">
        <f>'2.3'!C23</f>
        <v>806862.36</v>
      </c>
      <c r="D23" s="363">
        <f>INDEX('3.1'!$C$48:$K$48,11-MATCH(A23,A$14:A$23))</f>
        <v>1.3720000000000001</v>
      </c>
      <c r="E23" s="29">
        <f>ROUND(C23*D23,0)</f>
        <v>1107015</v>
      </c>
      <c r="L23" s="2"/>
      <c r="M23" s="33"/>
    </row>
    <row r="24" spans="1:13" x14ac:dyDescent="0.2">
      <c r="A24" s="9"/>
      <c r="B24" s="25"/>
      <c r="C24" s="32"/>
      <c r="D24" s="221"/>
      <c r="E24" s="30"/>
      <c r="L24" s="2"/>
    </row>
    <row r="25" spans="1:13" x14ac:dyDescent="0.2">
      <c r="L25" s="2"/>
    </row>
    <row r="26" spans="1:13" x14ac:dyDescent="0.2">
      <c r="A26" t="s">
        <v>8</v>
      </c>
      <c r="C26" s="18">
        <f>SUM(C14:C24)</f>
        <v>73776739.269999996</v>
      </c>
      <c r="E26" s="18">
        <f>SUM(E14:E24)</f>
        <v>74719701</v>
      </c>
      <c r="L26" s="2"/>
    </row>
    <row r="27" spans="1:13" ht="12" thickBot="1" x14ac:dyDescent="0.25">
      <c r="A27" s="6"/>
      <c r="B27" s="6"/>
      <c r="C27" s="6"/>
      <c r="D27" s="6"/>
      <c r="E27" s="6"/>
      <c r="L27" s="2"/>
    </row>
    <row r="28" spans="1:13" ht="12" thickTop="1" x14ac:dyDescent="0.2">
      <c r="L28" s="2"/>
    </row>
    <row r="29" spans="1:13" x14ac:dyDescent="0.2">
      <c r="A29" t="s">
        <v>18</v>
      </c>
      <c r="L29" s="2"/>
      <c r="M29" s="49">
        <v>43830</v>
      </c>
    </row>
    <row r="30" spans="1:13" x14ac:dyDescent="0.2">
      <c r="B30" s="21" t="str">
        <f>C12&amp;" "&amp;'2.3'!$K$1&amp;", "&amp;'2.3'!$K$2&amp;", as of "&amp;TEXT(M29,"m/d/yy")</f>
        <v>(2) Exhibit 2, Sheet 3, as of 12/31/19</v>
      </c>
      <c r="L30" s="2"/>
    </row>
    <row r="31" spans="1:13" x14ac:dyDescent="0.2">
      <c r="B31" s="21" t="str">
        <f>D12&amp;" "&amp;'3.1'!$K$1&amp;", "&amp;'3.1'!$K$2</f>
        <v>(3) Exhibit 3, Sheet 1</v>
      </c>
      <c r="L31" s="2"/>
    </row>
    <row r="32" spans="1:13" x14ac:dyDescent="0.2">
      <c r="B32" s="21" t="str">
        <f>E12&amp;" = "&amp;C12&amp;" * "&amp;D12</f>
        <v>(4) = (2) * (3)</v>
      </c>
      <c r="L32" s="2"/>
    </row>
    <row r="33" spans="2:12" x14ac:dyDescent="0.2">
      <c r="B33" s="21"/>
      <c r="L33" s="2"/>
    </row>
    <row r="34" spans="2:12" x14ac:dyDescent="0.2">
      <c r="B34" s="21"/>
      <c r="L34" s="2"/>
    </row>
    <row r="35" spans="2:12" x14ac:dyDescent="0.2">
      <c r="L35" s="2"/>
    </row>
    <row r="36" spans="2:12" x14ac:dyDescent="0.2">
      <c r="B36" s="24"/>
      <c r="L36" s="2"/>
    </row>
    <row r="37" spans="2:12" x14ac:dyDescent="0.2">
      <c r="B37" s="24"/>
      <c r="L37" s="2"/>
    </row>
    <row r="38" spans="2:12" x14ac:dyDescent="0.2">
      <c r="L38" s="2"/>
    </row>
    <row r="39" spans="2:12" x14ac:dyDescent="0.2">
      <c r="L39" s="2"/>
    </row>
    <row r="40" spans="2:12" x14ac:dyDescent="0.2">
      <c r="L40" s="2"/>
    </row>
    <row r="41" spans="2:12" x14ac:dyDescent="0.2">
      <c r="L41" s="2"/>
    </row>
    <row r="42" spans="2:12" x14ac:dyDescent="0.2">
      <c r="L42" s="2"/>
    </row>
    <row r="43" spans="2:12" x14ac:dyDescent="0.2">
      <c r="L43" s="2"/>
    </row>
    <row r="44" spans="2:12" x14ac:dyDescent="0.2">
      <c r="L44" s="2"/>
    </row>
    <row r="45" spans="2:12" x14ac:dyDescent="0.2">
      <c r="L45" s="2"/>
    </row>
    <row r="46" spans="2:12" x14ac:dyDescent="0.2">
      <c r="L46" s="2"/>
    </row>
    <row r="47" spans="2:12" x14ac:dyDescent="0.2">
      <c r="L47" s="2"/>
    </row>
    <row r="48" spans="2:12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1:N69"/>
  <sheetViews>
    <sheetView showGridLines="0" zoomScaleNormal="100" workbookViewId="0">
      <selection activeCell="F12" sqref="F12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5" width="15.33203125" customWidth="1"/>
    <col min="6" max="10" width="11.33203125" customWidth="1"/>
    <col min="11" max="11" width="4.6640625" customWidth="1"/>
    <col min="12" max="12" width="11.33203125" customWidth="1"/>
    <col min="13" max="13" width="12.6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20</v>
      </c>
      <c r="L1" s="1"/>
    </row>
    <row r="2" spans="1:13" x14ac:dyDescent="0.2">
      <c r="A2" s="8" t="str">
        <f>'1'!$A$2</f>
        <v>Commercial Property - Wind &amp; Hail</v>
      </c>
      <c r="B2" s="12"/>
      <c r="K2" s="7" t="s">
        <v>68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tr">
        <f>"Summary of TWIA Historical Paid Loss as of "&amp;TEXT(M26,"m/d/yy")</f>
        <v>Summary of TWIA Historical Paid Loss as of 12/31/19</v>
      </c>
      <c r="B4" s="12"/>
      <c r="L4" s="2"/>
    </row>
    <row r="5" spans="1:13" x14ac:dyDescent="0.2">
      <c r="A5" s="57"/>
      <c r="B5" s="21"/>
      <c r="C5" s="57"/>
      <c r="D5" s="57"/>
      <c r="E5" s="57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L7" s="2"/>
    </row>
    <row r="8" spans="1:13" ht="12" thickTop="1" x14ac:dyDescent="0.2">
      <c r="L8" s="2"/>
    </row>
    <row r="9" spans="1:13" x14ac:dyDescent="0.2">
      <c r="C9" s="23" t="s">
        <v>45</v>
      </c>
      <c r="L9" s="2"/>
      <c r="M9" s="23"/>
    </row>
    <row r="10" spans="1:13" x14ac:dyDescent="0.2">
      <c r="A10" t="s">
        <v>41</v>
      </c>
      <c r="L10" s="2"/>
    </row>
    <row r="11" spans="1:13" x14ac:dyDescent="0.2">
      <c r="A11" s="9" t="s">
        <v>42</v>
      </c>
      <c r="B11" s="9"/>
      <c r="C11" s="9" t="s">
        <v>7</v>
      </c>
      <c r="D11" s="9" t="s">
        <v>5</v>
      </c>
      <c r="E11" s="9" t="s">
        <v>8</v>
      </c>
      <c r="L11" s="2"/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3" x14ac:dyDescent="0.2">
      <c r="L13" s="2"/>
    </row>
    <row r="14" spans="1:13" x14ac:dyDescent="0.2">
      <c r="A14" t="str">
        <f>TEXT(A15-1,"#")</f>
        <v>2010</v>
      </c>
      <c r="B14" s="24"/>
      <c r="C14" s="97">
        <f>'[3]TWIA 3'!$H7</f>
        <v>7478288.5800000001</v>
      </c>
      <c r="D14" s="97">
        <f>'[3]TWIA 3'!$J7</f>
        <v>0</v>
      </c>
      <c r="E14" s="29">
        <f>C14+D14</f>
        <v>7478288.5800000001</v>
      </c>
      <c r="L14" s="2"/>
    </row>
    <row r="15" spans="1:13" x14ac:dyDescent="0.2">
      <c r="A15" t="str">
        <f t="shared" ref="A15:A22" si="0">TEXT(A16-1,"#")</f>
        <v>2011</v>
      </c>
      <c r="B15" s="24"/>
      <c r="C15" s="97">
        <f>'[3]TWIA 3'!$H8</f>
        <v>19217586.699999999</v>
      </c>
      <c r="D15" s="97">
        <f>'[3]TWIA 3'!$J8</f>
        <v>0</v>
      </c>
      <c r="E15" s="29">
        <f t="shared" ref="E15:E23" si="1">C15+D15</f>
        <v>19217586.699999999</v>
      </c>
      <c r="L15" s="2"/>
    </row>
    <row r="16" spans="1:13" x14ac:dyDescent="0.2">
      <c r="A16" t="str">
        <f t="shared" si="0"/>
        <v>2012</v>
      </c>
      <c r="B16" s="24"/>
      <c r="C16" s="97">
        <f>'[3]TWIA 3'!$H9</f>
        <v>14459641.539999999</v>
      </c>
      <c r="D16" s="97">
        <f>'[3]TWIA 3'!$J9</f>
        <v>0</v>
      </c>
      <c r="E16" s="29">
        <f t="shared" si="1"/>
        <v>14459641.539999999</v>
      </c>
      <c r="L16" s="2"/>
    </row>
    <row r="17" spans="1:14" x14ac:dyDescent="0.2">
      <c r="A17" t="str">
        <f t="shared" si="0"/>
        <v>2013</v>
      </c>
      <c r="B17" s="24"/>
      <c r="C17" s="97">
        <f>'[3]TWIA 3'!$H10</f>
        <v>7351329.1600000001</v>
      </c>
      <c r="D17" s="97">
        <f>'[3]TWIA 3'!$J10</f>
        <v>0</v>
      </c>
      <c r="E17" s="29">
        <f t="shared" si="1"/>
        <v>7351329.1600000001</v>
      </c>
      <c r="L17" s="2"/>
    </row>
    <row r="18" spans="1:14" x14ac:dyDescent="0.2">
      <c r="A18" t="str">
        <f t="shared" si="0"/>
        <v>2014</v>
      </c>
      <c r="B18" s="24"/>
      <c r="C18" s="97">
        <f>'[3]TWIA 3'!$H11</f>
        <v>1056280.8</v>
      </c>
      <c r="D18" s="97">
        <f>'[3]TWIA 3'!$J11</f>
        <v>0</v>
      </c>
      <c r="E18" s="29">
        <f t="shared" si="1"/>
        <v>1056280.8</v>
      </c>
      <c r="L18" s="2"/>
    </row>
    <row r="19" spans="1:14" x14ac:dyDescent="0.2">
      <c r="A19" t="str">
        <f t="shared" si="0"/>
        <v>2015</v>
      </c>
      <c r="B19" s="24"/>
      <c r="C19" s="97">
        <f>'[3]TWIA 3'!$H12</f>
        <v>18644220.16</v>
      </c>
      <c r="D19" s="97">
        <f>'[3]TWIA 3'!$J12</f>
        <v>0</v>
      </c>
      <c r="E19" s="29">
        <f t="shared" si="1"/>
        <v>18644220.16</v>
      </c>
      <c r="L19" s="2"/>
    </row>
    <row r="20" spans="1:14" x14ac:dyDescent="0.2">
      <c r="A20" t="str">
        <f t="shared" si="0"/>
        <v>2016</v>
      </c>
      <c r="B20" s="24"/>
      <c r="C20" s="97">
        <f>'[3]TWIA 3'!$H13</f>
        <v>2596504.75</v>
      </c>
      <c r="D20" s="97">
        <f>'[3]TWIA 3'!$J13</f>
        <v>0</v>
      </c>
      <c r="E20" s="29">
        <f t="shared" si="1"/>
        <v>2596504.75</v>
      </c>
      <c r="L20" s="2"/>
    </row>
    <row r="21" spans="1:14" x14ac:dyDescent="0.2">
      <c r="A21" t="str">
        <f t="shared" si="0"/>
        <v>2017</v>
      </c>
      <c r="B21" s="24"/>
      <c r="C21" s="97">
        <f>'[3]TWIA 3'!$H14</f>
        <v>1979222</v>
      </c>
      <c r="D21" s="97">
        <f>'[3]TWIA 3'!$J14</f>
        <v>435211699.50999999</v>
      </c>
      <c r="E21" s="29">
        <f t="shared" si="1"/>
        <v>437190921.50999999</v>
      </c>
      <c r="L21" s="2"/>
    </row>
    <row r="22" spans="1:14" x14ac:dyDescent="0.2">
      <c r="A22" t="str">
        <f t="shared" si="0"/>
        <v>2018</v>
      </c>
      <c r="B22" s="24"/>
      <c r="C22" s="97">
        <f>'[3]TWIA 3'!$H15</f>
        <v>186803.22</v>
      </c>
      <c r="D22" s="97">
        <f>'[3]TWIA 3'!$J15</f>
        <v>0</v>
      </c>
      <c r="E22" s="29">
        <f t="shared" si="1"/>
        <v>186803.22</v>
      </c>
      <c r="L22" s="2"/>
    </row>
    <row r="23" spans="1:14" x14ac:dyDescent="0.2">
      <c r="A23" t="str">
        <f>TEXT(YEAR($M$26),"#")</f>
        <v>2019</v>
      </c>
      <c r="B23" s="24"/>
      <c r="C23" s="97">
        <f>'[3]TWIA 3'!$H16</f>
        <v>806862.36</v>
      </c>
      <c r="D23" s="97">
        <f>'[3]TWIA 3'!$J16</f>
        <v>0</v>
      </c>
      <c r="E23" s="29">
        <f t="shared" si="1"/>
        <v>806862.36</v>
      </c>
      <c r="L23" s="2"/>
    </row>
    <row r="24" spans="1:14" x14ac:dyDescent="0.2">
      <c r="A24" s="25"/>
      <c r="B24" s="25"/>
      <c r="C24" s="70"/>
      <c r="D24" s="70"/>
      <c r="E24" s="30"/>
      <c r="L24" s="2"/>
    </row>
    <row r="25" spans="1:14" x14ac:dyDescent="0.2">
      <c r="L25" s="2"/>
      <c r="M25" t="s">
        <v>236</v>
      </c>
    </row>
    <row r="26" spans="1:14" x14ac:dyDescent="0.2">
      <c r="A26" t="s">
        <v>8</v>
      </c>
      <c r="C26" s="18">
        <f>SUM(C14:C24)</f>
        <v>73776739.269999996</v>
      </c>
      <c r="D26" s="18">
        <f>SUM(D14:D24)</f>
        <v>435211699.50999999</v>
      </c>
      <c r="E26" s="18">
        <f>SUM(E14:E24)</f>
        <v>508988438.78000003</v>
      </c>
      <c r="L26" s="2"/>
      <c r="M26" s="114">
        <v>43830</v>
      </c>
      <c r="N26" s="99"/>
    </row>
    <row r="27" spans="1:14" ht="12" thickBot="1" x14ac:dyDescent="0.25">
      <c r="A27" s="6"/>
      <c r="B27" s="6"/>
      <c r="C27" s="6"/>
      <c r="D27" s="6"/>
      <c r="E27" s="6"/>
      <c r="L27" s="2"/>
    </row>
    <row r="28" spans="1:14" ht="12" thickTop="1" x14ac:dyDescent="0.2">
      <c r="L28" s="2"/>
    </row>
    <row r="29" spans="1:14" x14ac:dyDescent="0.2">
      <c r="A29" t="s">
        <v>18</v>
      </c>
      <c r="L29" s="2"/>
    </row>
    <row r="30" spans="1:14" x14ac:dyDescent="0.2">
      <c r="B30" s="21" t="str">
        <f>C12&amp;", "&amp;D12&amp;" Provided by TWIA, includes commercial and farm"</f>
        <v>(2), (3) Provided by TWIA, includes commercial and farm</v>
      </c>
      <c r="C30" s="21"/>
      <c r="L30" s="2"/>
    </row>
    <row r="31" spans="1:14" x14ac:dyDescent="0.2">
      <c r="B31" s="21" t="str">
        <f>E12&amp;" = "&amp;C12&amp;" + "&amp;D12</f>
        <v>(4) = (2) + (3)</v>
      </c>
      <c r="L31" s="2"/>
    </row>
    <row r="32" spans="1:14" x14ac:dyDescent="0.2">
      <c r="L32" s="2"/>
    </row>
    <row r="33" spans="2:12" x14ac:dyDescent="0.2">
      <c r="B33" s="21"/>
      <c r="L33" s="2"/>
    </row>
    <row r="34" spans="2:12" x14ac:dyDescent="0.2">
      <c r="B34" s="21"/>
      <c r="L34" s="2"/>
    </row>
    <row r="35" spans="2:12" x14ac:dyDescent="0.2">
      <c r="L35" s="2"/>
    </row>
    <row r="36" spans="2:12" x14ac:dyDescent="0.2">
      <c r="B36" s="24"/>
      <c r="L36" s="2"/>
    </row>
    <row r="37" spans="2:12" x14ac:dyDescent="0.2">
      <c r="B37" s="24"/>
      <c r="L37" s="2"/>
    </row>
    <row r="38" spans="2:12" x14ac:dyDescent="0.2">
      <c r="L38" s="2"/>
    </row>
    <row r="39" spans="2:12" x14ac:dyDescent="0.2">
      <c r="L39" s="2"/>
    </row>
    <row r="40" spans="2:12" x14ac:dyDescent="0.2">
      <c r="L40" s="2"/>
    </row>
    <row r="41" spans="2:12" x14ac:dyDescent="0.2">
      <c r="L41" s="2"/>
    </row>
    <row r="42" spans="2:12" x14ac:dyDescent="0.2">
      <c r="L42" s="2"/>
    </row>
    <row r="43" spans="2:12" x14ac:dyDescent="0.2">
      <c r="L43" s="2"/>
    </row>
    <row r="44" spans="2:12" x14ac:dyDescent="0.2">
      <c r="L44" s="2"/>
    </row>
    <row r="45" spans="2:12" x14ac:dyDescent="0.2">
      <c r="L45" s="2"/>
    </row>
    <row r="46" spans="2:12" x14ac:dyDescent="0.2">
      <c r="L46" s="2"/>
    </row>
    <row r="47" spans="2:12" x14ac:dyDescent="0.2">
      <c r="L47" s="2"/>
    </row>
    <row r="48" spans="2:12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66"/>
  <sheetViews>
    <sheetView showGridLines="0" zoomScaleNormal="100" workbookViewId="0">
      <selection activeCell="G24" sqref="G24"/>
    </sheetView>
  </sheetViews>
  <sheetFormatPr defaultColWidth="11.33203125" defaultRowHeight="11.25" x14ac:dyDescent="0.2"/>
  <cols>
    <col min="1" max="1" width="5.1640625" style="149" bestFit="1" customWidth="1"/>
    <col min="2" max="2" width="10.6640625" style="149" customWidth="1"/>
    <col min="3" max="11" width="11.33203125" style="149" customWidth="1"/>
    <col min="12" max="12" width="3.33203125" style="149" customWidth="1"/>
    <col min="13" max="13" width="11.33203125" style="149" customWidth="1"/>
    <col min="14" max="14" width="11.33203125" customWidth="1"/>
    <col min="15" max="16384" width="11.33203125" style="149"/>
  </cols>
  <sheetData>
    <row r="1" spans="1:14" x14ac:dyDescent="0.2">
      <c r="A1" s="8" t="str">
        <f>'1'!$A$1</f>
        <v>Texas Windstorm Insurance Association</v>
      </c>
      <c r="B1" s="146"/>
      <c r="C1" s="147"/>
      <c r="D1" s="147"/>
      <c r="E1" s="147"/>
      <c r="F1" s="147"/>
      <c r="G1" s="147"/>
      <c r="H1" s="147"/>
      <c r="I1" s="147"/>
      <c r="J1" s="147"/>
      <c r="K1" s="147"/>
      <c r="L1" s="7" t="s">
        <v>20</v>
      </c>
      <c r="M1" s="148"/>
      <c r="N1" s="149"/>
    </row>
    <row r="2" spans="1:14" x14ac:dyDescent="0.2">
      <c r="A2" s="8" t="str">
        <f>'1'!$A$2</f>
        <v>Commercial Property - Wind &amp; Hail</v>
      </c>
      <c r="B2" s="146"/>
      <c r="C2" s="147"/>
      <c r="D2" s="147"/>
      <c r="E2" s="147"/>
      <c r="F2" s="147"/>
      <c r="G2" s="147"/>
      <c r="H2" s="147"/>
      <c r="I2" s="147"/>
      <c r="J2" s="147"/>
      <c r="K2" s="147"/>
      <c r="L2" s="7" t="s">
        <v>71</v>
      </c>
      <c r="M2" s="150"/>
      <c r="N2" s="149"/>
    </row>
    <row r="3" spans="1:14" x14ac:dyDescent="0.2">
      <c r="A3" s="8" t="str">
        <f>'1'!$A$3</f>
        <v>Rate Level Review</v>
      </c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7"/>
      <c r="M3" s="150"/>
      <c r="N3" s="149"/>
    </row>
    <row r="4" spans="1:14" x14ac:dyDescent="0.2">
      <c r="A4" s="147" t="s">
        <v>301</v>
      </c>
      <c r="B4" s="146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50"/>
      <c r="N4" s="149"/>
    </row>
    <row r="5" spans="1:14" x14ac:dyDescent="0.2">
      <c r="A5" s="151"/>
      <c r="B5" s="152"/>
      <c r="C5" s="151"/>
      <c r="D5" s="151"/>
      <c r="E5" s="151"/>
      <c r="F5" s="147"/>
      <c r="G5" s="147"/>
      <c r="H5" s="147"/>
      <c r="I5" s="147"/>
      <c r="J5" s="147"/>
      <c r="K5" s="147"/>
      <c r="L5" s="147"/>
      <c r="M5" s="150"/>
      <c r="N5" s="149"/>
    </row>
    <row r="6" spans="1:14" x14ac:dyDescent="0.2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50"/>
      <c r="N6" s="149"/>
    </row>
    <row r="7" spans="1:14" ht="12" thickBot="1" x14ac:dyDescent="0.25">
      <c r="A7" s="153"/>
      <c r="B7" s="153"/>
      <c r="C7" s="153"/>
      <c r="D7" s="153"/>
      <c r="E7" s="153"/>
      <c r="F7" s="153"/>
      <c r="G7" s="153"/>
      <c r="H7" s="153"/>
      <c r="I7" s="153"/>
      <c r="J7" s="147"/>
      <c r="K7" s="147"/>
      <c r="L7" s="147"/>
      <c r="M7" s="150"/>
      <c r="N7" t="s">
        <v>236</v>
      </c>
    </row>
    <row r="8" spans="1:14" ht="12" thickTop="1" x14ac:dyDescent="0.2">
      <c r="A8" s="147"/>
      <c r="B8" s="147"/>
      <c r="C8" s="147" t="s">
        <v>51</v>
      </c>
      <c r="D8" s="147"/>
      <c r="E8" s="147"/>
      <c r="F8" s="147"/>
      <c r="G8" s="147"/>
      <c r="H8" s="147"/>
      <c r="I8" s="147"/>
      <c r="J8" s="147"/>
      <c r="K8" s="147"/>
      <c r="L8" s="147"/>
      <c r="M8" s="150"/>
      <c r="N8" s="114">
        <v>43830</v>
      </c>
    </row>
    <row r="9" spans="1:14" x14ac:dyDescent="0.2">
      <c r="A9" s="147"/>
      <c r="B9" s="147"/>
      <c r="C9" s="155" t="s">
        <v>487</v>
      </c>
      <c r="D9" s="147"/>
      <c r="E9" s="147"/>
      <c r="F9" s="147"/>
      <c r="G9" s="147"/>
      <c r="H9" s="147"/>
      <c r="I9" s="147"/>
      <c r="J9" s="147"/>
      <c r="K9" s="147"/>
      <c r="L9" s="147"/>
      <c r="M9" s="150"/>
    </row>
    <row r="10" spans="1:14" x14ac:dyDescent="0.2">
      <c r="A10" s="147" t="s">
        <v>262</v>
      </c>
      <c r="B10" s="147"/>
      <c r="C10" s="149" t="s">
        <v>511</v>
      </c>
      <c r="D10" s="147"/>
      <c r="E10" s="147"/>
      <c r="F10" s="147"/>
      <c r="G10" s="147"/>
      <c r="H10" s="147"/>
      <c r="I10" s="147"/>
      <c r="J10" s="147"/>
      <c r="K10" s="147"/>
      <c r="L10" s="147"/>
      <c r="M10" s="150"/>
    </row>
    <row r="11" spans="1:14" x14ac:dyDescent="0.2">
      <c r="A11" s="154" t="s">
        <v>264</v>
      </c>
      <c r="B11" s="154"/>
      <c r="C11" s="347" t="s">
        <v>488</v>
      </c>
      <c r="D11" s="155"/>
      <c r="E11" s="155"/>
      <c r="F11" s="155"/>
      <c r="G11" s="155"/>
      <c r="H11" s="147"/>
      <c r="I11" s="147"/>
      <c r="J11" s="147"/>
      <c r="K11" s="147"/>
      <c r="L11" s="147"/>
      <c r="M11" s="150"/>
    </row>
    <row r="12" spans="1:14" x14ac:dyDescent="0.2">
      <c r="A12" s="156" t="s">
        <v>163</v>
      </c>
      <c r="B12" s="157"/>
      <c r="C12" s="158" t="s">
        <v>164</v>
      </c>
      <c r="J12" s="147"/>
      <c r="K12" s="147"/>
      <c r="L12" s="147"/>
      <c r="M12" s="150"/>
    </row>
    <row r="13" spans="1:14" x14ac:dyDescent="0.2">
      <c r="A13" s="147"/>
      <c r="B13" s="147"/>
      <c r="C13" s="147"/>
      <c r="D13" s="160" t="s">
        <v>165</v>
      </c>
      <c r="E13" s="147" t="s">
        <v>302</v>
      </c>
      <c r="F13" s="147"/>
      <c r="G13" s="147"/>
      <c r="H13" s="147"/>
      <c r="I13" s="161">
        <v>43647</v>
      </c>
      <c r="J13" s="147"/>
      <c r="K13" s="147"/>
      <c r="L13" s="147"/>
      <c r="M13" s="150"/>
    </row>
    <row r="14" spans="1:14" x14ac:dyDescent="0.2">
      <c r="A14" s="149" t="s">
        <v>400</v>
      </c>
      <c r="C14" s="175">
        <f>'3.2 premium trend'!H16</f>
        <v>3986.2632658406501</v>
      </c>
      <c r="D14" s="160" t="s">
        <v>109</v>
      </c>
      <c r="E14" s="147" t="s">
        <v>303</v>
      </c>
      <c r="I14" s="161">
        <v>43647</v>
      </c>
      <c r="J14" s="147"/>
      <c r="K14" s="147"/>
      <c r="L14" s="147"/>
      <c r="M14" s="150"/>
    </row>
    <row r="15" spans="1:14" x14ac:dyDescent="0.2">
      <c r="A15" s="149" t="s">
        <v>410</v>
      </c>
      <c r="C15" s="175">
        <f>ROUND('3.2 premium trend'!$H$20,2)</f>
        <v>4002.39</v>
      </c>
      <c r="D15" s="160" t="s">
        <v>90</v>
      </c>
      <c r="E15" s="147" t="s">
        <v>304</v>
      </c>
      <c r="F15" s="147"/>
      <c r="G15" s="147"/>
      <c r="H15" s="147"/>
      <c r="I15" s="161">
        <v>44562</v>
      </c>
      <c r="J15" s="147"/>
      <c r="K15" s="147"/>
      <c r="L15" s="147"/>
      <c r="M15" s="150"/>
    </row>
    <row r="16" spans="1:14" x14ac:dyDescent="0.2">
      <c r="A16" s="147" t="s">
        <v>409</v>
      </c>
      <c r="B16" s="159"/>
      <c r="C16" s="175">
        <f>ROUND('3.2 premium trend'!$H$24,2)</f>
        <v>4097.53</v>
      </c>
      <c r="D16" s="160" t="s">
        <v>94</v>
      </c>
      <c r="E16" s="147" t="s">
        <v>305</v>
      </c>
      <c r="F16" s="147"/>
      <c r="G16" s="147"/>
      <c r="H16" s="147"/>
      <c r="I16" s="246">
        <f>YEAR(I15)-YEAR(I13+1)+(MONTH(I15)-MONTH(I13+1))/12</f>
        <v>2.5</v>
      </c>
      <c r="J16" s="147"/>
      <c r="K16" s="147"/>
      <c r="L16" s="147"/>
      <c r="M16" s="150"/>
      <c r="N16" s="71"/>
    </row>
    <row r="17" spans="1:13" x14ac:dyDescent="0.2">
      <c r="A17" s="149" t="s">
        <v>420</v>
      </c>
      <c r="B17" s="159"/>
      <c r="C17" s="175">
        <f>ROUND('3.2 premium trend'!$H$28,2)</f>
        <v>4252.75</v>
      </c>
      <c r="D17" s="160" t="s">
        <v>93</v>
      </c>
      <c r="E17" s="149" t="s">
        <v>306</v>
      </c>
      <c r="I17" s="246">
        <f>YEAR(I15)-YEAR(I14+1)+(MONTH(I15)-MONTH(I14+1))/12</f>
        <v>2.5</v>
      </c>
      <c r="J17" s="147"/>
      <c r="K17" s="147"/>
      <c r="L17" s="147"/>
      <c r="M17" s="150"/>
    </row>
    <row r="18" spans="1:13" x14ac:dyDescent="0.2">
      <c r="A18" s="147" t="s">
        <v>423</v>
      </c>
      <c r="B18" s="159"/>
      <c r="C18" s="175">
        <f>ROUND('3.2 premium trend'!$H$32,2)</f>
        <v>4282.1499999999996</v>
      </c>
      <c r="D18" s="160" t="s">
        <v>92</v>
      </c>
      <c r="E18" s="147" t="s">
        <v>259</v>
      </c>
      <c r="F18" s="147"/>
      <c r="G18" s="147"/>
      <c r="H18" s="147"/>
      <c r="I18" s="170">
        <f>'3.2 premium trend'!$L$58</f>
        <v>6.2356132008987153E-3</v>
      </c>
      <c r="J18" s="147"/>
      <c r="K18" s="147"/>
      <c r="L18" s="147"/>
      <c r="M18" s="150"/>
    </row>
    <row r="19" spans="1:13" x14ac:dyDescent="0.2">
      <c r="A19" s="147" t="s">
        <v>450</v>
      </c>
      <c r="B19" s="159"/>
      <c r="C19" s="175">
        <f>ROUND('3.2 premium trend'!$H$36,2)</f>
        <v>4264.3999999999996</v>
      </c>
      <c r="D19" s="160" t="s">
        <v>91</v>
      </c>
      <c r="E19" s="147" t="s">
        <v>322</v>
      </c>
      <c r="F19" s="147"/>
      <c r="G19" s="147"/>
      <c r="H19" s="147"/>
      <c r="I19" s="170">
        <f>'3.3a'!$H$28</f>
        <v>1.7000000000000001E-2</v>
      </c>
      <c r="J19" s="147"/>
      <c r="K19" s="147"/>
      <c r="L19" s="147"/>
      <c r="M19" s="150"/>
    </row>
    <row r="20" spans="1:13" x14ac:dyDescent="0.2">
      <c r="A20" s="147" t="s">
        <v>454</v>
      </c>
      <c r="B20" s="159"/>
      <c r="C20" s="175">
        <f>ROUND('3.2 premium trend'!$H$40,2)</f>
        <v>4252.6000000000004</v>
      </c>
      <c r="D20" s="147"/>
      <c r="E20" s="147"/>
      <c r="F20" s="147"/>
      <c r="G20" s="147"/>
      <c r="H20" s="147"/>
      <c r="I20" s="147"/>
      <c r="J20" s="147"/>
      <c r="K20" s="147"/>
      <c r="L20" s="147"/>
      <c r="M20" s="150"/>
    </row>
    <row r="21" spans="1:13" x14ac:dyDescent="0.2">
      <c r="A21" s="147" t="s">
        <v>486</v>
      </c>
      <c r="C21" s="175">
        <f>ROUND('3.2 premium trend'!$H$44,2)</f>
        <v>4215.24</v>
      </c>
      <c r="J21" s="147"/>
      <c r="K21" s="147"/>
      <c r="L21" s="147"/>
      <c r="M21" s="150"/>
    </row>
    <row r="22" spans="1:13" x14ac:dyDescent="0.2">
      <c r="A22" s="147" t="s">
        <v>499</v>
      </c>
      <c r="B22" s="147"/>
      <c r="C22" s="175">
        <f>ROUND('3.2 premium trend'!$H$48,2)</f>
        <v>4176.71</v>
      </c>
      <c r="I22" s="269"/>
      <c r="J22" s="147"/>
      <c r="K22" s="147"/>
      <c r="L22" s="147"/>
      <c r="M22" s="150"/>
    </row>
    <row r="23" spans="1:13" x14ac:dyDescent="0.2">
      <c r="A23" s="147" t="s">
        <v>535</v>
      </c>
      <c r="B23" s="147"/>
      <c r="C23" s="175">
        <f>ROUND('3.2 premium trend'!$H$52,2)</f>
        <v>4382.63</v>
      </c>
      <c r="J23" s="147"/>
      <c r="K23" s="147"/>
      <c r="L23" s="147"/>
      <c r="M23" s="150"/>
    </row>
    <row r="24" spans="1:13" x14ac:dyDescent="0.2">
      <c r="A24" s="154"/>
      <c r="B24" s="163"/>
      <c r="C24" s="164"/>
      <c r="K24" s="147"/>
      <c r="L24" s="147"/>
      <c r="M24" s="150"/>
    </row>
    <row r="25" spans="1:13" x14ac:dyDescent="0.2">
      <c r="K25" s="147"/>
      <c r="L25" s="147"/>
      <c r="M25" s="150"/>
    </row>
    <row r="26" spans="1:13" x14ac:dyDescent="0.2">
      <c r="K26" s="147"/>
      <c r="L26" s="147"/>
      <c r="M26" s="150"/>
    </row>
    <row r="27" spans="1:13" x14ac:dyDescent="0.2">
      <c r="K27" s="147"/>
      <c r="L27" s="147"/>
      <c r="M27" s="150"/>
    </row>
    <row r="28" spans="1:13" x14ac:dyDescent="0.2">
      <c r="K28" s="147"/>
      <c r="L28" s="147"/>
      <c r="M28" s="150"/>
    </row>
    <row r="29" spans="1:13" x14ac:dyDescent="0.2">
      <c r="K29" s="147"/>
      <c r="L29" s="147"/>
      <c r="M29" s="150"/>
    </row>
    <row r="30" spans="1:13" x14ac:dyDescent="0.2">
      <c r="A30" s="147"/>
      <c r="B30" s="159"/>
      <c r="C30" s="165"/>
      <c r="D30" s="166"/>
      <c r="E30" s="166"/>
      <c r="F30" s="166"/>
      <c r="G30" s="166"/>
      <c r="H30" s="147"/>
      <c r="I30" s="147"/>
      <c r="J30" s="147"/>
      <c r="K30" s="147"/>
      <c r="L30" s="147"/>
      <c r="M30" s="150"/>
    </row>
    <row r="31" spans="1:13" x14ac:dyDescent="0.2">
      <c r="A31" s="147"/>
      <c r="B31" s="147"/>
      <c r="C31" s="152" t="s">
        <v>215</v>
      </c>
      <c r="D31" s="152" t="s">
        <v>215</v>
      </c>
      <c r="E31" s="152" t="s">
        <v>260</v>
      </c>
      <c r="F31" s="152" t="s">
        <v>260</v>
      </c>
      <c r="G31" s="152" t="s">
        <v>31</v>
      </c>
      <c r="H31" s="147"/>
      <c r="I31" s="147"/>
      <c r="J31" s="147"/>
      <c r="K31" s="147"/>
      <c r="L31" s="147"/>
      <c r="M31" s="150"/>
    </row>
    <row r="32" spans="1:13" x14ac:dyDescent="0.2">
      <c r="A32" s="147" t="s">
        <v>41</v>
      </c>
      <c r="B32" s="147"/>
      <c r="C32" s="147" t="s">
        <v>97</v>
      </c>
      <c r="D32" s="147" t="s">
        <v>34</v>
      </c>
      <c r="E32" s="147" t="s">
        <v>97</v>
      </c>
      <c r="F32" s="147" t="s">
        <v>34</v>
      </c>
      <c r="G32" s="147" t="s">
        <v>32</v>
      </c>
      <c r="H32" s="147"/>
      <c r="I32" s="147"/>
      <c r="J32" s="147"/>
      <c r="K32" s="147"/>
      <c r="L32" s="147"/>
      <c r="M32" s="150"/>
    </row>
    <row r="33" spans="1:13" x14ac:dyDescent="0.2">
      <c r="A33" s="154" t="s">
        <v>42</v>
      </c>
      <c r="B33" s="154"/>
      <c r="C33" s="154" t="s">
        <v>32</v>
      </c>
      <c r="D33" s="154" t="s">
        <v>32</v>
      </c>
      <c r="E33" s="154" t="s">
        <v>32</v>
      </c>
      <c r="F33" s="154" t="s">
        <v>32</v>
      </c>
      <c r="G33" s="154" t="s">
        <v>30</v>
      </c>
      <c r="H33" s="147"/>
      <c r="I33" s="147"/>
      <c r="J33" s="147"/>
      <c r="K33" s="147"/>
      <c r="L33" s="147"/>
      <c r="M33" s="150"/>
    </row>
    <row r="34" spans="1:13" x14ac:dyDescent="0.2">
      <c r="A34" s="156" t="s">
        <v>85</v>
      </c>
      <c r="B34" s="157"/>
      <c r="C34" s="156" t="s">
        <v>179</v>
      </c>
      <c r="D34" s="156" t="s">
        <v>307</v>
      </c>
      <c r="E34" s="158" t="s">
        <v>308</v>
      </c>
      <c r="F34" s="158" t="s">
        <v>309</v>
      </c>
      <c r="G34" s="158" t="s">
        <v>266</v>
      </c>
      <c r="H34" s="147"/>
      <c r="I34" s="147"/>
      <c r="J34" s="147"/>
      <c r="K34" s="147"/>
      <c r="L34" s="147"/>
      <c r="M34" s="150"/>
    </row>
    <row r="35" spans="1:13" x14ac:dyDescent="0.2">
      <c r="A35" s="147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50"/>
    </row>
    <row r="36" spans="1:13" x14ac:dyDescent="0.2">
      <c r="A36" t="str">
        <f t="shared" ref="A36:A44" si="0">TEXT(A37-1,"#")</f>
        <v>2010</v>
      </c>
      <c r="B36" s="159"/>
      <c r="C36" s="201">
        <f>C$23/C14</f>
        <v>1.0994331552448937</v>
      </c>
      <c r="D36" s="201">
        <f>'3.3a'!H14</f>
        <v>1.218</v>
      </c>
      <c r="E36" s="246">
        <f>(1+I$18)^I$16</f>
        <v>1.0156620140965797</v>
      </c>
      <c r="F36" s="246">
        <f t="shared" ref="F36:F45" si="1">(1+I$19)^I$17</f>
        <v>1.0430434070664827</v>
      </c>
      <c r="G36" s="162">
        <f>ROUND(PRODUCT(D36,F36)/PRODUCT(C36,E36),3)</f>
        <v>1.1379999999999999</v>
      </c>
      <c r="H36" s="147"/>
      <c r="I36" s="147"/>
      <c r="J36" s="147"/>
      <c r="K36" s="147"/>
      <c r="L36" s="147"/>
      <c r="M36" s="150"/>
    </row>
    <row r="37" spans="1:13" x14ac:dyDescent="0.2">
      <c r="A37" t="str">
        <f t="shared" si="0"/>
        <v>2011</v>
      </c>
      <c r="B37" s="147"/>
      <c r="C37" s="201">
        <f>C$23/C15</f>
        <v>1.0950032355667489</v>
      </c>
      <c r="D37" s="201">
        <f>'3.3a'!H15</f>
        <v>1.181</v>
      </c>
      <c r="E37" s="246">
        <f t="shared" ref="E37:E45" si="2">(1+I$18)^I$16</f>
        <v>1.0156620140965797</v>
      </c>
      <c r="F37" s="246">
        <f t="shared" si="1"/>
        <v>1.0430434070664827</v>
      </c>
      <c r="G37" s="162">
        <f t="shared" ref="G37:G44" si="3">ROUND(PRODUCT(D37,F37)/PRODUCT(C37,E37),3)</f>
        <v>1.1080000000000001</v>
      </c>
      <c r="H37" s="147"/>
      <c r="I37" s="147"/>
      <c r="J37" s="147"/>
      <c r="K37" s="147"/>
      <c r="L37" s="147"/>
      <c r="M37" s="150"/>
    </row>
    <row r="38" spans="1:13" x14ac:dyDescent="0.2">
      <c r="A38" t="str">
        <f t="shared" si="0"/>
        <v>2012</v>
      </c>
      <c r="B38" s="147"/>
      <c r="C38" s="201">
        <f t="shared" ref="C38:C45" si="4">C$23/C16</f>
        <v>1.0695785021708202</v>
      </c>
      <c r="D38" s="201">
        <f>'3.3a'!H16</f>
        <v>1.137</v>
      </c>
      <c r="E38" s="246">
        <f t="shared" si="2"/>
        <v>1.0156620140965797</v>
      </c>
      <c r="F38" s="246">
        <f t="shared" si="1"/>
        <v>1.0430434070664827</v>
      </c>
      <c r="G38" s="162">
        <f t="shared" si="3"/>
        <v>1.0920000000000001</v>
      </c>
      <c r="H38" s="147"/>
      <c r="I38" s="147"/>
      <c r="J38" s="147"/>
      <c r="K38" s="147"/>
      <c r="L38" s="147"/>
      <c r="M38" s="150"/>
    </row>
    <row r="39" spans="1:13" x14ac:dyDescent="0.2">
      <c r="A39" t="str">
        <f t="shared" si="0"/>
        <v>2013</v>
      </c>
      <c r="B39" s="147"/>
      <c r="C39" s="201">
        <f t="shared" si="4"/>
        <v>1.0305402386690965</v>
      </c>
      <c r="D39" s="201">
        <f>'3.3a'!H17</f>
        <v>1.117</v>
      </c>
      <c r="E39" s="246">
        <f t="shared" si="2"/>
        <v>1.0156620140965797</v>
      </c>
      <c r="F39" s="246">
        <f t="shared" si="1"/>
        <v>1.0430434070664827</v>
      </c>
      <c r="G39" s="162">
        <f t="shared" si="3"/>
        <v>1.113</v>
      </c>
      <c r="H39" s="147"/>
      <c r="I39" s="147"/>
      <c r="J39" s="147"/>
      <c r="K39" s="147"/>
      <c r="L39" s="147"/>
      <c r="M39" s="150"/>
    </row>
    <row r="40" spans="1:13" x14ac:dyDescent="0.2">
      <c r="A40" t="str">
        <f t="shared" si="0"/>
        <v>2014</v>
      </c>
      <c r="B40" s="147"/>
      <c r="C40" s="201">
        <f t="shared" si="4"/>
        <v>1.0234648482654742</v>
      </c>
      <c r="D40" s="201">
        <f>'3.3a'!H18</f>
        <v>1.085</v>
      </c>
      <c r="E40" s="246">
        <f t="shared" si="2"/>
        <v>1.0156620140965797</v>
      </c>
      <c r="F40" s="246">
        <f t="shared" si="1"/>
        <v>1.0430434070664827</v>
      </c>
      <c r="G40" s="162">
        <f t="shared" si="3"/>
        <v>1.089</v>
      </c>
      <c r="H40" s="147"/>
      <c r="I40" s="147"/>
      <c r="J40" s="147"/>
      <c r="K40" s="147"/>
      <c r="L40" s="147"/>
      <c r="M40" s="150"/>
    </row>
    <row r="41" spans="1:13" x14ac:dyDescent="0.2">
      <c r="A41" t="str">
        <f t="shared" si="0"/>
        <v>2015</v>
      </c>
      <c r="B41" s="147"/>
      <c r="C41" s="201">
        <f t="shared" si="4"/>
        <v>1.027724885095207</v>
      </c>
      <c r="D41" s="201">
        <f>'3.3a'!H19</f>
        <v>1.069</v>
      </c>
      <c r="E41" s="246">
        <f t="shared" si="2"/>
        <v>1.0156620140965797</v>
      </c>
      <c r="F41" s="246">
        <f t="shared" si="1"/>
        <v>1.0430434070664827</v>
      </c>
      <c r="G41" s="162">
        <f t="shared" si="3"/>
        <v>1.0680000000000001</v>
      </c>
      <c r="H41" s="147"/>
      <c r="I41" s="147"/>
      <c r="J41" s="147"/>
      <c r="K41" s="147"/>
      <c r="L41" s="147"/>
      <c r="M41" s="150"/>
    </row>
    <row r="42" spans="1:13" x14ac:dyDescent="0.2">
      <c r="A42" t="str">
        <f t="shared" si="0"/>
        <v>2016</v>
      </c>
      <c r="B42" s="147"/>
      <c r="C42" s="201">
        <f t="shared" si="4"/>
        <v>1.0305765884400131</v>
      </c>
      <c r="D42" s="201">
        <f>'3.3a'!H20</f>
        <v>1.069</v>
      </c>
      <c r="E42" s="246">
        <f t="shared" si="2"/>
        <v>1.0156620140965797</v>
      </c>
      <c r="F42" s="246">
        <f t="shared" si="1"/>
        <v>1.0430434070664827</v>
      </c>
      <c r="G42" s="162">
        <f t="shared" si="3"/>
        <v>1.0649999999999999</v>
      </c>
      <c r="H42" s="147"/>
      <c r="I42" s="147"/>
      <c r="J42" s="147"/>
      <c r="K42" s="147"/>
      <c r="L42" s="147"/>
      <c r="M42" s="150"/>
    </row>
    <row r="43" spans="1:13" x14ac:dyDescent="0.2">
      <c r="A43" t="str">
        <f t="shared" si="0"/>
        <v>2017</v>
      </c>
      <c r="B43" s="147"/>
      <c r="C43" s="201">
        <f t="shared" si="4"/>
        <v>1.0397106689061597</v>
      </c>
      <c r="D43" s="201">
        <f>'3.3a'!H21</f>
        <v>1.0529999999999999</v>
      </c>
      <c r="E43" s="246">
        <f t="shared" si="2"/>
        <v>1.0156620140965797</v>
      </c>
      <c r="F43" s="246">
        <f t="shared" si="1"/>
        <v>1.0430434070664827</v>
      </c>
      <c r="G43" s="162">
        <f t="shared" si="3"/>
        <v>1.04</v>
      </c>
      <c r="H43" s="147"/>
      <c r="I43" s="147"/>
      <c r="J43" s="147"/>
      <c r="K43" s="147"/>
      <c r="L43" s="147"/>
      <c r="M43" s="150"/>
    </row>
    <row r="44" spans="1:13" x14ac:dyDescent="0.2">
      <c r="A44" s="47" t="str">
        <f t="shared" si="0"/>
        <v>2018</v>
      </c>
      <c r="B44" s="147"/>
      <c r="C44" s="201">
        <f t="shared" si="4"/>
        <v>1.0493019625494708</v>
      </c>
      <c r="D44" s="201">
        <f>'3.3a'!H22</f>
        <v>1.0189999999999999</v>
      </c>
      <c r="E44" s="246">
        <f t="shared" si="2"/>
        <v>1.0156620140965797</v>
      </c>
      <c r="F44" s="246">
        <f t="shared" si="1"/>
        <v>1.0430434070664827</v>
      </c>
      <c r="G44" s="162">
        <f t="shared" si="3"/>
        <v>0.997</v>
      </c>
      <c r="H44" s="147"/>
      <c r="I44" s="147"/>
      <c r="J44" s="147"/>
      <c r="K44" s="147"/>
      <c r="L44" s="147"/>
      <c r="M44" s="150"/>
    </row>
    <row r="45" spans="1:13" x14ac:dyDescent="0.2">
      <c r="A45" s="47" t="str">
        <f>TEXT(YEAR($N$8),"#")</f>
        <v>2019</v>
      </c>
      <c r="B45" s="147"/>
      <c r="C45" s="201">
        <f t="shared" si="4"/>
        <v>1</v>
      </c>
      <c r="D45" s="201">
        <f>'3.3a'!H23</f>
        <v>1</v>
      </c>
      <c r="E45" s="246">
        <f t="shared" si="2"/>
        <v>1.0156620140965797</v>
      </c>
      <c r="F45" s="246">
        <f t="shared" si="1"/>
        <v>1.0430434070664827</v>
      </c>
      <c r="G45" s="162">
        <f>ROUND(PRODUCT(D45,F45)/PRODUCT(C45,E45),3)</f>
        <v>1.0269999999999999</v>
      </c>
      <c r="H45" s="147"/>
      <c r="I45" s="147"/>
      <c r="J45" s="147"/>
      <c r="K45" s="147"/>
      <c r="L45" s="147"/>
      <c r="M45" s="150"/>
    </row>
    <row r="46" spans="1:13" ht="12" thickBot="1" x14ac:dyDescent="0.25">
      <c r="A46" s="6"/>
      <c r="B46" s="153"/>
      <c r="C46" s="245"/>
      <c r="D46" s="245"/>
      <c r="E46" s="245"/>
      <c r="F46" s="245"/>
      <c r="G46" s="245"/>
      <c r="H46" s="153"/>
      <c r="I46" s="153"/>
      <c r="J46" s="147"/>
      <c r="K46" s="147"/>
      <c r="L46" s="147"/>
      <c r="M46" s="150"/>
    </row>
    <row r="47" spans="1:13" ht="12" thickTop="1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50"/>
    </row>
    <row r="48" spans="1:13" x14ac:dyDescent="0.2">
      <c r="A48" s="147" t="s">
        <v>18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50"/>
    </row>
    <row r="49" spans="1:13" x14ac:dyDescent="0.2">
      <c r="A49" s="147"/>
      <c r="B49" s="152" t="str">
        <f>C12&amp;" "&amp;'3.2 premium trend'!$L$1&amp;", "&amp;'3.2 premium trend'!$L$2&amp;" "&amp;'3.2 premium trend'!$H$12</f>
        <v>(2) Exhibit 3, Sheet 2 (7)</v>
      </c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50"/>
    </row>
    <row r="50" spans="1:13" x14ac:dyDescent="0.2">
      <c r="A50" s="147"/>
      <c r="B50" s="147" t="str">
        <f>D13&amp;" Latest Year / Quarter Ending Date - 6 Months"</f>
        <v>(3) Latest Year / Quarter Ending Date - 6 Months</v>
      </c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50"/>
    </row>
    <row r="51" spans="1:13" x14ac:dyDescent="0.2">
      <c r="A51" s="147"/>
      <c r="B51" s="147" t="str">
        <f>D14&amp;" Latest Accident Year Ending Date - 6 Months"</f>
        <v>(4) Latest Accident Year Ending Date - 6 Months</v>
      </c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50"/>
    </row>
    <row r="52" spans="1:13" x14ac:dyDescent="0.2">
      <c r="A52" s="147"/>
      <c r="B52" s="147" t="str">
        <f>D15&amp;" Rate Effective Date + 12 Months"</f>
        <v>(5) Rate Effective Date + 12 Months</v>
      </c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50"/>
    </row>
    <row r="53" spans="1:13" x14ac:dyDescent="0.2">
      <c r="A53" s="147"/>
      <c r="B53" s="147" t="str">
        <f>D16&amp;" = "&amp;D15&amp;" - "&amp;D13</f>
        <v>(6) = (5) - (3)</v>
      </c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50"/>
    </row>
    <row r="54" spans="1:13" x14ac:dyDescent="0.2">
      <c r="A54" s="147"/>
      <c r="B54" s="147" t="str">
        <f>D17&amp;" = "&amp;D15&amp;" - "&amp;D14</f>
        <v>(7) = (5) - (4)</v>
      </c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50"/>
    </row>
    <row r="55" spans="1:13" x14ac:dyDescent="0.2">
      <c r="A55" s="147"/>
      <c r="B55" s="152" t="str">
        <f>D18&amp;" "&amp;'3.2 premium trend'!$L$1&amp;", "&amp;'3.2 premium trend'!$L$2</f>
        <v>(8) Exhibit 3, Sheet 2</v>
      </c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50"/>
    </row>
    <row r="56" spans="1:13" x14ac:dyDescent="0.2">
      <c r="A56" s="147"/>
      <c r="B56" s="152" t="str">
        <f>D19&amp;" "&amp;'3.3a'!$L$1&amp;", "&amp;'3.3a'!$L$2</f>
        <v>(9) Exhibit 3, Sheet 3a</v>
      </c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50"/>
    </row>
    <row r="57" spans="1:13" x14ac:dyDescent="0.2">
      <c r="A57" s="147"/>
      <c r="B57" s="243" t="str">
        <f>C34&amp;" = "&amp;C12&amp;" Indexed to "&amp;A23</f>
        <v>(11) = (2) Indexed to 2019 / 4</v>
      </c>
      <c r="C57" s="244"/>
      <c r="D57" s="244"/>
      <c r="E57" s="147"/>
      <c r="F57" s="147"/>
      <c r="G57" s="147"/>
      <c r="H57" s="147"/>
      <c r="I57" s="147"/>
      <c r="J57" s="147"/>
      <c r="K57" s="147"/>
      <c r="L57" s="147"/>
      <c r="M57" s="150"/>
    </row>
    <row r="58" spans="1:13" x14ac:dyDescent="0.2">
      <c r="A58" s="147"/>
      <c r="B58" s="152" t="str">
        <f>D34&amp;" "&amp;'3.3a'!$L$1&amp;", "&amp;'3.3a'!$L$2</f>
        <v>(12) Exhibit 3, Sheet 3a</v>
      </c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50"/>
    </row>
    <row r="59" spans="1:13" x14ac:dyDescent="0.2">
      <c r="A59" s="147"/>
      <c r="B59" s="147" t="str">
        <f>E34&amp;" = [1 + "&amp;D18&amp;"] ^ "&amp;D16</f>
        <v>(13) = [1 + (8)] ^ (6)</v>
      </c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50"/>
    </row>
    <row r="60" spans="1:13" x14ac:dyDescent="0.2">
      <c r="A60" s="147"/>
      <c r="B60" s="147" t="str">
        <f>F34&amp;" = [1 + "&amp;D19&amp;"] ^ "&amp;D17</f>
        <v>(14) = [1 + (9)] ^ (7)</v>
      </c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50"/>
    </row>
    <row r="61" spans="1:13" x14ac:dyDescent="0.2">
      <c r="A61" s="147"/>
      <c r="B61" s="147" t="str">
        <f>G34&amp;" = ["&amp;D34&amp;" * "&amp;F34&amp;"] / ["&amp;C34&amp;" * "&amp;E34&amp;"]"</f>
        <v>(15) = [(12) * (14)] / [(11) * (13)]</v>
      </c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50"/>
    </row>
    <row r="62" spans="1:13" ht="12" thickBot="1" x14ac:dyDescent="0.25">
      <c r="A62"/>
      <c r="C62" s="57"/>
      <c r="D62" s="57"/>
      <c r="E62" s="57"/>
      <c r="F62" s="57"/>
      <c r="G62" s="57"/>
      <c r="H62" s="151"/>
      <c r="I62" s="147"/>
      <c r="J62" s="147"/>
      <c r="K62" s="147"/>
      <c r="L62" s="147"/>
      <c r="M62" s="150"/>
    </row>
    <row r="63" spans="1:13" ht="12" thickBot="1" x14ac:dyDescent="0.25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9"/>
    </row>
    <row r="66" spans="2:7" x14ac:dyDescent="0.2">
      <c r="B66" s="57"/>
      <c r="C66" s="277"/>
      <c r="D66" s="277"/>
      <c r="E66" s="277"/>
      <c r="F66" s="277"/>
      <c r="G66" s="277"/>
    </row>
  </sheetData>
  <phoneticPr fontId="0" type="noConversion"/>
  <pageMargins left="0.5" right="0.5" top="0.5" bottom="0.5" header="0.5" footer="0.5"/>
  <pageSetup orientation="portrait" blackAndWhite="1" r:id="rId1"/>
  <headerFooter alignWithMargins="0"/>
  <ignoredErrors>
    <ignoredError sqref="D13:D1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S69"/>
  <sheetViews>
    <sheetView showGridLines="0" zoomScaleNormal="100" workbookViewId="0">
      <selection activeCell="I1" sqref="I1"/>
    </sheetView>
  </sheetViews>
  <sheetFormatPr defaultColWidth="11.33203125" defaultRowHeight="11.25" x14ac:dyDescent="0.2"/>
  <cols>
    <col min="1" max="1" width="2.5" bestFit="1" customWidth="1"/>
    <col min="2" max="2" width="11.6640625" customWidth="1"/>
    <col min="3" max="9" width="12.6640625" customWidth="1"/>
    <col min="10" max="10" width="11.33203125" customWidth="1"/>
    <col min="11" max="11" width="5.6640625" customWidth="1"/>
  </cols>
  <sheetData>
    <row r="1" spans="1:18" x14ac:dyDescent="0.2">
      <c r="A1" s="8" t="str">
        <f>'1'!$A$1</f>
        <v>Texas Windstorm Insurance Association</v>
      </c>
      <c r="B1" s="12"/>
      <c r="J1" s="47"/>
      <c r="K1" s="7" t="s">
        <v>47</v>
      </c>
      <c r="L1" s="1"/>
    </row>
    <row r="2" spans="1:18" x14ac:dyDescent="0.2">
      <c r="A2" s="8" t="str">
        <f>'1'!$A$2</f>
        <v>Commercial Property - Wind &amp; Hail</v>
      </c>
      <c r="B2" s="12"/>
      <c r="J2" s="47"/>
      <c r="K2" s="7" t="s">
        <v>21</v>
      </c>
      <c r="L2" s="2"/>
    </row>
    <row r="3" spans="1:18" x14ac:dyDescent="0.2">
      <c r="A3" s="8" t="str">
        <f>'1'!$A$3</f>
        <v>Rate Level Review</v>
      </c>
      <c r="B3" s="12"/>
      <c r="F3" s="252"/>
      <c r="J3" s="47"/>
      <c r="L3" s="2"/>
    </row>
    <row r="4" spans="1:18" x14ac:dyDescent="0.2">
      <c r="A4" t="s">
        <v>46</v>
      </c>
      <c r="B4" s="12"/>
      <c r="J4" s="47"/>
      <c r="L4" s="2"/>
    </row>
    <row r="5" spans="1:18" x14ac:dyDescent="0.2">
      <c r="A5" s="57" t="s">
        <v>235</v>
      </c>
      <c r="B5" s="21"/>
      <c r="C5" s="57"/>
      <c r="D5" s="57"/>
      <c r="E5" s="57"/>
      <c r="J5" s="47"/>
      <c r="L5" s="2"/>
    </row>
    <row r="6" spans="1:18" x14ac:dyDescent="0.2">
      <c r="J6" s="47"/>
      <c r="L6" s="2"/>
    </row>
    <row r="7" spans="1:18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47"/>
      <c r="L7" s="2"/>
    </row>
    <row r="8" spans="1:18" ht="12" thickTop="1" x14ac:dyDescent="0.2">
      <c r="J8" s="47"/>
      <c r="L8" s="2"/>
    </row>
    <row r="9" spans="1:18" x14ac:dyDescent="0.2">
      <c r="C9" s="23" t="s">
        <v>48</v>
      </c>
      <c r="J9" s="47"/>
      <c r="L9" s="2"/>
      <c r="M9" s="26"/>
    </row>
    <row r="10" spans="1:18" x14ac:dyDescent="0.2">
      <c r="A10" t="s">
        <v>41</v>
      </c>
      <c r="J10" s="47"/>
      <c r="L10" s="2"/>
      <c r="M10" t="s">
        <v>49</v>
      </c>
    </row>
    <row r="11" spans="1:18" x14ac:dyDescent="0.2">
      <c r="A11" s="9" t="s">
        <v>42</v>
      </c>
      <c r="B11" s="9"/>
      <c r="C11" s="25">
        <f>$M$11</f>
        <v>12</v>
      </c>
      <c r="D11" s="25">
        <f t="shared" ref="D11:I11" si="0">C11+12</f>
        <v>24</v>
      </c>
      <c r="E11" s="25">
        <f t="shared" si="0"/>
        <v>36</v>
      </c>
      <c r="F11" s="25">
        <f t="shared" si="0"/>
        <v>48</v>
      </c>
      <c r="G11" s="25">
        <f t="shared" si="0"/>
        <v>60</v>
      </c>
      <c r="H11" s="25">
        <f t="shared" si="0"/>
        <v>72</v>
      </c>
      <c r="I11" s="25">
        <f t="shared" si="0"/>
        <v>84</v>
      </c>
      <c r="J11" s="48"/>
      <c r="L11" s="2"/>
      <c r="M11" s="109">
        <f>ROUND((YEAR($N$23)-YEAR($M$23)+1)*12+MONTH($N$23)-MONTH($M$23),0)</f>
        <v>12</v>
      </c>
    </row>
    <row r="12" spans="1:18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31"/>
      <c r="L12" s="2"/>
    </row>
    <row r="13" spans="1:18" x14ac:dyDescent="0.2">
      <c r="J13" s="47"/>
      <c r="L13" s="2"/>
      <c r="M13" s="224"/>
      <c r="N13" s="224"/>
      <c r="O13" s="224"/>
      <c r="P13" s="224"/>
      <c r="Q13" s="224"/>
      <c r="R13" s="224"/>
    </row>
    <row r="14" spans="1:18" x14ac:dyDescent="0.2">
      <c r="A14" t="str">
        <f t="shared" ref="A14:A22" si="2">TEXT(A15-1,"#")</f>
        <v>2010</v>
      </c>
      <c r="B14" s="24"/>
      <c r="C14" s="223">
        <v>4488.9595099999997</v>
      </c>
      <c r="D14" s="223">
        <v>6162</v>
      </c>
      <c r="E14" s="223">
        <v>6783</v>
      </c>
      <c r="F14" s="223">
        <v>7280</v>
      </c>
      <c r="G14" s="223">
        <v>7280</v>
      </c>
      <c r="H14" s="223">
        <v>7302</v>
      </c>
      <c r="I14" s="251">
        <f>ROUND('2.3'!$C14/1000,0)</f>
        <v>7478</v>
      </c>
      <c r="J14" s="177"/>
      <c r="L14" s="2"/>
      <c r="M14" s="224"/>
      <c r="N14" s="224"/>
      <c r="O14" s="224"/>
      <c r="P14" s="224"/>
      <c r="Q14" s="224"/>
      <c r="R14" s="224"/>
    </row>
    <row r="15" spans="1:18" x14ac:dyDescent="0.2">
      <c r="A15" t="str">
        <f t="shared" si="2"/>
        <v>2011</v>
      </c>
      <c r="B15" s="24"/>
      <c r="C15" s="36">
        <v>13360</v>
      </c>
      <c r="D15" s="223">
        <v>16138</v>
      </c>
      <c r="E15" s="223">
        <v>18435</v>
      </c>
      <c r="F15" s="223">
        <v>18758</v>
      </c>
      <c r="G15" s="223">
        <v>19119</v>
      </c>
      <c r="H15" s="223">
        <v>19200</v>
      </c>
      <c r="I15" s="251">
        <f>ROUND('2.3'!$C15/1000,0)</f>
        <v>19218</v>
      </c>
      <c r="J15" s="177"/>
      <c r="L15" s="2"/>
      <c r="M15" s="224"/>
      <c r="N15" s="224"/>
      <c r="O15" s="224"/>
      <c r="P15" s="224"/>
      <c r="Q15" s="224"/>
      <c r="R15" s="224"/>
    </row>
    <row r="16" spans="1:18" x14ac:dyDescent="0.2">
      <c r="A16" t="str">
        <f t="shared" si="2"/>
        <v>2012</v>
      </c>
      <c r="B16" s="24"/>
      <c r="C16" s="36">
        <v>8512</v>
      </c>
      <c r="D16" s="223">
        <v>11404</v>
      </c>
      <c r="E16" s="223">
        <v>13135</v>
      </c>
      <c r="F16" s="223">
        <v>13284</v>
      </c>
      <c r="G16" s="223">
        <v>13309</v>
      </c>
      <c r="H16" s="223">
        <v>14460</v>
      </c>
      <c r="I16" s="251">
        <f>ROUND('2.3'!$C16/1000,0)</f>
        <v>14460</v>
      </c>
      <c r="J16" s="177"/>
      <c r="L16" s="2"/>
      <c r="M16" s="224"/>
      <c r="N16" s="224"/>
      <c r="O16" s="224"/>
      <c r="P16" s="224"/>
      <c r="Q16" s="224"/>
      <c r="R16" s="224"/>
    </row>
    <row r="17" spans="1:19" x14ac:dyDescent="0.2">
      <c r="A17" t="str">
        <f>TEXT(A18-1,"#")</f>
        <v>2013</v>
      </c>
      <c r="B17" s="24"/>
      <c r="C17" s="36">
        <v>6886</v>
      </c>
      <c r="D17" s="223">
        <v>7243</v>
      </c>
      <c r="E17" s="223">
        <v>7338</v>
      </c>
      <c r="F17" s="223">
        <v>7351</v>
      </c>
      <c r="G17" s="223">
        <v>7351</v>
      </c>
      <c r="H17" s="223">
        <v>7351</v>
      </c>
      <c r="I17" s="251">
        <f>ROUND('2.3'!$C17/1000,0)</f>
        <v>7351</v>
      </c>
      <c r="J17" s="177"/>
      <c r="L17" s="2"/>
      <c r="M17" s="224"/>
      <c r="N17" s="224"/>
      <c r="O17" s="224"/>
      <c r="P17" s="224"/>
      <c r="Q17" s="224"/>
      <c r="R17" s="224"/>
    </row>
    <row r="18" spans="1:19" x14ac:dyDescent="0.2">
      <c r="A18" t="str">
        <f t="shared" si="2"/>
        <v>2014</v>
      </c>
      <c r="B18" s="24"/>
      <c r="C18" s="36">
        <v>641</v>
      </c>
      <c r="D18" s="223">
        <v>875</v>
      </c>
      <c r="E18" s="223">
        <v>1015</v>
      </c>
      <c r="F18" s="223">
        <v>1056</v>
      </c>
      <c r="G18" s="223">
        <v>1056</v>
      </c>
      <c r="H18" s="29">
        <f>ROUND('2.3'!C18/1000,0)</f>
        <v>1056</v>
      </c>
      <c r="I18" s="251"/>
      <c r="J18" s="177"/>
      <c r="L18" s="2"/>
      <c r="M18" s="224"/>
      <c r="N18" s="224"/>
      <c r="O18" s="224"/>
      <c r="P18" s="224"/>
      <c r="Q18" s="224"/>
      <c r="R18" s="224"/>
    </row>
    <row r="19" spans="1:19" x14ac:dyDescent="0.2">
      <c r="A19" t="str">
        <f t="shared" si="2"/>
        <v>2015</v>
      </c>
      <c r="B19" s="24"/>
      <c r="C19" s="36">
        <v>15923</v>
      </c>
      <c r="D19" s="223">
        <v>17690</v>
      </c>
      <c r="E19" s="223">
        <v>17780</v>
      </c>
      <c r="F19" s="223">
        <v>18644</v>
      </c>
      <c r="G19" s="29">
        <f>ROUND('2.3'!C19/1000,0)</f>
        <v>18644</v>
      </c>
      <c r="H19" s="29"/>
      <c r="I19" s="247"/>
      <c r="J19" s="44"/>
      <c r="L19" s="2"/>
      <c r="M19" s="224"/>
      <c r="N19" s="224"/>
      <c r="O19" s="224"/>
      <c r="P19" s="224"/>
      <c r="Q19" s="224"/>
      <c r="R19" s="224"/>
    </row>
    <row r="20" spans="1:19" x14ac:dyDescent="0.2">
      <c r="A20" t="str">
        <f t="shared" si="2"/>
        <v>2016</v>
      </c>
      <c r="B20" s="24"/>
      <c r="C20" s="36">
        <v>2055</v>
      </c>
      <c r="D20" s="223">
        <v>2479</v>
      </c>
      <c r="E20" s="223">
        <v>2584</v>
      </c>
      <c r="F20" s="29">
        <f>ROUND('2.3'!C20/1000,0)</f>
        <v>2597</v>
      </c>
      <c r="G20" s="36"/>
      <c r="H20" s="36"/>
      <c r="I20" s="247"/>
      <c r="J20" s="44"/>
      <c r="L20" s="2"/>
      <c r="M20" s="224"/>
      <c r="N20" s="224"/>
      <c r="O20" s="224"/>
      <c r="P20" s="224"/>
      <c r="Q20" s="224"/>
      <c r="R20" s="224"/>
    </row>
    <row r="21" spans="1:19" x14ac:dyDescent="0.2">
      <c r="A21" t="str">
        <f t="shared" si="2"/>
        <v>2017</v>
      </c>
      <c r="B21" s="24"/>
      <c r="C21" s="36">
        <v>1599</v>
      </c>
      <c r="D21" s="223">
        <v>1963</v>
      </c>
      <c r="E21" s="29">
        <f>ROUND('2.3'!C21/1000,0)</f>
        <v>1979</v>
      </c>
      <c r="F21" s="36"/>
      <c r="G21" s="36"/>
      <c r="H21" s="36"/>
      <c r="I21" s="247"/>
      <c r="J21" s="44"/>
      <c r="L21" s="2"/>
      <c r="M21" s="224"/>
      <c r="N21" s="224"/>
      <c r="O21" s="224"/>
      <c r="P21" s="224"/>
      <c r="Q21" s="224"/>
      <c r="R21" s="224"/>
    </row>
    <row r="22" spans="1:19" x14ac:dyDescent="0.2">
      <c r="A22" t="str">
        <f t="shared" si="2"/>
        <v>2018</v>
      </c>
      <c r="B22" s="24"/>
      <c r="C22" s="36">
        <v>165</v>
      </c>
      <c r="D22" s="29">
        <f>ROUND('2.3'!C22/1000,0)</f>
        <v>187</v>
      </c>
      <c r="E22" s="36"/>
      <c r="F22" s="36"/>
      <c r="G22" s="36"/>
      <c r="H22" s="36"/>
      <c r="I22" s="247"/>
      <c r="J22" s="44"/>
      <c r="L22" s="2"/>
      <c r="M22" t="s">
        <v>249</v>
      </c>
      <c r="N22" t="s">
        <v>250</v>
      </c>
    </row>
    <row r="23" spans="1:19" x14ac:dyDescent="0.2">
      <c r="A23" t="str">
        <f>TEXT(YEAR($M$23),"#")</f>
        <v>2019</v>
      </c>
      <c r="B23" s="24"/>
      <c r="C23" s="296">
        <f>ROUND('2.3'!$C23/1000,0)</f>
        <v>807</v>
      </c>
      <c r="D23" s="251"/>
      <c r="E23" s="247"/>
      <c r="F23" s="247"/>
      <c r="G23" s="247"/>
      <c r="H23" s="247"/>
      <c r="I23" s="247"/>
      <c r="J23" s="44"/>
      <c r="L23" s="2"/>
      <c r="M23" s="49">
        <f>'2.3'!$M$26</f>
        <v>43830</v>
      </c>
      <c r="N23" s="49">
        <f>'2.3'!$M$26</f>
        <v>43830</v>
      </c>
    </row>
    <row r="24" spans="1:19" x14ac:dyDescent="0.2">
      <c r="A24" s="9"/>
      <c r="B24" s="25"/>
      <c r="C24" s="30"/>
      <c r="D24" s="70"/>
      <c r="E24" s="70"/>
      <c r="F24" s="70"/>
      <c r="G24" s="70"/>
      <c r="H24" s="70"/>
      <c r="I24" s="70"/>
      <c r="J24" s="47"/>
      <c r="L24" s="2"/>
    </row>
    <row r="25" spans="1:19" x14ac:dyDescent="0.2">
      <c r="J25" s="47"/>
      <c r="L25" s="2"/>
    </row>
    <row r="26" spans="1:19" x14ac:dyDescent="0.2">
      <c r="C26" s="23" t="s">
        <v>50</v>
      </c>
      <c r="J26" s="47"/>
      <c r="L26" s="2"/>
      <c r="M26" s="18"/>
      <c r="N26" s="18"/>
      <c r="O26" s="18"/>
      <c r="P26" s="18"/>
      <c r="Q26" s="18"/>
      <c r="R26" s="18"/>
    </row>
    <row r="27" spans="1:19" x14ac:dyDescent="0.2">
      <c r="A27" t="s">
        <v>41</v>
      </c>
      <c r="J27" s="47"/>
      <c r="L27" s="2"/>
      <c r="M27" s="267"/>
      <c r="N27" s="248"/>
      <c r="O27" s="248"/>
      <c r="P27" s="248"/>
      <c r="Q27" s="248"/>
      <c r="R27" s="248"/>
      <c r="S27" s="248"/>
    </row>
    <row r="28" spans="1:19" x14ac:dyDescent="0.2">
      <c r="A28" s="9" t="s">
        <v>42</v>
      </c>
      <c r="B28" s="9"/>
      <c r="C28" s="9" t="str">
        <f t="shared" ref="C28:H28" si="3">C11&amp;" - "&amp;D11</f>
        <v>12 - 24</v>
      </c>
      <c r="D28" s="9" t="str">
        <f t="shared" si="3"/>
        <v>24 - 36</v>
      </c>
      <c r="E28" s="9" t="str">
        <f t="shared" si="3"/>
        <v>36 - 48</v>
      </c>
      <c r="F28" s="9" t="str">
        <f t="shared" si="3"/>
        <v>48 - 60</v>
      </c>
      <c r="G28" s="9" t="str">
        <f t="shared" si="3"/>
        <v>60 - 72</v>
      </c>
      <c r="H28" s="9" t="str">
        <f t="shared" si="3"/>
        <v>72 - 84</v>
      </c>
      <c r="I28" s="9" t="str">
        <f>I11&amp;" - Ult"</f>
        <v>84 - Ult</v>
      </c>
      <c r="J28" s="47"/>
      <c r="L28" s="2"/>
      <c r="M28" s="267"/>
      <c r="N28" s="248"/>
      <c r="O28" s="248"/>
      <c r="P28" s="248"/>
      <c r="Q28" s="248"/>
      <c r="R28" s="248"/>
      <c r="S28" s="249"/>
    </row>
    <row r="29" spans="1:19" x14ac:dyDescent="0.2">
      <c r="A29" s="13" t="str">
        <f>TEXT(COLUMN(),"(#)")</f>
        <v>(1)</v>
      </c>
      <c r="B29" s="13"/>
      <c r="C29" s="11" t="str">
        <f t="shared" ref="C29:I29" si="4">TEXT(COLUMN()-1,"(#)")</f>
        <v>(2)</v>
      </c>
      <c r="D29" s="11" t="str">
        <f t="shared" si="4"/>
        <v>(3)</v>
      </c>
      <c r="E29" s="11" t="str">
        <f t="shared" si="4"/>
        <v>(4)</v>
      </c>
      <c r="F29" s="11" t="str">
        <f t="shared" si="4"/>
        <v>(5)</v>
      </c>
      <c r="G29" s="11" t="str">
        <f t="shared" si="4"/>
        <v>(6)</v>
      </c>
      <c r="H29" s="11" t="str">
        <f t="shared" si="4"/>
        <v>(7)</v>
      </c>
      <c r="I29" s="11" t="str">
        <f t="shared" si="4"/>
        <v>(8)</v>
      </c>
      <c r="J29" s="131"/>
      <c r="L29" s="2"/>
      <c r="M29" s="267"/>
      <c r="N29" s="248"/>
      <c r="O29" s="248"/>
      <c r="P29" s="248"/>
      <c r="Q29" s="248"/>
      <c r="R29" s="248"/>
      <c r="S29" s="248"/>
    </row>
    <row r="30" spans="1:19" x14ac:dyDescent="0.2">
      <c r="J30" s="47"/>
      <c r="L30" s="2"/>
      <c r="M30" s="267"/>
      <c r="N30" s="248"/>
      <c r="O30" s="248"/>
      <c r="P30" s="248"/>
      <c r="Q30" s="248"/>
      <c r="R30" s="248"/>
      <c r="S30" s="248"/>
    </row>
    <row r="31" spans="1:19" ht="12.75" x14ac:dyDescent="0.2">
      <c r="A31" t="str">
        <f t="shared" ref="A31:A38" si="5">A15</f>
        <v>2011</v>
      </c>
      <c r="B31" s="24"/>
      <c r="C31" s="37">
        <f t="shared" ref="C31:C37" si="6">IF(ISNUMBER(D14),D14/C14,"")</f>
        <v>1.372701176357904</v>
      </c>
      <c r="D31" s="37">
        <f t="shared" ref="D31:I31" si="7">IF(ISNUMBER(E14),E14/D14,"")</f>
        <v>1.1007789678675755</v>
      </c>
      <c r="E31" s="37">
        <f t="shared" si="7"/>
        <v>1.0732714138286894</v>
      </c>
      <c r="F31" s="37">
        <f t="shared" si="7"/>
        <v>1</v>
      </c>
      <c r="G31" s="37">
        <f t="shared" si="7"/>
        <v>1.003021978021978</v>
      </c>
      <c r="H31" s="37">
        <f t="shared" si="7"/>
        <v>1.0241029854834292</v>
      </c>
      <c r="I31" s="37" t="str">
        <f t="shared" si="7"/>
        <v/>
      </c>
      <c r="J31" s="180"/>
      <c r="L31" s="2"/>
      <c r="M31" s="267"/>
      <c r="N31" s="248"/>
      <c r="O31" s="248"/>
      <c r="P31" s="248"/>
      <c r="Q31" s="248"/>
      <c r="R31" s="248"/>
      <c r="S31" s="250"/>
    </row>
    <row r="32" spans="1:19" ht="12.75" x14ac:dyDescent="0.2">
      <c r="A32" t="str">
        <f t="shared" si="5"/>
        <v>2012</v>
      </c>
      <c r="B32" s="24"/>
      <c r="C32" s="37">
        <f t="shared" si="6"/>
        <v>1.2079341317365269</v>
      </c>
      <c r="D32" s="37">
        <f t="shared" ref="D32:H39" si="8">IF(ISNUMBER(E15),E15/D15,"")</f>
        <v>1.1423348618168299</v>
      </c>
      <c r="E32" s="37">
        <f t="shared" si="8"/>
        <v>1.0175210197992948</v>
      </c>
      <c r="F32" s="37">
        <f t="shared" si="8"/>
        <v>1.0192451220812453</v>
      </c>
      <c r="G32" s="37">
        <f t="shared" si="8"/>
        <v>1.0042366232543543</v>
      </c>
      <c r="H32" s="37">
        <f t="shared" si="8"/>
        <v>1.0009375</v>
      </c>
      <c r="I32" s="37" t="str">
        <f>IF(ISNUMBER(#REF!),#REF!/I15,"")</f>
        <v/>
      </c>
      <c r="J32" s="180"/>
      <c r="L32" s="2"/>
      <c r="M32" s="267"/>
      <c r="N32" s="248"/>
      <c r="O32" s="248"/>
      <c r="P32" s="248"/>
      <c r="Q32" s="248"/>
      <c r="R32" s="268"/>
      <c r="S32" s="250"/>
    </row>
    <row r="33" spans="1:19" ht="12.75" x14ac:dyDescent="0.2">
      <c r="A33" t="str">
        <f t="shared" si="5"/>
        <v>2013</v>
      </c>
      <c r="B33" s="24"/>
      <c r="C33" s="37">
        <f t="shared" si="6"/>
        <v>1.3397556390977443</v>
      </c>
      <c r="D33" s="37">
        <f t="shared" si="8"/>
        <v>1.1517888460189407</v>
      </c>
      <c r="E33" s="37">
        <f t="shared" si="8"/>
        <v>1.0113437381043016</v>
      </c>
      <c r="F33" s="37">
        <f t="shared" si="8"/>
        <v>1.0018819632640772</v>
      </c>
      <c r="G33" s="37">
        <f t="shared" si="8"/>
        <v>1.0864828311668795</v>
      </c>
      <c r="H33" s="37">
        <f t="shared" si="8"/>
        <v>1</v>
      </c>
      <c r="I33" s="37" t="str">
        <f>IF(ISNUMBER(#REF!),#REF!/I16,"")</f>
        <v/>
      </c>
      <c r="J33" s="180"/>
      <c r="L33" s="2"/>
      <c r="M33" s="267"/>
      <c r="N33" s="248"/>
      <c r="O33" s="248"/>
      <c r="P33" s="248"/>
      <c r="Q33" s="268"/>
      <c r="R33" s="268"/>
      <c r="S33" s="250"/>
    </row>
    <row r="34" spans="1:19" ht="12.75" x14ac:dyDescent="0.2">
      <c r="A34" t="str">
        <f t="shared" si="5"/>
        <v>2014</v>
      </c>
      <c r="B34" s="24"/>
      <c r="C34" s="37">
        <f t="shared" si="6"/>
        <v>1.051844321812373</v>
      </c>
      <c r="D34" s="37">
        <f t="shared" si="8"/>
        <v>1.0131161121082424</v>
      </c>
      <c r="E34" s="37">
        <f t="shared" si="8"/>
        <v>1.0017715998909784</v>
      </c>
      <c r="F34" s="37">
        <f t="shared" si="8"/>
        <v>1</v>
      </c>
      <c r="G34" s="37">
        <f t="shared" si="8"/>
        <v>1</v>
      </c>
      <c r="H34" s="37">
        <f t="shared" si="8"/>
        <v>1</v>
      </c>
      <c r="I34" s="37" t="str">
        <f>IF(ISNUMBER(#REF!),#REF!/I17,"")</f>
        <v/>
      </c>
      <c r="J34" s="180"/>
      <c r="L34" s="2"/>
      <c r="M34" s="267"/>
      <c r="N34" s="248"/>
      <c r="O34" s="248"/>
      <c r="P34" s="268"/>
      <c r="Q34" s="268"/>
      <c r="R34" s="268"/>
      <c r="S34" s="250"/>
    </row>
    <row r="35" spans="1:19" ht="12.75" x14ac:dyDescent="0.2">
      <c r="A35" t="str">
        <f t="shared" si="5"/>
        <v>2015</v>
      </c>
      <c r="B35" s="24"/>
      <c r="C35" s="37">
        <f t="shared" si="6"/>
        <v>1.3650546021840875</v>
      </c>
      <c r="D35" s="37">
        <f t="shared" si="8"/>
        <v>1.1599999999999999</v>
      </c>
      <c r="E35" s="37">
        <f t="shared" si="8"/>
        <v>1.0403940886699508</v>
      </c>
      <c r="F35" s="37">
        <f t="shared" si="8"/>
        <v>1</v>
      </c>
      <c r="G35" s="37">
        <f t="shared" si="8"/>
        <v>1</v>
      </c>
      <c r="H35" s="37" t="str">
        <f t="shared" si="8"/>
        <v/>
      </c>
      <c r="I35" s="37" t="str">
        <f>IF(ISNUMBER(#REF!),#REF!/I18,"")</f>
        <v/>
      </c>
      <c r="J35" s="180"/>
      <c r="L35" s="2"/>
      <c r="M35" s="267"/>
      <c r="N35" s="248"/>
      <c r="O35" s="268"/>
      <c r="P35" s="268"/>
      <c r="Q35" s="268"/>
      <c r="R35" s="268"/>
      <c r="S35" s="250"/>
    </row>
    <row r="36" spans="1:19" x14ac:dyDescent="0.2">
      <c r="A36" t="str">
        <f t="shared" si="5"/>
        <v>2016</v>
      </c>
      <c r="B36" s="24"/>
      <c r="C36" s="37">
        <f t="shared" si="6"/>
        <v>1.1109715505872009</v>
      </c>
      <c r="D36" s="37">
        <f t="shared" si="8"/>
        <v>1.0050876201243641</v>
      </c>
      <c r="E36" s="37">
        <f t="shared" si="8"/>
        <v>1.04859392575928</v>
      </c>
      <c r="F36" s="37">
        <f t="shared" si="8"/>
        <v>1</v>
      </c>
      <c r="G36" s="37" t="str">
        <f t="shared" si="8"/>
        <v/>
      </c>
      <c r="H36" s="37" t="str">
        <f t="shared" si="8"/>
        <v/>
      </c>
      <c r="I36" s="37" t="str">
        <f>IF(ISNUMBER(#REF!),#REF!/I19,"")</f>
        <v/>
      </c>
      <c r="J36" s="180"/>
      <c r="L36" s="2"/>
      <c r="N36" s="18"/>
      <c r="O36" s="18"/>
      <c r="P36" s="18"/>
      <c r="Q36" s="18"/>
      <c r="R36" s="18"/>
      <c r="S36" s="18"/>
    </row>
    <row r="37" spans="1:19" x14ac:dyDescent="0.2">
      <c r="A37" t="str">
        <f t="shared" si="5"/>
        <v>2017</v>
      </c>
      <c r="B37" s="24"/>
      <c r="C37" s="37">
        <f t="shared" si="6"/>
        <v>1.2063260340632604</v>
      </c>
      <c r="D37" s="37">
        <f t="shared" si="8"/>
        <v>1.0423557886244454</v>
      </c>
      <c r="E37" s="37">
        <f t="shared" si="8"/>
        <v>1.0050309597523219</v>
      </c>
      <c r="F37" s="37" t="str">
        <f t="shared" si="8"/>
        <v/>
      </c>
      <c r="G37" s="37" t="str">
        <f t="shared" si="8"/>
        <v/>
      </c>
      <c r="H37" s="37" t="str">
        <f t="shared" si="8"/>
        <v/>
      </c>
      <c r="I37" s="37" t="str">
        <f>IF(ISNUMBER(#REF!),#REF!/I20,"")</f>
        <v/>
      </c>
      <c r="J37" s="180"/>
      <c r="L37" s="2"/>
      <c r="N37" s="18"/>
      <c r="O37" s="18"/>
      <c r="P37" s="18"/>
      <c r="Q37" s="18"/>
      <c r="R37" s="18"/>
      <c r="S37" s="18"/>
    </row>
    <row r="38" spans="1:19" x14ac:dyDescent="0.2">
      <c r="A38" t="str">
        <f t="shared" si="5"/>
        <v>2018</v>
      </c>
      <c r="B38" s="24"/>
      <c r="C38" s="37">
        <f>IF(ISNUMBER(D21),D21/C21,"")</f>
        <v>1.2276422764227641</v>
      </c>
      <c r="D38" s="37">
        <f t="shared" si="8"/>
        <v>1.0081507896077433</v>
      </c>
      <c r="E38" s="37" t="str">
        <f t="shared" si="8"/>
        <v/>
      </c>
      <c r="F38" s="37" t="str">
        <f t="shared" si="8"/>
        <v/>
      </c>
      <c r="G38" s="37" t="str">
        <f t="shared" si="8"/>
        <v/>
      </c>
      <c r="H38" s="37" t="str">
        <f t="shared" si="8"/>
        <v/>
      </c>
      <c r="I38" s="37" t="str">
        <f>IF(ISNUMBER(#REF!),#REF!/I21,"")</f>
        <v/>
      </c>
      <c r="J38" s="180"/>
      <c r="L38" s="2"/>
      <c r="N38" s="18"/>
      <c r="O38" s="18"/>
      <c r="P38" s="18"/>
      <c r="Q38" s="18"/>
      <c r="R38" s="18"/>
      <c r="S38" s="18"/>
    </row>
    <row r="39" spans="1:19" x14ac:dyDescent="0.2">
      <c r="A39" t="str">
        <f>A23</f>
        <v>2019</v>
      </c>
      <c r="B39" s="24"/>
      <c r="C39" s="37">
        <f>IF(ISNUMBER(D22),D22/C22,"")</f>
        <v>1.1333333333333333</v>
      </c>
      <c r="D39" s="37" t="str">
        <f t="shared" si="8"/>
        <v/>
      </c>
      <c r="E39" s="37" t="str">
        <f t="shared" si="8"/>
        <v/>
      </c>
      <c r="F39" s="37" t="str">
        <f t="shared" si="8"/>
        <v/>
      </c>
      <c r="G39" s="37" t="str">
        <f t="shared" si="8"/>
        <v/>
      </c>
      <c r="H39" s="37" t="str">
        <f t="shared" si="8"/>
        <v/>
      </c>
      <c r="I39" s="37" t="str">
        <f>IF(ISNUMBER(#REF!),#REF!/I22,"")</f>
        <v/>
      </c>
      <c r="J39" s="180"/>
      <c r="L39" s="2"/>
      <c r="N39" s="18"/>
      <c r="O39" s="18"/>
      <c r="P39" s="18"/>
      <c r="Q39" s="18"/>
      <c r="R39" s="18"/>
      <c r="S39" s="18"/>
    </row>
    <row r="40" spans="1:19" x14ac:dyDescent="0.2">
      <c r="A40" s="9"/>
      <c r="B40" s="25"/>
      <c r="C40" s="38"/>
      <c r="D40" s="38"/>
      <c r="E40" s="38"/>
      <c r="F40" s="38"/>
      <c r="G40" s="38"/>
      <c r="H40" s="38"/>
      <c r="I40" s="38"/>
      <c r="J40" s="47"/>
      <c r="L40" s="2"/>
    </row>
    <row r="41" spans="1:19" x14ac:dyDescent="0.2">
      <c r="C41" s="18"/>
      <c r="J41" s="47"/>
      <c r="L41" s="2"/>
      <c r="N41" s="18"/>
      <c r="O41" s="18"/>
      <c r="P41" s="18"/>
      <c r="Q41" s="18"/>
      <c r="R41" s="18"/>
    </row>
    <row r="42" spans="1:19" x14ac:dyDescent="0.2">
      <c r="A42" t="s">
        <v>51</v>
      </c>
      <c r="B42" s="24"/>
      <c r="C42" s="39">
        <f t="shared" ref="C42:G42" si="9">AVERAGE(C31:C39)</f>
        <v>1.2239514517327992</v>
      </c>
      <c r="D42" s="39">
        <f t="shared" si="9"/>
        <v>1.0779516232710176</v>
      </c>
      <c r="E42" s="39">
        <f t="shared" si="9"/>
        <v>1.0282752494006882</v>
      </c>
      <c r="F42" s="39">
        <f t="shared" si="9"/>
        <v>1.003521180890887</v>
      </c>
      <c r="G42" s="39">
        <f t="shared" si="9"/>
        <v>1.0187482864886424</v>
      </c>
      <c r="H42" s="39">
        <f>AVERAGE(H31:H39)</f>
        <v>1.0062601213708573</v>
      </c>
      <c r="I42" s="39"/>
      <c r="J42" s="181"/>
      <c r="L42" s="2"/>
      <c r="N42" s="18"/>
      <c r="O42" s="18"/>
      <c r="P42" s="18"/>
      <c r="Q42" s="18"/>
    </row>
    <row r="43" spans="1:19" x14ac:dyDescent="0.2">
      <c r="A43" t="s">
        <v>75</v>
      </c>
      <c r="B43" s="21"/>
      <c r="C43" s="40">
        <f>(SUM(C31:C39)-MAX(C31:C39)-MIN(C31:C39))/(COUNT(C31:C39)-2)</f>
        <v>1.2272882239178451</v>
      </c>
      <c r="D43" s="40">
        <f>(SUM(D31:D39)-MAX(D31:D39)-MIN(D31:D39))/(COUNT(D31:D39)-2)</f>
        <v>1.0764208943406295</v>
      </c>
      <c r="E43" s="40">
        <f t="shared" ref="E43:H43" si="10">(SUM(E31:E39)-MAX(E31:E39)-MIN(E31:E39))/(COUNT(E31:E39)-2)</f>
        <v>1.0245767464170297</v>
      </c>
      <c r="F43" s="40">
        <f t="shared" si="10"/>
        <v>1.0004704908160194</v>
      </c>
      <c r="G43" s="40">
        <f t="shared" si="10"/>
        <v>1.0024195337587773</v>
      </c>
      <c r="H43" s="40">
        <f t="shared" si="10"/>
        <v>1.00046875</v>
      </c>
      <c r="J43" s="47"/>
      <c r="L43" s="2"/>
      <c r="N43" s="18"/>
      <c r="O43" s="18"/>
      <c r="P43" s="18"/>
    </row>
    <row r="44" spans="1:19" x14ac:dyDescent="0.2">
      <c r="A44" t="s">
        <v>76</v>
      </c>
      <c r="C44" s="39">
        <f>AVERAGE(C37:C39)</f>
        <v>1.189100547939786</v>
      </c>
      <c r="D44" s="39">
        <f>AVERAGE(D36:D38)</f>
        <v>1.0185313994521843</v>
      </c>
      <c r="E44" s="39">
        <f>AVERAGE(E35:E37)</f>
        <v>1.0313396580605174</v>
      </c>
      <c r="F44" s="39">
        <f>AVERAGE(F34:F36)</f>
        <v>1</v>
      </c>
      <c r="G44" s="39">
        <f>AVERAGE(G33:G35)</f>
        <v>1.0288276103889598</v>
      </c>
      <c r="H44" s="39">
        <f>AVERAGE(H32:H34)</f>
        <v>1.0003124999999999</v>
      </c>
      <c r="J44" s="47"/>
      <c r="L44" s="2"/>
      <c r="N44" s="18"/>
      <c r="O44" s="18"/>
    </row>
    <row r="45" spans="1:19" x14ac:dyDescent="0.2">
      <c r="A45" t="s">
        <v>52</v>
      </c>
      <c r="B45" s="24"/>
      <c r="C45" s="39">
        <f>AVERAGE(C35:C39)</f>
        <v>1.208665559318129</v>
      </c>
      <c r="D45" s="39">
        <f>AVERAGE(D34:D38)</f>
        <v>1.0457420620929589</v>
      </c>
      <c r="E45" s="39">
        <f>AVERAGE(E33:E37)</f>
        <v>1.0214268624353664</v>
      </c>
      <c r="F45" s="39">
        <f>AVERAGE(F32:F36)</f>
        <v>1.0042254170690645</v>
      </c>
      <c r="G45" s="39">
        <f>AVERAGE(G31:G35)</f>
        <v>1.0187482864886424</v>
      </c>
      <c r="H45" s="39">
        <f>AVERAGE(H31:H34)</f>
        <v>1.0062601213708573</v>
      </c>
      <c r="I45" s="39"/>
      <c r="J45" s="181"/>
      <c r="L45" s="2"/>
      <c r="N45" s="18"/>
    </row>
    <row r="46" spans="1:19" x14ac:dyDescent="0.2">
      <c r="A46" t="s">
        <v>196</v>
      </c>
      <c r="C46" s="115">
        <v>1.2</v>
      </c>
      <c r="D46" s="115">
        <v>1.0862505431352791</v>
      </c>
      <c r="E46" s="115">
        <v>1.0285043618294645</v>
      </c>
      <c r="F46" s="115">
        <v>1.0034771884853058</v>
      </c>
      <c r="G46" s="115">
        <v>1.015590665039996</v>
      </c>
      <c r="H46" s="115">
        <v>1.0062335117447239</v>
      </c>
      <c r="I46" s="115">
        <v>1</v>
      </c>
      <c r="J46" s="185"/>
      <c r="L46" s="2"/>
    </row>
    <row r="47" spans="1:19" x14ac:dyDescent="0.2">
      <c r="A47" t="s">
        <v>53</v>
      </c>
      <c r="C47" s="110">
        <v>1.2</v>
      </c>
      <c r="D47" s="110">
        <f>AVERAGE(D46,D42)</f>
        <v>1.0821010832031484</v>
      </c>
      <c r="E47" s="110">
        <f t="shared" ref="E47:I47" si="11">AVERAGE(E46,E42)</f>
        <v>1.0283898056150762</v>
      </c>
      <c r="F47" s="110">
        <f t="shared" si="11"/>
        <v>1.0034991846880965</v>
      </c>
      <c r="G47" s="110">
        <f t="shared" si="11"/>
        <v>1.017169475764319</v>
      </c>
      <c r="H47" s="110">
        <f t="shared" si="11"/>
        <v>1.0062468165577907</v>
      </c>
      <c r="I47" s="110">
        <f t="shared" si="11"/>
        <v>1</v>
      </c>
      <c r="J47" s="186"/>
      <c r="L47" s="2"/>
    </row>
    <row r="48" spans="1:19" x14ac:dyDescent="0.2">
      <c r="A48" t="s">
        <v>54</v>
      </c>
      <c r="C48" s="40">
        <f>ROUND(C47*D48,3)</f>
        <v>1.3720000000000001</v>
      </c>
      <c r="D48" s="40">
        <f t="shared" ref="D48:H48" si="12">ROUND(D47*E48,3)</f>
        <v>1.143</v>
      </c>
      <c r="E48" s="40">
        <f t="shared" si="12"/>
        <v>1.056</v>
      </c>
      <c r="F48" s="40">
        <f t="shared" si="12"/>
        <v>1.0269999999999999</v>
      </c>
      <c r="G48" s="40">
        <f t="shared" si="12"/>
        <v>1.0229999999999999</v>
      </c>
      <c r="H48" s="40">
        <f t="shared" si="12"/>
        <v>1.006</v>
      </c>
      <c r="I48" s="40">
        <f>I47</f>
        <v>1</v>
      </c>
      <c r="J48" s="120"/>
      <c r="L48" s="2"/>
    </row>
    <row r="49" spans="1:12" ht="12" thickBot="1" x14ac:dyDescent="0.25">
      <c r="A49" s="6"/>
      <c r="B49" s="6"/>
      <c r="C49" s="6"/>
      <c r="D49" s="6"/>
      <c r="E49" s="6"/>
      <c r="F49" s="6"/>
      <c r="G49" s="6"/>
      <c r="H49" s="6"/>
      <c r="I49" s="6"/>
      <c r="J49" s="47"/>
      <c r="L49" s="2"/>
    </row>
    <row r="50" spans="1:12" ht="12" thickTop="1" x14ac:dyDescent="0.2">
      <c r="J50" s="47"/>
      <c r="L50" s="2"/>
    </row>
    <row r="51" spans="1:12" x14ac:dyDescent="0.2">
      <c r="A51" t="s">
        <v>18</v>
      </c>
      <c r="J51" s="47"/>
      <c r="L51" s="2"/>
    </row>
    <row r="52" spans="1:12" x14ac:dyDescent="0.2">
      <c r="B52" s="21" t="s">
        <v>379</v>
      </c>
      <c r="J52" s="47"/>
      <c r="L52" s="2"/>
    </row>
    <row r="53" spans="1:12" x14ac:dyDescent="0.2">
      <c r="B53" s="112" t="s">
        <v>489</v>
      </c>
      <c r="J53" s="47"/>
      <c r="L53" s="2"/>
    </row>
    <row r="54" spans="1:12" x14ac:dyDescent="0.2">
      <c r="J54" s="47"/>
      <c r="L54" s="2"/>
    </row>
    <row r="55" spans="1:12" x14ac:dyDescent="0.2">
      <c r="J55" s="47"/>
      <c r="L55" s="2"/>
    </row>
    <row r="56" spans="1:12" x14ac:dyDescent="0.2">
      <c r="J56" s="47"/>
      <c r="L56" s="2"/>
    </row>
    <row r="57" spans="1:12" x14ac:dyDescent="0.2">
      <c r="L57" s="2"/>
    </row>
    <row r="58" spans="1:12" x14ac:dyDescent="0.2">
      <c r="L58" s="2"/>
    </row>
    <row r="59" spans="1:12" x14ac:dyDescent="0.2">
      <c r="L59" s="2"/>
    </row>
    <row r="60" spans="1:12" x14ac:dyDescent="0.2">
      <c r="L60" s="2"/>
    </row>
    <row r="61" spans="1:12" x14ac:dyDescent="0.2">
      <c r="L61" s="2"/>
    </row>
    <row r="62" spans="1:12" x14ac:dyDescent="0.2">
      <c r="L62" s="2"/>
    </row>
    <row r="63" spans="1:12" x14ac:dyDescent="0.2">
      <c r="L63" s="2"/>
    </row>
    <row r="64" spans="1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0">
    <tabColor rgb="FF92D050"/>
  </sheetPr>
  <dimension ref="A1:R76"/>
  <sheetViews>
    <sheetView showGridLines="0" zoomScaleNormal="100" workbookViewId="0">
      <selection activeCell="J59" sqref="J59"/>
    </sheetView>
  </sheetViews>
  <sheetFormatPr defaultColWidth="11.33203125" defaultRowHeight="11.25" x14ac:dyDescent="0.2"/>
  <cols>
    <col min="1" max="1" width="5.33203125" style="187" customWidth="1"/>
    <col min="2" max="2" width="2.6640625" style="187" customWidth="1"/>
    <col min="3" max="3" width="12.6640625" style="339" customWidth="1"/>
    <col min="4" max="4" width="10.1640625" style="187" customWidth="1"/>
    <col min="5" max="5" width="7" style="187" customWidth="1"/>
    <col min="6" max="6" width="13.83203125" style="187" customWidth="1"/>
    <col min="7" max="7" width="15" style="339" customWidth="1"/>
    <col min="8" max="8" width="12.83203125" style="187" customWidth="1"/>
    <col min="9" max="9" width="11.83203125" style="187" customWidth="1"/>
    <col min="10" max="10" width="8.5" style="187" customWidth="1"/>
    <col min="11" max="11" width="9.83203125" style="187" customWidth="1"/>
    <col min="12" max="12" width="11.33203125" style="187" customWidth="1"/>
    <col min="13" max="16384" width="11.33203125" style="187"/>
  </cols>
  <sheetData>
    <row r="1" spans="1:15" x14ac:dyDescent="0.2">
      <c r="A1" s="8" t="str">
        <f>'1'!$A$1</f>
        <v>Texas Windstorm Insurance Association</v>
      </c>
      <c r="C1" s="11"/>
      <c r="D1"/>
      <c r="E1"/>
      <c r="F1"/>
      <c r="G1" s="11"/>
      <c r="H1"/>
      <c r="I1"/>
      <c r="L1" s="7" t="s">
        <v>47</v>
      </c>
      <c r="M1" s="1"/>
    </row>
    <row r="2" spans="1:15" x14ac:dyDescent="0.2">
      <c r="A2" s="8" t="str">
        <f>'1'!$A$2</f>
        <v>Commercial Property - Wind &amp; Hail</v>
      </c>
      <c r="C2" s="11"/>
      <c r="D2"/>
      <c r="E2"/>
      <c r="F2"/>
      <c r="G2" s="11"/>
      <c r="H2"/>
      <c r="I2"/>
      <c r="L2" s="7" t="s">
        <v>65</v>
      </c>
      <c r="M2" s="2"/>
    </row>
    <row r="3" spans="1:15" x14ac:dyDescent="0.2">
      <c r="A3" s="8" t="str">
        <f>'1'!$A$3</f>
        <v>Rate Level Review</v>
      </c>
      <c r="C3" s="11"/>
      <c r="D3"/>
      <c r="E3"/>
      <c r="F3"/>
      <c r="G3" s="11"/>
      <c r="H3"/>
      <c r="I3"/>
      <c r="J3"/>
      <c r="K3"/>
      <c r="L3"/>
      <c r="M3" s="2"/>
    </row>
    <row r="4" spans="1:15" x14ac:dyDescent="0.2">
      <c r="A4" t="s">
        <v>261</v>
      </c>
      <c r="C4" s="11"/>
      <c r="D4"/>
      <c r="E4"/>
      <c r="F4"/>
      <c r="G4" s="11"/>
      <c r="H4"/>
      <c r="I4"/>
      <c r="J4"/>
      <c r="K4"/>
      <c r="L4"/>
      <c r="M4" s="2"/>
    </row>
    <row r="5" spans="1:15" x14ac:dyDescent="0.2">
      <c r="A5" s="12" t="s">
        <v>327</v>
      </c>
      <c r="C5" s="11"/>
      <c r="D5"/>
      <c r="E5"/>
      <c r="F5"/>
      <c r="G5" s="11"/>
      <c r="H5"/>
      <c r="I5"/>
      <c r="J5"/>
      <c r="K5"/>
      <c r="L5"/>
      <c r="M5" s="2"/>
    </row>
    <row r="6" spans="1:15" hidden="1" x14ac:dyDescent="0.2">
      <c r="A6"/>
      <c r="B6"/>
      <c r="C6" s="11"/>
      <c r="D6"/>
      <c r="E6"/>
      <c r="F6"/>
      <c r="G6" s="11"/>
      <c r="H6"/>
      <c r="I6"/>
      <c r="J6"/>
      <c r="K6"/>
      <c r="L6"/>
      <c r="M6" s="2"/>
    </row>
    <row r="7" spans="1:15" ht="12" thickBot="1" x14ac:dyDescent="0.25">
      <c r="A7" s="6"/>
      <c r="B7" s="6"/>
      <c r="C7" s="335"/>
      <c r="D7" s="6"/>
      <c r="E7" s="6"/>
      <c r="F7" s="6"/>
      <c r="G7" s="335"/>
      <c r="H7" s="6"/>
      <c r="I7" s="6"/>
      <c r="J7" s="6"/>
      <c r="K7" s="6"/>
      <c r="L7" s="6"/>
      <c r="M7" s="2"/>
    </row>
    <row r="8" spans="1:15" ht="12" thickTop="1" x14ac:dyDescent="0.2">
      <c r="A8"/>
      <c r="B8"/>
      <c r="C8" s="11"/>
      <c r="D8"/>
      <c r="E8"/>
      <c r="F8" t="s">
        <v>226</v>
      </c>
      <c r="G8" s="376" t="s">
        <v>51</v>
      </c>
      <c r="H8" s="47" t="s">
        <v>575</v>
      </c>
      <c r="I8"/>
      <c r="J8"/>
      <c r="K8"/>
      <c r="L8"/>
      <c r="M8" s="2"/>
    </row>
    <row r="9" spans="1:15" x14ac:dyDescent="0.2">
      <c r="A9"/>
      <c r="B9"/>
      <c r="C9" s="11"/>
      <c r="D9" s="12"/>
      <c r="E9" t="s">
        <v>362</v>
      </c>
      <c r="F9" t="s">
        <v>232</v>
      </c>
      <c r="G9" s="24" t="s">
        <v>185</v>
      </c>
      <c r="H9" t="s">
        <v>576</v>
      </c>
      <c r="I9"/>
      <c r="J9"/>
      <c r="K9"/>
      <c r="L9"/>
      <c r="M9" s="2"/>
    </row>
    <row r="10" spans="1:15" x14ac:dyDescent="0.2">
      <c r="A10" t="s">
        <v>262</v>
      </c>
      <c r="B10"/>
      <c r="C10" s="339" t="s">
        <v>507</v>
      </c>
      <c r="D10" t="s">
        <v>226</v>
      </c>
      <c r="E10" t="s">
        <v>222</v>
      </c>
      <c r="F10" s="187" t="s">
        <v>328</v>
      </c>
      <c r="G10" s="334" t="s">
        <v>329</v>
      </c>
      <c r="H10" s="187" t="s">
        <v>577</v>
      </c>
      <c r="I10" s="10" t="s">
        <v>330</v>
      </c>
      <c r="J10"/>
      <c r="K10"/>
      <c r="L10"/>
      <c r="M10" s="2"/>
      <c r="N10" t="s">
        <v>263</v>
      </c>
    </row>
    <row r="11" spans="1:15" x14ac:dyDescent="0.2">
      <c r="A11" s="9" t="s">
        <v>264</v>
      </c>
      <c r="B11" s="9"/>
      <c r="C11" s="336" t="s">
        <v>226</v>
      </c>
      <c r="D11" s="9" t="s">
        <v>97</v>
      </c>
      <c r="E11" s="9" t="s">
        <v>363</v>
      </c>
      <c r="F11" s="9" t="s">
        <v>226</v>
      </c>
      <c r="G11" s="377" t="s">
        <v>508</v>
      </c>
      <c r="H11" s="374" t="s">
        <v>578</v>
      </c>
      <c r="I11" s="396" t="s">
        <v>331</v>
      </c>
      <c r="J11" s="9" t="s">
        <v>319</v>
      </c>
      <c r="K11" s="9" t="s">
        <v>320</v>
      </c>
      <c r="L11" s="9" t="s">
        <v>321</v>
      </c>
      <c r="M11" s="2"/>
      <c r="N11" s="117" t="s">
        <v>27</v>
      </c>
      <c r="O11" s="189" t="s">
        <v>265</v>
      </c>
    </row>
    <row r="12" spans="1:15" x14ac:dyDescent="0.2">
      <c r="A12" s="13" t="str">
        <f>TEXT(COLUMN(),"(#)")</f>
        <v>(1)</v>
      </c>
      <c r="B12" s="13"/>
      <c r="C12" s="11" t="str">
        <f t="shared" ref="C12:L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375" t="s">
        <v>93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 t="str">
        <f t="shared" si="0"/>
        <v>(11)</v>
      </c>
      <c r="M12" s="2"/>
    </row>
    <row r="13" spans="1:15" x14ac:dyDescent="0.2">
      <c r="A13" s="75" t="str">
        <f>YEAR(N13)&amp;" / "&amp;MONTH(N13)/3</f>
        <v>2010 / 1</v>
      </c>
      <c r="B13" s="13"/>
      <c r="C13" s="337">
        <f>'[3]TWIA 4 Premium Trend'!$C17</f>
        <v>7811</v>
      </c>
      <c r="D13" s="337">
        <f>'[3]TWIA 4 Premium Trend'!$B17</f>
        <v>23376688</v>
      </c>
      <c r="E13" s="37">
        <f>'[4]3.2 premium trend'!$E17</f>
        <v>1.4071004226562505</v>
      </c>
      <c r="F13" s="294">
        <f t="shared" ref="F13:F18" si="1">D13*E13</f>
        <v>32893347.5651033</v>
      </c>
      <c r="G13" s="310">
        <f>F13/C13</f>
        <v>4211.1570304830748</v>
      </c>
      <c r="H13" s="11"/>
      <c r="I13" s="11"/>
      <c r="J13" s="11"/>
      <c r="K13" s="11"/>
      <c r="L13" s="11"/>
      <c r="M13" s="2"/>
      <c r="N13" s="189">
        <f>DATE(YEAR(N14+1),MONTH(N14+1)-3,1)-1</f>
        <v>40268</v>
      </c>
      <c r="O13" s="190">
        <f>YEAR(N13)+MONTH(N13)/12</f>
        <v>2010.25</v>
      </c>
    </row>
    <row r="14" spans="1:15" x14ac:dyDescent="0.2">
      <c r="A14" s="75" t="str">
        <f t="shared" ref="A14:A21" si="2">YEAR(N14)&amp;" / "&amp;MONTH(N14)/3</f>
        <v>2010 / 2</v>
      </c>
      <c r="B14" s="13"/>
      <c r="C14" s="337">
        <f>'[3]TWIA 4 Premium Trend'!$C18</f>
        <v>10820</v>
      </c>
      <c r="D14" s="337">
        <f>'[3]TWIA 4 Premium Trend'!$B18</f>
        <v>34131354</v>
      </c>
      <c r="E14" s="37">
        <f>'[4]3.2 premium trend'!$E18</f>
        <v>1.4071004226562505</v>
      </c>
      <c r="F14" s="294">
        <f t="shared" si="1"/>
        <v>48026242.639230102</v>
      </c>
      <c r="G14" s="310">
        <f>F14/C14</f>
        <v>4438.6545877292147</v>
      </c>
      <c r="H14" s="11"/>
      <c r="I14" s="11"/>
      <c r="J14" s="11"/>
      <c r="K14" s="11"/>
      <c r="L14" s="11"/>
      <c r="M14" s="2"/>
      <c r="N14" s="189">
        <f t="shared" ref="N14:N21" si="3">DATE(YEAR(N15+1),MONTH(N15+1)-3,1)-1</f>
        <v>40359</v>
      </c>
      <c r="O14" s="190">
        <f t="shared" ref="O14:O21" si="4">YEAR(N14)+MONTH(N14)/12</f>
        <v>2010.5</v>
      </c>
    </row>
    <row r="15" spans="1:15" x14ac:dyDescent="0.2">
      <c r="A15" s="75" t="str">
        <f t="shared" si="2"/>
        <v>2010 / 3</v>
      </c>
      <c r="B15" s="13"/>
      <c r="C15" s="337">
        <f>'[3]TWIA 4 Premium Trend'!$C19</f>
        <v>11668</v>
      </c>
      <c r="D15" s="337">
        <f>'[3]TWIA 4 Premium Trend'!$B19</f>
        <v>31767550</v>
      </c>
      <c r="E15" s="37">
        <f>'[4]3.2 premium trend'!$E19</f>
        <v>1.4071004226562505</v>
      </c>
      <c r="F15" s="294">
        <f t="shared" si="1"/>
        <v>44700133.03175357</v>
      </c>
      <c r="G15" s="310">
        <f t="shared" ref="G15:G52" si="5">F15/C15</f>
        <v>3831.0021453336963</v>
      </c>
      <c r="H15" s="11"/>
      <c r="I15" s="11"/>
      <c r="J15" s="11"/>
      <c r="K15" s="11"/>
      <c r="L15" s="11"/>
      <c r="M15" s="2"/>
      <c r="N15" s="189">
        <f t="shared" si="3"/>
        <v>40451</v>
      </c>
      <c r="O15" s="190">
        <f t="shared" si="4"/>
        <v>2010.75</v>
      </c>
    </row>
    <row r="16" spans="1:15" x14ac:dyDescent="0.2">
      <c r="A16" s="75" t="str">
        <f t="shared" si="2"/>
        <v>2010 / 4</v>
      </c>
      <c r="B16" s="13"/>
      <c r="C16" s="337">
        <f>'[3]TWIA 4 Premium Trend'!$C20</f>
        <v>8548</v>
      </c>
      <c r="D16" s="337">
        <f>'[3]TWIA 4 Premium Trend'!$B20</f>
        <v>20776517</v>
      </c>
      <c r="E16" s="37">
        <f>'[4]3.2 premium trend'!$E20</f>
        <v>1.4071004226562505</v>
      </c>
      <c r="F16" s="294">
        <f t="shared" si="1"/>
        <v>29234645.852024771</v>
      </c>
      <c r="G16" s="310">
        <f t="shared" si="5"/>
        <v>3420.0568380936793</v>
      </c>
      <c r="H16" s="379">
        <f>IFERROR(SUM(F13:F16)/SUM(C13:C16),0)</f>
        <v>3986.2632658406501</v>
      </c>
      <c r="I16" s="11"/>
      <c r="J16" s="11"/>
      <c r="K16" s="11"/>
      <c r="L16" s="11"/>
      <c r="M16" s="2"/>
      <c r="N16" s="189">
        <f t="shared" si="3"/>
        <v>40543</v>
      </c>
      <c r="O16" s="190">
        <f t="shared" si="4"/>
        <v>2011</v>
      </c>
    </row>
    <row r="17" spans="1:18" x14ac:dyDescent="0.2">
      <c r="A17" s="75" t="str">
        <f t="shared" si="2"/>
        <v>2011 / 1</v>
      </c>
      <c r="B17"/>
      <c r="C17" s="337">
        <f>'[3]TWIA 4 Premium Trend'!$C21</f>
        <v>6214</v>
      </c>
      <c r="D17" s="337">
        <f>'[3]TWIA 4 Premium Trend'!$B21</f>
        <v>19850492</v>
      </c>
      <c r="E17" s="37">
        <f>'[4]3.2 premium trend'!$E21</f>
        <v>1.3400956406250004</v>
      </c>
      <c r="F17" s="294">
        <f t="shared" si="1"/>
        <v>26601557.793461446</v>
      </c>
      <c r="G17" s="310">
        <f t="shared" si="5"/>
        <v>4280.9072728454212</v>
      </c>
      <c r="H17" s="379">
        <f>IFERROR(SUM(F14:F17)/SUM(C14:C17),0)</f>
        <v>3988.2571628582518</v>
      </c>
      <c r="I17" s="345">
        <f>GROWTH($H$17:$H$52,$O$17:$O$52,$O17,1)</f>
        <v>4037.2376389639971</v>
      </c>
      <c r="J17"/>
      <c r="K17"/>
      <c r="L17"/>
      <c r="M17" s="2"/>
      <c r="N17" s="189">
        <f t="shared" si="3"/>
        <v>40633</v>
      </c>
      <c r="O17" s="190">
        <f t="shared" si="4"/>
        <v>2011.25</v>
      </c>
      <c r="P17" s="295"/>
      <c r="Q17" s="295"/>
    </row>
    <row r="18" spans="1:18" x14ac:dyDescent="0.2">
      <c r="A18" s="75" t="str">
        <f t="shared" si="2"/>
        <v>2011 / 2</v>
      </c>
      <c r="B18"/>
      <c r="C18" s="337">
        <f>'[3]TWIA 4 Premium Trend'!$C22</f>
        <v>9658</v>
      </c>
      <c r="D18" s="337">
        <f>'[3]TWIA 4 Premium Trend'!$B22</f>
        <v>29228333</v>
      </c>
      <c r="E18" s="37">
        <f>'[4]3.2 premium trend'!$E22</f>
        <v>1.3400956406250004</v>
      </c>
      <c r="F18" s="294">
        <f t="shared" si="1"/>
        <v>39168761.636035837</v>
      </c>
      <c r="G18" s="310">
        <f t="shared" si="5"/>
        <v>4055.5768933563718</v>
      </c>
      <c r="H18" s="379">
        <f t="shared" ref="H18:H51" si="6">IFERROR(SUM(F15:F18)/SUM(C15:C18),0)</f>
        <v>3871.2341585367881</v>
      </c>
      <c r="I18" s="345">
        <f t="shared" ref="I18:I51" si="7">GROWTH($H$17:$H$52,$O$17:$O$52,$O18,1)</f>
        <v>4045.9351536159206</v>
      </c>
      <c r="J18"/>
      <c r="K18" s="112"/>
      <c r="L18" s="112"/>
      <c r="M18" s="2"/>
      <c r="N18" s="189">
        <f t="shared" si="3"/>
        <v>40724</v>
      </c>
      <c r="O18" s="190">
        <f t="shared" si="4"/>
        <v>2011.5</v>
      </c>
      <c r="P18" s="295"/>
      <c r="Q18" s="295"/>
    </row>
    <row r="19" spans="1:18" x14ac:dyDescent="0.2">
      <c r="A19" s="75" t="str">
        <f t="shared" si="2"/>
        <v>2011 / 3</v>
      </c>
      <c r="C19" s="337">
        <f>'[3]TWIA 4 Premium Trend'!$C23</f>
        <v>10928</v>
      </c>
      <c r="D19" s="337">
        <f>'[3]TWIA 4 Premium Trend'!$B23</f>
        <v>31567447</v>
      </c>
      <c r="E19" s="37">
        <f>'[4]3.2 premium trend'!$E23</f>
        <v>1.3400956406250004</v>
      </c>
      <c r="F19" s="294">
        <f t="shared" ref="F19:F51" si="8">D19*E19</f>
        <v>42303398.110360749</v>
      </c>
      <c r="G19" s="310">
        <f t="shared" si="5"/>
        <v>3871.1015840374039</v>
      </c>
      <c r="H19" s="379">
        <f t="shared" si="6"/>
        <v>3884.4733334808989</v>
      </c>
      <c r="I19" s="345">
        <f t="shared" si="7"/>
        <v>4054.6514055253165</v>
      </c>
      <c r="J19" s="18"/>
      <c r="K19" s="18"/>
      <c r="L19" s="18"/>
      <c r="M19" s="2"/>
      <c r="N19" s="189">
        <f t="shared" si="3"/>
        <v>40816</v>
      </c>
      <c r="O19" s="190">
        <f t="shared" si="4"/>
        <v>2011.75</v>
      </c>
      <c r="P19" s="295"/>
      <c r="Q19" s="295"/>
    </row>
    <row r="20" spans="1:18" x14ac:dyDescent="0.2">
      <c r="A20" s="75" t="str">
        <f t="shared" si="2"/>
        <v>2011 / 4</v>
      </c>
      <c r="C20" s="337">
        <f>'[3]TWIA 4 Premium Trend'!$C24</f>
        <v>7912</v>
      </c>
      <c r="D20" s="337">
        <f>'[3]TWIA 4 Premium Trend'!$B24</f>
        <v>23026165</v>
      </c>
      <c r="E20" s="37">
        <f>'[4]3.2 premium trend'!$E24</f>
        <v>1.3400956406250004</v>
      </c>
      <c r="F20" s="294">
        <f t="shared" si="8"/>
        <v>30857263.336811963</v>
      </c>
      <c r="G20" s="310">
        <f t="shared" si="5"/>
        <v>3900.0585612755262</v>
      </c>
      <c r="H20" s="379">
        <f t="shared" si="6"/>
        <v>4002.3905530269071</v>
      </c>
      <c r="I20" s="345">
        <f t="shared" si="7"/>
        <v>4063.3864350582935</v>
      </c>
      <c r="J20" s="18"/>
      <c r="K20" s="18"/>
      <c r="L20" s="18"/>
      <c r="M20" s="2"/>
      <c r="N20" s="189">
        <f t="shared" si="3"/>
        <v>40908</v>
      </c>
      <c r="O20" s="190">
        <f t="shared" si="4"/>
        <v>2012</v>
      </c>
      <c r="P20" s="295"/>
      <c r="Q20" s="295"/>
    </row>
    <row r="21" spans="1:18" x14ac:dyDescent="0.2">
      <c r="A21" s="75" t="str">
        <f t="shared" si="2"/>
        <v>2012 / 1</v>
      </c>
      <c r="B21"/>
      <c r="C21" s="337">
        <f>'[3]TWIA 4 Premium Trend'!$C25</f>
        <v>7909</v>
      </c>
      <c r="D21" s="337">
        <f>'[3]TWIA 4 Premium Trend'!$B25</f>
        <v>24771378</v>
      </c>
      <c r="E21" s="37">
        <f>'[4]3.2 premium trend'!$E25</f>
        <v>1.2762815625000004</v>
      </c>
      <c r="F21" s="294">
        <f>D21*E21</f>
        <v>31615253.019118134</v>
      </c>
      <c r="G21" s="310">
        <f t="shared" si="5"/>
        <v>3997.3767883573314</v>
      </c>
      <c r="H21" s="379">
        <f t="shared" si="6"/>
        <v>3953.7637295664758</v>
      </c>
      <c r="I21" s="345">
        <f t="shared" si="7"/>
        <v>4072.1402826679364</v>
      </c>
      <c r="M21" s="2"/>
      <c r="N21" s="189">
        <f t="shared" si="3"/>
        <v>40999</v>
      </c>
      <c r="O21" s="190">
        <f t="shared" si="4"/>
        <v>2012.25</v>
      </c>
      <c r="P21" s="295"/>
      <c r="Q21" s="295"/>
    </row>
    <row r="22" spans="1:18" x14ac:dyDescent="0.2">
      <c r="A22" s="75" t="str">
        <f t="shared" ref="A22:A52" si="9">YEAR(N22)&amp;" / "&amp;MONTH(N22)/3</f>
        <v>2012 / 2</v>
      </c>
      <c r="B22" s="48"/>
      <c r="C22" s="337">
        <f>'[3]TWIA 4 Premium Trend'!$C26</f>
        <v>9232</v>
      </c>
      <c r="D22" s="337">
        <f>'[3]TWIA 4 Premium Trend'!$B26</f>
        <v>32088566</v>
      </c>
      <c r="E22" s="37">
        <f>'[4]3.2 premium trend'!$E26</f>
        <v>1.2762815625000004</v>
      </c>
      <c r="F22" s="294">
        <f t="shared" si="8"/>
        <v>40954045.152864389</v>
      </c>
      <c r="G22" s="310">
        <f t="shared" si="5"/>
        <v>4436.0967453275989</v>
      </c>
      <c r="H22" s="379">
        <f t="shared" si="6"/>
        <v>4050.1920352173433</v>
      </c>
      <c r="I22" s="345">
        <f t="shared" si="7"/>
        <v>4080.9129888944344</v>
      </c>
      <c r="J22" s="120"/>
      <c r="K22" s="120"/>
      <c r="L22" s="120"/>
      <c r="M22" s="2"/>
      <c r="N22" s="189">
        <f t="shared" ref="N22:N47" si="10">DATE(YEAR(N23+1),MONTH(N23+1)-3,1)-1</f>
        <v>41090</v>
      </c>
      <c r="O22" s="190">
        <f t="shared" ref="O22:O47" si="11">YEAR(N22)+MONTH(N22)/12</f>
        <v>2012.5</v>
      </c>
      <c r="P22" s="298"/>
      <c r="Q22" s="295"/>
      <c r="R22" s="192"/>
    </row>
    <row r="23" spans="1:18" x14ac:dyDescent="0.2">
      <c r="A23" s="75" t="str">
        <f t="shared" si="9"/>
        <v>2012 / 3</v>
      </c>
      <c r="C23" s="337">
        <f>'[3]TWIA 4 Premium Trend'!$C27</f>
        <v>10836</v>
      </c>
      <c r="D23" s="337">
        <f>'[3]TWIA 4 Premium Trend'!$B27</f>
        <v>32876434</v>
      </c>
      <c r="E23" s="37">
        <f>'[4]3.2 premium trend'!$E27</f>
        <v>1.2762815625000004</v>
      </c>
      <c r="F23" s="294">
        <f t="shared" si="8"/>
        <v>41959586.554948136</v>
      </c>
      <c r="G23" s="310">
        <f t="shared" si="5"/>
        <v>3872.2394384411346</v>
      </c>
      <c r="H23" s="379">
        <f t="shared" si="6"/>
        <v>4050.9946798111578</v>
      </c>
      <c r="I23" s="345">
        <f t="shared" si="7"/>
        <v>4089.7045943653575</v>
      </c>
      <c r="M23" s="2"/>
      <c r="N23" s="189">
        <f t="shared" si="10"/>
        <v>41182</v>
      </c>
      <c r="O23" s="190">
        <f t="shared" si="11"/>
        <v>2012.75</v>
      </c>
      <c r="P23" s="298"/>
      <c r="Q23" s="295"/>
      <c r="R23" s="192"/>
    </row>
    <row r="24" spans="1:18" x14ac:dyDescent="0.2">
      <c r="A24" s="75" t="str">
        <f t="shared" si="9"/>
        <v>2012 / 4</v>
      </c>
      <c r="C24" s="337">
        <f>'[3]TWIA 4 Premium Trend'!$C28</f>
        <v>7698</v>
      </c>
      <c r="D24" s="337">
        <f>'[3]TWIA 4 Premium Trend'!$B28</f>
        <v>24799106</v>
      </c>
      <c r="E24" s="37">
        <f>'[4]3.2 premium trend'!$E28</f>
        <v>1.2762815625000004</v>
      </c>
      <c r="F24" s="294">
        <f t="shared" si="8"/>
        <v>31650641.754283134</v>
      </c>
      <c r="G24" s="310">
        <f t="shared" si="5"/>
        <v>4111.5408877998352</v>
      </c>
      <c r="H24" s="379">
        <f t="shared" si="6"/>
        <v>4097.5340289057831</v>
      </c>
      <c r="I24" s="345">
        <f t="shared" si="7"/>
        <v>4098.515139795787</v>
      </c>
      <c r="J24" s="191"/>
      <c r="K24" s="191"/>
      <c r="L24" s="191"/>
      <c r="M24" s="2"/>
      <c r="N24" s="189">
        <f t="shared" si="10"/>
        <v>41274</v>
      </c>
      <c r="O24" s="190">
        <f t="shared" si="11"/>
        <v>2013</v>
      </c>
      <c r="P24" s="298"/>
      <c r="Q24" s="295"/>
      <c r="R24" s="192"/>
    </row>
    <row r="25" spans="1:18" x14ac:dyDescent="0.2">
      <c r="A25" s="75" t="str">
        <f t="shared" si="9"/>
        <v>2013 / 1</v>
      </c>
      <c r="B25"/>
      <c r="C25" s="337">
        <f>'[3]TWIA 4 Premium Trend'!$C29</f>
        <v>7144</v>
      </c>
      <c r="D25" s="337">
        <f>'[3]TWIA 4 Premium Trend'!$B29</f>
        <v>24974712</v>
      </c>
      <c r="E25" s="37">
        <f>'[4]3.2 premium trend'!$E29</f>
        <v>1.2155062500000002</v>
      </c>
      <c r="F25" s="294">
        <f>D25*E25</f>
        <v>30356918.527950007</v>
      </c>
      <c r="G25" s="310">
        <f t="shared" si="5"/>
        <v>4249.2887077197656</v>
      </c>
      <c r="H25" s="379">
        <f t="shared" si="6"/>
        <v>4151.280205959486</v>
      </c>
      <c r="I25" s="345">
        <f t="shared" si="7"/>
        <v>4107.3446659885158</v>
      </c>
      <c r="J25" s="191"/>
      <c r="K25" s="191"/>
      <c r="L25" s="191"/>
      <c r="M25" s="2"/>
      <c r="N25" s="189">
        <f t="shared" si="10"/>
        <v>41364</v>
      </c>
      <c r="O25" s="190">
        <f t="shared" si="11"/>
        <v>2013.25</v>
      </c>
      <c r="P25" s="298"/>
      <c r="Q25" s="295"/>
      <c r="R25" s="192"/>
    </row>
    <row r="26" spans="1:18" x14ac:dyDescent="0.2">
      <c r="A26" s="75" t="str">
        <f t="shared" si="9"/>
        <v>2013 / 2</v>
      </c>
      <c r="B26" s="24"/>
      <c r="C26" s="337">
        <f>'[3]TWIA 4 Premium Trend'!$C30</f>
        <v>9194</v>
      </c>
      <c r="D26" s="337">
        <f>'[3]TWIA 4 Premium Trend'!$B30</f>
        <v>32706056</v>
      </c>
      <c r="E26" s="37">
        <f>'[4]3.2 premium trend'!$E30</f>
        <v>1.2155062500000002</v>
      </c>
      <c r="F26" s="294">
        <f t="shared" si="8"/>
        <v>39754415.480850011</v>
      </c>
      <c r="G26" s="310">
        <f t="shared" si="5"/>
        <v>4323.9520862355894</v>
      </c>
      <c r="H26" s="379">
        <f t="shared" si="6"/>
        <v>4121.4029111617137</v>
      </c>
      <c r="I26" s="345">
        <f t="shared" si="7"/>
        <v>4116.1932138342399</v>
      </c>
      <c r="J26" s="191"/>
      <c r="K26" s="191"/>
      <c r="L26" s="191"/>
      <c r="M26" s="2"/>
      <c r="N26" s="189">
        <f t="shared" si="10"/>
        <v>41455</v>
      </c>
      <c r="O26" s="190">
        <f t="shared" si="11"/>
        <v>2013.5</v>
      </c>
      <c r="P26" s="300"/>
      <c r="Q26" s="295"/>
      <c r="R26" s="192"/>
    </row>
    <row r="27" spans="1:18" x14ac:dyDescent="0.2">
      <c r="A27" s="75" t="str">
        <f t="shared" si="9"/>
        <v>2013 / 3</v>
      </c>
      <c r="B27" s="24"/>
      <c r="C27" s="337">
        <f>'[3]TWIA 4 Premium Trend'!$C31</f>
        <v>10002</v>
      </c>
      <c r="D27" s="337">
        <f>'[3]TWIA 4 Premium Trend'!$B31</f>
        <v>35220808</v>
      </c>
      <c r="E27" s="37">
        <f>'[4]3.2 premium trend'!$E31</f>
        <v>1.2155062500000002</v>
      </c>
      <c r="F27" s="294">
        <f t="shared" si="8"/>
        <v>42811112.254050009</v>
      </c>
      <c r="G27" s="310">
        <f>F27/C27</f>
        <v>4280.255174370127</v>
      </c>
      <c r="H27" s="379">
        <f>IFERROR(SUM(F24:F27)/SUM(C24:C27),0)</f>
        <v>4247.4025505944292</v>
      </c>
      <c r="I27" s="345">
        <f t="shared" si="7"/>
        <v>4125.0608243117495</v>
      </c>
      <c r="J27" s="191"/>
      <c r="K27" s="191"/>
      <c r="L27" s="191"/>
      <c r="M27" s="2"/>
      <c r="N27" s="189">
        <f t="shared" si="10"/>
        <v>41547</v>
      </c>
      <c r="O27" s="190">
        <f t="shared" si="11"/>
        <v>2013.75</v>
      </c>
      <c r="P27" s="300"/>
      <c r="Q27" s="295"/>
      <c r="R27" s="192"/>
    </row>
    <row r="28" spans="1:18" x14ac:dyDescent="0.2">
      <c r="A28" s="75" t="str">
        <f t="shared" si="9"/>
        <v>2013 / 4</v>
      </c>
      <c r="B28" s="24"/>
      <c r="C28" s="337">
        <f>'[3]TWIA 4 Premium Trend'!$C32</f>
        <v>7133</v>
      </c>
      <c r="D28" s="337">
        <f>'[3]TWIA 4 Premium Trend'!$B32</f>
        <v>24211988</v>
      </c>
      <c r="E28" s="37">
        <f>'[4]3.2 premium trend'!$E32</f>
        <v>1.2155062500000002</v>
      </c>
      <c r="F28" s="294">
        <f t="shared" si="8"/>
        <v>29429822.738925006</v>
      </c>
      <c r="G28" s="310">
        <f t="shared" si="5"/>
        <v>4125.8688825073614</v>
      </c>
      <c r="H28" s="379">
        <f t="shared" si="6"/>
        <v>4252.7490515273512</v>
      </c>
      <c r="I28" s="345">
        <f t="shared" si="7"/>
        <v>4133.9475384881116</v>
      </c>
      <c r="J28" s="191"/>
      <c r="K28" s="191"/>
      <c r="L28" s="191"/>
      <c r="M28" s="2"/>
      <c r="N28" s="189">
        <f t="shared" si="10"/>
        <v>41639</v>
      </c>
      <c r="O28" s="190">
        <f t="shared" si="11"/>
        <v>2014</v>
      </c>
      <c r="P28" s="300"/>
      <c r="Q28" s="295"/>
      <c r="R28" s="192"/>
    </row>
    <row r="29" spans="1:18" x14ac:dyDescent="0.2">
      <c r="A29" s="75" t="str">
        <f t="shared" si="9"/>
        <v>2014 / 1</v>
      </c>
      <c r="B29" s="24"/>
      <c r="C29" s="337">
        <f>'[3]TWIA 4 Premium Trend'!$C33</f>
        <v>6329</v>
      </c>
      <c r="D29" s="337">
        <f>'[3]TWIA 4 Premium Trend'!$B33</f>
        <v>23028882</v>
      </c>
      <c r="E29" s="37">
        <f>'[4]3.2 premium trend'!$E33</f>
        <v>1.1576250000000001</v>
      </c>
      <c r="F29" s="294">
        <f t="shared" si="8"/>
        <v>26658809.525250003</v>
      </c>
      <c r="G29" s="310">
        <f t="shared" si="5"/>
        <v>4212.1677240085328</v>
      </c>
      <c r="H29" s="379">
        <f t="shared" si="6"/>
        <v>4245.641496695298</v>
      </c>
      <c r="I29" s="345">
        <f t="shared" si="7"/>
        <v>4142.8533975188702</v>
      </c>
      <c r="J29" s="198"/>
      <c r="K29" s="198"/>
      <c r="L29" s="198"/>
      <c r="M29" s="2"/>
      <c r="N29" s="189">
        <f t="shared" si="10"/>
        <v>41729</v>
      </c>
      <c r="O29" s="190">
        <f t="shared" si="11"/>
        <v>2014.25</v>
      </c>
      <c r="P29" s="300"/>
      <c r="Q29" s="295"/>
      <c r="R29" s="192"/>
    </row>
    <row r="30" spans="1:18" x14ac:dyDescent="0.2">
      <c r="A30" s="75" t="str">
        <f t="shared" si="9"/>
        <v>2014 / 2</v>
      </c>
      <c r="B30" s="24"/>
      <c r="C30" s="337">
        <f>'[3]TWIA 4 Premium Trend'!$C34</f>
        <v>8964</v>
      </c>
      <c r="D30" s="337">
        <f>'[3]TWIA 4 Premium Trend'!$B34</f>
        <v>35219745</v>
      </c>
      <c r="E30" s="37">
        <f>'[4]3.2 premium trend'!$E34</f>
        <v>1.1576250000000001</v>
      </c>
      <c r="F30" s="294">
        <f t="shared" si="8"/>
        <v>40771257.305625007</v>
      </c>
      <c r="G30" s="310">
        <f t="shared" si="5"/>
        <v>4548.3330327560252</v>
      </c>
      <c r="H30" s="379">
        <f t="shared" si="6"/>
        <v>4307.1111947653271</v>
      </c>
      <c r="I30" s="345">
        <f t="shared" si="7"/>
        <v>4151.7784426482258</v>
      </c>
      <c r="J30" s="198"/>
      <c r="K30" s="198"/>
      <c r="L30" s="198"/>
      <c r="M30" s="2"/>
      <c r="N30" s="189">
        <f t="shared" si="10"/>
        <v>41820</v>
      </c>
      <c r="O30" s="190">
        <f t="shared" si="11"/>
        <v>2014.5</v>
      </c>
      <c r="P30" s="300"/>
      <c r="Q30" s="295"/>
      <c r="R30" s="192"/>
    </row>
    <row r="31" spans="1:18" x14ac:dyDescent="0.2">
      <c r="A31" s="75" t="str">
        <f t="shared" si="9"/>
        <v>2014 / 3</v>
      </c>
      <c r="B31" s="24"/>
      <c r="C31" s="337">
        <f>'[3]TWIA 4 Premium Trend'!$C35</f>
        <v>8292</v>
      </c>
      <c r="D31" s="337">
        <f>'[3]TWIA 4 Premium Trend'!$B35</f>
        <v>29887118</v>
      </c>
      <c r="E31" s="37">
        <f>'[4]3.2 premium trend'!$E35</f>
        <v>1.1576250000000001</v>
      </c>
      <c r="F31" s="294">
        <f t="shared" si="8"/>
        <v>34598074.974750005</v>
      </c>
      <c r="G31" s="310">
        <f t="shared" si="5"/>
        <v>4172.4644204956594</v>
      </c>
      <c r="H31" s="379">
        <f t="shared" si="6"/>
        <v>4279.5092305667695</v>
      </c>
      <c r="I31" s="345">
        <f t="shared" si="7"/>
        <v>4160.7227152092391</v>
      </c>
      <c r="J31" s="198"/>
      <c r="K31" s="198"/>
      <c r="L31" s="198"/>
      <c r="M31" s="2"/>
      <c r="N31" s="189">
        <f t="shared" si="10"/>
        <v>41912</v>
      </c>
      <c r="O31" s="190">
        <f t="shared" si="11"/>
        <v>2014.75</v>
      </c>
      <c r="P31" s="300"/>
      <c r="Q31" s="295"/>
      <c r="R31" s="192"/>
    </row>
    <row r="32" spans="1:18" x14ac:dyDescent="0.2">
      <c r="A32" s="75" t="str">
        <f t="shared" si="9"/>
        <v>2014 / 4</v>
      </c>
      <c r="B32" s="24"/>
      <c r="C32" s="337">
        <f>'[3]TWIA 4 Premium Trend'!$C36</f>
        <v>6088</v>
      </c>
      <c r="D32" s="337">
        <f>'[3]TWIA 4 Premium Trend'!$B36</f>
        <v>21627063</v>
      </c>
      <c r="E32" s="37">
        <f>'[4]3.2 premium trend'!$E36</f>
        <v>1.1576250000000001</v>
      </c>
      <c r="F32" s="294">
        <f t="shared" si="8"/>
        <v>25036028.805375002</v>
      </c>
      <c r="G32" s="310">
        <f t="shared" si="5"/>
        <v>4112.3568997002303</v>
      </c>
      <c r="H32" s="379">
        <f t="shared" si="6"/>
        <v>4282.147764331211</v>
      </c>
      <c r="I32" s="345">
        <f t="shared" si="7"/>
        <v>4169.6862566240088</v>
      </c>
      <c r="J32" s="198"/>
      <c r="K32" s="198"/>
      <c r="L32" s="198"/>
      <c r="M32" s="2"/>
      <c r="N32" s="189">
        <f t="shared" si="10"/>
        <v>42004</v>
      </c>
      <c r="O32" s="190">
        <f t="shared" si="11"/>
        <v>2015</v>
      </c>
      <c r="P32" s="300"/>
      <c r="Q32" s="295"/>
      <c r="R32" s="192"/>
    </row>
    <row r="33" spans="1:18" x14ac:dyDescent="0.2">
      <c r="A33" s="75" t="str">
        <f t="shared" si="9"/>
        <v>2015 / 1</v>
      </c>
      <c r="B33" s="24"/>
      <c r="C33" s="337">
        <f>'[3]TWIA 4 Premium Trend'!$C37</f>
        <v>6464</v>
      </c>
      <c r="D33" s="337">
        <f>'[3]TWIA 4 Premium Trend'!$B37</f>
        <v>24808373</v>
      </c>
      <c r="E33" s="37">
        <f>'[4]3.2 premium trend'!$E37</f>
        <v>1.1025</v>
      </c>
      <c r="F33" s="294">
        <f t="shared" si="8"/>
        <v>27351231.232500002</v>
      </c>
      <c r="G33" s="310">
        <f t="shared" si="5"/>
        <v>4231.3167129486392</v>
      </c>
      <c r="H33" s="379">
        <f t="shared" si="6"/>
        <v>4285.9833708484302</v>
      </c>
      <c r="I33" s="345">
        <f t="shared" si="7"/>
        <v>4178.6691084038894</v>
      </c>
      <c r="J33" s="198">
        <f>GROWTH($H$33:$H$52,$O$33:$O$52,$O33,1)</f>
        <v>4249.1294530903542</v>
      </c>
      <c r="K33" s="198"/>
      <c r="L33" s="198"/>
      <c r="M33" s="2"/>
      <c r="N33" s="189">
        <f t="shared" si="10"/>
        <v>42094</v>
      </c>
      <c r="O33" s="190">
        <f t="shared" si="11"/>
        <v>2015.25</v>
      </c>
      <c r="P33" s="300"/>
      <c r="Q33" s="295"/>
      <c r="R33" s="192"/>
    </row>
    <row r="34" spans="1:18" x14ac:dyDescent="0.2">
      <c r="A34" s="75" t="str">
        <f t="shared" si="9"/>
        <v>2015 / 2</v>
      </c>
      <c r="B34" s="24"/>
      <c r="C34" s="337">
        <f>'[3]TWIA 4 Premium Trend'!$C38</f>
        <v>7870</v>
      </c>
      <c r="D34" s="337">
        <f>'[3]TWIA 4 Premium Trend'!$B38</f>
        <v>33339199</v>
      </c>
      <c r="E34" s="37">
        <f>'[4]3.2 premium trend'!$E38</f>
        <v>1.1025</v>
      </c>
      <c r="F34" s="294">
        <f t="shared" si="8"/>
        <v>36756466.897500001</v>
      </c>
      <c r="G34" s="310">
        <f t="shared" si="5"/>
        <v>4670.4532271283351</v>
      </c>
      <c r="H34" s="379">
        <f t="shared" si="6"/>
        <v>4309.4588671075089</v>
      </c>
      <c r="I34" s="345">
        <f t="shared" si="7"/>
        <v>4187.6713121496196</v>
      </c>
      <c r="J34" s="198">
        <f t="shared" ref="J34:J52" si="12">GROWTH($H$33:$H$52,$O$33:$O$52,$O34,1)</f>
        <v>4250.2509823226392</v>
      </c>
      <c r="K34" s="198"/>
      <c r="L34" s="198"/>
      <c r="M34" s="2"/>
      <c r="N34" s="189">
        <f t="shared" si="10"/>
        <v>42185</v>
      </c>
      <c r="O34" s="190">
        <f t="shared" si="11"/>
        <v>2015.5</v>
      </c>
      <c r="P34" s="300"/>
      <c r="Q34" s="295"/>
      <c r="R34" s="192"/>
    </row>
    <row r="35" spans="1:18" x14ac:dyDescent="0.2">
      <c r="A35" s="75" t="str">
        <f t="shared" si="9"/>
        <v>2015 / 3</v>
      </c>
      <c r="B35" s="48"/>
      <c r="C35" s="337">
        <f>'[3]TWIA 4 Premium Trend'!$C39</f>
        <v>7657</v>
      </c>
      <c r="D35" s="337">
        <f>'[3]TWIA 4 Premium Trend'!$B39</f>
        <v>28055666</v>
      </c>
      <c r="E35" s="37">
        <f>'[4]3.2 premium trend'!$E39</f>
        <v>1.1025</v>
      </c>
      <c r="F35" s="294">
        <f t="shared" si="8"/>
        <v>30931371.765000001</v>
      </c>
      <c r="G35" s="310">
        <f t="shared" si="5"/>
        <v>4039.6201861042186</v>
      </c>
      <c r="H35" s="379">
        <f t="shared" si="6"/>
        <v>4276.331019636561</v>
      </c>
      <c r="I35" s="345">
        <f t="shared" si="7"/>
        <v>4196.6929095516016</v>
      </c>
      <c r="J35" s="198">
        <f t="shared" si="12"/>
        <v>4251.372807575045</v>
      </c>
      <c r="K35" s="198"/>
      <c r="L35" s="198"/>
      <c r="M35" s="2"/>
      <c r="N35" s="189">
        <f t="shared" si="10"/>
        <v>42277</v>
      </c>
      <c r="O35" s="190">
        <f t="shared" si="11"/>
        <v>2015.75</v>
      </c>
      <c r="P35" s="300"/>
      <c r="Q35" s="295"/>
      <c r="R35" s="192"/>
    </row>
    <row r="36" spans="1:18" x14ac:dyDescent="0.2">
      <c r="A36" s="75" t="str">
        <f t="shared" si="9"/>
        <v>2015 / 4</v>
      </c>
      <c r="B36" s="47"/>
      <c r="C36" s="337">
        <f>'[3]TWIA 4 Premium Trend'!$C40</f>
        <v>4802</v>
      </c>
      <c r="D36" s="337">
        <f>'[3]TWIA 4 Premium Trend'!$B40</f>
        <v>17430504</v>
      </c>
      <c r="E36" s="37">
        <f>'[4]3.2 premium trend'!$E40</f>
        <v>1.1025</v>
      </c>
      <c r="F36" s="294">
        <f t="shared" si="8"/>
        <v>19217130.66</v>
      </c>
      <c r="G36" s="310">
        <f t="shared" si="5"/>
        <v>4001.9014285714288</v>
      </c>
      <c r="H36" s="379">
        <f t="shared" si="6"/>
        <v>4264.404902586497</v>
      </c>
      <c r="I36" s="345">
        <f t="shared" si="7"/>
        <v>4205.7339423900376</v>
      </c>
      <c r="J36" s="198">
        <f t="shared" si="12"/>
        <v>4252.4949289257065</v>
      </c>
      <c r="K36" s="198"/>
      <c r="L36" s="198"/>
      <c r="M36" s="2"/>
      <c r="N36" s="189">
        <f t="shared" si="10"/>
        <v>42369</v>
      </c>
      <c r="O36" s="190">
        <f t="shared" si="11"/>
        <v>2016</v>
      </c>
      <c r="P36" s="300"/>
      <c r="Q36" s="295"/>
      <c r="R36" s="192"/>
    </row>
    <row r="37" spans="1:18" x14ac:dyDescent="0.2">
      <c r="A37" s="75" t="str">
        <f t="shared" si="9"/>
        <v>2016 / 1</v>
      </c>
      <c r="B37" s="47"/>
      <c r="C37" s="337">
        <f>'[3]TWIA 4 Premium Trend'!$C41</f>
        <v>5512</v>
      </c>
      <c r="D37" s="337">
        <f>'[3]TWIA 4 Premium Trend'!$B41</f>
        <v>22487925</v>
      </c>
      <c r="E37" s="37">
        <f>'[4]3.2 premium trend'!$E41</f>
        <v>1.05</v>
      </c>
      <c r="F37" s="294">
        <f t="shared" si="8"/>
        <v>23612321.25</v>
      </c>
      <c r="G37" s="310">
        <f t="shared" si="5"/>
        <v>4283.8028392597971</v>
      </c>
      <c r="H37" s="379">
        <f t="shared" si="6"/>
        <v>4276.8194176889438</v>
      </c>
      <c r="I37" s="345">
        <f t="shared" si="7"/>
        <v>4214.7944525351422</v>
      </c>
      <c r="J37" s="198">
        <f t="shared" si="12"/>
        <v>4253.6173464527756</v>
      </c>
      <c r="K37" s="198">
        <f>GROWTH($H$37:$H$52,$O$37:$O$52,$O37,1)</f>
        <v>4215.1226939828075</v>
      </c>
      <c r="L37" s="198"/>
      <c r="M37" s="2"/>
      <c r="N37" s="189">
        <f t="shared" si="10"/>
        <v>42460</v>
      </c>
      <c r="O37" s="190">
        <f>YEAR(N37)+MONTH(N37)/12</f>
        <v>2016.25</v>
      </c>
      <c r="P37" s="300"/>
      <c r="Q37" s="295"/>
      <c r="R37" s="192"/>
    </row>
    <row r="38" spans="1:18" x14ac:dyDescent="0.2">
      <c r="A38" s="75" t="str">
        <f t="shared" si="9"/>
        <v>2016 / 2</v>
      </c>
      <c r="B38" s="193"/>
      <c r="C38" s="337">
        <f>'[3]TWIA 4 Premium Trend'!$C42</f>
        <v>6522</v>
      </c>
      <c r="D38" s="337">
        <f>'[3]TWIA 4 Premium Trend'!$B42</f>
        <v>28623450</v>
      </c>
      <c r="E38" s="37">
        <f>'[4]3.2 premium trend'!$E42</f>
        <v>1.05</v>
      </c>
      <c r="F38" s="294">
        <f t="shared" si="8"/>
        <v>30054622.5</v>
      </c>
      <c r="G38" s="310">
        <f t="shared" si="5"/>
        <v>4608.191122355106</v>
      </c>
      <c r="H38" s="379">
        <f t="shared" si="6"/>
        <v>4238.5761717633604</v>
      </c>
      <c r="I38" s="345">
        <f t="shared" si="7"/>
        <v>4223.8744819473259</v>
      </c>
      <c r="J38" s="198">
        <f t="shared" si="12"/>
        <v>4254.7400602344251</v>
      </c>
      <c r="K38" s="198">
        <f t="shared" ref="K38:K52" si="13">GROWTH($H$37:$H$52,$O$37:$O$52,$O38,1)</f>
        <v>4220.2544096038882</v>
      </c>
      <c r="L38" s="198"/>
      <c r="M38" s="2"/>
      <c r="N38" s="189">
        <f t="shared" si="10"/>
        <v>42551</v>
      </c>
      <c r="O38" s="190">
        <f t="shared" si="11"/>
        <v>2016.5</v>
      </c>
      <c r="P38" s="300"/>
      <c r="Q38" s="295"/>
      <c r="R38" s="192"/>
    </row>
    <row r="39" spans="1:18" x14ac:dyDescent="0.2">
      <c r="A39" s="75" t="str">
        <f t="shared" si="9"/>
        <v>2016 / 3</v>
      </c>
      <c r="B39" s="193"/>
      <c r="C39" s="337">
        <f>'[3]TWIA 4 Premium Trend'!$C43</f>
        <v>6507</v>
      </c>
      <c r="D39" s="337">
        <f>'[3]TWIA 4 Premium Trend'!$B43</f>
        <v>25417054</v>
      </c>
      <c r="E39" s="37">
        <f>'[4]3.2 premium trend'!$E43</f>
        <v>1.05</v>
      </c>
      <c r="F39" s="294">
        <f t="shared" si="8"/>
        <v>26687906.700000003</v>
      </c>
      <c r="G39" s="310">
        <f t="shared" si="5"/>
        <v>4101.4148916551412</v>
      </c>
      <c r="H39" s="379">
        <f t="shared" si="6"/>
        <v>4265.6034404318207</v>
      </c>
      <c r="I39" s="345">
        <f t="shared" si="7"/>
        <v>4232.9740726773998</v>
      </c>
      <c r="J39" s="198">
        <f t="shared" si="12"/>
        <v>4255.8630703488516</v>
      </c>
      <c r="K39" s="198">
        <f t="shared" si="13"/>
        <v>4225.392372849793</v>
      </c>
      <c r="L39" s="198"/>
      <c r="M39" s="2"/>
      <c r="N39" s="189">
        <f t="shared" si="10"/>
        <v>42643</v>
      </c>
      <c r="O39" s="190">
        <f t="shared" si="11"/>
        <v>2016.75</v>
      </c>
      <c r="P39" s="300"/>
      <c r="Q39" s="295"/>
      <c r="R39" s="192"/>
    </row>
    <row r="40" spans="1:18" x14ac:dyDescent="0.2">
      <c r="A40" s="75" t="str">
        <f t="shared" si="9"/>
        <v>2016 / 4</v>
      </c>
      <c r="B40" s="47"/>
      <c r="C40" s="337">
        <f>'[3]TWIA 4 Premium Trend'!$C44</f>
        <v>4047</v>
      </c>
      <c r="D40" s="337">
        <f>'[3]TWIA 4 Premium Trend'!$B44</f>
        <v>14955154</v>
      </c>
      <c r="E40" s="37">
        <f>'[4]3.2 premium trend'!$E44</f>
        <v>1.05</v>
      </c>
      <c r="F40" s="294">
        <f t="shared" si="8"/>
        <v>15702911.700000001</v>
      </c>
      <c r="G40" s="310">
        <f t="shared" si="5"/>
        <v>3880.1363232023723</v>
      </c>
      <c r="H40" s="379">
        <f t="shared" si="6"/>
        <v>4252.6014764476713</v>
      </c>
      <c r="I40" s="345">
        <f t="shared" si="7"/>
        <v>4242.0932668667638</v>
      </c>
      <c r="J40" s="198">
        <f t="shared" si="12"/>
        <v>4256.986376874268</v>
      </c>
      <c r="K40" s="198">
        <f t="shared" si="13"/>
        <v>4230.5365913267242</v>
      </c>
      <c r="L40" s="198"/>
      <c r="M40" s="2"/>
      <c r="N40" s="189">
        <f t="shared" si="10"/>
        <v>42735</v>
      </c>
      <c r="O40" s="190">
        <f t="shared" si="11"/>
        <v>2017</v>
      </c>
      <c r="P40" s="300"/>
      <c r="Q40" s="299"/>
      <c r="R40" s="192"/>
    </row>
    <row r="41" spans="1:18" x14ac:dyDescent="0.2">
      <c r="A41" s="75" t="str">
        <f t="shared" si="9"/>
        <v>2017 / 1</v>
      </c>
      <c r="B41" s="47"/>
      <c r="C41" s="337">
        <f>'[3]TWIA 4 Premium Trend'!$C45</f>
        <v>4263</v>
      </c>
      <c r="D41" s="337">
        <f>'[3]TWIA 4 Premium Trend'!$B45</f>
        <v>17482209</v>
      </c>
      <c r="E41" s="37">
        <f>'[4]3.2 premium trend'!$E45</f>
        <v>1.05</v>
      </c>
      <c r="F41" s="294">
        <f t="shared" si="8"/>
        <v>18356319.449999999</v>
      </c>
      <c r="G41" s="310">
        <f t="shared" si="5"/>
        <v>4305.9628078817732</v>
      </c>
      <c r="H41" s="379">
        <f t="shared" si="6"/>
        <v>4255.2022283143542</v>
      </c>
      <c r="I41" s="345">
        <f t="shared" si="7"/>
        <v>4251.232106747605</v>
      </c>
      <c r="J41" s="198">
        <f t="shared" si="12"/>
        <v>4258.1099798889109</v>
      </c>
      <c r="K41" s="198">
        <f t="shared" si="13"/>
        <v>4235.6870726501393</v>
      </c>
      <c r="L41" s="198">
        <f>GROWTH($H$41:$H$52,$O$41:$O$52,$O41,1)</f>
        <v>4178.668085193739</v>
      </c>
      <c r="M41" s="2"/>
      <c r="N41" s="189">
        <f t="shared" si="10"/>
        <v>42825</v>
      </c>
      <c r="O41" s="190">
        <f t="shared" si="11"/>
        <v>2017.25</v>
      </c>
      <c r="P41" s="300"/>
      <c r="Q41" s="299"/>
      <c r="R41" s="192"/>
    </row>
    <row r="42" spans="1:18" x14ac:dyDescent="0.2">
      <c r="A42" s="75" t="str">
        <f t="shared" si="9"/>
        <v>2017 / 2</v>
      </c>
      <c r="B42" s="47"/>
      <c r="C42" s="337">
        <f>'[3]TWIA 4 Premium Trend'!$C46</f>
        <v>5717</v>
      </c>
      <c r="D42" s="337">
        <f>'[3]TWIA 4 Premium Trend'!$B46</f>
        <v>25224489</v>
      </c>
      <c r="E42" s="37">
        <f>'[4]3.2 premium trend'!$E46</f>
        <v>1.05</v>
      </c>
      <c r="F42" s="294">
        <f t="shared" si="8"/>
        <v>26485713.450000003</v>
      </c>
      <c r="G42" s="310">
        <f t="shared" si="5"/>
        <v>4632.7992740948057</v>
      </c>
      <c r="H42" s="379">
        <f t="shared" si="6"/>
        <v>4248.2152186617323</v>
      </c>
      <c r="I42" s="345">
        <f t="shared" si="7"/>
        <v>4260.3906346430931</v>
      </c>
      <c r="J42" s="198">
        <f t="shared" si="12"/>
        <v>4259.2338794710377</v>
      </c>
      <c r="K42" s="198">
        <f t="shared" si="13"/>
        <v>4240.8438244447489</v>
      </c>
      <c r="L42" s="198">
        <f t="shared" ref="L42:L52" si="14">GROWTH($H$41:$H$52,$O$41:$O$52,$O42,1)</f>
        <v>4191.9470724385001</v>
      </c>
      <c r="M42" s="2"/>
      <c r="N42" s="189">
        <f t="shared" si="10"/>
        <v>42916</v>
      </c>
      <c r="O42" s="190">
        <f t="shared" si="11"/>
        <v>2017.5</v>
      </c>
      <c r="P42" s="300"/>
      <c r="Q42" s="299"/>
      <c r="R42" s="192"/>
    </row>
    <row r="43" spans="1:18" x14ac:dyDescent="0.2">
      <c r="A43" s="75" t="str">
        <f t="shared" si="9"/>
        <v>2017 / 3</v>
      </c>
      <c r="B43" s="173"/>
      <c r="C43" s="337">
        <f>'[3]TWIA 4 Premium Trend'!$C47</f>
        <v>5172</v>
      </c>
      <c r="D43" s="337">
        <f>'[3]TWIA 4 Premium Trend'!$B47</f>
        <v>19050031</v>
      </c>
      <c r="E43" s="37">
        <f>'[4]3.2 premium trend'!$E47</f>
        <v>1.05</v>
      </c>
      <c r="F43" s="294">
        <f t="shared" si="8"/>
        <v>20002532.550000001</v>
      </c>
      <c r="G43" s="310">
        <f t="shared" si="5"/>
        <v>3867.4656902552206</v>
      </c>
      <c r="H43" s="379">
        <f>IFERROR(SUM(F40:F43)/SUM(C40:C43),0)</f>
        <v>4195.3996119589565</v>
      </c>
      <c r="I43" s="345">
        <f t="shared" si="7"/>
        <v>4269.5688929675734</v>
      </c>
      <c r="J43" s="198">
        <f t="shared" si="12"/>
        <v>4260.3580756989231</v>
      </c>
      <c r="K43" s="198">
        <f t="shared" si="13"/>
        <v>4246.0068543445668</v>
      </c>
      <c r="L43" s="198">
        <f t="shared" si="14"/>
        <v>4205.2682576991338</v>
      </c>
      <c r="M43" s="2"/>
      <c r="N43" s="189">
        <f t="shared" si="10"/>
        <v>43008</v>
      </c>
      <c r="O43" s="190">
        <f t="shared" si="11"/>
        <v>2017.75</v>
      </c>
      <c r="P43" s="300"/>
      <c r="Q43" s="299"/>
      <c r="R43" s="192"/>
    </row>
    <row r="44" spans="1:18" x14ac:dyDescent="0.2">
      <c r="A44" s="75" t="str">
        <f t="shared" si="9"/>
        <v>2017 / 4</v>
      </c>
      <c r="B44" s="47"/>
      <c r="C44" s="337">
        <f>'[3]TWIA 4 Premium Trend'!$C48</f>
        <v>3489</v>
      </c>
      <c r="D44" s="337">
        <f>'[3]TWIA 4 Premium Trend'!$B48</f>
        <v>13077837</v>
      </c>
      <c r="E44" s="37">
        <f>'[4]3.2 premium trend'!$E48</f>
        <v>1.05</v>
      </c>
      <c r="F44" s="294">
        <f t="shared" si="8"/>
        <v>13731728.850000001</v>
      </c>
      <c r="G44" s="310">
        <f t="shared" si="5"/>
        <v>3935.7205073086848</v>
      </c>
      <c r="H44" s="379">
        <f t="shared" si="6"/>
        <v>4215.2402929027421</v>
      </c>
      <c r="I44" s="345">
        <f t="shared" si="7"/>
        <v>4278.7669242267812</v>
      </c>
      <c r="J44" s="198">
        <f t="shared" si="12"/>
        <v>4261.4825686508666</v>
      </c>
      <c r="K44" s="198">
        <f t="shared" si="13"/>
        <v>4251.1761699928938</v>
      </c>
      <c r="L44" s="198">
        <f t="shared" si="14"/>
        <v>4218.6317750726685</v>
      </c>
      <c r="M44" s="2"/>
      <c r="N44" s="189">
        <f t="shared" si="10"/>
        <v>43100</v>
      </c>
      <c r="O44" s="190">
        <f t="shared" si="11"/>
        <v>2018</v>
      </c>
      <c r="P44" s="300"/>
      <c r="Q44" s="299"/>
      <c r="R44" s="192"/>
    </row>
    <row r="45" spans="1:18" x14ac:dyDescent="0.2">
      <c r="A45" s="75" t="str">
        <f t="shared" si="9"/>
        <v>2018 / 1</v>
      </c>
      <c r="B45" s="48"/>
      <c r="C45" s="337">
        <f>'[3]TWIA 4 Premium Trend'!$C49</f>
        <v>3663</v>
      </c>
      <c r="D45" s="337">
        <f>'[3]TWIA 4 Premium Trend'!$B49</f>
        <v>15807970</v>
      </c>
      <c r="E45" s="37">
        <f>'[4]3.2 premium trend'!$E49</f>
        <v>1</v>
      </c>
      <c r="F45" s="294">
        <f t="shared" si="8"/>
        <v>15807970</v>
      </c>
      <c r="G45" s="310">
        <f t="shared" si="5"/>
        <v>4315.5801255801252</v>
      </c>
      <c r="H45" s="379">
        <f t="shared" si="6"/>
        <v>4214.1757579956766</v>
      </c>
      <c r="I45" s="345">
        <f t="shared" si="7"/>
        <v>4287.9847710179793</v>
      </c>
      <c r="J45" s="198">
        <f t="shared" si="12"/>
        <v>4262.6073584051865</v>
      </c>
      <c r="K45" s="198">
        <f t="shared" si="13"/>
        <v>4256.351779042343</v>
      </c>
      <c r="L45" s="198">
        <f t="shared" si="14"/>
        <v>4232.0377590822691</v>
      </c>
      <c r="M45" s="2"/>
      <c r="N45" s="189">
        <f t="shared" si="10"/>
        <v>43190</v>
      </c>
      <c r="O45" s="190">
        <f t="shared" si="11"/>
        <v>2018.25</v>
      </c>
      <c r="P45" s="300"/>
      <c r="Q45" s="299"/>
      <c r="R45" s="192"/>
    </row>
    <row r="46" spans="1:18" x14ac:dyDescent="0.2">
      <c r="A46" s="75" t="str">
        <f t="shared" si="9"/>
        <v>2018 / 2</v>
      </c>
      <c r="B46" s="48"/>
      <c r="C46" s="337">
        <f>'[3]TWIA 4 Premium Trend'!$C50</f>
        <v>5108</v>
      </c>
      <c r="D46" s="337">
        <f>'[3]TWIA 4 Premium Trend'!$B50</f>
        <v>22862777</v>
      </c>
      <c r="E46" s="37">
        <f>'[4]3.2 premium trend'!$E50</f>
        <v>1</v>
      </c>
      <c r="F46" s="294">
        <f t="shared" si="8"/>
        <v>22862777</v>
      </c>
      <c r="G46" s="310">
        <f t="shared" si="5"/>
        <v>4475.8764682850433</v>
      </c>
      <c r="H46" s="379">
        <f t="shared" si="6"/>
        <v>4153.5686324001836</v>
      </c>
      <c r="I46" s="345">
        <f t="shared" si="7"/>
        <v>4297.2224760302415</v>
      </c>
      <c r="J46" s="198">
        <f t="shared" si="12"/>
        <v>4263.7324450402211</v>
      </c>
      <c r="K46" s="198">
        <f t="shared" si="13"/>
        <v>4261.5336891548232</v>
      </c>
      <c r="L46" s="198">
        <f t="shared" si="14"/>
        <v>4245.4863446785412</v>
      </c>
      <c r="M46" s="2"/>
      <c r="N46" s="189">
        <f t="shared" si="10"/>
        <v>43281</v>
      </c>
      <c r="O46" s="190">
        <f t="shared" si="11"/>
        <v>2018.5</v>
      </c>
      <c r="P46" s="300"/>
      <c r="Q46" s="299"/>
      <c r="R46" s="192"/>
    </row>
    <row r="47" spans="1:18" x14ac:dyDescent="0.2">
      <c r="A47" s="75" t="str">
        <f t="shared" si="9"/>
        <v>2018 / 3</v>
      </c>
      <c r="B47" s="48"/>
      <c r="C47" s="337">
        <f>'[3]TWIA 4 Premium Trend'!$C51</f>
        <v>4612</v>
      </c>
      <c r="D47" s="337">
        <f>'[3]TWIA 4 Premium Trend'!$B51</f>
        <v>17927115</v>
      </c>
      <c r="E47" s="37">
        <f>'[4]3.2 premium trend'!$E51</f>
        <v>1</v>
      </c>
      <c r="F47" s="294">
        <f t="shared" si="8"/>
        <v>17927115</v>
      </c>
      <c r="G47" s="310">
        <f t="shared" si="5"/>
        <v>3887.0587597571553</v>
      </c>
      <c r="H47" s="379">
        <f t="shared" si="6"/>
        <v>4168.4205103129443</v>
      </c>
      <c r="I47" s="345">
        <f t="shared" si="7"/>
        <v>4306.4800820445953</v>
      </c>
      <c r="J47" s="198">
        <f t="shared" si="12"/>
        <v>4264.85782863433</v>
      </c>
      <c r="K47" s="198">
        <f t="shared" si="13"/>
        <v>4266.7219080015921</v>
      </c>
      <c r="L47" s="198">
        <f t="shared" si="14"/>
        <v>4258.977667240998</v>
      </c>
      <c r="M47" s="2"/>
      <c r="N47" s="189">
        <f t="shared" si="10"/>
        <v>43373</v>
      </c>
      <c r="O47" s="190">
        <f t="shared" si="11"/>
        <v>2018.75</v>
      </c>
      <c r="P47" s="300"/>
      <c r="Q47" s="299"/>
      <c r="R47" s="192"/>
    </row>
    <row r="48" spans="1:18" x14ac:dyDescent="0.2">
      <c r="A48" s="75" t="str">
        <f t="shared" si="9"/>
        <v>2018 / 4</v>
      </c>
      <c r="B48" s="47"/>
      <c r="C48" s="337">
        <f>'[3]TWIA 4 Premium Trend'!$C52</f>
        <v>3109</v>
      </c>
      <c r="D48" s="337">
        <f>'[3]TWIA 4 Premium Trend'!$B52</f>
        <v>12284401</v>
      </c>
      <c r="E48" s="37">
        <f>'[4]3.2 premium trend'!$E52</f>
        <v>1</v>
      </c>
      <c r="F48" s="294">
        <f t="shared" si="8"/>
        <v>12284401</v>
      </c>
      <c r="G48" s="310">
        <f t="shared" si="5"/>
        <v>3951.2386619491799</v>
      </c>
      <c r="H48" s="379">
        <f t="shared" si="6"/>
        <v>4176.7076764491876</v>
      </c>
      <c r="I48" s="345">
        <f t="shared" si="7"/>
        <v>4315.7576319342297</v>
      </c>
      <c r="J48" s="198">
        <f t="shared" si="12"/>
        <v>4265.9835092658941</v>
      </c>
      <c r="K48" s="198">
        <f t="shared" si="13"/>
        <v>4271.916443263246</v>
      </c>
      <c r="L48" s="198">
        <f t="shared" si="14"/>
        <v>4272.5118625793029</v>
      </c>
      <c r="M48" s="2"/>
      <c r="N48" s="189">
        <f>DATE(YEAR(N49+1),MONTH(N49+1)-3,1)-1</f>
        <v>43465</v>
      </c>
      <c r="O48" s="190">
        <f>YEAR(N48)+MONTH(N48)/12</f>
        <v>2019</v>
      </c>
      <c r="P48" s="300"/>
      <c r="R48" s="192"/>
    </row>
    <row r="49" spans="1:18" x14ac:dyDescent="0.2">
      <c r="A49" s="75" t="str">
        <f t="shared" si="9"/>
        <v>2019 / 1</v>
      </c>
      <c r="B49" s="48"/>
      <c r="C49" s="337">
        <f>'[3]TWIA 4 Premium Trend'!$C53</f>
        <v>2933</v>
      </c>
      <c r="D49" s="337">
        <f>'[3]TWIA 4 Premium Trend'!$B53</f>
        <v>14759154</v>
      </c>
      <c r="E49" s="37">
        <v>1</v>
      </c>
      <c r="F49" s="294">
        <f t="shared" si="8"/>
        <v>14759154</v>
      </c>
      <c r="G49" s="310">
        <f t="shared" si="5"/>
        <v>5032.1016024548244</v>
      </c>
      <c r="H49" s="379">
        <f t="shared" si="6"/>
        <v>4303.6065854586977</v>
      </c>
      <c r="I49" s="345">
        <f t="shared" si="7"/>
        <v>4325.0551686646986</v>
      </c>
      <c r="J49" s="198">
        <f t="shared" si="12"/>
        <v>4267.1094870133129</v>
      </c>
      <c r="K49" s="198">
        <f t="shared" si="13"/>
        <v>4277.1173026297156</v>
      </c>
      <c r="L49" s="198">
        <f t="shared" si="14"/>
        <v>4286.08906693474</v>
      </c>
      <c r="M49" s="2"/>
      <c r="N49" s="189">
        <f>DATE(YEAR(N50+1),MONTH(N50+1)-3,1)-1</f>
        <v>43555</v>
      </c>
      <c r="O49" s="190">
        <f>YEAR(N49)+MONTH(N49)/12</f>
        <v>2019.25</v>
      </c>
      <c r="P49" s="300"/>
      <c r="R49" s="192"/>
    </row>
    <row r="50" spans="1:18" x14ac:dyDescent="0.2">
      <c r="A50" s="75" t="str">
        <f t="shared" si="9"/>
        <v>2019 / 2</v>
      </c>
      <c r="B50" s="48"/>
      <c r="C50" s="337">
        <f>'[3]TWIA 4 Premium Trend'!$C54</f>
        <v>4431</v>
      </c>
      <c r="D50" s="337">
        <f>'[3]TWIA 4 Premium Trend'!$B54</f>
        <v>20959587</v>
      </c>
      <c r="E50" s="37">
        <v>1</v>
      </c>
      <c r="F50" s="294">
        <f t="shared" si="8"/>
        <v>20959587</v>
      </c>
      <c r="G50" s="310">
        <f t="shared" si="5"/>
        <v>4730.2159783344614</v>
      </c>
      <c r="H50" s="379">
        <f t="shared" si="6"/>
        <v>4370.5838249917133</v>
      </c>
      <c r="I50" s="345">
        <f t="shared" si="7"/>
        <v>4334.372735294115</v>
      </c>
      <c r="J50" s="198">
        <f t="shared" si="12"/>
        <v>4268.2357619550112</v>
      </c>
      <c r="K50" s="198">
        <f t="shared" si="13"/>
        <v>4282.3244938003063</v>
      </c>
      <c r="L50" s="198">
        <f t="shared" si="14"/>
        <v>4299.7094169815418</v>
      </c>
      <c r="M50" s="2"/>
      <c r="N50" s="189">
        <f>DATE(YEAR(N51+1),MONTH(N51+1)-3,1)-1</f>
        <v>43646</v>
      </c>
      <c r="O50" s="190">
        <f>YEAR(N50)+MONTH(N50)/12</f>
        <v>2019.5</v>
      </c>
      <c r="P50" s="300"/>
      <c r="R50" s="192"/>
    </row>
    <row r="51" spans="1:18" x14ac:dyDescent="0.2">
      <c r="A51" s="174" t="str">
        <f t="shared" si="9"/>
        <v>2019 / 3</v>
      </c>
      <c r="B51" s="48"/>
      <c r="C51" s="337">
        <f>'[3]TWIA 4 Premium Trend'!$C55</f>
        <v>3993</v>
      </c>
      <c r="D51" s="337">
        <f>'[3]TWIA 4 Premium Trend'!$B55</f>
        <v>14943999</v>
      </c>
      <c r="E51" s="37">
        <v>1</v>
      </c>
      <c r="F51" s="294">
        <f t="shared" si="8"/>
        <v>14943999</v>
      </c>
      <c r="G51" s="310">
        <f t="shared" si="5"/>
        <v>3742.549211119459</v>
      </c>
      <c r="H51" s="379">
        <f t="shared" si="6"/>
        <v>4351.3853864233379</v>
      </c>
      <c r="I51" s="345">
        <f t="shared" si="7"/>
        <v>4343.7103749733569</v>
      </c>
      <c r="J51" s="198">
        <f t="shared" si="12"/>
        <v>4269.3623341694283</v>
      </c>
      <c r="K51" s="198">
        <f t="shared" si="13"/>
        <v>4287.5380244837052</v>
      </c>
      <c r="L51" s="198">
        <f t="shared" si="14"/>
        <v>4313.3730498282184</v>
      </c>
      <c r="M51" s="2"/>
      <c r="N51" s="189">
        <f>DATE(YEAR(N52+1),MONTH(N52+1)-3,1)-1</f>
        <v>43738</v>
      </c>
      <c r="O51" s="190">
        <f>YEAR(N51)+MONTH(N51)/12</f>
        <v>2019.75</v>
      </c>
      <c r="P51" s="300"/>
      <c r="R51" s="192"/>
    </row>
    <row r="52" spans="1:18" x14ac:dyDescent="0.2">
      <c r="A52" s="174" t="str">
        <f t="shared" si="9"/>
        <v>2019 / 4</v>
      </c>
      <c r="B52" s="48"/>
      <c r="C52" s="337">
        <f>'[3]TWIA 4 Premium Trend'!$C56</f>
        <v>2966</v>
      </c>
      <c r="D52" s="337">
        <f>'[3]TWIA 4 Premium Trend'!$B56</f>
        <v>12109737</v>
      </c>
      <c r="E52" s="37">
        <v>1</v>
      </c>
      <c r="F52" s="294">
        <f>D52*E52</f>
        <v>12109737</v>
      </c>
      <c r="G52" s="310">
        <f t="shared" si="5"/>
        <v>4082.8513149022251</v>
      </c>
      <c r="H52" s="379">
        <f>IFERROR(SUM(F49:F52)/SUM(C49:C52),0)</f>
        <v>4382.6347133980307</v>
      </c>
      <c r="I52" s="345">
        <f>GROWTH($H$17:$H$52,$O$17:$O$52,$O52,1)</f>
        <v>4353.0681309462598</v>
      </c>
      <c r="J52" s="198">
        <f t="shared" si="12"/>
        <v>4270.4892037350292</v>
      </c>
      <c r="K52" s="198">
        <f t="shared" si="13"/>
        <v>4292.757902397957</v>
      </c>
      <c r="L52" s="198">
        <f t="shared" si="14"/>
        <v>4327.0801030190469</v>
      </c>
      <c r="M52" s="2"/>
      <c r="N52" s="114">
        <v>43830</v>
      </c>
      <c r="O52" s="190">
        <f>YEAR(N52)+MONTH(N52)/12</f>
        <v>2020</v>
      </c>
      <c r="P52" s="297"/>
      <c r="Q52" s="192"/>
      <c r="R52" s="192"/>
    </row>
    <row r="53" spans="1:18" x14ac:dyDescent="0.2">
      <c r="A53" s="200"/>
      <c r="B53" s="25"/>
      <c r="C53" s="338"/>
      <c r="D53" s="197"/>
      <c r="E53" s="38"/>
      <c r="F53" s="207"/>
      <c r="G53" s="346"/>
      <c r="H53" s="194"/>
      <c r="I53" s="199"/>
      <c r="J53" s="199"/>
      <c r="K53" s="199"/>
      <c r="L53" s="199"/>
      <c r="M53" s="2"/>
    </row>
    <row r="54" spans="1:18" x14ac:dyDescent="0.2">
      <c r="A54" s="174"/>
      <c r="B54" s="48"/>
      <c r="C54" s="337"/>
      <c r="D54" s="195"/>
      <c r="E54" s="195"/>
      <c r="F54" s="120"/>
      <c r="G54" s="378"/>
      <c r="H54" s="120"/>
      <c r="I54" s="120"/>
      <c r="J54" s="120"/>
      <c r="K54" s="120"/>
      <c r="L54" s="120"/>
      <c r="M54" s="2"/>
    </row>
    <row r="55" spans="1:18" x14ac:dyDescent="0.2">
      <c r="A55" s="121" t="s">
        <v>309</v>
      </c>
      <c r="B55" s="47" t="s">
        <v>332</v>
      </c>
      <c r="C55" s="11"/>
      <c r="D55"/>
      <c r="E55"/>
      <c r="F55"/>
      <c r="G55" s="11"/>
      <c r="H55" s="60"/>
      <c r="I55" s="457">
        <f>LOGEST($I$18:$I$52,$O$18:$O$52,1,1)-1</f>
        <v>8.6451794085835587E-3</v>
      </c>
      <c r="J55" s="60">
        <f>LOGEST($J$33:$J$52,$O$33:$O$52,1,1)-1</f>
        <v>1.0561912532829343E-3</v>
      </c>
      <c r="K55" s="60">
        <f>LOGEST($K$37:$K$52,$O$37:$O$52,1,1)-1</f>
        <v>4.8787141348654028E-3</v>
      </c>
      <c r="L55" s="60">
        <f>LOGEST($L$41:$L$52,$O$41:$O$52,1,1)-1</f>
        <v>1.2771934214547809E-2</v>
      </c>
      <c r="M55" s="2"/>
    </row>
    <row r="56" spans="1:18" x14ac:dyDescent="0.2">
      <c r="A56" s="121" t="s">
        <v>266</v>
      </c>
      <c r="B56" s="47" t="s">
        <v>333</v>
      </c>
      <c r="C56" s="11"/>
      <c r="D56"/>
      <c r="E56"/>
      <c r="F56"/>
      <c r="G56" s="11"/>
      <c r="H56"/>
      <c r="I56" s="457">
        <f>INDEX(LOGEST($H$22:$H$52,$O$22:$O$52,1,1),3,1)</f>
        <v>0.26254225643033663</v>
      </c>
      <c r="J56" s="60">
        <f>INDEX(LOGEST($H$33:$H$52,$O$33:$O$52,1,1),3,1)</f>
        <v>1.0971766816145543E-2</v>
      </c>
      <c r="K56" s="60">
        <f>INDEX(LOGEST($H$37:$H$52,$O$37:$O$52,1,1),3,1)</f>
        <v>0.12579781956805078</v>
      </c>
      <c r="L56" s="60">
        <f>INDEX(LOGEST($H$41:$H$52,$O$41:$O$52,1,1),3,1)</f>
        <v>0.3644541255696836</v>
      </c>
      <c r="M56" s="2"/>
    </row>
    <row r="57" spans="1:18" x14ac:dyDescent="0.2">
      <c r="B57"/>
      <c r="C57" s="11"/>
      <c r="D57"/>
      <c r="E57"/>
      <c r="F57"/>
      <c r="G57" s="11"/>
      <c r="H57"/>
      <c r="I57"/>
      <c r="J57"/>
      <c r="K57" s="112"/>
      <c r="L57" s="112"/>
      <c r="M57" s="2"/>
    </row>
    <row r="58" spans="1:18" x14ac:dyDescent="0.2">
      <c r="A58" s="121" t="s">
        <v>334</v>
      </c>
      <c r="B58" s="12" t="s">
        <v>259</v>
      </c>
      <c r="C58" s="11"/>
      <c r="D58"/>
      <c r="E58"/>
      <c r="F58"/>
      <c r="G58" s="11"/>
      <c r="H58"/>
      <c r="I58"/>
      <c r="J58"/>
      <c r="K58" s="112"/>
      <c r="L58" s="123">
        <f>AVERAGE(J55:L55)</f>
        <v>6.2356132008987153E-3</v>
      </c>
      <c r="M58" s="2"/>
      <c r="N58" s="220"/>
    </row>
    <row r="59" spans="1:18" ht="12" thickBot="1" x14ac:dyDescent="0.25">
      <c r="A59" s="6"/>
      <c r="B59" s="6"/>
      <c r="C59" s="335"/>
      <c r="D59" s="6"/>
      <c r="E59" s="6"/>
      <c r="F59" s="6"/>
      <c r="G59" s="335"/>
      <c r="H59" s="6"/>
      <c r="I59" s="6"/>
      <c r="J59" s="6"/>
      <c r="K59" s="6"/>
      <c r="L59" s="6"/>
      <c r="M59" s="2"/>
    </row>
    <row r="60" spans="1:18" ht="12" thickTop="1" x14ac:dyDescent="0.2">
      <c r="A60"/>
      <c r="B60"/>
      <c r="C60" s="11"/>
      <c r="D60"/>
      <c r="E60"/>
      <c r="F60"/>
      <c r="G60" s="11"/>
      <c r="H60"/>
      <c r="I60"/>
      <c r="J60"/>
      <c r="K60"/>
      <c r="L60"/>
      <c r="M60" s="2"/>
    </row>
    <row r="61" spans="1:18" x14ac:dyDescent="0.2">
      <c r="A61" s="24" t="s">
        <v>18</v>
      </c>
      <c r="B61" s="24"/>
      <c r="C61" s="333" t="str">
        <f>C12&amp;" Provided by TWIA"</f>
        <v>(2) Provided by TWIA</v>
      </c>
      <c r="D61" s="334"/>
      <c r="E61" s="196"/>
      <c r="F61"/>
      <c r="G61" s="11"/>
      <c r="H61"/>
      <c r="I61" s="19"/>
      <c r="J61" s="19"/>
      <c r="K61" s="19"/>
      <c r="L61" s="19"/>
      <c r="M61" s="2"/>
    </row>
    <row r="62" spans="1:18" x14ac:dyDescent="0.2">
      <c r="A62" s="24"/>
      <c r="B62" s="332"/>
      <c r="C62" s="333" t="str">
        <f>D12&amp;" Provided by TWIA"</f>
        <v>(3) Provided by TWIA</v>
      </c>
      <c r="D62" s="334"/>
      <c r="E62" s="196"/>
      <c r="G62" s="11"/>
      <c r="I62" s="19"/>
      <c r="J62" s="266"/>
      <c r="K62" s="266"/>
      <c r="L62" s="266"/>
      <c r="M62" s="2"/>
    </row>
    <row r="63" spans="1:18" x14ac:dyDescent="0.2">
      <c r="A63" s="334"/>
      <c r="B63" s="101"/>
      <c r="C63" s="333" t="str">
        <f>E12&amp;" Factor to bring written premium to current rate level"</f>
        <v>(4) Factor to bring written premium to current rate level</v>
      </c>
      <c r="D63" s="341"/>
      <c r="F63" s="112"/>
      <c r="J63" s="112"/>
      <c r="K63" s="112"/>
      <c r="L63" s="112"/>
      <c r="M63" s="2"/>
    </row>
    <row r="64" spans="1:18" x14ac:dyDescent="0.2">
      <c r="A64" s="342"/>
      <c r="B64" s="334"/>
      <c r="C64" s="333" t="str">
        <f>F12&amp;" = "&amp;D12&amp;" * "&amp;E12</f>
        <v>(5) = (3) * (4)</v>
      </c>
      <c r="D64" s="334"/>
      <c r="F64" s="112"/>
      <c r="J64" s="112"/>
      <c r="K64" s="112"/>
      <c r="L64" s="112"/>
      <c r="M64" s="2"/>
    </row>
    <row r="65" spans="1:13" x14ac:dyDescent="0.2">
      <c r="A65" s="24"/>
      <c r="B65" s="332"/>
      <c r="C65" s="342" t="s">
        <v>509</v>
      </c>
      <c r="D65" s="24"/>
      <c r="E65"/>
      <c r="J65" s="112"/>
      <c r="K65" s="112"/>
      <c r="L65" s="112"/>
      <c r="M65" s="2"/>
    </row>
    <row r="66" spans="1:13" x14ac:dyDescent="0.2">
      <c r="A66" s="334"/>
      <c r="B66" s="101"/>
      <c r="C66" s="380" t="s">
        <v>510</v>
      </c>
      <c r="D66" s="334"/>
      <c r="M66" s="2"/>
    </row>
    <row r="67" spans="1:13" x14ac:dyDescent="0.2">
      <c r="A67" s="334"/>
      <c r="B67" s="101"/>
      <c r="C67" s="333" t="str">
        <f>I12&amp;" - "&amp;L12&amp;" fitted to an exponential distribution"</f>
        <v>(8) - (11) fitted to an exponential distribution</v>
      </c>
      <c r="D67" s="343"/>
      <c r="E67" s="195"/>
      <c r="M67" s="2"/>
    </row>
    <row r="68" spans="1:13" x14ac:dyDescent="0.2">
      <c r="A68" s="48"/>
      <c r="B68" s="334"/>
      <c r="C68" s="101" t="str">
        <f>A55&amp;" Fitted average annual change"</f>
        <v>(14) Fitted average annual change</v>
      </c>
      <c r="D68" s="48"/>
      <c r="E68" s="47"/>
      <c r="F68" s="120"/>
      <c r="G68" s="378"/>
      <c r="H68" s="120"/>
      <c r="I68" s="120"/>
      <c r="J68" s="120"/>
      <c r="K68" s="120"/>
      <c r="L68" s="120"/>
      <c r="M68" s="2"/>
    </row>
    <row r="69" spans="1:13" x14ac:dyDescent="0.2">
      <c r="A69" s="48"/>
      <c r="B69" s="334"/>
      <c r="C69" s="101" t="str">
        <f>A56&amp;" Evaluates the predictability of the fitted curve"</f>
        <v>(15) Evaluates the predictability of the fitted curve</v>
      </c>
      <c r="D69" s="48"/>
      <c r="E69" s="47"/>
      <c r="F69" s="120"/>
      <c r="G69" s="378"/>
      <c r="H69" s="120"/>
      <c r="I69" s="120"/>
      <c r="J69" s="120"/>
      <c r="K69" s="120"/>
      <c r="L69" s="120"/>
      <c r="M69" s="2"/>
    </row>
    <row r="70" spans="1:13" x14ac:dyDescent="0.2">
      <c r="A70" s="48"/>
      <c r="B70" s="334"/>
      <c r="C70" s="101" t="str">
        <f>A58&amp;" Selected based on judgment"</f>
        <v>(16) Selected based on judgment</v>
      </c>
      <c r="D70" s="344"/>
      <c r="E70"/>
      <c r="F70" s="47"/>
      <c r="G70" s="319"/>
      <c r="H70" s="56"/>
      <c r="I70" s="56"/>
      <c r="J70" s="56"/>
      <c r="K70" s="56"/>
      <c r="L70" s="56"/>
      <c r="M70" s="2"/>
    </row>
    <row r="71" spans="1:13" ht="12" thickBot="1" x14ac:dyDescent="0.25">
      <c r="A71" s="48"/>
      <c r="B71" s="334"/>
      <c r="F71" s="47"/>
      <c r="G71" s="319"/>
      <c r="H71" s="56"/>
      <c r="I71" s="56"/>
      <c r="J71" s="56"/>
      <c r="K71" s="56"/>
      <c r="L71" s="56"/>
      <c r="M71" s="2"/>
    </row>
    <row r="72" spans="1:13" ht="12" hidden="1" thickBot="1" x14ac:dyDescent="0.25">
      <c r="A72" s="24"/>
      <c r="B72" s="334"/>
      <c r="F72" s="18"/>
      <c r="G72" s="310"/>
      <c r="H72" s="18"/>
      <c r="I72" s="18"/>
      <c r="J72" s="18"/>
      <c r="K72" s="18"/>
      <c r="L72" s="18"/>
      <c r="M72" s="2"/>
    </row>
    <row r="73" spans="1:13" ht="12" thickBot="1" x14ac:dyDescent="0.25">
      <c r="A73" s="4"/>
      <c r="B73" s="5"/>
      <c r="C73" s="340"/>
      <c r="D73" s="5"/>
      <c r="E73" s="5"/>
      <c r="F73" s="5"/>
      <c r="G73" s="340"/>
      <c r="H73" s="5"/>
      <c r="I73" s="5"/>
      <c r="J73" s="5"/>
      <c r="K73" s="5"/>
      <c r="L73" s="5"/>
      <c r="M73" s="3"/>
    </row>
    <row r="76" spans="1:13" x14ac:dyDescent="0.2">
      <c r="A76" s="187" t="s">
        <v>422</v>
      </c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36</vt:i4>
      </vt:variant>
    </vt:vector>
  </HeadingPairs>
  <TitlesOfParts>
    <vt:vector size="74" baseType="lpstr">
      <vt:lpstr>Cover Page</vt:lpstr>
      <vt:lpstr>Table of Contents</vt:lpstr>
      <vt:lpstr>1</vt:lpstr>
      <vt:lpstr>2.1</vt:lpstr>
      <vt:lpstr>2.2</vt:lpstr>
      <vt:lpstr>2.3</vt:lpstr>
      <vt:lpstr>2.4</vt:lpstr>
      <vt:lpstr>3.1</vt:lpstr>
      <vt:lpstr>3.2 premium trend</vt:lpstr>
      <vt:lpstr>3.3a</vt:lpstr>
      <vt:lpstr>3.3b</vt:lpstr>
      <vt:lpstr>3.3c</vt:lpstr>
      <vt:lpstr>3.3d</vt:lpstr>
      <vt:lpstr>4.1</vt:lpstr>
      <vt:lpstr>4.2</vt:lpstr>
      <vt:lpstr>4.3</vt:lpstr>
      <vt:lpstr>4.4</vt:lpstr>
      <vt:lpstr>4.5</vt:lpstr>
      <vt:lpstr>5</vt:lpstr>
      <vt:lpstr>6.1</vt:lpstr>
      <vt:lpstr>6.2 - industry</vt:lpstr>
      <vt:lpstr>6.3</vt:lpstr>
      <vt:lpstr>6.4</vt:lpstr>
      <vt:lpstr>6.5</vt:lpstr>
      <vt:lpstr>6.6</vt:lpstr>
      <vt:lpstr>6.7</vt:lpstr>
      <vt:lpstr>7.1</vt:lpstr>
      <vt:lpstr>7.2</vt:lpstr>
      <vt:lpstr>8.1</vt:lpstr>
      <vt:lpstr>8.2</vt:lpstr>
      <vt:lpstr>9</vt:lpstr>
      <vt:lpstr>10.1</vt:lpstr>
      <vt:lpstr>10.2</vt:lpstr>
      <vt:lpstr>10.3</vt:lpstr>
      <vt:lpstr>11.1</vt:lpstr>
      <vt:lpstr>11.2</vt:lpstr>
      <vt:lpstr>12.1</vt:lpstr>
      <vt:lpstr>12.2</vt:lpstr>
      <vt:lpstr>'1'!Print_Area</vt:lpstr>
      <vt:lpstr>'10.1'!Print_Area</vt:lpstr>
      <vt:lpstr>'10.2'!Print_Area</vt:lpstr>
      <vt:lpstr>'10.3'!Print_Area</vt:lpstr>
      <vt:lpstr>'11.1'!Print_Area</vt:lpstr>
      <vt:lpstr>'11.2'!Print_Area</vt:lpstr>
      <vt:lpstr>'12.1'!Print_Area</vt:lpstr>
      <vt:lpstr>'12.2'!Print_Area</vt:lpstr>
      <vt:lpstr>'2.1'!Print_Area</vt:lpstr>
      <vt:lpstr>'2.2'!Print_Area</vt:lpstr>
      <vt:lpstr>'2.3'!Print_Area</vt:lpstr>
      <vt:lpstr>'2.4'!Print_Area</vt:lpstr>
      <vt:lpstr>'3.1'!Print_Area</vt:lpstr>
      <vt:lpstr>'3.2 premium trend'!Print_Area</vt:lpstr>
      <vt:lpstr>'3.3a'!Print_Area</vt:lpstr>
      <vt:lpstr>'3.3b'!Print_Area</vt:lpstr>
      <vt:lpstr>'3.3c'!Print_Area</vt:lpstr>
      <vt:lpstr>'3.3d'!Print_Area</vt:lpstr>
      <vt:lpstr>'4.1'!Print_Area</vt:lpstr>
      <vt:lpstr>'4.2'!Print_Area</vt:lpstr>
      <vt:lpstr>'4.3'!Print_Area</vt:lpstr>
      <vt:lpstr>'4.4'!Print_Area</vt:lpstr>
      <vt:lpstr>'4.5'!Print_Area</vt:lpstr>
      <vt:lpstr>'5'!Print_Area</vt:lpstr>
      <vt:lpstr>'6.1'!Print_Area</vt:lpstr>
      <vt:lpstr>'6.2 - industry'!Print_Area</vt:lpstr>
      <vt:lpstr>'6.3'!Print_Area</vt:lpstr>
      <vt:lpstr>'6.4'!Print_Area</vt:lpstr>
      <vt:lpstr>'6.5'!Print_Area</vt:lpstr>
      <vt:lpstr>'6.6'!Print_Area</vt:lpstr>
      <vt:lpstr>'6.7'!Print_Area</vt:lpstr>
      <vt:lpstr>'7.1'!Print_Area</vt:lpstr>
      <vt:lpstr>'7.2'!Print_Area</vt:lpstr>
      <vt:lpstr>'8.1'!Print_Area</vt:lpstr>
      <vt:lpstr>'8.2'!Print_Area</vt:lpstr>
      <vt:lpstr>'9'!Print_Area</vt:lpstr>
    </vt:vector>
  </TitlesOfParts>
  <Company>Republic 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xiuyu li</dc:creator>
  <cp:lastModifiedBy>Angela Fang</cp:lastModifiedBy>
  <cp:lastPrinted>2020-07-20T18:33:04Z</cp:lastPrinted>
  <dcterms:created xsi:type="dcterms:W3CDTF">2001-12-17T21:49:07Z</dcterms:created>
  <dcterms:modified xsi:type="dcterms:W3CDTF">2020-07-20T21:33:56Z</dcterms:modified>
</cp:coreProperties>
</file>