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hreadedComments/threadedComment1.xml" ContentType="application/vnd.ms-excel.threaded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5 Rate Review\Website Publishing\"/>
    </mc:Choice>
  </mc:AlternateContent>
  <xr:revisionPtr revIDLastSave="0" documentId="13_ncr:1_{951EE8C2-BC5F-47A5-8A1D-320E425584E9}" xr6:coauthVersionLast="47" xr6:coauthVersionMax="47" xr10:uidLastSave="{00000000-0000-0000-0000-000000000000}"/>
  <bookViews>
    <workbookView xWindow="-28920" yWindow="-120" windowWidth="29040" windowHeight="15720" tabRatio="973" xr2:uid="{00000000-000D-0000-FFFF-FFFF00000000}"/>
  </bookViews>
  <sheets>
    <sheet name="Cover Page" sheetId="44" r:id="rId1"/>
    <sheet name="Table of Contents" sheetId="45" r:id="rId2"/>
    <sheet name="1" sheetId="1" r:id="rId3"/>
    <sheet name="2.1" sheetId="2" r:id="rId4"/>
    <sheet name="2.2" sheetId="3" r:id="rId5"/>
    <sheet name="2.3" sheetId="4" r:id="rId6"/>
    <sheet name="2.4" sheetId="5" r:id="rId7"/>
    <sheet name="3.1" sheetId="7" r:id="rId8"/>
    <sheet name="3.2a" sheetId="8" r:id="rId9"/>
    <sheet name="3.2b" sheetId="9" r:id="rId10"/>
    <sheet name="3.2c" sheetId="10" r:id="rId11"/>
    <sheet name="3.2d" sheetId="11" r:id="rId12"/>
    <sheet name="4" sheetId="13" r:id="rId13"/>
    <sheet name="5" sheetId="18" r:id="rId14"/>
    <sheet name="6.1" sheetId="19" r:id="rId15"/>
    <sheet name="6.2" sheetId="20" r:id="rId16"/>
    <sheet name="6.3" sheetId="21" r:id="rId17"/>
    <sheet name="6.4" sheetId="22" r:id="rId18"/>
    <sheet name="6.5" sheetId="23" r:id="rId19"/>
    <sheet name="6.6" sheetId="24" r:id="rId20"/>
    <sheet name="6.7" sheetId="25" r:id="rId21"/>
    <sheet name="7.1" sheetId="26" r:id="rId22"/>
    <sheet name="7.2" sheetId="28" r:id="rId23"/>
    <sheet name="7.3" sheetId="48" r:id="rId24"/>
    <sheet name="7.4" sheetId="49" r:id="rId25"/>
    <sheet name="8" sheetId="30" r:id="rId26"/>
    <sheet name="9.1" sheetId="31" r:id="rId27"/>
    <sheet name="9.2" sheetId="32" r:id="rId28"/>
    <sheet name="9.3" sheetId="33" r:id="rId29"/>
    <sheet name="10.1" sheetId="34" r:id="rId30"/>
    <sheet name="10.2" sheetId="51" r:id="rId31"/>
    <sheet name="11.1" sheetId="36" r:id="rId32"/>
    <sheet name="11.2" sheetId="37" r:id="rId33"/>
  </sheets>
  <externalReferences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2">'1'!$A$1:$K$68</definedName>
    <definedName name="_xlnm.Print_Area" localSheetId="29">'10.1'!$A$1:$K$65</definedName>
    <definedName name="_xlnm.Print_Area" localSheetId="30">'10.2'!$A$1:$H$68</definedName>
    <definedName name="_xlnm.Print_Area" localSheetId="31">'11.1'!$A$1:$I$37</definedName>
    <definedName name="_xlnm.Print_Area" localSheetId="32">'11.2'!$A$1:$J$73</definedName>
    <definedName name="_xlnm.Print_Area" localSheetId="3">'2.1'!$A$1:$J$68</definedName>
    <definedName name="_xlnm.Print_Area" localSheetId="4">'2.2'!$A$1:$M$59</definedName>
    <definedName name="_xlnm.Print_Area" localSheetId="5">'2.3'!$A$1:$K$68</definedName>
    <definedName name="_xlnm.Print_Area" localSheetId="6">'2.4'!$A$1:$L$62</definedName>
    <definedName name="_xlnm.Print_Area" localSheetId="7">'3.1'!$A$1:$L$72</definedName>
    <definedName name="_xlnm.Print_Area" localSheetId="8">'3.2a'!$A$1:$L$68</definedName>
    <definedName name="_xlnm.Print_Area" localSheetId="9">'3.2b'!$A$1:$L$68</definedName>
    <definedName name="_xlnm.Print_Area" localSheetId="10">'3.2c'!$A$1:$L$62</definedName>
    <definedName name="_xlnm.Print_Area" localSheetId="11">'3.2d'!$A$1:$L$68</definedName>
    <definedName name="_xlnm.Print_Area" localSheetId="12">'4'!$A$1:$J$72</definedName>
    <definedName name="_xlnm.Print_Area" localSheetId="13">'5'!$A$1:$H$34</definedName>
    <definedName name="_xlnm.Print_Area" localSheetId="14">'6.1'!$A$1:$J$48</definedName>
    <definedName name="_xlnm.Print_Area" localSheetId="15">'6.2'!$A$1:$J$80</definedName>
    <definedName name="_xlnm.Print_Area" localSheetId="16">'6.3'!$A$1:$I$70</definedName>
    <definedName name="_xlnm.Print_Area" localSheetId="17">'6.4'!$A$1:$J$70</definedName>
    <definedName name="_xlnm.Print_Area" localSheetId="18">'6.5'!$A$1:$J$70</definedName>
    <definedName name="_xlnm.Print_Area" localSheetId="19">'6.6'!$A$1:$J$70</definedName>
    <definedName name="_xlnm.Print_Area" localSheetId="20">'6.7'!$A$1:$J$70</definedName>
    <definedName name="_xlnm.Print_Area" localSheetId="21">'7.1'!$A$1:$J$68</definedName>
    <definedName name="_xlnm.Print_Area" localSheetId="22">'7.2'!$A$1:$J$68</definedName>
    <definedName name="_xlnm.Print_Area" localSheetId="23">'7.3'!$A$1:$J$68</definedName>
    <definedName name="_xlnm.Print_Area" localSheetId="24">'7.4'!$A$1:$J$68</definedName>
    <definedName name="_xlnm.Print_Area" localSheetId="25">'8'!$A$1:$J$69</definedName>
    <definedName name="_xlnm.Print_Area" localSheetId="26">'9.1'!$A$1:$J$72</definedName>
    <definedName name="_xlnm.Print_Area" localSheetId="27">'9.2'!$A$1:$O$73</definedName>
    <definedName name="_xlnm.Print_Area" localSheetId="28">'9.3'!$A$1:$K$66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30" l="1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14" i="10"/>
  <c r="B63" i="51" l="1"/>
  <c r="L11" i="26"/>
  <c r="B65" i="51"/>
  <c r="B66" i="51"/>
  <c r="B64" i="51"/>
  <c r="B61" i="51"/>
  <c r="B60" i="51"/>
  <c r="B59" i="51"/>
  <c r="B58" i="51"/>
  <c r="B57" i="51"/>
  <c r="B56" i="51"/>
  <c r="B55" i="51"/>
  <c r="B54" i="51"/>
  <c r="B53" i="51"/>
  <c r="B52" i="51"/>
  <c r="B51" i="51"/>
  <c r="F45" i="51"/>
  <c r="E45" i="51"/>
  <c r="D45" i="51" s="1"/>
  <c r="B45" i="51"/>
  <c r="F38" i="51"/>
  <c r="E38" i="51"/>
  <c r="F37" i="51"/>
  <c r="E37" i="51"/>
  <c r="D37" i="51"/>
  <c r="J39" i="51"/>
  <c r="B62" i="51" s="1"/>
  <c r="D32" i="51"/>
  <c r="B32" i="51"/>
  <c r="B30" i="51"/>
  <c r="D28" i="51"/>
  <c r="B28" i="51"/>
  <c r="B26" i="51"/>
  <c r="D23" i="51"/>
  <c r="D22" i="51"/>
  <c r="D21" i="51"/>
  <c r="D24" i="51" s="1"/>
  <c r="D20" i="51"/>
  <c r="D16" i="51"/>
  <c r="D15" i="51"/>
  <c r="D14" i="51"/>
  <c r="D13" i="51"/>
  <c r="B10" i="51"/>
  <c r="A3" i="51"/>
  <c r="A2" i="51"/>
  <c r="A1" i="51"/>
  <c r="D17" i="51" l="1"/>
  <c r="D38" i="51"/>
  <c r="D39" i="51" s="1"/>
  <c r="D41" i="51" s="1"/>
  <c r="D34" i="51"/>
  <c r="E39" i="51"/>
  <c r="E41" i="51" s="1"/>
  <c r="F39" i="51"/>
  <c r="F41" i="51" s="1"/>
  <c r="H38" i="45"/>
  <c r="F38" i="45"/>
  <c r="D38" i="45"/>
  <c r="B38" i="45"/>
  <c r="B53" i="34"/>
  <c r="D65" i="13"/>
  <c r="C65" i="13"/>
  <c r="F10" i="51" l="1"/>
  <c r="F26" i="51" s="1"/>
  <c r="F34" i="51" s="1"/>
  <c r="F43" i="51" s="1"/>
  <c r="F47" i="51" s="1"/>
  <c r="H38" i="34" s="1"/>
  <c r="E10" i="51"/>
  <c r="E26" i="51" s="1"/>
  <c r="E34" i="51" s="1"/>
  <c r="E43" i="51" s="1"/>
  <c r="E47" i="51" s="1"/>
  <c r="D43" i="51"/>
  <c r="D47" i="51" s="1"/>
  <c r="B39" i="8"/>
  <c r="E52" i="7" l="1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D23" i="4"/>
  <c r="D22" i="4"/>
  <c r="D21" i="4"/>
  <c r="D20" i="4"/>
  <c r="D19" i="4"/>
  <c r="D18" i="4"/>
  <c r="D17" i="4"/>
  <c r="D16" i="4"/>
  <c r="D15" i="4"/>
  <c r="D14" i="4"/>
  <c r="C23" i="4"/>
  <c r="C22" i="4"/>
  <c r="C21" i="4"/>
  <c r="C20" i="4"/>
  <c r="C19" i="4"/>
  <c r="C18" i="4"/>
  <c r="C17" i="4"/>
  <c r="C16" i="4"/>
  <c r="C15" i="4"/>
  <c r="C14" i="4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B75" i="20"/>
  <c r="B69" i="13"/>
  <c r="E57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A57" i="13"/>
  <c r="C15" i="3"/>
  <c r="C16" i="3"/>
  <c r="C17" i="3"/>
  <c r="C18" i="3"/>
  <c r="C19" i="3"/>
  <c r="C20" i="3"/>
  <c r="C21" i="3"/>
  <c r="C22" i="3"/>
  <c r="C23" i="3"/>
  <c r="C14" i="3"/>
  <c r="M52" i="13" l="1"/>
  <c r="M68" i="13" s="1"/>
  <c r="M53" i="13"/>
  <c r="M69" i="13" s="1"/>
  <c r="M36" i="13"/>
  <c r="M35" i="13" s="1"/>
  <c r="N38" i="13"/>
  <c r="F62" i="21"/>
  <c r="E62" i="21"/>
  <c r="D62" i="21"/>
  <c r="C62" i="21"/>
  <c r="M34" i="13" l="1"/>
  <c r="M51" i="13"/>
  <c r="M67" i="13" s="1"/>
  <c r="M33" i="13" l="1"/>
  <c r="M50" i="13"/>
  <c r="M66" i="13" s="1"/>
  <c r="M32" i="13" l="1"/>
  <c r="M49" i="13"/>
  <c r="M65" i="13" s="1"/>
  <c r="M31" i="13" l="1"/>
  <c r="M48" i="13"/>
  <c r="M64" i="13" s="1"/>
  <c r="M30" i="13" l="1"/>
  <c r="M47" i="13"/>
  <c r="M63" i="13" s="1"/>
  <c r="M29" i="13" l="1"/>
  <c r="M46" i="13"/>
  <c r="M62" i="13" s="1"/>
  <c r="M28" i="13" l="1"/>
  <c r="M44" i="13" s="1"/>
  <c r="M60" i="13" s="1"/>
  <c r="M45" i="13"/>
  <c r="M61" i="13" s="1"/>
  <c r="L32" i="25" l="1"/>
  <c r="G55" i="25"/>
  <c r="G54" i="25"/>
  <c r="G53" i="25"/>
  <c r="G52" i="25"/>
  <c r="G51" i="25"/>
  <c r="G50" i="25"/>
  <c r="G49" i="25"/>
  <c r="G48" i="25"/>
  <c r="G47" i="25"/>
  <c r="G46" i="25"/>
  <c r="C55" i="25"/>
  <c r="C54" i="25"/>
  <c r="C53" i="25"/>
  <c r="C52" i="25"/>
  <c r="C51" i="25"/>
  <c r="C50" i="25"/>
  <c r="C49" i="25"/>
  <c r="C48" i="25"/>
  <c r="C47" i="25"/>
  <c r="C46" i="25"/>
  <c r="L32" i="24"/>
  <c r="G55" i="24"/>
  <c r="G54" i="24"/>
  <c r="G53" i="24"/>
  <c r="G52" i="24"/>
  <c r="G51" i="24"/>
  <c r="G50" i="24"/>
  <c r="G49" i="24"/>
  <c r="G48" i="24"/>
  <c r="G47" i="24"/>
  <c r="G46" i="24"/>
  <c r="C55" i="24"/>
  <c r="C54" i="24"/>
  <c r="C53" i="24"/>
  <c r="C52" i="24"/>
  <c r="C51" i="24"/>
  <c r="C50" i="24"/>
  <c r="C49" i="24"/>
  <c r="C48" i="24"/>
  <c r="C47" i="24"/>
  <c r="C46" i="24"/>
  <c r="L32" i="23"/>
  <c r="O58" i="23"/>
  <c r="G55" i="23"/>
  <c r="G54" i="23"/>
  <c r="G53" i="23"/>
  <c r="G52" i="23"/>
  <c r="G51" i="23"/>
  <c r="G50" i="23"/>
  <c r="G49" i="23"/>
  <c r="G48" i="23"/>
  <c r="G47" i="23"/>
  <c r="G46" i="23"/>
  <c r="C55" i="23"/>
  <c r="C54" i="23"/>
  <c r="C53" i="23"/>
  <c r="C52" i="23"/>
  <c r="C51" i="23"/>
  <c r="C50" i="23"/>
  <c r="C49" i="23"/>
  <c r="C48" i="23"/>
  <c r="C47" i="23"/>
  <c r="C46" i="23"/>
  <c r="L32" i="22" l="1"/>
  <c r="M50" i="22"/>
  <c r="L50" i="22"/>
  <c r="G55" i="22"/>
  <c r="G54" i="22"/>
  <c r="G53" i="22"/>
  <c r="G52" i="22"/>
  <c r="G51" i="22"/>
  <c r="G50" i="22"/>
  <c r="G49" i="22"/>
  <c r="G48" i="22"/>
  <c r="G47" i="22"/>
  <c r="G4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C55" i="22"/>
  <c r="C66" i="20" s="1"/>
  <c r="C54" i="22"/>
  <c r="C53" i="22"/>
  <c r="C52" i="22"/>
  <c r="C51" i="22"/>
  <c r="C50" i="22"/>
  <c r="C49" i="22"/>
  <c r="C48" i="22"/>
  <c r="C47" i="22"/>
  <c r="C46" i="22"/>
  <c r="F55" i="22" l="1"/>
  <c r="H55" i="22" s="1"/>
  <c r="C54" i="21" s="1"/>
  <c r="E55" i="23"/>
  <c r="F55" i="23" s="1"/>
  <c r="H55" i="23" s="1"/>
  <c r="D54" i="21" s="1"/>
  <c r="E55" i="24"/>
  <c r="F55" i="24" s="1"/>
  <c r="H55" i="24" s="1"/>
  <c r="E54" i="21" s="1"/>
  <c r="E55" i="25"/>
  <c r="F55" i="25" s="1"/>
  <c r="H55" i="25" s="1"/>
  <c r="F54" i="21" s="1"/>
  <c r="Q49" i="22"/>
  <c r="S47" i="22"/>
  <c r="R47" i="22"/>
  <c r="E66" i="20" l="1"/>
  <c r="C28" i="19" s="1"/>
  <c r="B52" i="34" l="1"/>
  <c r="A23" i="36"/>
  <c r="A22" i="36" s="1"/>
  <c r="A21" i="36" s="1"/>
  <c r="A20" i="36" s="1"/>
  <c r="A19" i="36" s="1"/>
  <c r="A18" i="36" s="1"/>
  <c r="A17" i="36" s="1"/>
  <c r="A16" i="36" s="1"/>
  <c r="A15" i="36" s="1"/>
  <c r="A14" i="36" s="1"/>
  <c r="F25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D44" i="31"/>
  <c r="D44" i="37"/>
  <c r="C44" i="37"/>
  <c r="D43" i="37"/>
  <c r="C43" i="37"/>
  <c r="D42" i="37"/>
  <c r="C42" i="37"/>
  <c r="D41" i="37"/>
  <c r="C41" i="37"/>
  <c r="D40" i="37"/>
  <c r="C40" i="37"/>
  <c r="D39" i="37"/>
  <c r="C39" i="37"/>
  <c r="D38" i="37"/>
  <c r="C38" i="37"/>
  <c r="D37" i="37"/>
  <c r="C37" i="37"/>
  <c r="D36" i="37"/>
  <c r="C36" i="37"/>
  <c r="D35" i="37"/>
  <c r="C35" i="37"/>
  <c r="D34" i="37"/>
  <c r="C34" i="37"/>
  <c r="D33" i="37"/>
  <c r="C33" i="37"/>
  <c r="D32" i="37"/>
  <c r="C32" i="37"/>
  <c r="D31" i="37"/>
  <c r="C31" i="37"/>
  <c r="D30" i="37"/>
  <c r="C30" i="37"/>
  <c r="D29" i="37"/>
  <c r="C29" i="37"/>
  <c r="D28" i="37"/>
  <c r="C28" i="37"/>
  <c r="D27" i="37"/>
  <c r="C27" i="37"/>
  <c r="D26" i="37"/>
  <c r="C26" i="37"/>
  <c r="D25" i="37"/>
  <c r="C25" i="37"/>
  <c r="D24" i="37"/>
  <c r="C24" i="37"/>
  <c r="D23" i="37"/>
  <c r="C23" i="37"/>
  <c r="A44" i="37"/>
  <c r="A43" i="37"/>
  <c r="D53" i="30"/>
  <c r="B40" i="49"/>
  <c r="B40" i="48"/>
  <c r="B40" i="28"/>
  <c r="B40" i="26"/>
  <c r="E23" i="36" l="1"/>
  <c r="G23" i="36" s="1"/>
  <c r="C44" i="31"/>
  <c r="E44" i="31" s="1"/>
  <c r="E44" i="37"/>
  <c r="G44" i="37" s="1"/>
  <c r="L44" i="37" s="1"/>
  <c r="E33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B57" i="30"/>
  <c r="I60" i="32"/>
  <c r="N58" i="32"/>
  <c r="I58" i="32"/>
  <c r="F58" i="32"/>
  <c r="D54" i="33"/>
  <c r="B57" i="34" l="1"/>
  <c r="B49" i="5" l="1"/>
  <c r="C67" i="7" l="1"/>
  <c r="C62" i="7"/>
  <c r="C61" i="7"/>
  <c r="L11" i="28" l="1"/>
  <c r="L11" i="48" s="1"/>
  <c r="L11" i="49" s="1"/>
  <c r="B33" i="3"/>
  <c r="B64" i="11"/>
  <c r="B62" i="10"/>
  <c r="B62" i="9"/>
  <c r="B31" i="2"/>
  <c r="B33" i="1"/>
  <c r="B31" i="1"/>
  <c r="B61" i="10"/>
  <c r="B61" i="9"/>
  <c r="B40" i="8"/>
  <c r="A33" i="5"/>
  <c r="A11" i="4"/>
  <c r="A11" i="2"/>
  <c r="C70" i="7"/>
  <c r="D24" i="45"/>
  <c r="D23" i="45"/>
  <c r="H37" i="45"/>
  <c r="F37" i="45"/>
  <c r="H36" i="45"/>
  <c r="H35" i="45"/>
  <c r="H34" i="45"/>
  <c r="F36" i="45"/>
  <c r="B36" i="45"/>
  <c r="F35" i="45"/>
  <c r="F34" i="45"/>
  <c r="H32" i="45"/>
  <c r="H31" i="45"/>
  <c r="H30" i="45"/>
  <c r="H29" i="45"/>
  <c r="F32" i="45"/>
  <c r="F31" i="45"/>
  <c r="F30" i="45"/>
  <c r="F29" i="45"/>
  <c r="H28" i="45"/>
  <c r="H27" i="45"/>
  <c r="H26" i="45"/>
  <c r="H25" i="45"/>
  <c r="H24" i="45"/>
  <c r="H23" i="45"/>
  <c r="H22" i="45"/>
  <c r="F28" i="45"/>
  <c r="F27" i="45"/>
  <c r="F26" i="45"/>
  <c r="F25" i="45"/>
  <c r="F24" i="45"/>
  <c r="F23" i="45"/>
  <c r="F22" i="45"/>
  <c r="F21" i="45"/>
  <c r="H19" i="45"/>
  <c r="H18" i="45"/>
  <c r="H17" i="45"/>
  <c r="H16" i="45"/>
  <c r="F19" i="45"/>
  <c r="F18" i="45"/>
  <c r="F17" i="45"/>
  <c r="F16" i="45"/>
  <c r="H15" i="45"/>
  <c r="F15" i="45"/>
  <c r="H14" i="45"/>
  <c r="F14" i="45"/>
  <c r="H13" i="45"/>
  <c r="F13" i="45"/>
  <c r="H12" i="45"/>
  <c r="F12" i="45"/>
  <c r="H11" i="45"/>
  <c r="F11" i="45"/>
  <c r="F10" i="45"/>
  <c r="F33" i="45"/>
  <c r="D32" i="45"/>
  <c r="D31" i="45"/>
  <c r="D30" i="45"/>
  <c r="D29" i="45"/>
  <c r="D28" i="45"/>
  <c r="D27" i="45"/>
  <c r="D26" i="45"/>
  <c r="D25" i="45"/>
  <c r="B28" i="45"/>
  <c r="B27" i="45"/>
  <c r="B26" i="45"/>
  <c r="B25" i="45"/>
  <c r="B24" i="45"/>
  <c r="B23" i="45"/>
  <c r="B22" i="45"/>
  <c r="B21" i="45"/>
  <c r="F20" i="45"/>
  <c r="B20" i="45"/>
  <c r="B19" i="45"/>
  <c r="B18" i="45"/>
  <c r="B17" i="45"/>
  <c r="B16" i="45"/>
  <c r="B15" i="45"/>
  <c r="B14" i="45"/>
  <c r="B12" i="45"/>
  <c r="B11" i="45"/>
  <c r="B10" i="45"/>
  <c r="B47" i="19"/>
  <c r="B27" i="18"/>
  <c r="H40" i="45"/>
  <c r="F40" i="45"/>
  <c r="H39" i="45"/>
  <c r="F39" i="45"/>
  <c r="B40" i="45"/>
  <c r="B39" i="45"/>
  <c r="B37" i="45"/>
  <c r="B35" i="45"/>
  <c r="B34" i="45"/>
  <c r="B38" i="49"/>
  <c r="B38" i="48"/>
  <c r="B38" i="28"/>
  <c r="B38" i="26"/>
  <c r="G31" i="34"/>
  <c r="G32" i="34" s="1"/>
  <c r="G23" i="34"/>
  <c r="G19" i="34"/>
  <c r="G36" i="34"/>
  <c r="A10" i="13"/>
  <c r="F14" i="7" l="1"/>
  <c r="G14" i="7" s="1"/>
  <c r="F16" i="7"/>
  <c r="G16" i="7" s="1"/>
  <c r="F17" i="7"/>
  <c r="G17" i="7" s="1"/>
  <c r="F18" i="7"/>
  <c r="G18" i="7" s="1"/>
  <c r="F20" i="7"/>
  <c r="G20" i="7" s="1"/>
  <c r="F15" i="7"/>
  <c r="F19" i="7"/>
  <c r="G19" i="7" s="1"/>
  <c r="O70" i="13"/>
  <c r="P70" i="13"/>
  <c r="N70" i="13"/>
  <c r="O54" i="13"/>
  <c r="P54" i="13"/>
  <c r="N54" i="13"/>
  <c r="O38" i="13"/>
  <c r="P38" i="13"/>
  <c r="H19" i="7" l="1"/>
  <c r="H16" i="7"/>
  <c r="H20" i="7"/>
  <c r="H17" i="7"/>
  <c r="H18" i="7"/>
  <c r="G15" i="7"/>
  <c r="D19" i="45" l="1"/>
  <c r="D18" i="45"/>
  <c r="D17" i="45"/>
  <c r="D16" i="45"/>
  <c r="D15" i="45"/>
  <c r="D10" i="45"/>
  <c r="A5" i="19"/>
  <c r="D22" i="45" s="1"/>
  <c r="D12" i="3" l="1"/>
  <c r="C12" i="3"/>
  <c r="C50" i="20" l="1"/>
  <c r="C51" i="20"/>
  <c r="C52" i="20"/>
  <c r="C53" i="20"/>
  <c r="C54" i="20"/>
  <c r="C55" i="20"/>
  <c r="Q61" i="13"/>
  <c r="Q62" i="13"/>
  <c r="Q63" i="13"/>
  <c r="Q64" i="13"/>
  <c r="Q65" i="13"/>
  <c r="Q66" i="13"/>
  <c r="Q67" i="13"/>
  <c r="Q68" i="13"/>
  <c r="Q69" i="13"/>
  <c r="Q60" i="13"/>
  <c r="Q53" i="13"/>
  <c r="Q52" i="13"/>
  <c r="Q51" i="13"/>
  <c r="Q50" i="13"/>
  <c r="Q49" i="13"/>
  <c r="Q48" i="13"/>
  <c r="Q47" i="13"/>
  <c r="Q46" i="13"/>
  <c r="Q45" i="13"/>
  <c r="Q44" i="13"/>
  <c r="D61" i="13" l="1"/>
  <c r="Q70" i="13"/>
  <c r="Q54" i="13"/>
  <c r="D59" i="13" l="1"/>
  <c r="Q37" i="13"/>
  <c r="Q36" i="13"/>
  <c r="S36" i="13" s="1"/>
  <c r="N53" i="21" s="1"/>
  <c r="Q35" i="13"/>
  <c r="Q34" i="13"/>
  <c r="Q33" i="13"/>
  <c r="Q32" i="13"/>
  <c r="S32" i="13" s="1"/>
  <c r="N49" i="21" s="1"/>
  <c r="Q31" i="13"/>
  <c r="S31" i="13" s="1"/>
  <c r="N48" i="21" s="1"/>
  <c r="Q30" i="13"/>
  <c r="S30" i="13" s="1"/>
  <c r="N47" i="21" s="1"/>
  <c r="Q29" i="13"/>
  <c r="S29" i="13" s="1"/>
  <c r="N46" i="21" s="1"/>
  <c r="Q28" i="13"/>
  <c r="O57" i="23"/>
  <c r="O54" i="23"/>
  <c r="O55" i="23"/>
  <c r="O56" i="23"/>
  <c r="B67" i="22"/>
  <c r="R46" i="22"/>
  <c r="S35" i="13" l="1"/>
  <c r="N52" i="21" s="1"/>
  <c r="S28" i="13"/>
  <c r="N45" i="21" s="1"/>
  <c r="S33" i="13"/>
  <c r="N50" i="21" s="1"/>
  <c r="E56" i="13"/>
  <c r="S37" i="13"/>
  <c r="N54" i="21" s="1"/>
  <c r="S34" i="13"/>
  <c r="N51" i="21" s="1"/>
  <c r="D15" i="3"/>
  <c r="E15" i="3" s="1"/>
  <c r="R29" i="13"/>
  <c r="D16" i="3"/>
  <c r="E16" i="3" s="1"/>
  <c r="R30" i="13"/>
  <c r="D22" i="3"/>
  <c r="E22" i="3" s="1"/>
  <c r="R36" i="13"/>
  <c r="D23" i="3"/>
  <c r="E23" i="3" s="1"/>
  <c r="R37" i="13"/>
  <c r="R31" i="13"/>
  <c r="D17" i="3"/>
  <c r="E17" i="3" s="1"/>
  <c r="R32" i="13"/>
  <c r="D18" i="3"/>
  <c r="E18" i="3" s="1"/>
  <c r="R33" i="13"/>
  <c r="D19" i="3"/>
  <c r="E19" i="3" s="1"/>
  <c r="D20" i="3"/>
  <c r="E20" i="3" s="1"/>
  <c r="R34" i="13"/>
  <c r="D14" i="3"/>
  <c r="E14" i="3" s="1"/>
  <c r="R28" i="13"/>
  <c r="D21" i="3"/>
  <c r="E21" i="3" s="1"/>
  <c r="R35" i="13"/>
  <c r="C61" i="13"/>
  <c r="C63" i="20"/>
  <c r="G57" i="22"/>
  <c r="C57" i="23"/>
  <c r="C59" i="20"/>
  <c r="G57" i="23"/>
  <c r="C57" i="25"/>
  <c r="C57" i="24"/>
  <c r="G57" i="25"/>
  <c r="G57" i="24"/>
  <c r="C56" i="20"/>
  <c r="C57" i="20"/>
  <c r="C64" i="20"/>
  <c r="C65" i="20"/>
  <c r="C58" i="20"/>
  <c r="C57" i="22"/>
  <c r="C60" i="20"/>
  <c r="C61" i="20"/>
  <c r="C62" i="20"/>
  <c r="Q38" i="13"/>
  <c r="C59" i="13" l="1"/>
  <c r="B39" i="49"/>
  <c r="B39" i="48"/>
  <c r="B39" i="28"/>
  <c r="B39" i="26"/>
  <c r="C28" i="49"/>
  <c r="C27" i="48"/>
  <c r="C26" i="28"/>
  <c r="C25" i="28"/>
  <c r="C24" i="28"/>
  <c r="C23" i="28"/>
  <c r="C22" i="28"/>
  <c r="C21" i="28"/>
  <c r="C20" i="49"/>
  <c r="C19" i="48"/>
  <c r="C18" i="28"/>
  <c r="C16" i="28"/>
  <c r="C14" i="49"/>
  <c r="C21" i="49" l="1"/>
  <c r="C27" i="28"/>
  <c r="C22" i="49"/>
  <c r="C14" i="48"/>
  <c r="C20" i="48"/>
  <c r="C22" i="48"/>
  <c r="C28" i="48"/>
  <c r="C14" i="28"/>
  <c r="C19" i="28"/>
  <c r="C19" i="49"/>
  <c r="C20" i="28"/>
  <c r="C28" i="28"/>
  <c r="C21" i="48"/>
  <c r="C15" i="49"/>
  <c r="C23" i="49"/>
  <c r="C15" i="48"/>
  <c r="C23" i="48"/>
  <c r="C16" i="49"/>
  <c r="C24" i="49"/>
  <c r="C15" i="28"/>
  <c r="C16" i="48"/>
  <c r="C24" i="48"/>
  <c r="C17" i="49"/>
  <c r="C25" i="49"/>
  <c r="C17" i="48"/>
  <c r="C25" i="48"/>
  <c r="C18" i="49"/>
  <c r="C26" i="49"/>
  <c r="C18" i="48"/>
  <c r="C26" i="48"/>
  <c r="C27" i="49"/>
  <c r="C17" i="28"/>
  <c r="E22" i="36" l="1"/>
  <c r="G22" i="36" s="1"/>
  <c r="F46" i="37" l="1"/>
  <c r="E70" i="21"/>
  <c r="C43" i="31" l="1"/>
  <c r="C46" i="37"/>
  <c r="D46" i="37"/>
  <c r="E43" i="37"/>
  <c r="G43" i="37" s="1"/>
  <c r="L43" i="37" s="1"/>
  <c r="G22" i="8" l="1"/>
  <c r="R45" i="22" l="1"/>
  <c r="E21" i="36" l="1"/>
  <c r="G21" i="36" s="1"/>
  <c r="C25" i="36"/>
  <c r="D25" i="36"/>
  <c r="C42" i="31"/>
  <c r="E41" i="37" l="1"/>
  <c r="E42" i="37"/>
  <c r="G42" i="37" s="1"/>
  <c r="L42" i="37" s="1"/>
  <c r="R44" i="22" l="1"/>
  <c r="D15" i="33" l="1"/>
  <c r="F14" i="32"/>
  <c r="F15" i="32"/>
  <c r="R43" i="22" l="1"/>
  <c r="K44" i="21" l="1"/>
  <c r="B32" i="45"/>
  <c r="B31" i="45"/>
  <c r="B30" i="45"/>
  <c r="B29" i="45"/>
  <c r="B41" i="49"/>
  <c r="E33" i="49"/>
  <c r="E12" i="49"/>
  <c r="B42" i="49" s="1"/>
  <c r="D12" i="49"/>
  <c r="C12" i="49"/>
  <c r="A12" i="49"/>
  <c r="A3" i="49"/>
  <c r="A2" i="49"/>
  <c r="A1" i="49"/>
  <c r="B41" i="48"/>
  <c r="E33" i="48"/>
  <c r="E12" i="48"/>
  <c r="B42" i="48" s="1"/>
  <c r="D12" i="48"/>
  <c r="C12" i="48"/>
  <c r="A12" i="48"/>
  <c r="A3" i="48"/>
  <c r="A2" i="48"/>
  <c r="A1" i="48"/>
  <c r="F11" i="34" l="1"/>
  <c r="O29" i="3"/>
  <c r="A11" i="3" l="1"/>
  <c r="B31" i="3"/>
  <c r="B32" i="3"/>
  <c r="E11" i="34"/>
  <c r="D11" i="34" s="1"/>
  <c r="G11" i="34"/>
  <c r="C11" i="49"/>
  <c r="C11" i="48"/>
  <c r="F26" i="34" l="1"/>
  <c r="C41" i="31" l="1"/>
  <c r="G41" i="37"/>
  <c r="L41" i="37" s="1"/>
  <c r="E20" i="36"/>
  <c r="G20" i="36" s="1"/>
  <c r="D31" i="34" l="1"/>
  <c r="D32" i="34" s="1"/>
  <c r="F31" i="34" l="1"/>
  <c r="F32" i="34" s="1"/>
  <c r="H32" i="34" s="1"/>
  <c r="F36" i="34" l="1"/>
  <c r="A23" i="3" l="1"/>
  <c r="Q42" i="22" l="1"/>
  <c r="R42" i="22" s="1"/>
  <c r="E40" i="37" l="1"/>
  <c r="G40" i="37" s="1"/>
  <c r="L40" i="37" s="1"/>
  <c r="C40" i="31"/>
  <c r="G53" i="30" l="1"/>
  <c r="O17" i="23" l="1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AU28" i="22" l="1"/>
  <c r="AU29" i="22" s="1"/>
  <c r="X10" i="22"/>
  <c r="O33" i="23" l="1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32" i="23"/>
  <c r="BR54" i="22" l="1"/>
  <c r="BV54" i="22" s="1"/>
  <c r="BZ54" i="22" s="1"/>
  <c r="CD54" i="22" s="1"/>
  <c r="CH54" i="22" s="1"/>
  <c r="CL54" i="22" s="1"/>
  <c r="CP54" i="22" s="1"/>
  <c r="CT54" i="22" s="1"/>
  <c r="CX54" i="22" s="1"/>
  <c r="DB54" i="22" s="1"/>
  <c r="DF54" i="22" s="1"/>
  <c r="DJ54" i="22" s="1"/>
  <c r="DN54" i="22" s="1"/>
  <c r="DR54" i="22" s="1"/>
  <c r="DV54" i="22" s="1"/>
  <c r="DZ54" i="22" s="1"/>
  <c r="ED54" i="22" s="1"/>
  <c r="EH54" i="22" s="1"/>
  <c r="EL54" i="22" s="1"/>
  <c r="EP54" i="22" s="1"/>
  <c r="ET54" i="22" s="1"/>
  <c r="EX54" i="22" s="1"/>
  <c r="FB54" i="22" s="1"/>
  <c r="FF54" i="22" s="1"/>
  <c r="FJ54" i="22" s="1"/>
  <c r="FN54" i="22" s="1"/>
  <c r="FR54" i="22" s="1"/>
  <c r="FV54" i="22" s="1"/>
  <c r="FZ54" i="22" s="1"/>
  <c r="GD54" i="22" s="1"/>
  <c r="GH54" i="22" s="1"/>
  <c r="GL54" i="22" s="1"/>
  <c r="GP54" i="22" s="1"/>
  <c r="GT54" i="22" s="1"/>
  <c r="GX54" i="22" s="1"/>
  <c r="HB54" i="22" s="1"/>
  <c r="HF54" i="22" s="1"/>
  <c r="HJ54" i="22" s="1"/>
  <c r="HN54" i="22" s="1"/>
  <c r="AW32" i="22"/>
  <c r="AX31" i="22"/>
  <c r="AX32" i="22" s="1"/>
  <c r="AV31" i="22"/>
  <c r="AV30" i="22" s="1"/>
  <c r="AW30" i="22"/>
  <c r="AU30" i="22"/>
  <c r="AT29" i="22"/>
  <c r="AT28" i="22" s="1"/>
  <c r="AH20" i="22"/>
  <c r="AG19" i="22"/>
  <c r="AF18" i="22"/>
  <c r="AD17" i="22"/>
  <c r="AD16" i="22" s="1"/>
  <c r="AE16" i="22"/>
  <c r="AE17" i="22" s="1"/>
  <c r="AB16" i="22"/>
  <c r="AB15" i="22" s="1"/>
  <c r="AC15" i="22"/>
  <c r="AC16" i="22" s="1"/>
  <c r="AA14" i="22"/>
  <c r="Y14" i="22"/>
  <c r="Z11" i="22"/>
  <c r="W11" i="22"/>
  <c r="X11" i="22"/>
  <c r="V10" i="22"/>
  <c r="W9" i="22"/>
  <c r="W10" i="22" s="1"/>
  <c r="U9" i="22"/>
  <c r="V8" i="22"/>
  <c r="T8" i="22"/>
  <c r="T7" i="22" s="1"/>
  <c r="U7" i="22"/>
  <c r="U6" i="22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AH6" i="22" s="1"/>
  <c r="AI6" i="22" s="1"/>
  <c r="AJ6" i="22" s="1"/>
  <c r="AK6" i="22" s="1"/>
  <c r="AL6" i="22" s="1"/>
  <c r="AM6" i="22" s="1"/>
  <c r="AN6" i="22" s="1"/>
  <c r="AO6" i="22" s="1"/>
  <c r="AP6" i="22" s="1"/>
  <c r="AQ6" i="22" s="1"/>
  <c r="AR6" i="22" s="1"/>
  <c r="AS6" i="22" s="1"/>
  <c r="AT6" i="22" s="1"/>
  <c r="AU6" i="22" s="1"/>
  <c r="AV6" i="22" s="1"/>
  <c r="AW6" i="22" s="1"/>
  <c r="AX6" i="22" s="1"/>
  <c r="AY6" i="22" s="1"/>
  <c r="AZ6" i="22" s="1"/>
  <c r="BA6" i="22" s="1"/>
  <c r="BB6" i="22" s="1"/>
  <c r="BC6" i="22" s="1"/>
  <c r="BD6" i="22" s="1"/>
  <c r="BE6" i="22" s="1"/>
  <c r="BF6" i="22" s="1"/>
  <c r="BG6" i="22" s="1"/>
  <c r="V9" i="22" l="1"/>
  <c r="U8" i="22"/>
  <c r="Y13" i="22"/>
  <c r="Y12" i="22" s="1"/>
  <c r="Y11" i="22" s="1"/>
  <c r="Z12" i="22"/>
  <c r="Z13" i="22" s="1"/>
  <c r="AW31" i="22"/>
  <c r="S7" i="22"/>
  <c r="Q9" i="22"/>
  <c r="R9" i="22" s="1"/>
  <c r="Q10" i="22"/>
  <c r="R10" i="22" s="1"/>
  <c r="Q11" i="22"/>
  <c r="R11" i="22" s="1"/>
  <c r="Q12" i="22"/>
  <c r="R12" i="22" s="1"/>
  <c r="Q13" i="22"/>
  <c r="R13" i="22" s="1"/>
  <c r="Q14" i="22"/>
  <c r="R14" i="22" s="1"/>
  <c r="Q15" i="22"/>
  <c r="R15" i="22" s="1"/>
  <c r="Q16" i="22"/>
  <c r="R16" i="22" s="1"/>
  <c r="Q17" i="22"/>
  <c r="R17" i="22" s="1"/>
  <c r="Q18" i="22"/>
  <c r="R18" i="22" s="1"/>
  <c r="Q19" i="22"/>
  <c r="R19" i="22" s="1"/>
  <c r="Q20" i="22"/>
  <c r="R20" i="22" s="1"/>
  <c r="Q21" i="22"/>
  <c r="R21" i="22" s="1"/>
  <c r="Q22" i="22"/>
  <c r="R22" i="22" s="1"/>
  <c r="Q23" i="22"/>
  <c r="R23" i="22" s="1"/>
  <c r="Q24" i="22"/>
  <c r="R24" i="22" s="1"/>
  <c r="Q25" i="22"/>
  <c r="R25" i="22" s="1"/>
  <c r="Q26" i="22"/>
  <c r="R26" i="22" s="1"/>
  <c r="Q27" i="22"/>
  <c r="R27" i="22" s="1"/>
  <c r="Q28" i="22"/>
  <c r="R28" i="22" s="1"/>
  <c r="Q29" i="22"/>
  <c r="R29" i="22" s="1"/>
  <c r="Q30" i="22"/>
  <c r="R30" i="22" s="1"/>
  <c r="Q31" i="22"/>
  <c r="R31" i="22" s="1"/>
  <c r="Q32" i="22"/>
  <c r="R32" i="22" s="1"/>
  <c r="Q33" i="22"/>
  <c r="R33" i="22" s="1"/>
  <c r="Q34" i="22"/>
  <c r="R34" i="22" s="1"/>
  <c r="Q35" i="22"/>
  <c r="R35" i="22" s="1"/>
  <c r="Q37" i="22"/>
  <c r="R37" i="22" s="1"/>
  <c r="Q38" i="22"/>
  <c r="R38" i="22" s="1"/>
  <c r="Q39" i="22"/>
  <c r="R39" i="22" s="1"/>
  <c r="Q40" i="22"/>
  <c r="R40" i="22" s="1"/>
  <c r="Q41" i="22"/>
  <c r="R41" i="22" s="1"/>
  <c r="Q8" i="22"/>
  <c r="R8" i="22" s="1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7" i="22"/>
  <c r="Z14" i="22" l="1"/>
  <c r="A45" i="5"/>
  <c r="A23" i="5" s="1"/>
  <c r="O32" i="8" l="1"/>
  <c r="I14" i="5" s="1"/>
  <c r="D10" i="20" l="1"/>
  <c r="F12" i="19"/>
  <c r="B45" i="19" s="1"/>
  <c r="D12" i="19"/>
  <c r="C12" i="19"/>
  <c r="B41" i="19" s="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G62" i="21" l="1"/>
  <c r="F63" i="21" s="1"/>
  <c r="E39" i="37" l="1"/>
  <c r="G39" i="37" s="1"/>
  <c r="L39" i="37" s="1"/>
  <c r="C39" i="31"/>
  <c r="B46" i="19" l="1"/>
  <c r="G12" i="7" l="1"/>
  <c r="M47" i="23" l="1"/>
  <c r="M48" i="23" l="1"/>
  <c r="B67" i="23" l="1"/>
  <c r="B67" i="24" s="1"/>
  <c r="B67" i="25" l="1"/>
  <c r="F14" i="3"/>
  <c r="E19" i="4"/>
  <c r="F20" i="3"/>
  <c r="F22" i="3"/>
  <c r="G17" i="8"/>
  <c r="E38" i="37"/>
  <c r="G38" i="37" s="1"/>
  <c r="L38" i="37" s="1"/>
  <c r="E33" i="28"/>
  <c r="M48" i="25"/>
  <c r="L48" i="23"/>
  <c r="E36" i="34"/>
  <c r="D36" i="34"/>
  <c r="E31" i="34"/>
  <c r="E32" i="34" s="1"/>
  <c r="E23" i="34"/>
  <c r="D23" i="34"/>
  <c r="E19" i="34"/>
  <c r="D19" i="34"/>
  <c r="B41" i="28"/>
  <c r="B41" i="26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H46" i="34"/>
  <c r="B56" i="34"/>
  <c r="F19" i="34"/>
  <c r="C68" i="7"/>
  <c r="O52" i="7"/>
  <c r="A1" i="37"/>
  <c r="A2" i="37"/>
  <c r="A3" i="37"/>
  <c r="A12" i="37"/>
  <c r="C12" i="37"/>
  <c r="D12" i="37"/>
  <c r="E12" i="37"/>
  <c r="F12" i="37"/>
  <c r="B52" i="37" s="1"/>
  <c r="G12" i="37"/>
  <c r="E14" i="37"/>
  <c r="G14" i="37" s="1"/>
  <c r="A15" i="37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E15" i="37"/>
  <c r="E16" i="37"/>
  <c r="G16" i="37" s="1"/>
  <c r="L16" i="37" s="1"/>
  <c r="E17" i="37"/>
  <c r="G17" i="37" s="1"/>
  <c r="L17" i="37" s="1"/>
  <c r="E18" i="37"/>
  <c r="G18" i="37" s="1"/>
  <c r="L18" i="37" s="1"/>
  <c r="E19" i="37"/>
  <c r="G19" i="37" s="1"/>
  <c r="L19" i="37" s="1"/>
  <c r="E20" i="37"/>
  <c r="G20" i="37" s="1"/>
  <c r="L20" i="37" s="1"/>
  <c r="E21" i="37"/>
  <c r="G21" i="37" s="1"/>
  <c r="L21" i="37" s="1"/>
  <c r="A1" i="36"/>
  <c r="A2" i="36"/>
  <c r="A3" i="36"/>
  <c r="A12" i="36"/>
  <c r="C12" i="36"/>
  <c r="D12" i="36"/>
  <c r="E12" i="36"/>
  <c r="F12" i="36"/>
  <c r="B31" i="36" s="1"/>
  <c r="G12" i="36"/>
  <c r="A1" i="34"/>
  <c r="A2" i="34"/>
  <c r="A3" i="34"/>
  <c r="F23" i="34"/>
  <c r="B58" i="34"/>
  <c r="A1" i="33"/>
  <c r="A2" i="33"/>
  <c r="A3" i="33"/>
  <c r="A12" i="33"/>
  <c r="C12" i="33"/>
  <c r="B57" i="33" s="1"/>
  <c r="D12" i="33"/>
  <c r="S8" i="22"/>
  <c r="C43" i="33"/>
  <c r="Q36" i="22" s="1"/>
  <c r="R36" i="22" s="1"/>
  <c r="A1" i="32"/>
  <c r="A2" i="32"/>
  <c r="A3" i="32"/>
  <c r="A12" i="32"/>
  <c r="B12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J14" i="32"/>
  <c r="M14" i="32" s="1"/>
  <c r="J15" i="32"/>
  <c r="M15" i="32" s="1"/>
  <c r="J16" i="32"/>
  <c r="M16" i="32" s="1"/>
  <c r="J17" i="32"/>
  <c r="M17" i="32" s="1"/>
  <c r="J18" i="32"/>
  <c r="M18" i="32" s="1"/>
  <c r="J19" i="32"/>
  <c r="J20" i="32"/>
  <c r="M20" i="32" s="1"/>
  <c r="J21" i="32"/>
  <c r="M21" i="32" s="1"/>
  <c r="J22" i="32"/>
  <c r="M22" i="32" s="1"/>
  <c r="J23" i="32"/>
  <c r="M23" i="32" s="1"/>
  <c r="J24" i="32"/>
  <c r="M24" i="32" s="1"/>
  <c r="J25" i="32"/>
  <c r="M25" i="32" s="1"/>
  <c r="J26" i="32"/>
  <c r="M26" i="32" s="1"/>
  <c r="J27" i="32"/>
  <c r="M27" i="32" s="1"/>
  <c r="J28" i="32"/>
  <c r="M28" i="32" s="1"/>
  <c r="J29" i="32"/>
  <c r="M29" i="32" s="1"/>
  <c r="J30" i="32"/>
  <c r="M30" i="32" s="1"/>
  <c r="J31" i="32"/>
  <c r="M31" i="32" s="1"/>
  <c r="J32" i="32"/>
  <c r="M32" i="32" s="1"/>
  <c r="J33" i="32"/>
  <c r="M33" i="32" s="1"/>
  <c r="J34" i="32"/>
  <c r="M34" i="32" s="1"/>
  <c r="J35" i="32"/>
  <c r="M35" i="32" s="1"/>
  <c r="J36" i="32"/>
  <c r="M36" i="32" s="1"/>
  <c r="J37" i="32"/>
  <c r="M37" i="32" s="1"/>
  <c r="J38" i="32"/>
  <c r="M38" i="32" s="1"/>
  <c r="J39" i="32"/>
  <c r="M39" i="32" s="1"/>
  <c r="J40" i="32"/>
  <c r="M40" i="32" s="1"/>
  <c r="J41" i="32"/>
  <c r="M41" i="32" s="1"/>
  <c r="J42" i="32"/>
  <c r="M42" i="32" s="1"/>
  <c r="J43" i="32"/>
  <c r="M43" i="32" s="1"/>
  <c r="J44" i="32"/>
  <c r="M44" i="32" s="1"/>
  <c r="J45" i="32"/>
  <c r="M46" i="32"/>
  <c r="J47" i="32"/>
  <c r="J48" i="32"/>
  <c r="A1" i="31"/>
  <c r="A2" i="31"/>
  <c r="A3" i="31"/>
  <c r="A12" i="31"/>
  <c r="C12" i="31"/>
  <c r="B50" i="31" s="1"/>
  <c r="D12" i="31"/>
  <c r="B51" i="31" s="1"/>
  <c r="E12" i="31"/>
  <c r="F12" i="31"/>
  <c r="C14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C15" i="31"/>
  <c r="C16" i="31"/>
  <c r="C17" i="31"/>
  <c r="C18" i="31"/>
  <c r="C19" i="31"/>
  <c r="C20" i="31"/>
  <c r="C21" i="31"/>
  <c r="L25" i="31"/>
  <c r="A11" i="31" s="1"/>
  <c r="A1" i="30"/>
  <c r="A2" i="30"/>
  <c r="A3" i="30"/>
  <c r="A4" i="30"/>
  <c r="B33" i="45" s="1"/>
  <c r="A12" i="30"/>
  <c r="C12" i="30"/>
  <c r="G12" i="30" s="1"/>
  <c r="A1" i="28"/>
  <c r="A2" i="28"/>
  <c r="A3" i="28"/>
  <c r="A12" i="28"/>
  <c r="C12" i="28"/>
  <c r="D12" i="28"/>
  <c r="E12" i="28"/>
  <c r="B42" i="28" s="1"/>
  <c r="A1" i="26"/>
  <c r="A2" i="26"/>
  <c r="A3" i="26"/>
  <c r="A12" i="26"/>
  <c r="C12" i="26"/>
  <c r="D12" i="26"/>
  <c r="E12" i="26"/>
  <c r="B42" i="26" s="1"/>
  <c r="A1" i="25"/>
  <c r="A2" i="25"/>
  <c r="A3" i="25"/>
  <c r="A12" i="25"/>
  <c r="C12" i="25"/>
  <c r="D12" i="25"/>
  <c r="B62" i="25" s="1"/>
  <c r="E12" i="25"/>
  <c r="F12" i="25"/>
  <c r="G12" i="25"/>
  <c r="H12" i="25"/>
  <c r="L47" i="25"/>
  <c r="M47" i="25"/>
  <c r="A1" i="24"/>
  <c r="A2" i="24"/>
  <c r="A3" i="24"/>
  <c r="A12" i="24"/>
  <c r="C12" i="24"/>
  <c r="D12" i="24"/>
  <c r="B62" i="24" s="1"/>
  <c r="E12" i="24"/>
  <c r="F12" i="24"/>
  <c r="G12" i="24"/>
  <c r="H12" i="24"/>
  <c r="L45" i="24"/>
  <c r="M45" i="24"/>
  <c r="A1" i="23"/>
  <c r="A2" i="23"/>
  <c r="A3" i="23"/>
  <c r="A12" i="23"/>
  <c r="C12" i="23"/>
  <c r="D12" i="23"/>
  <c r="B62" i="23" s="1"/>
  <c r="E12" i="23"/>
  <c r="F12" i="23"/>
  <c r="G12" i="23"/>
  <c r="H12" i="23"/>
  <c r="L46" i="23"/>
  <c r="M46" i="23"/>
  <c r="A1" i="22"/>
  <c r="A2" i="22"/>
  <c r="A3" i="22"/>
  <c r="A12" i="22"/>
  <c r="C12" i="22"/>
  <c r="B61" i="22" s="1"/>
  <c r="D12" i="22"/>
  <c r="B62" i="22" s="1"/>
  <c r="E12" i="22"/>
  <c r="B63" i="22" s="1"/>
  <c r="F12" i="22"/>
  <c r="G12" i="22"/>
  <c r="B66" i="22" s="1"/>
  <c r="H12" i="22"/>
  <c r="A1" i="21"/>
  <c r="A2" i="21"/>
  <c r="A3" i="21"/>
  <c r="A11" i="21"/>
  <c r="C11" i="21"/>
  <c r="B67" i="21" s="1"/>
  <c r="D11" i="21"/>
  <c r="B68" i="21" s="1"/>
  <c r="E11" i="21"/>
  <c r="B69" i="21" s="1"/>
  <c r="F11" i="21"/>
  <c r="B70" i="21" s="1"/>
  <c r="G11" i="21"/>
  <c r="C58" i="21"/>
  <c r="E69" i="21"/>
  <c r="A1" i="20"/>
  <c r="A2" i="20"/>
  <c r="A3" i="20"/>
  <c r="A10" i="20"/>
  <c r="C10" i="20"/>
  <c r="E10" i="20"/>
  <c r="F10" i="20"/>
  <c r="B78" i="20" s="1"/>
  <c r="G10" i="20"/>
  <c r="B79" i="20" s="1"/>
  <c r="H10" i="20"/>
  <c r="B80" i="20" s="1"/>
  <c r="B76" i="20"/>
  <c r="A1" i="19"/>
  <c r="A2" i="19"/>
  <c r="A3" i="19"/>
  <c r="E12" i="19"/>
  <c r="B42" i="19" s="1"/>
  <c r="B44" i="19"/>
  <c r="A1" i="18"/>
  <c r="A2" i="18"/>
  <c r="A3" i="18"/>
  <c r="A12" i="18"/>
  <c r="C12" i="18"/>
  <c r="B26" i="18" s="1"/>
  <c r="D12" i="18"/>
  <c r="E12" i="18"/>
  <c r="E30" i="13"/>
  <c r="E37" i="13"/>
  <c r="E38" i="13"/>
  <c r="A1" i="13"/>
  <c r="A2" i="13"/>
  <c r="A3" i="13"/>
  <c r="A11" i="13"/>
  <c r="C11" i="13"/>
  <c r="D11" i="13"/>
  <c r="E11" i="13"/>
  <c r="F11" i="13"/>
  <c r="B71" i="13" s="1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1" i="11"/>
  <c r="A2" i="11"/>
  <c r="A3" i="11"/>
  <c r="A12" i="11"/>
  <c r="C12" i="11"/>
  <c r="B63" i="11" s="1"/>
  <c r="D12" i="11"/>
  <c r="E12" i="11"/>
  <c r="F12" i="11"/>
  <c r="G12" i="11"/>
  <c r="H12" i="11"/>
  <c r="I12" i="11"/>
  <c r="J12" i="11"/>
  <c r="K12" i="11"/>
  <c r="A55" i="11"/>
  <c r="N55" i="11" s="1"/>
  <c r="A1" i="10"/>
  <c r="A2" i="10"/>
  <c r="A3" i="10"/>
  <c r="N9" i="10"/>
  <c r="A53" i="10" s="1"/>
  <c r="N53" i="10" s="1"/>
  <c r="A12" i="10"/>
  <c r="C12" i="10"/>
  <c r="D12" i="10"/>
  <c r="E12" i="10"/>
  <c r="A1" i="9"/>
  <c r="A2" i="9"/>
  <c r="A3" i="9"/>
  <c r="A12" i="9"/>
  <c r="C12" i="9"/>
  <c r="D12" i="9"/>
  <c r="E12" i="9"/>
  <c r="A53" i="9"/>
  <c r="N53" i="9" s="1"/>
  <c r="A1" i="8"/>
  <c r="A2" i="8"/>
  <c r="A3" i="8"/>
  <c r="A11" i="8"/>
  <c r="A12" i="8"/>
  <c r="C12" i="8"/>
  <c r="B34" i="8" s="1"/>
  <c r="D12" i="8"/>
  <c r="B35" i="8" s="1"/>
  <c r="E12" i="8"/>
  <c r="B36" i="8" s="1"/>
  <c r="F12" i="8"/>
  <c r="B37" i="8" s="1"/>
  <c r="G12" i="8"/>
  <c r="B38" i="8" s="1"/>
  <c r="H12" i="8"/>
  <c r="A23" i="8"/>
  <c r="A1" i="7"/>
  <c r="A2" i="7"/>
  <c r="A3" i="7"/>
  <c r="A12" i="7"/>
  <c r="C12" i="7"/>
  <c r="D12" i="7"/>
  <c r="E12" i="7"/>
  <c r="C63" i="7" s="1"/>
  <c r="F12" i="7"/>
  <c r="I12" i="7"/>
  <c r="J12" i="7"/>
  <c r="K12" i="7"/>
  <c r="L12" i="7"/>
  <c r="N51" i="7"/>
  <c r="O51" i="7" s="1"/>
  <c r="A52" i="7"/>
  <c r="C69" i="7"/>
  <c r="A1" i="5"/>
  <c r="A2" i="5"/>
  <c r="A3" i="5"/>
  <c r="A44" i="5"/>
  <c r="B50" i="5"/>
  <c r="B51" i="5"/>
  <c r="B52" i="5"/>
  <c r="B53" i="5"/>
  <c r="B54" i="5"/>
  <c r="B55" i="5"/>
  <c r="B56" i="5"/>
  <c r="B57" i="5"/>
  <c r="B58" i="5"/>
  <c r="B59" i="5"/>
  <c r="B60" i="5"/>
  <c r="B61" i="5"/>
  <c r="A1" i="4"/>
  <c r="A2" i="4"/>
  <c r="A3" i="4"/>
  <c r="A4" i="4"/>
  <c r="B13" i="45" s="1"/>
  <c r="A12" i="4"/>
  <c r="C12" i="4"/>
  <c r="D12" i="4"/>
  <c r="E12" i="4"/>
  <c r="A23" i="4"/>
  <c r="A22" i="4" s="1"/>
  <c r="A21" i="4" s="1"/>
  <c r="A20" i="4" s="1"/>
  <c r="A19" i="4" s="1"/>
  <c r="A18" i="4" s="1"/>
  <c r="A17" i="4" s="1"/>
  <c r="A16" i="4" s="1"/>
  <c r="A15" i="4" s="1"/>
  <c r="A14" i="4" s="1"/>
  <c r="A1" i="3"/>
  <c r="A2" i="3"/>
  <c r="A3" i="3"/>
  <c r="A12" i="3"/>
  <c r="F12" i="3"/>
  <c r="B34" i="3" s="1"/>
  <c r="E12" i="3"/>
  <c r="G12" i="3"/>
  <c r="B35" i="3" s="1"/>
  <c r="A22" i="3"/>
  <c r="A21" i="3" s="1"/>
  <c r="A20" i="3" s="1"/>
  <c r="A19" i="3" s="1"/>
  <c r="A18" i="3" s="1"/>
  <c r="A17" i="3" s="1"/>
  <c r="A16" i="3" s="1"/>
  <c r="A15" i="3" s="1"/>
  <c r="A14" i="3" s="1"/>
  <c r="A1" i="2"/>
  <c r="A2" i="2"/>
  <c r="A3" i="2"/>
  <c r="A12" i="2"/>
  <c r="C12" i="2"/>
  <c r="B30" i="2" s="1"/>
  <c r="D12" i="2"/>
  <c r="E12" i="2"/>
  <c r="B32" i="2" s="1"/>
  <c r="F12" i="2"/>
  <c r="G12" i="2"/>
  <c r="B34" i="2" s="1"/>
  <c r="H12" i="2"/>
  <c r="A23" i="2"/>
  <c r="A12" i="1"/>
  <c r="C12" i="1"/>
  <c r="B29" i="1" s="1"/>
  <c r="D12" i="1"/>
  <c r="B30" i="1" s="1"/>
  <c r="E12" i="1"/>
  <c r="F12" i="1"/>
  <c r="G12" i="1"/>
  <c r="H12" i="1"/>
  <c r="D16" i="33"/>
  <c r="E22" i="37"/>
  <c r="G22" i="37" s="1"/>
  <c r="L22" i="37" s="1"/>
  <c r="C22" i="31"/>
  <c r="A53" i="30"/>
  <c r="C49" i="20"/>
  <c r="C68" i="20" s="1"/>
  <c r="K19" i="32"/>
  <c r="L19" i="32" s="1"/>
  <c r="E36" i="19"/>
  <c r="C24" i="31"/>
  <c r="F23" i="3"/>
  <c r="F21" i="3"/>
  <c r="D20" i="8"/>
  <c r="C27" i="31"/>
  <c r="D22" i="8"/>
  <c r="D19" i="8"/>
  <c r="D21" i="8"/>
  <c r="D18" i="8"/>
  <c r="D16" i="8"/>
  <c r="C25" i="31"/>
  <c r="E25" i="37"/>
  <c r="G25" i="37" s="1"/>
  <c r="L25" i="37" s="1"/>
  <c r="L46" i="24"/>
  <c r="F17" i="3"/>
  <c r="E23" i="4"/>
  <c r="B64" i="22"/>
  <c r="D23" i="8"/>
  <c r="D17" i="8"/>
  <c r="D15" i="8"/>
  <c r="D14" i="8"/>
  <c r="G21" i="8"/>
  <c r="G23" i="8"/>
  <c r="F19" i="3"/>
  <c r="G16" i="8"/>
  <c r="G18" i="8"/>
  <c r="G15" i="8"/>
  <c r="G14" i="8"/>
  <c r="G19" i="8"/>
  <c r="C34" i="31"/>
  <c r="C28" i="31"/>
  <c r="B64" i="24"/>
  <c r="E28" i="37"/>
  <c r="G28" i="37" s="1"/>
  <c r="L28" i="37" s="1"/>
  <c r="G20" i="8"/>
  <c r="L48" i="25"/>
  <c r="B61" i="25" s="1"/>
  <c r="K34" i="21"/>
  <c r="C33" i="31"/>
  <c r="E27" i="37"/>
  <c r="G27" i="37" s="1"/>
  <c r="B29" i="36" l="1"/>
  <c r="B65" i="24"/>
  <c r="B65" i="23"/>
  <c r="B61" i="23"/>
  <c r="B30" i="4"/>
  <c r="B65" i="25"/>
  <c r="E36" i="13"/>
  <c r="E27" i="13"/>
  <c r="E35" i="13"/>
  <c r="B35" i="2"/>
  <c r="B77" i="20"/>
  <c r="A22" i="2"/>
  <c r="A21" i="2" s="1"/>
  <c r="A20" i="2" s="1"/>
  <c r="A19" i="2" s="1"/>
  <c r="A18" i="2" s="1"/>
  <c r="A17" i="2" s="1"/>
  <c r="A16" i="2" s="1"/>
  <c r="A15" i="2" s="1"/>
  <c r="A14" i="2" s="1"/>
  <c r="H8" i="1"/>
  <c r="A43" i="5"/>
  <c r="A22" i="5"/>
  <c r="B69" i="32"/>
  <c r="E34" i="13"/>
  <c r="E28" i="13"/>
  <c r="B66" i="23"/>
  <c r="B66" i="24" s="1"/>
  <c r="I15" i="32"/>
  <c r="N15" i="32" s="1"/>
  <c r="F16" i="32"/>
  <c r="G17" i="3"/>
  <c r="L14" i="37"/>
  <c r="B72" i="32"/>
  <c r="B32" i="1"/>
  <c r="H19" i="34"/>
  <c r="A22" i="8"/>
  <c r="E31" i="13"/>
  <c r="E23" i="13"/>
  <c r="E29" i="13"/>
  <c r="E17" i="13"/>
  <c r="G15" i="37"/>
  <c r="B28" i="18"/>
  <c r="C64" i="7"/>
  <c r="E21" i="13"/>
  <c r="B30" i="36"/>
  <c r="B33" i="2"/>
  <c r="B34" i="1"/>
  <c r="I14" i="32"/>
  <c r="N14" i="32" s="1"/>
  <c r="E18" i="13"/>
  <c r="E14" i="13"/>
  <c r="E12" i="30"/>
  <c r="D17" i="33"/>
  <c r="S9" i="22"/>
  <c r="G14" i="3"/>
  <c r="B63" i="25"/>
  <c r="B68" i="22"/>
  <c r="A52" i="9"/>
  <c r="A52" i="10"/>
  <c r="A54" i="11"/>
  <c r="E25" i="13"/>
  <c r="E19" i="13"/>
  <c r="E32" i="13"/>
  <c r="E24" i="13"/>
  <c r="E40" i="13"/>
  <c r="E33" i="13"/>
  <c r="E20" i="13"/>
  <c r="E16" i="13"/>
  <c r="E26" i="13"/>
  <c r="E22" i="13"/>
  <c r="E15" i="13"/>
  <c r="E13" i="13"/>
  <c r="E67" i="21"/>
  <c r="B68" i="23"/>
  <c r="B68" i="25" s="1"/>
  <c r="F36" i="19"/>
  <c r="B64" i="32"/>
  <c r="B71" i="32"/>
  <c r="B70" i="32"/>
  <c r="B58" i="33"/>
  <c r="H23" i="34"/>
  <c r="B32" i="36"/>
  <c r="B50" i="37"/>
  <c r="B53" i="37"/>
  <c r="B51" i="37"/>
  <c r="N50" i="7"/>
  <c r="N49" i="7" s="1"/>
  <c r="O49" i="7" s="1"/>
  <c r="A51" i="7"/>
  <c r="M19" i="32"/>
  <c r="B53" i="31"/>
  <c r="B31" i="4"/>
  <c r="B70" i="13"/>
  <c r="E39" i="13"/>
  <c r="B52" i="31"/>
  <c r="C53" i="30"/>
  <c r="B36" i="19" s="1"/>
  <c r="C29" i="31"/>
  <c r="E33" i="37"/>
  <c r="G33" i="37" s="1"/>
  <c r="L33" i="37" s="1"/>
  <c r="E31" i="37"/>
  <c r="G31" i="37" s="1"/>
  <c r="L31" i="37" s="1"/>
  <c r="C32" i="31"/>
  <c r="E24" i="37"/>
  <c r="G24" i="37" s="1"/>
  <c r="L24" i="37" s="1"/>
  <c r="E23" i="37"/>
  <c r="C31" i="31"/>
  <c r="C30" i="31"/>
  <c r="E30" i="37"/>
  <c r="G30" i="37" s="1"/>
  <c r="L30" i="37" s="1"/>
  <c r="C38" i="31"/>
  <c r="C35" i="31"/>
  <c r="E34" i="37"/>
  <c r="G34" i="37" s="1"/>
  <c r="L34" i="37" s="1"/>
  <c r="C23" i="31"/>
  <c r="E29" i="37"/>
  <c r="G29" i="37" s="1"/>
  <c r="L29" i="37" s="1"/>
  <c r="E63" i="21"/>
  <c r="E20" i="4"/>
  <c r="E18" i="4"/>
  <c r="F18" i="3"/>
  <c r="E37" i="37"/>
  <c r="G37" i="37" s="1"/>
  <c r="L37" i="37" s="1"/>
  <c r="C37" i="31"/>
  <c r="B64" i="23"/>
  <c r="E32" i="37"/>
  <c r="G32" i="37" s="1"/>
  <c r="L32" i="37" s="1"/>
  <c r="E21" i="4"/>
  <c r="L27" i="37"/>
  <c r="F15" i="3"/>
  <c r="G15" i="3" s="1"/>
  <c r="E15" i="4"/>
  <c r="C15" i="8"/>
  <c r="C14" i="8"/>
  <c r="C16" i="8"/>
  <c r="C19" i="8"/>
  <c r="E22" i="4"/>
  <c r="C26" i="4"/>
  <c r="E14" i="4"/>
  <c r="D26" i="4"/>
  <c r="C36" i="31"/>
  <c r="E36" i="37"/>
  <c r="G36" i="37" s="1"/>
  <c r="L36" i="37" s="1"/>
  <c r="M46" i="24"/>
  <c r="B61" i="24" s="1"/>
  <c r="E35" i="37"/>
  <c r="G35" i="37" s="1"/>
  <c r="L35" i="37" s="1"/>
  <c r="E17" i="4"/>
  <c r="E26" i="37"/>
  <c r="G26" i="37" s="1"/>
  <c r="L26" i="37" s="1"/>
  <c r="E16" i="4"/>
  <c r="C20" i="8"/>
  <c r="C21" i="8"/>
  <c r="C18" i="8"/>
  <c r="F16" i="3"/>
  <c r="C22" i="8"/>
  <c r="C17" i="8"/>
  <c r="C26" i="31"/>
  <c r="C23" i="8"/>
  <c r="C17" i="2" l="1"/>
  <c r="C15" i="2"/>
  <c r="C46" i="31"/>
  <c r="E46" i="37"/>
  <c r="A42" i="5"/>
  <c r="A21" i="5"/>
  <c r="H44" i="34"/>
  <c r="S10" i="22"/>
  <c r="F17" i="32"/>
  <c r="D18" i="33"/>
  <c r="B68" i="24"/>
  <c r="I18" i="32"/>
  <c r="A21" i="8"/>
  <c r="A49" i="7"/>
  <c r="A50" i="7"/>
  <c r="L15" i="37"/>
  <c r="O50" i="7"/>
  <c r="I16" i="32"/>
  <c r="N16" i="32" s="1"/>
  <c r="D19" i="33"/>
  <c r="S12" i="22" s="1"/>
  <c r="B63" i="24"/>
  <c r="F26" i="3"/>
  <c r="C14" i="2"/>
  <c r="B63" i="23"/>
  <c r="A51" i="9"/>
  <c r="N52" i="9"/>
  <c r="N52" i="10"/>
  <c r="A51" i="10"/>
  <c r="N54" i="11"/>
  <c r="A53" i="11"/>
  <c r="I17" i="32"/>
  <c r="G23" i="37"/>
  <c r="G46" i="37" s="1"/>
  <c r="N48" i="7"/>
  <c r="A48" i="7" s="1"/>
  <c r="D63" i="21"/>
  <c r="B66" i="25"/>
  <c r="C63" i="21"/>
  <c r="E26" i="4"/>
  <c r="C11" i="28"/>
  <c r="G16" i="3"/>
  <c r="B33" i="26" l="1"/>
  <c r="H48" i="34"/>
  <c r="A41" i="5"/>
  <c r="A20" i="5"/>
  <c r="E43" i="13"/>
  <c r="E45" i="13"/>
  <c r="F19" i="32"/>
  <c r="F18" i="32"/>
  <c r="N18" i="32" s="1"/>
  <c r="S11" i="22"/>
  <c r="G19" i="32"/>
  <c r="D20" i="33"/>
  <c r="S13" i="22" s="1"/>
  <c r="A20" i="8"/>
  <c r="E44" i="13"/>
  <c r="N17" i="32"/>
  <c r="N47" i="7"/>
  <c r="A47" i="7" s="1"/>
  <c r="E42" i="13"/>
  <c r="G63" i="21"/>
  <c r="G54" i="21" s="1"/>
  <c r="H54" i="21" s="1"/>
  <c r="G66" i="20" s="1"/>
  <c r="E28" i="19" s="1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N51" i="10"/>
  <c r="A50" i="10"/>
  <c r="A50" i="9"/>
  <c r="N51" i="9"/>
  <c r="A52" i="11"/>
  <c r="N53" i="11"/>
  <c r="C11" i="26"/>
  <c r="L23" i="37"/>
  <c r="G19" i="1"/>
  <c r="O48" i="7"/>
  <c r="H19" i="32"/>
  <c r="C16" i="2"/>
  <c r="A40" i="5" l="1"/>
  <c r="A19" i="5"/>
  <c r="G26" i="1"/>
  <c r="G22" i="1"/>
  <c r="G24" i="1"/>
  <c r="G21" i="1"/>
  <c r="G23" i="1"/>
  <c r="D21" i="33"/>
  <c r="B33" i="49"/>
  <c r="B33" i="48"/>
  <c r="A19" i="8"/>
  <c r="O47" i="7"/>
  <c r="N46" i="7"/>
  <c r="G15" i="1"/>
  <c r="B33" i="28"/>
  <c r="N50" i="9"/>
  <c r="A49" i="9"/>
  <c r="A49" i="10"/>
  <c r="N50" i="10"/>
  <c r="N52" i="11"/>
  <c r="A51" i="11"/>
  <c r="I20" i="32"/>
  <c r="I19" i="32"/>
  <c r="N19" i="32" s="1"/>
  <c r="G18" i="3"/>
  <c r="A39" i="5" l="1"/>
  <c r="A18" i="5"/>
  <c r="E41" i="13"/>
  <c r="S14" i="22"/>
  <c r="F20" i="32"/>
  <c r="N20" i="32" s="1"/>
  <c r="F21" i="32"/>
  <c r="D22" i="33"/>
  <c r="D23" i="33" s="1"/>
  <c r="A18" i="8"/>
  <c r="N45" i="7"/>
  <c r="A46" i="7"/>
  <c r="O46" i="7"/>
  <c r="N49" i="10"/>
  <c r="A48" i="10"/>
  <c r="N49" i="9"/>
  <c r="A48" i="9"/>
  <c r="A50" i="11"/>
  <c r="N51" i="11"/>
  <c r="E46" i="13"/>
  <c r="I21" i="32"/>
  <c r="G19" i="3"/>
  <c r="C18" i="2"/>
  <c r="C19" i="2" l="1"/>
  <c r="N21" i="32"/>
  <c r="A38" i="5"/>
  <c r="A17" i="5"/>
  <c r="A17" i="8"/>
  <c r="A16" i="8" s="1"/>
  <c r="S16" i="22"/>
  <c r="F24" i="32"/>
  <c r="F23" i="32"/>
  <c r="S15" i="22"/>
  <c r="F22" i="32"/>
  <c r="O45" i="7"/>
  <c r="A45" i="7"/>
  <c r="N44" i="7"/>
  <c r="E47" i="13"/>
  <c r="N48" i="9"/>
  <c r="A47" i="9"/>
  <c r="A47" i="10"/>
  <c r="N48" i="10"/>
  <c r="N50" i="11"/>
  <c r="A49" i="11"/>
  <c r="I23" i="32"/>
  <c r="I22" i="32"/>
  <c r="D24" i="33"/>
  <c r="G21" i="3"/>
  <c r="G20" i="3"/>
  <c r="C20" i="2" l="1"/>
  <c r="N22" i="32"/>
  <c r="A37" i="5"/>
  <c r="A16" i="5"/>
  <c r="S17" i="22"/>
  <c r="F25" i="32"/>
  <c r="A44" i="7"/>
  <c r="N43" i="7"/>
  <c r="A43" i="7" s="1"/>
  <c r="O44" i="7"/>
  <c r="A15" i="8"/>
  <c r="A46" i="10"/>
  <c r="N47" i="10"/>
  <c r="N47" i="9"/>
  <c r="A46" i="9"/>
  <c r="A48" i="11"/>
  <c r="N49" i="11"/>
  <c r="N23" i="32"/>
  <c r="D25" i="33"/>
  <c r="S18" i="22" s="1"/>
  <c r="I24" i="32"/>
  <c r="N24" i="32" s="1"/>
  <c r="E48" i="13"/>
  <c r="C21" i="2"/>
  <c r="G22" i="3"/>
  <c r="C22" i="2" l="1"/>
  <c r="A36" i="5"/>
  <c r="A14" i="5" s="1"/>
  <c r="A15" i="5"/>
  <c r="G23" i="3"/>
  <c r="O43" i="7"/>
  <c r="N42" i="7"/>
  <c r="A14" i="8"/>
  <c r="N46" i="9"/>
  <c r="A45" i="9"/>
  <c r="N46" i="10"/>
  <c r="A45" i="10"/>
  <c r="N48" i="11"/>
  <c r="A47" i="11"/>
  <c r="I25" i="32"/>
  <c r="N25" i="32" s="1"/>
  <c r="D26" i="33"/>
  <c r="G26" i="3" l="1"/>
  <c r="E55" i="13"/>
  <c r="S19" i="22"/>
  <c r="F26" i="32"/>
  <c r="F27" i="32"/>
  <c r="C23" i="2"/>
  <c r="C26" i="2" s="1"/>
  <c r="O42" i="7"/>
  <c r="A42" i="7"/>
  <c r="N41" i="7"/>
  <c r="N45" i="10"/>
  <c r="A44" i="10"/>
  <c r="A44" i="9"/>
  <c r="N45" i="9"/>
  <c r="N47" i="11"/>
  <c r="A46" i="11"/>
  <c r="I26" i="32"/>
  <c r="D27" i="33"/>
  <c r="E53" i="13" l="1"/>
  <c r="S20" i="22"/>
  <c r="F30" i="32"/>
  <c r="F31" i="32"/>
  <c r="F28" i="32"/>
  <c r="F29" i="32"/>
  <c r="E54" i="13"/>
  <c r="A41" i="7"/>
  <c r="O41" i="7"/>
  <c r="N40" i="7"/>
  <c r="E52" i="13"/>
  <c r="N44" i="9"/>
  <c r="A43" i="9"/>
  <c r="A43" i="10"/>
  <c r="N44" i="10"/>
  <c r="N46" i="11"/>
  <c r="A45" i="11"/>
  <c r="N26" i="32"/>
  <c r="I29" i="32"/>
  <c r="I28" i="32"/>
  <c r="I31" i="32"/>
  <c r="I30" i="32"/>
  <c r="D28" i="33"/>
  <c r="I27" i="32"/>
  <c r="N27" i="32" s="1"/>
  <c r="S21" i="22" l="1"/>
  <c r="F32" i="32"/>
  <c r="F33" i="32"/>
  <c r="D64" i="13"/>
  <c r="N39" i="7"/>
  <c r="O40" i="7"/>
  <c r="A40" i="7"/>
  <c r="N43" i="10"/>
  <c r="A42" i="10"/>
  <c r="N43" i="9"/>
  <c r="A42" i="9"/>
  <c r="N45" i="11"/>
  <c r="A44" i="11"/>
  <c r="N31" i="32"/>
  <c r="N29" i="32"/>
  <c r="D29" i="33"/>
  <c r="I32" i="32"/>
  <c r="I33" i="32"/>
  <c r="N30" i="32"/>
  <c r="N28" i="32"/>
  <c r="S22" i="22" l="1"/>
  <c r="F34" i="32"/>
  <c r="N38" i="7"/>
  <c r="A39" i="7"/>
  <c r="O39" i="7"/>
  <c r="A41" i="9"/>
  <c r="N42" i="9"/>
  <c r="A41" i="10"/>
  <c r="N42" i="10"/>
  <c r="A43" i="11"/>
  <c r="N44" i="11"/>
  <c r="N33" i="32"/>
  <c r="N32" i="32"/>
  <c r="D30" i="33"/>
  <c r="I34" i="32"/>
  <c r="K58" i="11" l="1"/>
  <c r="J55" i="11"/>
  <c r="K55" i="11"/>
  <c r="S23" i="22"/>
  <c r="F35" i="32"/>
  <c r="K48" i="11"/>
  <c r="J48" i="11"/>
  <c r="A38" i="7"/>
  <c r="O38" i="7"/>
  <c r="N37" i="7"/>
  <c r="N41" i="10"/>
  <c r="A40" i="10"/>
  <c r="A40" i="9"/>
  <c r="N41" i="9"/>
  <c r="K46" i="11"/>
  <c r="K50" i="11"/>
  <c r="J59" i="11"/>
  <c r="J45" i="11"/>
  <c r="K49" i="11"/>
  <c r="J53" i="11"/>
  <c r="J46" i="11"/>
  <c r="K52" i="11"/>
  <c r="K54" i="11"/>
  <c r="K44" i="11"/>
  <c r="J50" i="11"/>
  <c r="J44" i="11"/>
  <c r="J51" i="11"/>
  <c r="J54" i="11"/>
  <c r="K59" i="11"/>
  <c r="J47" i="11"/>
  <c r="K47" i="11"/>
  <c r="K45" i="11"/>
  <c r="K51" i="11"/>
  <c r="K53" i="11"/>
  <c r="J49" i="11"/>
  <c r="J52" i="11"/>
  <c r="A42" i="11"/>
  <c r="N43" i="11"/>
  <c r="N34" i="32"/>
  <c r="I35" i="32"/>
  <c r="D31" i="33"/>
  <c r="J58" i="11" l="1"/>
  <c r="S24" i="22"/>
  <c r="F36" i="32"/>
  <c r="O37" i="7"/>
  <c r="N36" i="7"/>
  <c r="A37" i="7"/>
  <c r="N40" i="9"/>
  <c r="A39" i="9"/>
  <c r="N40" i="10"/>
  <c r="A39" i="10"/>
  <c r="N42" i="11"/>
  <c r="A41" i="11"/>
  <c r="N35" i="32"/>
  <c r="D32" i="33"/>
  <c r="I36" i="32"/>
  <c r="S25" i="22" l="1"/>
  <c r="F37" i="32"/>
  <c r="N36" i="32"/>
  <c r="O36" i="7"/>
  <c r="A36" i="7"/>
  <c r="N35" i="7"/>
  <c r="N39" i="10"/>
  <c r="A38" i="10"/>
  <c r="A38" i="9"/>
  <c r="N39" i="9"/>
  <c r="A40" i="11"/>
  <c r="N41" i="11"/>
  <c r="D33" i="33"/>
  <c r="I37" i="32"/>
  <c r="S26" i="22" l="1"/>
  <c r="F38" i="32"/>
  <c r="A35" i="7"/>
  <c r="O35" i="7"/>
  <c r="N34" i="7"/>
  <c r="A37" i="9"/>
  <c r="N38" i="9"/>
  <c r="N38" i="10"/>
  <c r="A37" i="10"/>
  <c r="A39" i="11"/>
  <c r="N40" i="11"/>
  <c r="D34" i="33"/>
  <c r="I38" i="32"/>
  <c r="N37" i="32"/>
  <c r="I58" i="11" l="1"/>
  <c r="I55" i="11"/>
  <c r="S27" i="22"/>
  <c r="F39" i="32"/>
  <c r="H47" i="11"/>
  <c r="I48" i="11"/>
  <c r="O34" i="7"/>
  <c r="A34" i="7"/>
  <c r="N33" i="7"/>
  <c r="A36" i="10"/>
  <c r="N37" i="10"/>
  <c r="N37" i="9"/>
  <c r="A36" i="9"/>
  <c r="I43" i="11"/>
  <c r="I51" i="11"/>
  <c r="I59" i="11"/>
  <c r="I46" i="11"/>
  <c r="I41" i="11"/>
  <c r="H53" i="11"/>
  <c r="I49" i="11"/>
  <c r="I50" i="11"/>
  <c r="H52" i="11"/>
  <c r="H50" i="11"/>
  <c r="H41" i="11"/>
  <c r="H49" i="11"/>
  <c r="H44" i="11"/>
  <c r="I54" i="11"/>
  <c r="H48" i="11"/>
  <c r="I45" i="11"/>
  <c r="I47" i="11"/>
  <c r="H55" i="11"/>
  <c r="I44" i="11"/>
  <c r="H40" i="11"/>
  <c r="H54" i="11"/>
  <c r="I40" i="11"/>
  <c r="H43" i="11"/>
  <c r="H46" i="11"/>
  <c r="I52" i="11"/>
  <c r="I42" i="11"/>
  <c r="H51" i="11"/>
  <c r="H45" i="11"/>
  <c r="H59" i="11"/>
  <c r="I53" i="11"/>
  <c r="H42" i="11"/>
  <c r="N39" i="11"/>
  <c r="A38" i="11"/>
  <c r="I39" i="32"/>
  <c r="D35" i="33"/>
  <c r="N38" i="32"/>
  <c r="N39" i="32" l="1"/>
  <c r="S28" i="22"/>
  <c r="F40" i="32"/>
  <c r="N32" i="7"/>
  <c r="A33" i="7"/>
  <c r="O33" i="7"/>
  <c r="A35" i="9"/>
  <c r="N36" i="9"/>
  <c r="N36" i="10"/>
  <c r="A35" i="10"/>
  <c r="N38" i="11"/>
  <c r="A37" i="11"/>
  <c r="H58" i="11"/>
  <c r="D36" i="33"/>
  <c r="S29" i="22" s="1"/>
  <c r="A32" i="7" l="1"/>
  <c r="N31" i="7"/>
  <c r="O32" i="7"/>
  <c r="N35" i="10"/>
  <c r="A34" i="10"/>
  <c r="A34" i="9"/>
  <c r="N35" i="9"/>
  <c r="A36" i="11"/>
  <c r="N37" i="11"/>
  <c r="D37" i="33"/>
  <c r="I40" i="32"/>
  <c r="N40" i="32" s="1"/>
  <c r="S30" i="22" l="1"/>
  <c r="F41" i="32"/>
  <c r="F42" i="32"/>
  <c r="O31" i="7"/>
  <c r="A31" i="7"/>
  <c r="N30" i="7"/>
  <c r="A33" i="9"/>
  <c r="N34" i="9"/>
  <c r="E56" i="9" s="1"/>
  <c r="C28" i="8" s="1"/>
  <c r="A33" i="10"/>
  <c r="N34" i="10"/>
  <c r="E56" i="10" s="1"/>
  <c r="N36" i="11"/>
  <c r="A35" i="11"/>
  <c r="D38" i="33"/>
  <c r="I41" i="32"/>
  <c r="G55" i="11" l="1"/>
  <c r="F55" i="11"/>
  <c r="S31" i="22"/>
  <c r="F43" i="32"/>
  <c r="G46" i="11"/>
  <c r="F46" i="11"/>
  <c r="A30" i="7"/>
  <c r="O30" i="7"/>
  <c r="N29" i="7"/>
  <c r="N33" i="10"/>
  <c r="A32" i="10"/>
  <c r="A32" i="9"/>
  <c r="N33" i="9"/>
  <c r="A34" i="11"/>
  <c r="N35" i="11"/>
  <c r="G50" i="11"/>
  <c r="G45" i="11"/>
  <c r="G43" i="11"/>
  <c r="F45" i="11"/>
  <c r="F47" i="11"/>
  <c r="F53" i="11"/>
  <c r="F54" i="11"/>
  <c r="F42" i="11"/>
  <c r="G51" i="11"/>
  <c r="G39" i="11"/>
  <c r="G42" i="11"/>
  <c r="F51" i="11"/>
  <c r="F39" i="11"/>
  <c r="G44" i="11"/>
  <c r="F37" i="11"/>
  <c r="F36" i="11"/>
  <c r="G41" i="11"/>
  <c r="G40" i="11"/>
  <c r="G53" i="11"/>
  <c r="F44" i="11"/>
  <c r="F50" i="11"/>
  <c r="G36" i="11"/>
  <c r="G48" i="11"/>
  <c r="F48" i="11"/>
  <c r="G47" i="11"/>
  <c r="F41" i="11"/>
  <c r="G59" i="11"/>
  <c r="G37" i="11"/>
  <c r="F52" i="11"/>
  <c r="G52" i="11"/>
  <c r="G58" i="11"/>
  <c r="G28" i="8" s="1"/>
  <c r="F40" i="11"/>
  <c r="G54" i="11"/>
  <c r="F59" i="11"/>
  <c r="F43" i="11"/>
  <c r="G49" i="11"/>
  <c r="F38" i="11"/>
  <c r="F49" i="11"/>
  <c r="G38" i="11"/>
  <c r="N41" i="32"/>
  <c r="I42" i="32"/>
  <c r="N42" i="32" s="1"/>
  <c r="D39" i="33"/>
  <c r="S32" i="22" l="1"/>
  <c r="F44" i="32"/>
  <c r="F58" i="11"/>
  <c r="N28" i="7"/>
  <c r="O29" i="7"/>
  <c r="A29" i="7"/>
  <c r="N32" i="9"/>
  <c r="A31" i="9"/>
  <c r="N32" i="10"/>
  <c r="A31" i="10"/>
  <c r="N34" i="11"/>
  <c r="A33" i="11"/>
  <c r="D40" i="33"/>
  <c r="I44" i="32"/>
  <c r="I43" i="32"/>
  <c r="N43" i="32" s="1"/>
  <c r="S33" i="22" l="1"/>
  <c r="F45" i="32"/>
  <c r="A28" i="7"/>
  <c r="O28" i="7"/>
  <c r="N27" i="7"/>
  <c r="A30" i="10"/>
  <c r="N31" i="10"/>
  <c r="N31" i="9"/>
  <c r="A30" i="9"/>
  <c r="N33" i="11"/>
  <c r="A32" i="11"/>
  <c r="N44" i="32"/>
  <c r="I45" i="32"/>
  <c r="D41" i="33"/>
  <c r="S34" i="22" l="1"/>
  <c r="D42" i="33"/>
  <c r="F47" i="32" s="1"/>
  <c r="F46" i="32"/>
  <c r="O27" i="7"/>
  <c r="A27" i="7"/>
  <c r="N26" i="7"/>
  <c r="N30" i="9"/>
  <c r="A29" i="9"/>
  <c r="A29" i="10"/>
  <c r="N30" i="10"/>
  <c r="A31" i="11"/>
  <c r="N32" i="11"/>
  <c r="I46" i="32"/>
  <c r="N45" i="32"/>
  <c r="S35" i="22" l="1"/>
  <c r="N25" i="7"/>
  <c r="O26" i="7"/>
  <c r="A26" i="7"/>
  <c r="A28" i="10"/>
  <c r="N29" i="10"/>
  <c r="N29" i="9"/>
  <c r="A28" i="9"/>
  <c r="N31" i="11"/>
  <c r="A30" i="11"/>
  <c r="N46" i="32"/>
  <c r="D43" i="33"/>
  <c r="I47" i="32"/>
  <c r="S36" i="22" l="1"/>
  <c r="F48" i="32"/>
  <c r="O25" i="7"/>
  <c r="N24" i="7"/>
  <c r="A25" i="7"/>
  <c r="A27" i="9"/>
  <c r="N28" i="9"/>
  <c r="N28" i="10"/>
  <c r="A27" i="10"/>
  <c r="A29" i="11"/>
  <c r="N30" i="11"/>
  <c r="N47" i="32"/>
  <c r="I48" i="32"/>
  <c r="D44" i="33"/>
  <c r="S37" i="22" l="1"/>
  <c r="F49" i="32"/>
  <c r="A24" i="7"/>
  <c r="O24" i="7"/>
  <c r="N23" i="7"/>
  <c r="N27" i="10"/>
  <c r="A26" i="10"/>
  <c r="N27" i="9"/>
  <c r="A26" i="9"/>
  <c r="N29" i="11"/>
  <c r="A28" i="11"/>
  <c r="D45" i="33"/>
  <c r="N48" i="32"/>
  <c r="S38" i="22" l="1"/>
  <c r="F50" i="32"/>
  <c r="N22" i="7"/>
  <c r="O23" i="7"/>
  <c r="A23" i="7"/>
  <c r="N26" i="9"/>
  <c r="A25" i="9"/>
  <c r="A25" i="10"/>
  <c r="N26" i="10"/>
  <c r="A27" i="11"/>
  <c r="N28" i="11"/>
  <c r="I49" i="32"/>
  <c r="N49" i="32" s="1"/>
  <c r="D46" i="33"/>
  <c r="F51" i="32" l="1"/>
  <c r="D47" i="33"/>
  <c r="F52" i="32" s="1"/>
  <c r="A22" i="7"/>
  <c r="N21" i="7"/>
  <c r="N20" i="7" s="1"/>
  <c r="O22" i="7"/>
  <c r="S39" i="22"/>
  <c r="A24" i="10"/>
  <c r="N25" i="10"/>
  <c r="A24" i="9"/>
  <c r="N25" i="9"/>
  <c r="N27" i="11"/>
  <c r="A26" i="11"/>
  <c r="I50" i="32"/>
  <c r="N50" i="32" s="1"/>
  <c r="O20" i="7" l="1"/>
  <c r="N19" i="7"/>
  <c r="A20" i="7"/>
  <c r="D48" i="33"/>
  <c r="D49" i="33"/>
  <c r="S42" i="22" s="1"/>
  <c r="F53" i="32"/>
  <c r="A21" i="7"/>
  <c r="O21" i="7"/>
  <c r="S40" i="22"/>
  <c r="N24" i="9"/>
  <c r="A23" i="9"/>
  <c r="N24" i="10"/>
  <c r="A23" i="10"/>
  <c r="A25" i="11"/>
  <c r="N26" i="11"/>
  <c r="I51" i="32"/>
  <c r="N51" i="32" s="1"/>
  <c r="N18" i="7" l="1"/>
  <c r="A19" i="7"/>
  <c r="O19" i="7"/>
  <c r="D50" i="33"/>
  <c r="F54" i="32"/>
  <c r="I54" i="32" s="1"/>
  <c r="N54" i="32" s="1"/>
  <c r="S41" i="22"/>
  <c r="A22" i="10"/>
  <c r="N23" i="10"/>
  <c r="N23" i="9"/>
  <c r="A22" i="9"/>
  <c r="N25" i="11"/>
  <c r="A24" i="11"/>
  <c r="I52" i="32"/>
  <c r="N52" i="32" s="1"/>
  <c r="N17" i="7" l="1"/>
  <c r="A18" i="7"/>
  <c r="O18" i="7"/>
  <c r="D51" i="33"/>
  <c r="F55" i="32"/>
  <c r="I55" i="32" s="1"/>
  <c r="N55" i="32" s="1"/>
  <c r="S43" i="22"/>
  <c r="I53" i="32"/>
  <c r="N53" i="32" s="1"/>
  <c r="A21" i="9"/>
  <c r="N22" i="9"/>
  <c r="N22" i="10"/>
  <c r="A21" i="10"/>
  <c r="A23" i="11"/>
  <c r="N24" i="11"/>
  <c r="A17" i="7" l="1"/>
  <c r="O17" i="7"/>
  <c r="N16" i="7"/>
  <c r="D52" i="33"/>
  <c r="F56" i="32"/>
  <c r="S44" i="22"/>
  <c r="A20" i="10"/>
  <c r="N21" i="10"/>
  <c r="N21" i="9"/>
  <c r="A20" i="9"/>
  <c r="A22" i="11"/>
  <c r="N23" i="11"/>
  <c r="S45" i="22" l="1"/>
  <c r="F57" i="32"/>
  <c r="D53" i="33"/>
  <c r="A16" i="7"/>
  <c r="O16" i="7"/>
  <c r="N15" i="7"/>
  <c r="I56" i="32"/>
  <c r="N56" i="32" s="1"/>
  <c r="N20" i="9"/>
  <c r="A19" i="9"/>
  <c r="A19" i="10"/>
  <c r="N20" i="10"/>
  <c r="A21" i="11"/>
  <c r="N22" i="11"/>
  <c r="S46" i="22" l="1"/>
  <c r="N60" i="32"/>
  <c r="O58" i="32" s="1"/>
  <c r="I57" i="32"/>
  <c r="N57" i="32"/>
  <c r="A15" i="7"/>
  <c r="N14" i="7"/>
  <c r="O15" i="7"/>
  <c r="N19" i="10"/>
  <c r="A18" i="10"/>
  <c r="A18" i="9"/>
  <c r="N19" i="9"/>
  <c r="N21" i="11"/>
  <c r="A20" i="11"/>
  <c r="BG48" i="22" l="1"/>
  <c r="BG49" i="22" s="1"/>
  <c r="AT48" i="22"/>
  <c r="AT49" i="22" s="1"/>
  <c r="U48" i="22"/>
  <c r="U49" i="22" s="1"/>
  <c r="T48" i="22"/>
  <c r="T49" i="22" s="1"/>
  <c r="AI48" i="22"/>
  <c r="AI49" i="22" s="1"/>
  <c r="BL48" i="22"/>
  <c r="BL49" i="22" s="1"/>
  <c r="AD48" i="22"/>
  <c r="AD49" i="22" s="1"/>
  <c r="AR48" i="22"/>
  <c r="AR49" i="22" s="1"/>
  <c r="AV48" i="22"/>
  <c r="AV49" i="22" s="1"/>
  <c r="AG48" i="22"/>
  <c r="AG49" i="22" s="1"/>
  <c r="AM48" i="22"/>
  <c r="AM49" i="22" s="1"/>
  <c r="AB48" i="22"/>
  <c r="AB49" i="22" s="1"/>
  <c r="W48" i="22"/>
  <c r="W49" i="22" s="1"/>
  <c r="Y48" i="22"/>
  <c r="Y49" i="22" s="1"/>
  <c r="BM48" i="22"/>
  <c r="AK48" i="22"/>
  <c r="AK49" i="22" s="1"/>
  <c r="AC48" i="22"/>
  <c r="AC49" i="22" s="1"/>
  <c r="AN48" i="22"/>
  <c r="AN49" i="22" s="1"/>
  <c r="AE48" i="22"/>
  <c r="AE49" i="22" s="1"/>
  <c r="BB48" i="22"/>
  <c r="BB49" i="22" s="1"/>
  <c r="AL48" i="22"/>
  <c r="AL49" i="22" s="1"/>
  <c r="X48" i="22"/>
  <c r="X49" i="22" s="1"/>
  <c r="V48" i="22"/>
  <c r="V49" i="22" s="1"/>
  <c r="AX48" i="22"/>
  <c r="AX49" i="22" s="1"/>
  <c r="AQ48" i="22"/>
  <c r="AQ49" i="22" s="1"/>
  <c r="AY48" i="22"/>
  <c r="AY49" i="22" s="1"/>
  <c r="AP48" i="22"/>
  <c r="AP49" i="22" s="1"/>
  <c r="AA48" i="22"/>
  <c r="AA49" i="22" s="1"/>
  <c r="AS48" i="22"/>
  <c r="AS49" i="22" s="1"/>
  <c r="Z48" i="22"/>
  <c r="Z49" i="22" s="1"/>
  <c r="AU48" i="22"/>
  <c r="AU49" i="22" s="1"/>
  <c r="AJ48" i="22"/>
  <c r="AJ49" i="22" s="1"/>
  <c r="BC48" i="22"/>
  <c r="BC49" i="22" s="1"/>
  <c r="BK48" i="22"/>
  <c r="BK49" i="22" s="1"/>
  <c r="AH48" i="22"/>
  <c r="AH49" i="22" s="1"/>
  <c r="BD48" i="22"/>
  <c r="BD49" i="22" s="1"/>
  <c r="BH48" i="22"/>
  <c r="BH49" i="22" s="1"/>
  <c r="BE48" i="22"/>
  <c r="BE49" i="22" s="1"/>
  <c r="BF48" i="22"/>
  <c r="BF49" i="22" s="1"/>
  <c r="BJ48" i="22"/>
  <c r="BJ49" i="22" s="1"/>
  <c r="BA48" i="22"/>
  <c r="BA49" i="22" s="1"/>
  <c r="AZ48" i="22"/>
  <c r="AZ49" i="22" s="1"/>
  <c r="BI48" i="22"/>
  <c r="BI49" i="22" s="1"/>
  <c r="AO48" i="22"/>
  <c r="AO49" i="22" s="1"/>
  <c r="AF48" i="22"/>
  <c r="AF49" i="22" s="1"/>
  <c r="AW48" i="22"/>
  <c r="AW49" i="22" s="1"/>
  <c r="O31" i="32"/>
  <c r="D17" i="31" s="1"/>
  <c r="E17" i="31" s="1"/>
  <c r="O18" i="32"/>
  <c r="O34" i="32"/>
  <c r="D20" i="31" s="1"/>
  <c r="E20" i="31" s="1"/>
  <c r="O19" i="32"/>
  <c r="O50" i="32"/>
  <c r="D36" i="31" s="1"/>
  <c r="E36" i="31" s="1"/>
  <c r="O49" i="32"/>
  <c r="D35" i="31" s="1"/>
  <c r="E35" i="31" s="1"/>
  <c r="O22" i="32"/>
  <c r="O35" i="32"/>
  <c r="D21" i="31" s="1"/>
  <c r="E21" i="31" s="1"/>
  <c r="O47" i="32"/>
  <c r="D33" i="31" s="1"/>
  <c r="E33" i="31" s="1"/>
  <c r="O40" i="32"/>
  <c r="D26" i="31" s="1"/>
  <c r="E26" i="31" s="1"/>
  <c r="O46" i="32"/>
  <c r="D32" i="31" s="1"/>
  <c r="E32" i="31" s="1"/>
  <c r="O32" i="32"/>
  <c r="D18" i="31" s="1"/>
  <c r="E18" i="31" s="1"/>
  <c r="O51" i="32"/>
  <c r="D37" i="31" s="1"/>
  <c r="E37" i="31" s="1"/>
  <c r="O14" i="32"/>
  <c r="O52" i="32"/>
  <c r="D38" i="31" s="1"/>
  <c r="E38" i="31" s="1"/>
  <c r="O55" i="32"/>
  <c r="D41" i="31" s="1"/>
  <c r="E41" i="31" s="1"/>
  <c r="O21" i="32"/>
  <c r="O20" i="32"/>
  <c r="O43" i="32"/>
  <c r="D29" i="31" s="1"/>
  <c r="E29" i="31" s="1"/>
  <c r="O28" i="32"/>
  <c r="D14" i="31" s="1"/>
  <c r="E14" i="31" s="1"/>
  <c r="O29" i="32"/>
  <c r="D15" i="31" s="1"/>
  <c r="E15" i="31" s="1"/>
  <c r="O24" i="32"/>
  <c r="O53" i="32"/>
  <c r="D39" i="31" s="1"/>
  <c r="E39" i="31" s="1"/>
  <c r="O38" i="32"/>
  <c r="D24" i="31" s="1"/>
  <c r="E24" i="31" s="1"/>
  <c r="O36" i="32"/>
  <c r="D22" i="31" s="1"/>
  <c r="E22" i="31" s="1"/>
  <c r="O33" i="32"/>
  <c r="D19" i="31" s="1"/>
  <c r="E19" i="31" s="1"/>
  <c r="O16" i="32"/>
  <c r="O41" i="32"/>
  <c r="D27" i="31" s="1"/>
  <c r="E27" i="31" s="1"/>
  <c r="O48" i="32"/>
  <c r="D34" i="31" s="1"/>
  <c r="E34" i="31" s="1"/>
  <c r="O26" i="32"/>
  <c r="O57" i="32"/>
  <c r="D43" i="31" s="1"/>
  <c r="E43" i="31" s="1"/>
  <c r="F44" i="31" s="1"/>
  <c r="G23" i="2" s="1"/>
  <c r="O30" i="32"/>
  <c r="D16" i="31" s="1"/>
  <c r="E16" i="31" s="1"/>
  <c r="O44" i="32"/>
  <c r="D30" i="31" s="1"/>
  <c r="E30" i="31" s="1"/>
  <c r="O27" i="32"/>
  <c r="O42" i="32"/>
  <c r="D28" i="31" s="1"/>
  <c r="E28" i="31" s="1"/>
  <c r="O25" i="32"/>
  <c r="O39" i="32"/>
  <c r="D25" i="31" s="1"/>
  <c r="E25" i="31" s="1"/>
  <c r="O37" i="32"/>
  <c r="D23" i="31" s="1"/>
  <c r="E23" i="31" s="1"/>
  <c r="O15" i="32"/>
  <c r="O17" i="32"/>
  <c r="O23" i="32"/>
  <c r="O54" i="32"/>
  <c r="D40" i="31" s="1"/>
  <c r="E40" i="31" s="1"/>
  <c r="O45" i="32"/>
  <c r="D31" i="31" s="1"/>
  <c r="E31" i="31" s="1"/>
  <c r="O56" i="32"/>
  <c r="D42" i="31" s="1"/>
  <c r="E42" i="31" s="1"/>
  <c r="A14" i="7"/>
  <c r="O14" i="7"/>
  <c r="A17" i="9"/>
  <c r="N18" i="9"/>
  <c r="N18" i="10"/>
  <c r="A17" i="10"/>
  <c r="A19" i="11"/>
  <c r="N20" i="11"/>
  <c r="F32" i="31" l="1"/>
  <c r="F26" i="31"/>
  <c r="P95" i="22"/>
  <c r="Q95" i="22" s="1"/>
  <c r="BM49" i="22"/>
  <c r="F17" i="31"/>
  <c r="F22" i="31"/>
  <c r="F29" i="31"/>
  <c r="F33" i="31"/>
  <c r="F36" i="31"/>
  <c r="G15" i="2" s="1"/>
  <c r="F25" i="31"/>
  <c r="F20" i="31"/>
  <c r="F38" i="31"/>
  <c r="G17" i="2" s="1"/>
  <c r="F43" i="31"/>
  <c r="G22" i="2" s="1"/>
  <c r="F42" i="31"/>
  <c r="G21" i="2" s="1"/>
  <c r="F24" i="31"/>
  <c r="F28" i="31"/>
  <c r="P91" i="22"/>
  <c r="P85" i="22"/>
  <c r="P84" i="22"/>
  <c r="P51" i="22"/>
  <c r="Q51" i="22" s="1"/>
  <c r="P50" i="22"/>
  <c r="Q50" i="22" s="1"/>
  <c r="P56" i="22"/>
  <c r="Q56" i="22" s="1"/>
  <c r="P65" i="22"/>
  <c r="Q65" i="22" s="1"/>
  <c r="F40" i="31"/>
  <c r="G19" i="2" s="1"/>
  <c r="F39" i="31"/>
  <c r="G18" i="2" s="1"/>
  <c r="P55" i="22"/>
  <c r="Q55" i="22" s="1"/>
  <c r="P77" i="22"/>
  <c r="P54" i="22"/>
  <c r="Q54" i="22" s="1"/>
  <c r="F37" i="31"/>
  <c r="G16" i="2" s="1"/>
  <c r="P93" i="22"/>
  <c r="P83" i="22"/>
  <c r="P73" i="22"/>
  <c r="P76" i="22"/>
  <c r="P52" i="22"/>
  <c r="Q52" i="22" s="1"/>
  <c r="P60" i="22"/>
  <c r="Q60" i="22" s="1"/>
  <c r="P88" i="22"/>
  <c r="P86" i="22"/>
  <c r="P79" i="22"/>
  <c r="F14" i="31"/>
  <c r="F15" i="31"/>
  <c r="E46" i="31"/>
  <c r="F19" i="31"/>
  <c r="P72" i="22"/>
  <c r="Q72" i="22" s="1"/>
  <c r="P89" i="22"/>
  <c r="P78" i="22"/>
  <c r="P69" i="22"/>
  <c r="Q69" i="22" s="1"/>
  <c r="P58" i="22"/>
  <c r="Q58" i="22" s="1"/>
  <c r="P80" i="22"/>
  <c r="P81" i="22"/>
  <c r="P90" i="22"/>
  <c r="P74" i="22"/>
  <c r="F30" i="31"/>
  <c r="F21" i="31"/>
  <c r="P53" i="22"/>
  <c r="Q53" i="22" s="1"/>
  <c r="P71" i="22"/>
  <c r="Q71" i="22" s="1"/>
  <c r="P64" i="22"/>
  <c r="Q64" i="22" s="1"/>
  <c r="F35" i="31"/>
  <c r="G14" i="2" s="1"/>
  <c r="P62" i="22"/>
  <c r="Q62" i="22" s="1"/>
  <c r="P70" i="22"/>
  <c r="Q70" i="22" s="1"/>
  <c r="P59" i="22"/>
  <c r="Q59" i="22" s="1"/>
  <c r="P63" i="22"/>
  <c r="Q63" i="22" s="1"/>
  <c r="P67" i="22"/>
  <c r="Q67" i="22" s="1"/>
  <c r="F41" i="31"/>
  <c r="G20" i="2" s="1"/>
  <c r="F27" i="31"/>
  <c r="P66" i="22"/>
  <c r="Q66" i="22" s="1"/>
  <c r="P68" i="22"/>
  <c r="Q68" i="22" s="1"/>
  <c r="P75" i="22"/>
  <c r="P92" i="22"/>
  <c r="F16" i="31"/>
  <c r="P82" i="22"/>
  <c r="P61" i="22"/>
  <c r="Q61" i="22" s="1"/>
  <c r="P87" i="22"/>
  <c r="P94" i="22"/>
  <c r="Q94" i="22" s="1"/>
  <c r="P58" i="23" s="1"/>
  <c r="P57" i="22"/>
  <c r="Q57" i="22" s="1"/>
  <c r="F31" i="31"/>
  <c r="F23" i="31"/>
  <c r="F34" i="31"/>
  <c r="F18" i="31"/>
  <c r="N17" i="10"/>
  <c r="A16" i="10"/>
  <c r="A16" i="9"/>
  <c r="N17" i="9"/>
  <c r="A18" i="11"/>
  <c r="N19" i="11"/>
  <c r="Q81" i="22" l="1"/>
  <c r="P45" i="23" s="1"/>
  <c r="Q76" i="22"/>
  <c r="P40" i="23" s="1"/>
  <c r="Q91" i="22"/>
  <c r="P55" i="23" s="1"/>
  <c r="Q87" i="22"/>
  <c r="P51" i="23" s="1"/>
  <c r="Q80" i="22"/>
  <c r="P44" i="23" s="1"/>
  <c r="Q73" i="22"/>
  <c r="P37" i="23" s="1"/>
  <c r="Q83" i="22"/>
  <c r="P47" i="23" s="1"/>
  <c r="Q82" i="22"/>
  <c r="P46" i="23" s="1"/>
  <c r="Q79" i="22"/>
  <c r="P43" i="23" s="1"/>
  <c r="Q93" i="22"/>
  <c r="P57" i="23" s="1"/>
  <c r="Q90" i="22"/>
  <c r="P54" i="23" s="1"/>
  <c r="Q78" i="22"/>
  <c r="P42" i="23" s="1"/>
  <c r="Q86" i="22"/>
  <c r="P50" i="23" s="1"/>
  <c r="Q92" i="22"/>
  <c r="P56" i="23" s="1"/>
  <c r="Q89" i="22"/>
  <c r="P53" i="23" s="1"/>
  <c r="Q88" i="22"/>
  <c r="P52" i="23" s="1"/>
  <c r="Q85" i="22"/>
  <c r="P49" i="23" s="1"/>
  <c r="Q75" i="22"/>
  <c r="P39" i="23" s="1"/>
  <c r="Q74" i="22"/>
  <c r="P38" i="23" s="1"/>
  <c r="Q77" i="22"/>
  <c r="P41" i="23" s="1"/>
  <c r="Q84" i="22"/>
  <c r="P48" i="23" s="1"/>
  <c r="G26" i="2"/>
  <c r="E19" i="22"/>
  <c r="P22" i="23"/>
  <c r="E26" i="22"/>
  <c r="P29" i="23"/>
  <c r="P27" i="23"/>
  <c r="E24" i="22"/>
  <c r="E18" i="22"/>
  <c r="P21" i="23"/>
  <c r="E25" i="22"/>
  <c r="P28" i="23"/>
  <c r="E33" i="22"/>
  <c r="P36" i="23"/>
  <c r="P18" i="23"/>
  <c r="E15" i="22"/>
  <c r="E22" i="22"/>
  <c r="P25" i="23"/>
  <c r="E17" i="22"/>
  <c r="P20" i="23"/>
  <c r="E31" i="22"/>
  <c r="P34" i="23"/>
  <c r="P35" i="23"/>
  <c r="E32" i="22"/>
  <c r="P33" i="23"/>
  <c r="E30" i="22"/>
  <c r="E29" i="22"/>
  <c r="P32" i="23"/>
  <c r="P23" i="23"/>
  <c r="E20" i="22"/>
  <c r="E14" i="22"/>
  <c r="P17" i="23"/>
  <c r="E16" i="22"/>
  <c r="P19" i="23"/>
  <c r="E27" i="22"/>
  <c r="P30" i="23"/>
  <c r="E28" i="22"/>
  <c r="P31" i="23"/>
  <c r="P26" i="23"/>
  <c r="E23" i="22"/>
  <c r="F46" i="31"/>
  <c r="E21" i="22"/>
  <c r="P24" i="23"/>
  <c r="N16" i="9"/>
  <c r="A15" i="9"/>
  <c r="A15" i="10"/>
  <c r="N16" i="10"/>
  <c r="A17" i="11"/>
  <c r="N18" i="11"/>
  <c r="E16" i="23" l="1"/>
  <c r="E16" i="24"/>
  <c r="E16" i="25"/>
  <c r="E22" i="23"/>
  <c r="E22" i="25"/>
  <c r="E22" i="24"/>
  <c r="E18" i="23"/>
  <c r="E18" i="24"/>
  <c r="E18" i="25"/>
  <c r="E24" i="20"/>
  <c r="B65" i="22"/>
  <c r="E23" i="23"/>
  <c r="E17" i="20"/>
  <c r="G17" i="20" s="1"/>
  <c r="E23" i="20"/>
  <c r="G23" i="20" s="1"/>
  <c r="F17" i="22"/>
  <c r="H17" i="22" s="1"/>
  <c r="C16" i="21" s="1"/>
  <c r="F23" i="22"/>
  <c r="H23" i="22" s="1"/>
  <c r="C22" i="21" s="1"/>
  <c r="E16" i="20"/>
  <c r="G16" i="20" s="1"/>
  <c r="F18" i="22"/>
  <c r="H18" i="22" s="1"/>
  <c r="C17" i="21" s="1"/>
  <c r="F21" i="22"/>
  <c r="H21" i="22" s="1"/>
  <c r="C20" i="21" s="1"/>
  <c r="E19" i="20"/>
  <c r="G19" i="20" s="1"/>
  <c r="E23" i="25"/>
  <c r="F16" i="22"/>
  <c r="H16" i="22" s="1"/>
  <c r="C15" i="21" s="1"/>
  <c r="F20" i="22"/>
  <c r="H20" i="22" s="1"/>
  <c r="C19" i="21" s="1"/>
  <c r="F14" i="22"/>
  <c r="H14" i="22" s="1"/>
  <c r="C13" i="21" s="1"/>
  <c r="E14" i="20"/>
  <c r="G14" i="20" s="1"/>
  <c r="E21" i="20"/>
  <c r="G21" i="20" s="1"/>
  <c r="E22" i="20"/>
  <c r="E13" i="20"/>
  <c r="E15" i="20"/>
  <c r="G15" i="20" s="1"/>
  <c r="F22" i="22"/>
  <c r="H22" i="22" s="1"/>
  <c r="C21" i="21" s="1"/>
  <c r="E20" i="20"/>
  <c r="G20" i="20" s="1"/>
  <c r="E12" i="20"/>
  <c r="E18" i="20"/>
  <c r="G18" i="20" s="1"/>
  <c r="E23" i="24"/>
  <c r="F19" i="22"/>
  <c r="H19" i="22" s="1"/>
  <c r="C18" i="21" s="1"/>
  <c r="F15" i="22"/>
  <c r="H15" i="22" s="1"/>
  <c r="C14" i="21" s="1"/>
  <c r="E32" i="24"/>
  <c r="F32" i="24" s="1"/>
  <c r="H32" i="24" s="1"/>
  <c r="E31" i="21" s="1"/>
  <c r="E32" i="23"/>
  <c r="F32" i="23" s="1"/>
  <c r="H32" i="23" s="1"/>
  <c r="D31" i="21" s="1"/>
  <c r="F32" i="22"/>
  <c r="H32" i="22" s="1"/>
  <c r="C31" i="21" s="1"/>
  <c r="E32" i="25"/>
  <c r="E15" i="24"/>
  <c r="E15" i="23"/>
  <c r="E15" i="25"/>
  <c r="F24" i="22"/>
  <c r="E24" i="25"/>
  <c r="F24" i="25" s="1"/>
  <c r="H24" i="25" s="1"/>
  <c r="F23" i="21" s="1"/>
  <c r="E24" i="24"/>
  <c r="F24" i="24" s="1"/>
  <c r="H24" i="24" s="1"/>
  <c r="E23" i="21" s="1"/>
  <c r="E24" i="23"/>
  <c r="F24" i="23" s="1"/>
  <c r="H24" i="23" s="1"/>
  <c r="D23" i="21" s="1"/>
  <c r="E14" i="25"/>
  <c r="E14" i="23"/>
  <c r="E14" i="24"/>
  <c r="E28" i="24"/>
  <c r="F28" i="24" s="1"/>
  <c r="H28" i="24" s="1"/>
  <c r="E27" i="21" s="1"/>
  <c r="F28" i="22"/>
  <c r="E28" i="23"/>
  <c r="F28" i="23" s="1"/>
  <c r="H28" i="23" s="1"/>
  <c r="D27" i="21" s="1"/>
  <c r="E28" i="25"/>
  <c r="F28" i="25" s="1"/>
  <c r="H28" i="25" s="1"/>
  <c r="F27" i="21" s="1"/>
  <c r="F31" i="22"/>
  <c r="H31" i="22" s="1"/>
  <c r="C30" i="21" s="1"/>
  <c r="E31" i="25"/>
  <c r="E31" i="24"/>
  <c r="F31" i="24" s="1"/>
  <c r="H31" i="24" s="1"/>
  <c r="E30" i="21" s="1"/>
  <c r="E31" i="23"/>
  <c r="F31" i="23" s="1"/>
  <c r="H31" i="23" s="1"/>
  <c r="D30" i="21" s="1"/>
  <c r="E33" i="25"/>
  <c r="E33" i="23"/>
  <c r="F33" i="23" s="1"/>
  <c r="H33" i="23" s="1"/>
  <c r="D32" i="21" s="1"/>
  <c r="F33" i="22"/>
  <c r="H33" i="22" s="1"/>
  <c r="C32" i="21" s="1"/>
  <c r="E33" i="24"/>
  <c r="F33" i="24" s="1"/>
  <c r="H33" i="24" s="1"/>
  <c r="E32" i="21" s="1"/>
  <c r="F26" i="22"/>
  <c r="E26" i="25"/>
  <c r="F26" i="25" s="1"/>
  <c r="H26" i="25" s="1"/>
  <c r="F25" i="21" s="1"/>
  <c r="E26" i="23"/>
  <c r="F26" i="23" s="1"/>
  <c r="H26" i="23" s="1"/>
  <c r="D25" i="21" s="1"/>
  <c r="E26" i="24"/>
  <c r="F26" i="24" s="1"/>
  <c r="H26" i="24" s="1"/>
  <c r="E25" i="21" s="1"/>
  <c r="E21" i="25"/>
  <c r="E21" i="24"/>
  <c r="E21" i="23"/>
  <c r="E30" i="25"/>
  <c r="F30" i="22"/>
  <c r="H30" i="22" s="1"/>
  <c r="C29" i="21" s="1"/>
  <c r="E30" i="23"/>
  <c r="F30" i="23" s="1"/>
  <c r="H30" i="23" s="1"/>
  <c r="D29" i="21" s="1"/>
  <c r="E30" i="24"/>
  <c r="F30" i="24" s="1"/>
  <c r="H30" i="24" s="1"/>
  <c r="E29" i="21" s="1"/>
  <c r="E20" i="25"/>
  <c r="E20" i="24"/>
  <c r="E20" i="23"/>
  <c r="E27" i="25"/>
  <c r="F27" i="25" s="1"/>
  <c r="H27" i="25" s="1"/>
  <c r="F26" i="21" s="1"/>
  <c r="E27" i="23"/>
  <c r="F27" i="23" s="1"/>
  <c r="H27" i="23" s="1"/>
  <c r="D26" i="21" s="1"/>
  <c r="E27" i="24"/>
  <c r="F27" i="24" s="1"/>
  <c r="H27" i="24" s="1"/>
  <c r="E26" i="21" s="1"/>
  <c r="F27" i="22"/>
  <c r="F29" i="22"/>
  <c r="H29" i="22" s="1"/>
  <c r="C28" i="21" s="1"/>
  <c r="E29" i="24"/>
  <c r="F29" i="24" s="1"/>
  <c r="H29" i="24" s="1"/>
  <c r="E28" i="21" s="1"/>
  <c r="E29" i="23"/>
  <c r="F29" i="23" s="1"/>
  <c r="H29" i="23" s="1"/>
  <c r="D28" i="21" s="1"/>
  <c r="E29" i="25"/>
  <c r="E17" i="24"/>
  <c r="E17" i="25"/>
  <c r="E17" i="23"/>
  <c r="E25" i="23"/>
  <c r="F25" i="23" s="1"/>
  <c r="H25" i="23" s="1"/>
  <c r="D24" i="21" s="1"/>
  <c r="E25" i="24"/>
  <c r="F25" i="24" s="1"/>
  <c r="H25" i="24" s="1"/>
  <c r="E24" i="21" s="1"/>
  <c r="F25" i="22"/>
  <c r="E25" i="25"/>
  <c r="F25" i="25" s="1"/>
  <c r="H25" i="25" s="1"/>
  <c r="F24" i="21" s="1"/>
  <c r="E19" i="23"/>
  <c r="E19" i="25"/>
  <c r="E19" i="24"/>
  <c r="N15" i="10"/>
  <c r="A14" i="10"/>
  <c r="N15" i="9"/>
  <c r="A14" i="9"/>
  <c r="N14" i="9" s="1"/>
  <c r="A16" i="11"/>
  <c r="N17" i="11"/>
  <c r="E45" i="9" l="1"/>
  <c r="D57" i="9"/>
  <c r="E31" i="9"/>
  <c r="E22" i="9"/>
  <c r="E32" i="9"/>
  <c r="D41" i="9"/>
  <c r="E52" i="9"/>
  <c r="D50" i="9"/>
  <c r="D20" i="9"/>
  <c r="E27" i="9"/>
  <c r="E44" i="9"/>
  <c r="D16" i="9"/>
  <c r="E29" i="9"/>
  <c r="D25" i="9"/>
  <c r="E37" i="9"/>
  <c r="D28" i="9"/>
  <c r="E51" i="9"/>
  <c r="E53" i="9"/>
  <c r="D14" i="9"/>
  <c r="E39" i="9"/>
  <c r="D15" i="9"/>
  <c r="E40" i="9"/>
  <c r="D49" i="9"/>
  <c r="D53" i="9"/>
  <c r="E17" i="9"/>
  <c r="E21" i="9"/>
  <c r="E35" i="9"/>
  <c r="D47" i="9"/>
  <c r="E50" i="9"/>
  <c r="E15" i="9"/>
  <c r="D19" i="9"/>
  <c r="D22" i="9"/>
  <c r="E19" i="9"/>
  <c r="D44" i="9"/>
  <c r="D52" i="9"/>
  <c r="D23" i="9"/>
  <c r="E47" i="9"/>
  <c r="D24" i="9"/>
  <c r="E48" i="9"/>
  <c r="E16" i="9"/>
  <c r="D30" i="9"/>
  <c r="E26" i="9"/>
  <c r="D18" i="9"/>
  <c r="E43" i="9"/>
  <c r="D48" i="9"/>
  <c r="D43" i="9"/>
  <c r="D37" i="9"/>
  <c r="D34" i="9"/>
  <c r="E23" i="9"/>
  <c r="E18" i="9"/>
  <c r="E28" i="9"/>
  <c r="D29" i="9"/>
  <c r="D31" i="9"/>
  <c r="E57" i="9"/>
  <c r="D32" i="9"/>
  <c r="E36" i="9"/>
  <c r="E25" i="9"/>
  <c r="E30" i="9"/>
  <c r="E34" i="9"/>
  <c r="D27" i="9"/>
  <c r="D46" i="9"/>
  <c r="D26" i="9"/>
  <c r="E14" i="9"/>
  <c r="D51" i="9"/>
  <c r="E24" i="9"/>
  <c r="D42" i="9"/>
  <c r="D45" i="9"/>
  <c r="D21" i="9"/>
  <c r="D39" i="9"/>
  <c r="D36" i="9"/>
  <c r="D40" i="9"/>
  <c r="D38" i="9"/>
  <c r="E33" i="9"/>
  <c r="D17" i="9"/>
  <c r="E42" i="9"/>
  <c r="D35" i="9"/>
  <c r="E20" i="9"/>
  <c r="E41" i="9"/>
  <c r="E38" i="9"/>
  <c r="E49" i="9"/>
  <c r="E46" i="9"/>
  <c r="D33" i="9"/>
  <c r="E37" i="20"/>
  <c r="H26" i="22"/>
  <c r="C25" i="21" s="1"/>
  <c r="G25" i="21" s="1"/>
  <c r="H25" i="21" s="1"/>
  <c r="G37" i="20" s="1"/>
  <c r="F18" i="25"/>
  <c r="H18" i="25" s="1"/>
  <c r="F17" i="21" s="1"/>
  <c r="F21" i="25"/>
  <c r="H21" i="25" s="1"/>
  <c r="F20" i="21" s="1"/>
  <c r="F15" i="25"/>
  <c r="H15" i="25" s="1"/>
  <c r="F14" i="21" s="1"/>
  <c r="F20" i="25"/>
  <c r="H20" i="25" s="1"/>
  <c r="F19" i="21" s="1"/>
  <c r="F23" i="25"/>
  <c r="H23" i="25" s="1"/>
  <c r="F22" i="21" s="1"/>
  <c r="F16" i="25"/>
  <c r="H16" i="25" s="1"/>
  <c r="F15" i="21" s="1"/>
  <c r="F19" i="25"/>
  <c r="H19" i="25" s="1"/>
  <c r="F18" i="21" s="1"/>
  <c r="F17" i="25"/>
  <c r="H17" i="25" s="1"/>
  <c r="F16" i="21" s="1"/>
  <c r="F14" i="25"/>
  <c r="H14" i="25" s="1"/>
  <c r="F13" i="21" s="1"/>
  <c r="F22" i="25"/>
  <c r="H22" i="25" s="1"/>
  <c r="F21" i="21" s="1"/>
  <c r="H28" i="22"/>
  <c r="C27" i="21" s="1"/>
  <c r="G27" i="21" s="1"/>
  <c r="H27" i="21" s="1"/>
  <c r="G39" i="20" s="1"/>
  <c r="E39" i="20"/>
  <c r="H24" i="22"/>
  <c r="C23" i="21" s="1"/>
  <c r="G23" i="21" s="1"/>
  <c r="H23" i="21" s="1"/>
  <c r="G35" i="20" s="1"/>
  <c r="E35" i="20"/>
  <c r="G13" i="20"/>
  <c r="E15" i="19" s="1"/>
  <c r="C15" i="19"/>
  <c r="F14" i="23"/>
  <c r="H14" i="23" s="1"/>
  <c r="D13" i="21" s="1"/>
  <c r="F15" i="23"/>
  <c r="F19" i="23"/>
  <c r="F17" i="23"/>
  <c r="F21" i="23"/>
  <c r="F22" i="23"/>
  <c r="H22" i="23" s="1"/>
  <c r="D21" i="21" s="1"/>
  <c r="F18" i="23"/>
  <c r="F23" i="23"/>
  <c r="H23" i="23" s="1"/>
  <c r="D22" i="21" s="1"/>
  <c r="F16" i="23"/>
  <c r="F20" i="23"/>
  <c r="H27" i="22"/>
  <c r="C26" i="21" s="1"/>
  <c r="G26" i="21" s="1"/>
  <c r="H26" i="21" s="1"/>
  <c r="G38" i="20" s="1"/>
  <c r="E38" i="20"/>
  <c r="C16" i="19"/>
  <c r="G22" i="20"/>
  <c r="E16" i="19" s="1"/>
  <c r="H25" i="22"/>
  <c r="C24" i="21" s="1"/>
  <c r="G24" i="21" s="1"/>
  <c r="H24" i="21" s="1"/>
  <c r="G36" i="20" s="1"/>
  <c r="E36" i="20"/>
  <c r="F17" i="24"/>
  <c r="H17" i="24" s="1"/>
  <c r="E16" i="21" s="1"/>
  <c r="F14" i="24"/>
  <c r="H14" i="24" s="1"/>
  <c r="E13" i="21" s="1"/>
  <c r="F21" i="24"/>
  <c r="H21" i="24" s="1"/>
  <c r="E20" i="21" s="1"/>
  <c r="F19" i="24"/>
  <c r="H19" i="24" s="1"/>
  <c r="E18" i="21" s="1"/>
  <c r="F18" i="24"/>
  <c r="H18" i="24" s="1"/>
  <c r="E17" i="21" s="1"/>
  <c r="F16" i="24"/>
  <c r="H16" i="24" s="1"/>
  <c r="E15" i="21" s="1"/>
  <c r="F20" i="24"/>
  <c r="H20" i="24" s="1"/>
  <c r="E19" i="21" s="1"/>
  <c r="F23" i="24"/>
  <c r="H23" i="24" s="1"/>
  <c r="E22" i="21" s="1"/>
  <c r="F15" i="24"/>
  <c r="H15" i="24" s="1"/>
  <c r="E14" i="21" s="1"/>
  <c r="F22" i="24"/>
  <c r="H22" i="24" s="1"/>
  <c r="E21" i="21" s="1"/>
  <c r="G12" i="20"/>
  <c r="E14" i="19" s="1"/>
  <c r="C14" i="19"/>
  <c r="N14" i="10"/>
  <c r="A15" i="11"/>
  <c r="N16" i="11"/>
  <c r="D56" i="9" l="1"/>
  <c r="G22" i="21"/>
  <c r="H22" i="21" s="1"/>
  <c r="G34" i="20" s="1"/>
  <c r="E34" i="20"/>
  <c r="E31" i="20"/>
  <c r="C19" i="19" s="1"/>
  <c r="H20" i="23"/>
  <c r="D19" i="21" s="1"/>
  <c r="G19" i="21" s="1"/>
  <c r="H19" i="21" s="1"/>
  <c r="G31" i="20" s="1"/>
  <c r="E19" i="19" s="1"/>
  <c r="H15" i="23"/>
  <c r="D14" i="21" s="1"/>
  <c r="G14" i="21" s="1"/>
  <c r="H14" i="21" s="1"/>
  <c r="G26" i="20" s="1"/>
  <c r="E26" i="20"/>
  <c r="H17" i="23"/>
  <c r="D16" i="21" s="1"/>
  <c r="G16" i="21" s="1"/>
  <c r="H16" i="21" s="1"/>
  <c r="G28" i="20" s="1"/>
  <c r="E18" i="19" s="1"/>
  <c r="E28" i="20"/>
  <c r="C18" i="19" s="1"/>
  <c r="H16" i="23"/>
  <c r="D15" i="21" s="1"/>
  <c r="G15" i="21" s="1"/>
  <c r="H15" i="21" s="1"/>
  <c r="G27" i="20" s="1"/>
  <c r="E27" i="20"/>
  <c r="G13" i="21"/>
  <c r="H13" i="21" s="1"/>
  <c r="G25" i="20" s="1"/>
  <c r="E17" i="19" s="1"/>
  <c r="E25" i="20"/>
  <c r="C17" i="19" s="1"/>
  <c r="H18" i="23"/>
  <c r="D17" i="21" s="1"/>
  <c r="G17" i="21" s="1"/>
  <c r="H17" i="21" s="1"/>
  <c r="G29" i="20" s="1"/>
  <c r="E29" i="20"/>
  <c r="E33" i="20"/>
  <c r="G21" i="21"/>
  <c r="H21" i="21" s="1"/>
  <c r="G33" i="20" s="1"/>
  <c r="H19" i="23"/>
  <c r="D18" i="21" s="1"/>
  <c r="G18" i="21" s="1"/>
  <c r="H18" i="21" s="1"/>
  <c r="G30" i="20" s="1"/>
  <c r="E30" i="20"/>
  <c r="H21" i="23"/>
  <c r="D20" i="21" s="1"/>
  <c r="G20" i="21" s="1"/>
  <c r="H20" i="21" s="1"/>
  <c r="G32" i="20" s="1"/>
  <c r="E32" i="20"/>
  <c r="E51" i="10"/>
  <c r="E43" i="10"/>
  <c r="E35" i="10"/>
  <c r="E27" i="10"/>
  <c r="E19" i="10"/>
  <c r="D50" i="10"/>
  <c r="D42" i="10"/>
  <c r="D34" i="10"/>
  <c r="D26" i="10"/>
  <c r="D18" i="10"/>
  <c r="D36" i="10"/>
  <c r="E28" i="10"/>
  <c r="D27" i="10"/>
  <c r="E50" i="10"/>
  <c r="E42" i="10"/>
  <c r="E34" i="10"/>
  <c r="E26" i="10"/>
  <c r="E18" i="10"/>
  <c r="D49" i="10"/>
  <c r="D41" i="10"/>
  <c r="D33" i="10"/>
  <c r="D25" i="10"/>
  <c r="D17" i="10"/>
  <c r="E29" i="10"/>
  <c r="D51" i="10"/>
  <c r="E49" i="10"/>
  <c r="E41" i="10"/>
  <c r="E33" i="10"/>
  <c r="E25" i="10"/>
  <c r="E17" i="10"/>
  <c r="D48" i="10"/>
  <c r="D40" i="10"/>
  <c r="D32" i="10"/>
  <c r="D24" i="10"/>
  <c r="D16" i="10"/>
  <c r="D44" i="10"/>
  <c r="E44" i="10"/>
  <c r="D19" i="10"/>
  <c r="E48" i="10"/>
  <c r="E40" i="10"/>
  <c r="E32" i="10"/>
  <c r="E24" i="10"/>
  <c r="E16" i="10"/>
  <c r="D47" i="10"/>
  <c r="D39" i="10"/>
  <c r="D31" i="10"/>
  <c r="D23" i="10"/>
  <c r="D15" i="10"/>
  <c r="E37" i="10"/>
  <c r="D28" i="10"/>
  <c r="E20" i="10"/>
  <c r="E57" i="10"/>
  <c r="E47" i="10"/>
  <c r="E39" i="10"/>
  <c r="E31" i="10"/>
  <c r="E23" i="10"/>
  <c r="E15" i="10"/>
  <c r="D46" i="10"/>
  <c r="D38" i="10"/>
  <c r="D30" i="10"/>
  <c r="D22" i="10"/>
  <c r="D14" i="10"/>
  <c r="E45" i="10"/>
  <c r="E21" i="10"/>
  <c r="D20" i="10"/>
  <c r="E52" i="10"/>
  <c r="D43" i="10"/>
  <c r="D57" i="10"/>
  <c r="E46" i="10"/>
  <c r="E38" i="10"/>
  <c r="E30" i="10"/>
  <c r="E22" i="10"/>
  <c r="D53" i="10"/>
  <c r="D45" i="10"/>
  <c r="D37" i="10"/>
  <c r="D29" i="10"/>
  <c r="D21" i="10"/>
  <c r="E53" i="10"/>
  <c r="D52" i="10"/>
  <c r="E36" i="10"/>
  <c r="D35" i="10"/>
  <c r="A14" i="11"/>
  <c r="N14" i="11" s="1"/>
  <c r="N15" i="11"/>
  <c r="D14" i="11" l="1"/>
  <c r="E55" i="11"/>
  <c r="E46" i="11"/>
  <c r="E58" i="11"/>
  <c r="D55" i="11"/>
  <c r="D28" i="8"/>
  <c r="E14" i="10"/>
  <c r="D49" i="11"/>
  <c r="D51" i="11"/>
  <c r="E45" i="11"/>
  <c r="D32" i="11"/>
  <c r="E50" i="11"/>
  <c r="D18" i="11"/>
  <c r="D44" i="11"/>
  <c r="D38" i="11"/>
  <c r="E23" i="11"/>
  <c r="E52" i="11"/>
  <c r="E19" i="11"/>
  <c r="D31" i="11"/>
  <c r="E20" i="11"/>
  <c r="D52" i="11"/>
  <c r="D47" i="11"/>
  <c r="E17" i="11"/>
  <c r="E38" i="11"/>
  <c r="E49" i="11"/>
  <c r="E37" i="11"/>
  <c r="E28" i="11"/>
  <c r="D53" i="11"/>
  <c r="E53" i="11"/>
  <c r="E27" i="11"/>
  <c r="E44" i="11"/>
  <c r="D50" i="11"/>
  <c r="D45" i="11"/>
  <c r="E35" i="11"/>
  <c r="E32" i="11"/>
  <c r="E54" i="11"/>
  <c r="E21" i="11"/>
  <c r="E24" i="11"/>
  <c r="D59" i="11"/>
  <c r="D27" i="11"/>
  <c r="E14" i="11"/>
  <c r="E31" i="11"/>
  <c r="D23" i="11"/>
  <c r="D21" i="11"/>
  <c r="D41" i="11"/>
  <c r="D15" i="11"/>
  <c r="E51" i="11"/>
  <c r="D40" i="11"/>
  <c r="D43" i="11"/>
  <c r="E15" i="11"/>
  <c r="D29" i="11"/>
  <c r="D22" i="11"/>
  <c r="E25" i="11"/>
  <c r="E42" i="11"/>
  <c r="E26" i="11"/>
  <c r="D20" i="11"/>
  <c r="E29" i="11"/>
  <c r="D16" i="11"/>
  <c r="E34" i="11"/>
  <c r="E40" i="11"/>
  <c r="E16" i="11"/>
  <c r="D42" i="11"/>
  <c r="D17" i="11"/>
  <c r="D24" i="11"/>
  <c r="D19" i="11"/>
  <c r="D54" i="11"/>
  <c r="E41" i="11"/>
  <c r="D37" i="11"/>
  <c r="E18" i="11"/>
  <c r="E39" i="11"/>
  <c r="D39" i="11"/>
  <c r="D35" i="11"/>
  <c r="D46" i="11"/>
  <c r="D26" i="11"/>
  <c r="E33" i="11"/>
  <c r="E59" i="11"/>
  <c r="E30" i="11"/>
  <c r="D30" i="11"/>
  <c r="D36" i="11"/>
  <c r="D34" i="11"/>
  <c r="E47" i="11"/>
  <c r="D48" i="11"/>
  <c r="E22" i="11"/>
  <c r="D25" i="11"/>
  <c r="D33" i="11"/>
  <c r="E36" i="11"/>
  <c r="E43" i="11"/>
  <c r="E48" i="11"/>
  <c r="D28" i="11"/>
  <c r="D58" i="11" l="1"/>
  <c r="D56" i="10"/>
  <c r="B64" i="25" l="1"/>
  <c r="F29" i="25"/>
  <c r="F31" i="25"/>
  <c r="F32" i="25"/>
  <c r="F30" i="25"/>
  <c r="F33" i="25"/>
  <c r="H31" i="25" l="1"/>
  <c r="F30" i="21" s="1"/>
  <c r="G30" i="21" s="1"/>
  <c r="H30" i="21" s="1"/>
  <c r="G42" i="20" s="1"/>
  <c r="E42" i="20"/>
  <c r="H30" i="25"/>
  <c r="F29" i="21" s="1"/>
  <c r="G29" i="21" s="1"/>
  <c r="H29" i="21" s="1"/>
  <c r="G41" i="20" s="1"/>
  <c r="E20" i="19" s="1"/>
  <c r="E41" i="20"/>
  <c r="H33" i="25"/>
  <c r="F32" i="21" s="1"/>
  <c r="G32" i="21" s="1"/>
  <c r="H32" i="21" s="1"/>
  <c r="G44" i="20" s="1"/>
  <c r="E44" i="20"/>
  <c r="H32" i="25"/>
  <c r="F31" i="21" s="1"/>
  <c r="G31" i="21" s="1"/>
  <c r="H31" i="21" s="1"/>
  <c r="G43" i="20" s="1"/>
  <c r="E43" i="20"/>
  <c r="H29" i="25"/>
  <c r="F28" i="21" s="1"/>
  <c r="E40" i="20"/>
  <c r="G28" i="21" l="1"/>
  <c r="C20" i="19"/>
  <c r="H28" i="21" l="1"/>
  <c r="G40" i="20" s="1"/>
  <c r="E15" i="36" l="1"/>
  <c r="G15" i="36" s="1"/>
  <c r="E17" i="36" l="1"/>
  <c r="G17" i="36" s="1"/>
  <c r="E16" i="36"/>
  <c r="G16" i="36" s="1"/>
  <c r="E14" i="36"/>
  <c r="G14" i="36" s="1"/>
  <c r="E19" i="36"/>
  <c r="G19" i="36" s="1"/>
  <c r="E18" i="36"/>
  <c r="G18" i="36" s="1"/>
  <c r="G25" i="36" l="1"/>
  <c r="E25" i="36"/>
  <c r="E65" i="13" l="1"/>
  <c r="D14" i="2" s="1"/>
  <c r="E59" i="13"/>
  <c r="E61" i="13"/>
  <c r="D14" i="18" s="1"/>
  <c r="E50" i="13"/>
  <c r="E49" i="13"/>
  <c r="E51" i="13"/>
  <c r="D19" i="18" l="1"/>
  <c r="D20" i="18"/>
  <c r="C64" i="13"/>
  <c r="E64" i="13" s="1"/>
  <c r="D17" i="18"/>
  <c r="D22" i="18"/>
  <c r="D18" i="18"/>
  <c r="D19" i="2"/>
  <c r="D17" i="2"/>
  <c r="D15" i="2"/>
  <c r="D20" i="2"/>
  <c r="D16" i="2"/>
  <c r="D23" i="2"/>
  <c r="D21" i="2"/>
  <c r="D18" i="2"/>
  <c r="D22" i="2"/>
  <c r="H42" i="34" l="1"/>
  <c r="E19" i="1" s="1"/>
  <c r="E23" i="1" l="1"/>
  <c r="E15" i="1"/>
  <c r="E26" i="1"/>
  <c r="E22" i="1"/>
  <c r="E21" i="1"/>
  <c r="E24" i="1"/>
  <c r="F51" i="7"/>
  <c r="G51" i="7" s="1"/>
  <c r="F48" i="7"/>
  <c r="F34" i="7"/>
  <c r="F31" i="7"/>
  <c r="F47" i="7"/>
  <c r="F42" i="7"/>
  <c r="F37" i="7"/>
  <c r="G37" i="7" s="1"/>
  <c r="F25" i="7"/>
  <c r="F38" i="7"/>
  <c r="F29" i="7"/>
  <c r="F23" i="7"/>
  <c r="F28" i="7"/>
  <c r="F24" i="7"/>
  <c r="F35" i="7"/>
  <c r="G35" i="7" s="1"/>
  <c r="F27" i="7"/>
  <c r="F26" i="7"/>
  <c r="F36" i="7"/>
  <c r="F45" i="7"/>
  <c r="F43" i="7"/>
  <c r="F39" i="7"/>
  <c r="F33" i="7"/>
  <c r="F21" i="7"/>
  <c r="F40" i="7"/>
  <c r="F41" i="7"/>
  <c r="F32" i="7"/>
  <c r="F44" i="7"/>
  <c r="F46" i="7"/>
  <c r="F30" i="7"/>
  <c r="F22" i="7"/>
  <c r="F50" i="7"/>
  <c r="G50" i="7" s="1"/>
  <c r="F49" i="7"/>
  <c r="F52" i="7"/>
  <c r="G52" i="7" s="1"/>
  <c r="H52" i="7" l="1"/>
  <c r="C23" i="5" s="1"/>
  <c r="C45" i="5" s="1"/>
  <c r="G43" i="7"/>
  <c r="H46" i="7"/>
  <c r="H40" i="7"/>
  <c r="C20" i="5" s="1"/>
  <c r="H43" i="7"/>
  <c r="G40" i="7"/>
  <c r="G26" i="7"/>
  <c r="H29" i="7"/>
  <c r="G23" i="7"/>
  <c r="H26" i="7"/>
  <c r="H28" i="7"/>
  <c r="C17" i="5" s="1"/>
  <c r="G25" i="7"/>
  <c r="G42" i="7"/>
  <c r="H45" i="7"/>
  <c r="G29" i="7"/>
  <c r="H32" i="7"/>
  <c r="C18" i="5" s="1"/>
  <c r="G31" i="7"/>
  <c r="H34" i="7"/>
  <c r="G22" i="7"/>
  <c r="H25" i="7"/>
  <c r="G41" i="7"/>
  <c r="H44" i="7"/>
  <c r="C21" i="5" s="1"/>
  <c r="G21" i="7"/>
  <c r="H24" i="7"/>
  <c r="C16" i="5" s="1"/>
  <c r="C15" i="5"/>
  <c r="H23" i="7"/>
  <c r="G45" i="7"/>
  <c r="H48" i="7"/>
  <c r="C22" i="5" s="1"/>
  <c r="H22" i="7"/>
  <c r="G38" i="7"/>
  <c r="H41" i="7"/>
  <c r="G34" i="7"/>
  <c r="H37" i="7"/>
  <c r="G33" i="7"/>
  <c r="H36" i="7"/>
  <c r="C19" i="5" s="1"/>
  <c r="G27" i="7"/>
  <c r="H30" i="7"/>
  <c r="H31" i="7"/>
  <c r="G28" i="7"/>
  <c r="H51" i="7"/>
  <c r="G48" i="7"/>
  <c r="G30" i="7"/>
  <c r="H33" i="7"/>
  <c r="G44" i="7"/>
  <c r="H47" i="7"/>
  <c r="G39" i="7"/>
  <c r="H42" i="7"/>
  <c r="H38" i="7"/>
  <c r="H39" i="7"/>
  <c r="G36" i="7"/>
  <c r="G24" i="7"/>
  <c r="H27" i="7"/>
  <c r="H21" i="7"/>
  <c r="G49" i="7"/>
  <c r="G46" i="7"/>
  <c r="H49" i="7"/>
  <c r="G32" i="7"/>
  <c r="H35" i="7"/>
  <c r="H50" i="7"/>
  <c r="G47" i="7"/>
  <c r="I17" i="7" l="1"/>
  <c r="I18" i="7"/>
  <c r="I19" i="7"/>
  <c r="I20" i="7"/>
  <c r="C14" i="5"/>
  <c r="C36" i="5" s="1"/>
  <c r="I56" i="7"/>
  <c r="J51" i="7"/>
  <c r="J42" i="7"/>
  <c r="J36" i="7"/>
  <c r="J41" i="7"/>
  <c r="J34" i="7"/>
  <c r="J46" i="7"/>
  <c r="J43" i="7"/>
  <c r="J35" i="7"/>
  <c r="J40" i="7"/>
  <c r="J48" i="7"/>
  <c r="J33" i="7"/>
  <c r="J39" i="7"/>
  <c r="J49" i="7"/>
  <c r="J56" i="7"/>
  <c r="J44" i="7"/>
  <c r="J45" i="7"/>
  <c r="J47" i="7"/>
  <c r="J50" i="7"/>
  <c r="J52" i="7"/>
  <c r="J38" i="7"/>
  <c r="J37" i="7"/>
  <c r="C41" i="5"/>
  <c r="C38" i="5"/>
  <c r="L41" i="7"/>
  <c r="L45" i="7"/>
  <c r="L50" i="7"/>
  <c r="L48" i="7"/>
  <c r="L43" i="7"/>
  <c r="L44" i="7"/>
  <c r="L51" i="7"/>
  <c r="L42" i="7"/>
  <c r="L46" i="7"/>
  <c r="L52" i="7"/>
  <c r="L47" i="7"/>
  <c r="L56" i="7"/>
  <c r="L49" i="7"/>
  <c r="C43" i="5"/>
  <c r="I48" i="7"/>
  <c r="I42" i="7"/>
  <c r="I25" i="7"/>
  <c r="I51" i="7"/>
  <c r="I52" i="7"/>
  <c r="I41" i="7"/>
  <c r="I37" i="7"/>
  <c r="I36" i="7"/>
  <c r="I40" i="7"/>
  <c r="I50" i="7"/>
  <c r="I29" i="7"/>
  <c r="I44" i="7"/>
  <c r="I47" i="7"/>
  <c r="I46" i="7"/>
  <c r="I35" i="7"/>
  <c r="I32" i="7"/>
  <c r="I34" i="7"/>
  <c r="I30" i="7"/>
  <c r="I24" i="7"/>
  <c r="I22" i="7"/>
  <c r="I26" i="7"/>
  <c r="I31" i="7"/>
  <c r="I38" i="7"/>
  <c r="I39" i="7"/>
  <c r="I27" i="7"/>
  <c r="I21" i="7"/>
  <c r="I45" i="7"/>
  <c r="I28" i="7"/>
  <c r="I49" i="7"/>
  <c r="I23" i="7"/>
  <c r="I33" i="7"/>
  <c r="I43" i="7"/>
  <c r="C42" i="5"/>
  <c r="C39" i="5"/>
  <c r="C40" i="5"/>
  <c r="K43" i="7"/>
  <c r="K46" i="7"/>
  <c r="K56" i="7"/>
  <c r="K39" i="7"/>
  <c r="K41" i="7"/>
  <c r="K38" i="7"/>
  <c r="K51" i="7"/>
  <c r="K37" i="7"/>
  <c r="K50" i="7"/>
  <c r="K48" i="7"/>
  <c r="K42" i="7"/>
  <c r="K49" i="7"/>
  <c r="K45" i="7"/>
  <c r="K44" i="7"/>
  <c r="K47" i="7"/>
  <c r="K52" i="7"/>
  <c r="K40" i="7"/>
  <c r="C44" i="5"/>
  <c r="C37" i="5"/>
  <c r="I55" i="7" l="1"/>
  <c r="K55" i="7"/>
  <c r="L55" i="7"/>
  <c r="J55" i="7"/>
  <c r="N58" i="7" l="1"/>
  <c r="I18" i="5"/>
  <c r="C31" i="28" l="1"/>
  <c r="C31" i="48"/>
  <c r="C31" i="49"/>
  <c r="C31" i="26"/>
  <c r="I17" i="5" l="1"/>
  <c r="I16" i="5"/>
  <c r="E42" i="5" s="1"/>
  <c r="P32" i="8"/>
  <c r="N32" i="8" s="1"/>
  <c r="C30" i="8" l="1"/>
  <c r="G30" i="8"/>
  <c r="E43" i="5"/>
  <c r="E36" i="5"/>
  <c r="E45" i="5"/>
  <c r="E44" i="5"/>
  <c r="E38" i="5"/>
  <c r="E39" i="5"/>
  <c r="E41" i="5"/>
  <c r="E40" i="5"/>
  <c r="B41" i="8"/>
  <c r="E37" i="5"/>
  <c r="D30" i="8"/>
  <c r="E35" i="24" l="1"/>
  <c r="F35" i="24" s="1"/>
  <c r="H35" i="24" s="1"/>
  <c r="E34" i="21" s="1"/>
  <c r="E35" i="25"/>
  <c r="F35" i="25" s="1"/>
  <c r="H35" i="25" s="1"/>
  <c r="F34" i="21" s="1"/>
  <c r="E35" i="23"/>
  <c r="F35" i="23" s="1"/>
  <c r="H35" i="23" s="1"/>
  <c r="D34" i="21" s="1"/>
  <c r="F35" i="22"/>
  <c r="E34" i="25"/>
  <c r="F34" i="25" s="1"/>
  <c r="H34" i="25" s="1"/>
  <c r="F33" i="21" s="1"/>
  <c r="E34" i="24"/>
  <c r="F34" i="24" s="1"/>
  <c r="E34" i="23"/>
  <c r="F34" i="23" s="1"/>
  <c r="H34" i="23" s="1"/>
  <c r="D33" i="21" s="1"/>
  <c r="F34" i="22"/>
  <c r="E37" i="23" l="1"/>
  <c r="F37" i="23" s="1"/>
  <c r="H37" i="23" s="1"/>
  <c r="D36" i="21" s="1"/>
  <c r="E37" i="24"/>
  <c r="F37" i="24" s="1"/>
  <c r="H37" i="24" s="1"/>
  <c r="E36" i="21" s="1"/>
  <c r="E37" i="25"/>
  <c r="F37" i="25" s="1"/>
  <c r="H37" i="25" s="1"/>
  <c r="F36" i="21" s="1"/>
  <c r="F37" i="22"/>
  <c r="H34" i="22"/>
  <c r="C33" i="21" s="1"/>
  <c r="E45" i="20"/>
  <c r="C21" i="19" s="1"/>
  <c r="H34" i="24"/>
  <c r="E33" i="21" s="1"/>
  <c r="H35" i="22"/>
  <c r="C34" i="21" s="1"/>
  <c r="G34" i="21" s="1"/>
  <c r="H34" i="21" s="1"/>
  <c r="G46" i="20" s="1"/>
  <c r="E46" i="20"/>
  <c r="G33" i="21" l="1"/>
  <c r="H33" i="21" s="1"/>
  <c r="G45" i="20" s="1"/>
  <c r="E21" i="19" s="1"/>
  <c r="H37" i="22"/>
  <c r="C36" i="21" s="1"/>
  <c r="G36" i="21" s="1"/>
  <c r="H36" i="21" s="1"/>
  <c r="G48" i="20" s="1"/>
  <c r="E48" i="20"/>
  <c r="E36" i="25"/>
  <c r="F36" i="25" s="1"/>
  <c r="H36" i="25" s="1"/>
  <c r="F35" i="21" s="1"/>
  <c r="E36" i="23"/>
  <c r="F36" i="23" s="1"/>
  <c r="H36" i="23" s="1"/>
  <c r="D35" i="21" s="1"/>
  <c r="E36" i="24"/>
  <c r="F36" i="24" s="1"/>
  <c r="F36" i="22"/>
  <c r="H36" i="24" l="1"/>
  <c r="E35" i="21" s="1"/>
  <c r="E39" i="24"/>
  <c r="F39" i="24" s="1"/>
  <c r="H39" i="24" s="1"/>
  <c r="E38" i="21" s="1"/>
  <c r="E39" i="25"/>
  <c r="F39" i="25" s="1"/>
  <c r="E39" i="23"/>
  <c r="F39" i="23" s="1"/>
  <c r="H39" i="23" s="1"/>
  <c r="D38" i="21" s="1"/>
  <c r="F39" i="22"/>
  <c r="H39" i="22" s="1"/>
  <c r="C38" i="21" s="1"/>
  <c r="E38" i="25"/>
  <c r="F38" i="25" s="1"/>
  <c r="H38" i="25" s="1"/>
  <c r="F37" i="21" s="1"/>
  <c r="E38" i="23"/>
  <c r="F38" i="23" s="1"/>
  <c r="H38" i="23" s="1"/>
  <c r="D37" i="21" s="1"/>
  <c r="E38" i="24"/>
  <c r="F38" i="24" s="1"/>
  <c r="H38" i="24" s="1"/>
  <c r="E37" i="21" s="1"/>
  <c r="F38" i="22"/>
  <c r="H36" i="22"/>
  <c r="C35" i="21" s="1"/>
  <c r="E47" i="20"/>
  <c r="C22" i="19" s="1"/>
  <c r="G35" i="21" l="1"/>
  <c r="H35" i="21" s="1"/>
  <c r="G47" i="20" s="1"/>
  <c r="E22" i="19" s="1"/>
  <c r="H38" i="22"/>
  <c r="C37" i="21" s="1"/>
  <c r="G37" i="21" s="1"/>
  <c r="H37" i="21" s="1"/>
  <c r="G49" i="20" s="1"/>
  <c r="E49" i="20"/>
  <c r="C23" i="19" s="1"/>
  <c r="E50" i="20"/>
  <c r="C24" i="19" s="1"/>
  <c r="H39" i="25"/>
  <c r="F38" i="21" s="1"/>
  <c r="G38" i="21" s="1"/>
  <c r="H38" i="21" s="1"/>
  <c r="G50" i="20" s="1"/>
  <c r="E24" i="19" s="1"/>
  <c r="E23" i="19" l="1"/>
  <c r="E40" i="25"/>
  <c r="F40" i="25" s="1"/>
  <c r="E40" i="24"/>
  <c r="F40" i="24" s="1"/>
  <c r="E40" i="23"/>
  <c r="F40" i="23" s="1"/>
  <c r="H40" i="23" s="1"/>
  <c r="D39" i="21" s="1"/>
  <c r="F40" i="22"/>
  <c r="H40" i="24" l="1"/>
  <c r="E39" i="21" s="1"/>
  <c r="E41" i="23"/>
  <c r="F41" i="23" s="1"/>
  <c r="H41" i="23" s="1"/>
  <c r="D40" i="21" s="1"/>
  <c r="E41" i="24"/>
  <c r="F41" i="24" s="1"/>
  <c r="H41" i="24" s="1"/>
  <c r="E40" i="21" s="1"/>
  <c r="E41" i="25"/>
  <c r="F41" i="25" s="1"/>
  <c r="F41" i="22"/>
  <c r="H41" i="22" s="1"/>
  <c r="C40" i="21" s="1"/>
  <c r="E51" i="20"/>
  <c r="H40" i="25"/>
  <c r="F39" i="21" s="1"/>
  <c r="H40" i="22"/>
  <c r="C39" i="21" s="1"/>
  <c r="G39" i="21" l="1"/>
  <c r="H39" i="21" s="1"/>
  <c r="G51" i="20" s="1"/>
  <c r="E52" i="20"/>
  <c r="H41" i="25"/>
  <c r="F40" i="21" s="1"/>
  <c r="G40" i="21" s="1"/>
  <c r="H40" i="21" s="1"/>
  <c r="G52" i="20" s="1"/>
  <c r="F42" i="22"/>
  <c r="H42" i="22" s="1"/>
  <c r="C41" i="21" s="1"/>
  <c r="E42" i="25"/>
  <c r="F42" i="25" s="1"/>
  <c r="H42" i="25" s="1"/>
  <c r="F41" i="21" s="1"/>
  <c r="E42" i="23"/>
  <c r="F42" i="23" s="1"/>
  <c r="E42" i="24"/>
  <c r="F42" i="24" s="1"/>
  <c r="H42" i="24" s="1"/>
  <c r="E41" i="21" s="1"/>
  <c r="E53" i="20" l="1"/>
  <c r="H42" i="23"/>
  <c r="D41" i="21" s="1"/>
  <c r="G41" i="21" s="1"/>
  <c r="H41" i="21" s="1"/>
  <c r="G53" i="20" s="1"/>
  <c r="E43" i="24"/>
  <c r="F43" i="24" s="1"/>
  <c r="H43" i="24" s="1"/>
  <c r="E42" i="21" s="1"/>
  <c r="E43" i="23"/>
  <c r="F43" i="23" s="1"/>
  <c r="H43" i="23" s="1"/>
  <c r="D42" i="21" s="1"/>
  <c r="E43" i="25"/>
  <c r="F43" i="25" s="1"/>
  <c r="F43" i="22"/>
  <c r="H43" i="25" l="1"/>
  <c r="F42" i="21" s="1"/>
  <c r="E44" i="25"/>
  <c r="F44" i="25" s="1"/>
  <c r="H44" i="25" s="1"/>
  <c r="F43" i="21" s="1"/>
  <c r="E44" i="24"/>
  <c r="F44" i="24" s="1"/>
  <c r="E44" i="23"/>
  <c r="F44" i="23" s="1"/>
  <c r="H44" i="23" s="1"/>
  <c r="D43" i="21" s="1"/>
  <c r="F44" i="22"/>
  <c r="H44" i="22" s="1"/>
  <c r="C43" i="21" s="1"/>
  <c r="H43" i="22"/>
  <c r="C42" i="21" s="1"/>
  <c r="E54" i="20"/>
  <c r="G42" i="21" l="1"/>
  <c r="H42" i="21" s="1"/>
  <c r="E55" i="20"/>
  <c r="H44" i="24"/>
  <c r="E43" i="21" s="1"/>
  <c r="E45" i="23"/>
  <c r="F45" i="23" s="1"/>
  <c r="H45" i="23" s="1"/>
  <c r="D44" i="21" s="1"/>
  <c r="E45" i="24"/>
  <c r="F45" i="24" s="1"/>
  <c r="E45" i="25"/>
  <c r="F45" i="25" s="1"/>
  <c r="F45" i="22"/>
  <c r="H45" i="22" s="1"/>
  <c r="C44" i="21" s="1"/>
  <c r="G54" i="20" l="1"/>
  <c r="H45" i="25"/>
  <c r="F44" i="21" s="1"/>
  <c r="E56" i="20"/>
  <c r="H45" i="24"/>
  <c r="E44" i="21" s="1"/>
  <c r="G43" i="21"/>
  <c r="E46" i="25"/>
  <c r="F46" i="25" s="1"/>
  <c r="H46" i="25" s="1"/>
  <c r="F45" i="21" s="1"/>
  <c r="E46" i="24"/>
  <c r="F46" i="24" s="1"/>
  <c r="E46" i="23"/>
  <c r="F46" i="23" s="1"/>
  <c r="H46" i="23" s="1"/>
  <c r="D45" i="21" s="1"/>
  <c r="F46" i="22"/>
  <c r="H46" i="22" s="1"/>
  <c r="C45" i="21" s="1"/>
  <c r="H43" i="21" l="1"/>
  <c r="G44" i="21"/>
  <c r="E47" i="24"/>
  <c r="F47" i="24" s="1"/>
  <c r="E47" i="25"/>
  <c r="F47" i="25" s="1"/>
  <c r="H47" i="25" s="1"/>
  <c r="F46" i="21" s="1"/>
  <c r="E47" i="23"/>
  <c r="F47" i="23" s="1"/>
  <c r="H47" i="23" s="1"/>
  <c r="D46" i="21" s="1"/>
  <c r="F47" i="22"/>
  <c r="H47" i="22" s="1"/>
  <c r="C46" i="21" s="1"/>
  <c r="E57" i="20"/>
  <c r="H46" i="24"/>
  <c r="E45" i="21" s="1"/>
  <c r="H44" i="21" l="1"/>
  <c r="G56" i="20" s="1"/>
  <c r="G55" i="20"/>
  <c r="G45" i="21"/>
  <c r="H45" i="21" s="1"/>
  <c r="E48" i="25"/>
  <c r="F48" i="25" s="1"/>
  <c r="H48" i="25" s="1"/>
  <c r="F47" i="21" s="1"/>
  <c r="E48" i="24"/>
  <c r="F48" i="24" s="1"/>
  <c r="E48" i="23"/>
  <c r="F48" i="23" s="1"/>
  <c r="H48" i="23" s="1"/>
  <c r="D47" i="21" s="1"/>
  <c r="F48" i="22"/>
  <c r="H48" i="22" s="1"/>
  <c r="C47" i="21" s="1"/>
  <c r="E58" i="20"/>
  <c r="H47" i="24"/>
  <c r="E46" i="21" s="1"/>
  <c r="G46" i="21" s="1"/>
  <c r="H46" i="21" l="1"/>
  <c r="G58" i="20" s="1"/>
  <c r="E59" i="20"/>
  <c r="C25" i="19" s="1"/>
  <c r="H48" i="24"/>
  <c r="E47" i="21" s="1"/>
  <c r="G47" i="21" s="1"/>
  <c r="E49" i="23"/>
  <c r="F49" i="23" s="1"/>
  <c r="H49" i="23" s="1"/>
  <c r="D48" i="21" s="1"/>
  <c r="E49" i="24"/>
  <c r="F49" i="24" s="1"/>
  <c r="E49" i="25"/>
  <c r="F49" i="25" s="1"/>
  <c r="H49" i="25" s="1"/>
  <c r="F48" i="21" s="1"/>
  <c r="F49" i="22"/>
  <c r="H49" i="22" s="1"/>
  <c r="C48" i="21" s="1"/>
  <c r="H47" i="21" l="1"/>
  <c r="G59" i="20" s="1"/>
  <c r="E25" i="19" s="1"/>
  <c r="E50" i="25"/>
  <c r="F50" i="25" s="1"/>
  <c r="H50" i="25" s="1"/>
  <c r="F49" i="21" s="1"/>
  <c r="E50" i="23"/>
  <c r="F50" i="23" s="1"/>
  <c r="E50" i="24"/>
  <c r="F50" i="24" s="1"/>
  <c r="H50" i="24" s="1"/>
  <c r="E49" i="21" s="1"/>
  <c r="F50" i="22"/>
  <c r="G57" i="20"/>
  <c r="E60" i="20"/>
  <c r="H49" i="24"/>
  <c r="E48" i="21" s="1"/>
  <c r="G48" i="21" s="1"/>
  <c r="H48" i="21" l="1"/>
  <c r="G60" i="20" s="1"/>
  <c r="H50" i="23"/>
  <c r="D49" i="21" s="1"/>
  <c r="F51" i="22"/>
  <c r="E51" i="25"/>
  <c r="F51" i="25" s="1"/>
  <c r="H51" i="25" s="1"/>
  <c r="F50" i="21" s="1"/>
  <c r="E51" i="24"/>
  <c r="F51" i="24" s="1"/>
  <c r="H51" i="24" s="1"/>
  <c r="E50" i="21" s="1"/>
  <c r="E51" i="23"/>
  <c r="F51" i="23" s="1"/>
  <c r="H51" i="23" s="1"/>
  <c r="D50" i="21" s="1"/>
  <c r="H50" i="22"/>
  <c r="C49" i="21" s="1"/>
  <c r="E61" i="20"/>
  <c r="E52" i="25" l="1"/>
  <c r="F52" i="25" s="1"/>
  <c r="H52" i="25" s="1"/>
  <c r="F51" i="21" s="1"/>
  <c r="E52" i="24"/>
  <c r="F52" i="24" s="1"/>
  <c r="H52" i="24" s="1"/>
  <c r="E51" i="21" s="1"/>
  <c r="F52" i="22"/>
  <c r="E52" i="23"/>
  <c r="F52" i="23" s="1"/>
  <c r="H52" i="23" s="1"/>
  <c r="D51" i="21" s="1"/>
  <c r="H51" i="22"/>
  <c r="C50" i="21" s="1"/>
  <c r="G50" i="21" s="1"/>
  <c r="E62" i="20"/>
  <c r="C26" i="19" s="1"/>
  <c r="G49" i="21"/>
  <c r="H49" i="21" s="1"/>
  <c r="H50" i="21" l="1"/>
  <c r="G62" i="20" s="1"/>
  <c r="E26" i="19" s="1"/>
  <c r="E53" i="25"/>
  <c r="F53" i="25" s="1"/>
  <c r="H53" i="25" s="1"/>
  <c r="F52" i="21" s="1"/>
  <c r="E53" i="24"/>
  <c r="F53" i="24" s="1"/>
  <c r="H53" i="24" s="1"/>
  <c r="E52" i="21" s="1"/>
  <c r="F53" i="22"/>
  <c r="E53" i="23"/>
  <c r="F53" i="23" s="1"/>
  <c r="H52" i="22"/>
  <c r="C51" i="21" s="1"/>
  <c r="G51" i="21" s="1"/>
  <c r="E63" i="20"/>
  <c r="C27" i="19" s="1"/>
  <c r="E54" i="25"/>
  <c r="F54" i="25" s="1"/>
  <c r="E54" i="23"/>
  <c r="F54" i="23" s="1"/>
  <c r="H54" i="23" s="1"/>
  <c r="D53" i="21" s="1"/>
  <c r="E54" i="24"/>
  <c r="F54" i="24" s="1"/>
  <c r="F54" i="22"/>
  <c r="H51" i="21" l="1"/>
  <c r="G63" i="20" s="1"/>
  <c r="E27" i="19" s="1"/>
  <c r="E29" i="19" s="1"/>
  <c r="H53" i="23"/>
  <c r="D52" i="21" s="1"/>
  <c r="D56" i="21" s="1"/>
  <c r="F57" i="23"/>
  <c r="H57" i="23" s="1"/>
  <c r="H53" i="22"/>
  <c r="C52" i="21" s="1"/>
  <c r="E64" i="20"/>
  <c r="H54" i="22"/>
  <c r="C53" i="21" s="1"/>
  <c r="E65" i="20"/>
  <c r="F57" i="22"/>
  <c r="H57" i="22" s="1"/>
  <c r="H54" i="24"/>
  <c r="E53" i="21" s="1"/>
  <c r="E56" i="21" s="1"/>
  <c r="F57" i="24"/>
  <c r="H57" i="24" s="1"/>
  <c r="G61" i="20"/>
  <c r="H54" i="25"/>
  <c r="F53" i="21" s="1"/>
  <c r="F56" i="21" s="1"/>
  <c r="F57" i="25"/>
  <c r="H57" i="25" s="1"/>
  <c r="E68" i="20" l="1"/>
  <c r="G53" i="21"/>
  <c r="H53" i="21" s="1"/>
  <c r="G52" i="21"/>
  <c r="H52" i="21" s="1"/>
  <c r="C56" i="21"/>
  <c r="G65" i="20" l="1"/>
  <c r="G56" i="21"/>
  <c r="G64" i="20"/>
  <c r="G68" i="20" l="1"/>
  <c r="G71" i="20"/>
  <c r="G70" i="20"/>
  <c r="H56" i="21"/>
  <c r="G72" i="20" l="1"/>
  <c r="E31" i="19" s="1"/>
  <c r="F27" i="19" l="1"/>
  <c r="F28" i="19"/>
  <c r="F15" i="19"/>
  <c r="F21" i="19"/>
  <c r="F17" i="19"/>
  <c r="F22" i="19"/>
  <c r="F19" i="19"/>
  <c r="F14" i="19"/>
  <c r="F16" i="19"/>
  <c r="F26" i="19"/>
  <c r="F25" i="19"/>
  <c r="F23" i="19"/>
  <c r="F24" i="19"/>
  <c r="F20" i="19"/>
  <c r="F18" i="19"/>
  <c r="E33" i="19" l="1"/>
  <c r="E38" i="19" s="1"/>
  <c r="C14" i="18" s="1"/>
  <c r="E14" i="18" s="1"/>
  <c r="C19" i="1" s="1"/>
  <c r="F29" i="19"/>
  <c r="E28" i="49" l="1"/>
  <c r="D28" i="49" s="1"/>
  <c r="E27" i="49"/>
  <c r="D27" i="49" s="1"/>
  <c r="E26" i="49"/>
  <c r="D26" i="49" s="1"/>
  <c r="E25" i="49"/>
  <c r="D25" i="49" s="1"/>
  <c r="E24" i="49"/>
  <c r="D24" i="49" s="1"/>
  <c r="E23" i="49"/>
  <c r="D23" i="49" s="1"/>
  <c r="E22" i="49"/>
  <c r="D22" i="49" s="1"/>
  <c r="E21" i="49"/>
  <c r="D21" i="49" s="1"/>
  <c r="E20" i="49"/>
  <c r="D20" i="49" s="1"/>
  <c r="E19" i="49"/>
  <c r="D19" i="49" s="1"/>
  <c r="E18" i="49"/>
  <c r="D18" i="49" s="1"/>
  <c r="E17" i="49"/>
  <c r="D17" i="49" s="1"/>
  <c r="E16" i="49"/>
  <c r="D16" i="49" s="1"/>
  <c r="E15" i="49"/>
  <c r="D15" i="49" s="1"/>
  <c r="E14" i="49"/>
  <c r="E28" i="48"/>
  <c r="D28" i="48" s="1"/>
  <c r="E27" i="48"/>
  <c r="D27" i="48" s="1"/>
  <c r="E26" i="48"/>
  <c r="D26" i="48" s="1"/>
  <c r="E25" i="48"/>
  <c r="D25" i="48" s="1"/>
  <c r="E24" i="48"/>
  <c r="D24" i="48" s="1"/>
  <c r="E23" i="48"/>
  <c r="D23" i="48" s="1"/>
  <c r="E22" i="48"/>
  <c r="D22" i="48" s="1"/>
  <c r="E21" i="48"/>
  <c r="D21" i="48" s="1"/>
  <c r="E20" i="48"/>
  <c r="D20" i="48" s="1"/>
  <c r="E19" i="48"/>
  <c r="D19" i="48" s="1"/>
  <c r="E18" i="48"/>
  <c r="D18" i="48" s="1"/>
  <c r="E17" i="48"/>
  <c r="D17" i="48" s="1"/>
  <c r="E16" i="48"/>
  <c r="D16" i="48" s="1"/>
  <c r="E15" i="48"/>
  <c r="D15" i="48" s="1"/>
  <c r="E14" i="48"/>
  <c r="E28" i="26"/>
  <c r="D28" i="26" s="1"/>
  <c r="E27" i="26"/>
  <c r="D27" i="26" s="1"/>
  <c r="E26" i="26"/>
  <c r="D26" i="26" s="1"/>
  <c r="E25" i="26"/>
  <c r="D25" i="26" s="1"/>
  <c r="E24" i="26"/>
  <c r="D24" i="26" s="1"/>
  <c r="E23" i="26"/>
  <c r="D23" i="26" s="1"/>
  <c r="E22" i="26"/>
  <c r="D22" i="26" s="1"/>
  <c r="E21" i="26"/>
  <c r="D21" i="26" s="1"/>
  <c r="E20" i="26"/>
  <c r="D20" i="26" s="1"/>
  <c r="E19" i="26"/>
  <c r="D19" i="26" s="1"/>
  <c r="E18" i="26"/>
  <c r="D18" i="26" s="1"/>
  <c r="E17" i="26"/>
  <c r="D17" i="26" s="1"/>
  <c r="E16" i="26"/>
  <c r="D16" i="26" s="1"/>
  <c r="E15" i="26"/>
  <c r="D15" i="26" s="1"/>
  <c r="E14" i="26"/>
  <c r="E28" i="28"/>
  <c r="D28" i="28" s="1"/>
  <c r="E27" i="28"/>
  <c r="D27" i="28" s="1"/>
  <c r="E26" i="28"/>
  <c r="D26" i="28" s="1"/>
  <c r="E25" i="28"/>
  <c r="D25" i="28" s="1"/>
  <c r="E24" i="28"/>
  <c r="D24" i="28" s="1"/>
  <c r="E23" i="28"/>
  <c r="D23" i="28" s="1"/>
  <c r="E22" i="28"/>
  <c r="D22" i="28" s="1"/>
  <c r="E21" i="28"/>
  <c r="D21" i="28" s="1"/>
  <c r="E20" i="28"/>
  <c r="D20" i="28" s="1"/>
  <c r="E19" i="28"/>
  <c r="D19" i="28" s="1"/>
  <c r="E18" i="28"/>
  <c r="D18" i="28" s="1"/>
  <c r="E17" i="28"/>
  <c r="D17" i="28" s="1"/>
  <c r="E16" i="28"/>
  <c r="D16" i="28" s="1"/>
  <c r="E15" i="28"/>
  <c r="D15" i="28" s="1"/>
  <c r="E14" i="28"/>
  <c r="D14" i="26" l="1"/>
  <c r="E31" i="26"/>
  <c r="D14" i="49"/>
  <c r="E31" i="49"/>
  <c r="D14" i="28"/>
  <c r="E31" i="28"/>
  <c r="D14" i="48"/>
  <c r="E31" i="48"/>
  <c r="D31" i="28" l="1"/>
  <c r="E34" i="28"/>
  <c r="C18" i="18" s="1"/>
  <c r="E18" i="18" s="1"/>
  <c r="C22" i="1" s="1"/>
  <c r="D31" i="49"/>
  <c r="E34" i="49"/>
  <c r="C20" i="18" s="1"/>
  <c r="E20" i="18" s="1"/>
  <c r="C24" i="1" s="1"/>
  <c r="D31" i="48"/>
  <c r="E34" i="48"/>
  <c r="C19" i="18" s="1"/>
  <c r="E19" i="18" s="1"/>
  <c r="C23" i="1" s="1"/>
  <c r="D31" i="26"/>
  <c r="E34" i="26"/>
  <c r="C17" i="18" s="1"/>
  <c r="E17" i="18" l="1"/>
  <c r="C21" i="1" s="1"/>
  <c r="C22" i="18"/>
  <c r="E22" i="18" s="1"/>
  <c r="C26" i="1" s="1"/>
  <c r="C15" i="1" l="1"/>
  <c r="E21" i="8" l="1"/>
  <c r="F16" i="8"/>
  <c r="F15" i="8" l="1"/>
  <c r="F19" i="8"/>
  <c r="E19" i="8"/>
  <c r="F23" i="8"/>
  <c r="F21" i="8"/>
  <c r="H21" i="8" s="1"/>
  <c r="D43" i="5" s="1"/>
  <c r="F14" i="8"/>
  <c r="F22" i="8"/>
  <c r="E16" i="8"/>
  <c r="H16" i="8" s="1"/>
  <c r="D38" i="5" s="1"/>
  <c r="F17" i="8"/>
  <c r="E18" i="8"/>
  <c r="H18" i="8" s="1"/>
  <c r="D40" i="5" s="1"/>
  <c r="E20" i="8"/>
  <c r="H20" i="8" s="1"/>
  <c r="D42" i="5" s="1"/>
  <c r="E14" i="8"/>
  <c r="E15" i="8"/>
  <c r="H15" i="8" s="1"/>
  <c r="D37" i="5" s="1"/>
  <c r="F18" i="8"/>
  <c r="F20" i="8"/>
  <c r="E22" i="8"/>
  <c r="E17" i="8"/>
  <c r="E23" i="8"/>
  <c r="H23" i="8" s="1"/>
  <c r="D45" i="5" s="1"/>
  <c r="H22" i="8" l="1"/>
  <c r="D44" i="5" s="1"/>
  <c r="H17" i="8"/>
  <c r="D39" i="5" s="1"/>
  <c r="H14" i="8"/>
  <c r="D36" i="5" s="1"/>
  <c r="H19" i="8"/>
  <c r="D41" i="5" s="1"/>
  <c r="E28" i="8" l="1"/>
  <c r="E30" i="8" l="1"/>
  <c r="F28" i="8"/>
  <c r="F30" i="8" s="1"/>
  <c r="H28" i="8" l="1"/>
  <c r="I19" i="5" l="1"/>
  <c r="H30" i="8"/>
  <c r="F45" i="5" l="1"/>
  <c r="G45" i="5" s="1"/>
  <c r="E23" i="2" s="1"/>
  <c r="F23" i="2" s="1"/>
  <c r="H23" i="2" s="1"/>
  <c r="F44" i="5"/>
  <c r="G44" i="5" s="1"/>
  <c r="E22" i="2" s="1"/>
  <c r="F22" i="2" s="1"/>
  <c r="H22" i="2" s="1"/>
  <c r="F43" i="5"/>
  <c r="G43" i="5" s="1"/>
  <c r="E21" i="2" s="1"/>
  <c r="F21" i="2" s="1"/>
  <c r="H21" i="2" s="1"/>
  <c r="F38" i="5"/>
  <c r="G38" i="5" s="1"/>
  <c r="E16" i="2" s="1"/>
  <c r="F16" i="2" s="1"/>
  <c r="H16" i="2" s="1"/>
  <c r="F41" i="5"/>
  <c r="G41" i="5" s="1"/>
  <c r="E19" i="2" s="1"/>
  <c r="F19" i="2" s="1"/>
  <c r="H19" i="2" s="1"/>
  <c r="F40" i="5"/>
  <c r="G40" i="5" s="1"/>
  <c r="E18" i="2" s="1"/>
  <c r="F18" i="2" s="1"/>
  <c r="H18" i="2" s="1"/>
  <c r="F42" i="5"/>
  <c r="G42" i="5" s="1"/>
  <c r="E20" i="2" s="1"/>
  <c r="F20" i="2" s="1"/>
  <c r="H20" i="2" s="1"/>
  <c r="F37" i="5"/>
  <c r="G37" i="5" s="1"/>
  <c r="E15" i="2" s="1"/>
  <c r="F15" i="2" s="1"/>
  <c r="H15" i="2" s="1"/>
  <c r="F36" i="5"/>
  <c r="G36" i="5" s="1"/>
  <c r="E14" i="2" s="1"/>
  <c r="F14" i="2" s="1"/>
  <c r="F39" i="5"/>
  <c r="G39" i="5" s="1"/>
  <c r="E17" i="2" s="1"/>
  <c r="F17" i="2" s="1"/>
  <c r="H17" i="2" s="1"/>
  <c r="H14" i="2" l="1"/>
  <c r="F26" i="2"/>
  <c r="H26" i="2" s="1"/>
  <c r="D19" i="1" s="1"/>
  <c r="D23" i="1" l="1"/>
  <c r="F23" i="1" s="1"/>
  <c r="H23" i="1" s="1"/>
  <c r="D22" i="1"/>
  <c r="F22" i="1" s="1"/>
  <c r="H22" i="1" s="1"/>
  <c r="D26" i="1"/>
  <c r="F26" i="1" s="1"/>
  <c r="H26" i="1" s="1"/>
  <c r="D24" i="1"/>
  <c r="F24" i="1" s="1"/>
  <c r="H24" i="1" s="1"/>
  <c r="D15" i="1"/>
  <c r="D21" i="1"/>
  <c r="F21" i="1" s="1"/>
  <c r="H21" i="1" s="1"/>
  <c r="F19" i="1"/>
  <c r="H19" i="1" s="1"/>
  <c r="F15" i="1" l="1"/>
  <c r="H15" i="1" s="1"/>
  <c r="R1" i="51" l="1"/>
  <c r="L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5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10 Non-Hurricane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xli</author>
    <author>jmurphy</author>
  </authors>
  <commentList>
    <comment ref="L32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Jim Murphy:
Total of actual TWIA / Industry EP from ISO data for all available years</t>
        </r>
      </text>
    </comment>
    <comment ref="G39" authorId="1" shapeId="0" xr:uid="{00000000-0006-0000-1500-000002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jmurphy:
subtract litigation related costs</t>
        </r>
      </text>
    </comment>
    <comment ref="L43" authorId="2" shapeId="0" xr:uid="{00000000-0006-0000-1500-000003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Ike Dolly Lit Reduction spreadsheet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6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8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Jim Murphy</author>
    <author>tc={F8971C67-DDD0-418E-B435-07438C64AD45}</author>
  </authors>
  <commentList>
    <comment ref="F26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Xiu: total other UW exp + Aggregate Write in + Invest Exp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1" shapeId="0" xr:uid="{08E59AE1-4564-4930-AA4B-75762D7A26ED}">
      <text>
        <r>
          <rPr>
            <b/>
            <sz val="9"/>
            <color indexed="81"/>
            <rFont val="Tahoma"/>
            <family val="2"/>
          </rPr>
          <t>Jim Murphy:</t>
        </r>
        <r>
          <rPr>
            <sz val="9"/>
            <color indexed="81"/>
            <rFont val="Tahoma"/>
            <family val="2"/>
          </rPr>
          <t xml:space="preserve">
changed back to written premium due to majority of expenses incurred at policy issuance</t>
        </r>
      </text>
    </comment>
    <comment ref="H36" authorId="2" shapeId="0" xr:uid="{F8971C67-DDD0-418E-B435-07438C64AD4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House Bill 2517 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D10" authorId="0" shapeId="0" xr:uid="{468E8E92-42D9-416B-A03C-9735E8917AD7}">
      <text>
        <r>
          <rPr>
            <b/>
            <sz val="8"/>
            <color indexed="81"/>
            <rFont val="Tahoma"/>
            <family val="2"/>
          </rPr>
          <t xml:space="preserve">
net of commission and broker discount, depop
</t>
        </r>
      </text>
    </comment>
    <comment ref="D26" authorId="0" shapeId="0" xr:uid="{61C75086-E416-4ADC-93A3-FDB22BD5E593}">
      <text>
        <r>
          <rPr>
            <b/>
            <sz val="8"/>
            <color indexed="81"/>
            <rFont val="Tahoma"/>
            <family val="2"/>
          </rPr>
          <t xml:space="preserve">
net of commission and broker discount, depop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F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Twia Admin:</t>
        </r>
        <r>
          <rPr>
            <sz val="8"/>
            <color indexed="81"/>
            <rFont val="Tahoma"/>
            <family val="2"/>
          </rPr>
          <t xml:space="preserve">
only loss; no adjustment expenses</t>
        </r>
      </text>
    </comment>
  </commentList>
</comments>
</file>

<file path=xl/sharedStrings.xml><?xml version="1.0" encoding="utf-8"?>
<sst xmlns="http://schemas.openxmlformats.org/spreadsheetml/2006/main" count="1231" uniqueCount="524">
  <si>
    <t>Texas Windstorm Insurance Association</t>
  </si>
  <si>
    <t>Rate Level Review</t>
  </si>
  <si>
    <t>Summary of Indicated Rate Change</t>
  </si>
  <si>
    <t>By Method for Projecting Hurricane Loss &amp; LAE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</si>
  <si>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</si>
  <si>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</si>
  <si>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</si>
  <si>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</si>
  <si>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</si>
  <si>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</si>
  <si>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</si>
  <si>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</si>
  <si>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</si>
  <si>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</si>
  <si>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A</t>
  </si>
  <si>
    <t>B</t>
  </si>
  <si>
    <t>Hurricane Projection Method</t>
  </si>
  <si>
    <t>Notes:</t>
  </si>
  <si>
    <t>Projected Ultimate Non-Hurricane Loss &amp; LAE Ratio</t>
  </si>
  <si>
    <t>Exhibit 2</t>
  </si>
  <si>
    <t>Sheet 1</t>
  </si>
  <si>
    <t>Tier 2</t>
  </si>
  <si>
    <t>Amount</t>
  </si>
  <si>
    <t>Loss &amp; LAE Ratio</t>
  </si>
  <si>
    <t>Total / Average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</si>
  <si>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</si>
  <si>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</si>
  <si>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</si>
  <si>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</si>
  <si>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</si>
  <si>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</si>
  <si>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</si>
  <si>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</si>
  <si>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</si>
  <si>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</si>
  <si>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</si>
  <si>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Projected Ultimate Non-Hurricane Loss</t>
  </si>
  <si>
    <t>Accident</t>
  </si>
  <si>
    <t>Year</t>
  </si>
  <si>
    <t>Paid Loss</t>
  </si>
  <si>
    <t>Development</t>
  </si>
  <si>
    <t>Paid Loss Excluding Expense</t>
  </si>
  <si>
    <t>Exhibit 3</t>
  </si>
  <si>
    <t>Average</t>
  </si>
  <si>
    <t>Selected</t>
  </si>
  <si>
    <t>Cumulative</t>
  </si>
  <si>
    <t>Exhibit 4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</si>
  <si>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</si>
  <si>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</si>
  <si>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</si>
  <si>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</si>
  <si>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</si>
  <si>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</si>
  <si>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</si>
  <si>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</si>
  <si>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</si>
  <si>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Incurred</t>
  </si>
  <si>
    <t>Sheet 3</t>
  </si>
  <si>
    <t>Sheet 4</t>
  </si>
  <si>
    <t>Sheet 5</t>
  </si>
  <si>
    <t>Summary of Indicated Hurricane Loss &amp; LAE Ratios</t>
  </si>
  <si>
    <t>Exhibit 5</t>
  </si>
  <si>
    <t>Basis for Hurricane Loss Ratio</t>
  </si>
  <si>
    <t>Hurricane Models</t>
  </si>
  <si>
    <t>Average of Models</t>
  </si>
  <si>
    <t>Exhibit 6</t>
  </si>
  <si>
    <t>(10)</t>
  </si>
  <si>
    <t>Start</t>
  </si>
  <si>
    <t>End</t>
  </si>
  <si>
    <t>Losses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</si>
  <si>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</si>
  <si>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</si>
  <si>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</si>
  <si>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</si>
  <si>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</si>
  <si>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</si>
  <si>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</si>
  <si>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</si>
  <si>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Average of Non-Hurricane Years</t>
  </si>
  <si>
    <t>Average of Non-Hurricane Years Excluding 1991</t>
  </si>
  <si>
    <t>Territory 8</t>
  </si>
  <si>
    <t>Territory 9</t>
  </si>
  <si>
    <t>Territory 10</t>
  </si>
  <si>
    <t>Weighted</t>
  </si>
  <si>
    <t>Loss Ratios by Territory / Tier</t>
  </si>
  <si>
    <t>% Share</t>
  </si>
  <si>
    <t>Rate Level</t>
  </si>
  <si>
    <t>Sheet 6</t>
  </si>
  <si>
    <t>Sheet 7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</si>
  <si>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</si>
  <si>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</si>
  <si>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</si>
  <si>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</si>
  <si>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</si>
  <si>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</si>
  <si>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</si>
  <si>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</si>
  <si>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</si>
  <si>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</si>
  <si>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</si>
  <si>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</si>
  <si>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</si>
  <si>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</si>
  <si>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</si>
  <si>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</si>
  <si>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</si>
  <si>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</si>
  <si>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</si>
  <si>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</si>
  <si>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</si>
  <si>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</si>
  <si>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</si>
  <si>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</si>
  <si>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</si>
  <si>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</si>
  <si>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Exhibit 8</t>
  </si>
  <si>
    <t>Exhibit 9</t>
  </si>
  <si>
    <t>Exhibit 10</t>
  </si>
  <si>
    <t>Date</t>
  </si>
  <si>
    <t>Name</t>
  </si>
  <si>
    <t>Audrey</t>
  </si>
  <si>
    <t>Debra</t>
  </si>
  <si>
    <t>Carla</t>
  </si>
  <si>
    <t>Cindy</t>
  </si>
  <si>
    <t>Celia</t>
  </si>
  <si>
    <t>Fern</t>
  </si>
  <si>
    <t>Allen</t>
  </si>
  <si>
    <t>Alicia</t>
  </si>
  <si>
    <t>Bonnie</t>
  </si>
  <si>
    <t>Chantal</t>
  </si>
  <si>
    <t>Jerry</t>
  </si>
  <si>
    <t>Frequency</t>
  </si>
  <si>
    <t>Date Period</t>
  </si>
  <si>
    <t>Hurricanes</t>
  </si>
  <si>
    <t>Annual Frequency</t>
  </si>
  <si>
    <t>Exhibit 11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</si>
  <si>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</si>
  <si>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</si>
  <si>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</si>
  <si>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</si>
  <si>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</si>
  <si>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</si>
  <si>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</si>
  <si>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</si>
  <si>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</si>
  <si>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</si>
  <si>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</si>
  <si>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</si>
  <si>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</si>
  <si>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</si>
  <si>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</si>
  <si>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</si>
  <si>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</si>
  <si>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</si>
  <si>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</si>
  <si>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</si>
  <si>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</si>
  <si>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</si>
  <si>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</si>
  <si>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</si>
  <si>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</si>
  <si>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</si>
  <si>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Commercial Property - Wind &amp; Hail</t>
  </si>
  <si>
    <t>Reconciliation of Paid Loss Data to Schedule P</t>
  </si>
  <si>
    <t>TWIA Provided Paid Loss</t>
  </si>
  <si>
    <t>Schedule P</t>
  </si>
  <si>
    <t>Direct &amp; Assumed</t>
  </si>
  <si>
    <t>&amp; Farm</t>
  </si>
  <si>
    <t>History of Rate Level Changes</t>
  </si>
  <si>
    <t>Effective</t>
  </si>
  <si>
    <t>Prior</t>
  </si>
  <si>
    <t>8/1/80</t>
  </si>
  <si>
    <t>9/1/81</t>
  </si>
  <si>
    <t>9/1/82</t>
  </si>
  <si>
    <t>10/10/83</t>
  </si>
  <si>
    <t>3/1/85</t>
  </si>
  <si>
    <t>3/15/85</t>
  </si>
  <si>
    <t>11/15/85</t>
  </si>
  <si>
    <t>7/1/87</t>
  </si>
  <si>
    <t>11/1/88</t>
  </si>
  <si>
    <t>3/1/90</t>
  </si>
  <si>
    <t>4/1/91</t>
  </si>
  <si>
    <t>1/1/92</t>
  </si>
  <si>
    <t>10/1/93</t>
  </si>
  <si>
    <t>1/1/98</t>
  </si>
  <si>
    <t>1/1/00</t>
  </si>
  <si>
    <t>1/1/01</t>
  </si>
  <si>
    <t>1/1/02</t>
  </si>
  <si>
    <t>Calculation of On-Level Premium Factors</t>
  </si>
  <si>
    <t>Current</t>
  </si>
  <si>
    <t>Applicable Rates</t>
  </si>
  <si>
    <t>Rate Level in Effect</t>
  </si>
  <si>
    <t>B.O.Y.</t>
  </si>
  <si>
    <t>E.O.Y.</t>
  </si>
  <si>
    <t>Cumulative Rate Level</t>
  </si>
  <si>
    <t># Months</t>
  </si>
  <si>
    <t>Level</t>
  </si>
  <si>
    <t>Factor to</t>
  </si>
  <si>
    <t>Calculation of Earned Premium at Present Rate Level</t>
  </si>
  <si>
    <t>TWIA</t>
  </si>
  <si>
    <t>Written</t>
  </si>
  <si>
    <t>at 1992 MR</t>
  </si>
  <si>
    <t>TWIA Factor</t>
  </si>
  <si>
    <t>to Current</t>
  </si>
  <si>
    <t>Premium at</t>
  </si>
  <si>
    <t>Current Rates</t>
  </si>
  <si>
    <t>TWIA premium as % of industry</t>
  </si>
  <si>
    <t>CY Data Ending</t>
  </si>
  <si>
    <t>Latest Annual Statement Date</t>
  </si>
  <si>
    <t>CAY Ending</t>
  </si>
  <si>
    <t>Evaluated as of</t>
  </si>
  <si>
    <t>TDI</t>
  </si>
  <si>
    <t>ISO</t>
  </si>
  <si>
    <t>at 1992 CMR</t>
  </si>
  <si>
    <t>1/1/03</t>
  </si>
  <si>
    <t>Calculation of On-Level Factors</t>
  </si>
  <si>
    <t>Rate Change</t>
  </si>
  <si>
    <t>RC + 1</t>
  </si>
  <si>
    <t>OLF</t>
  </si>
  <si>
    <t>Average OLF</t>
  </si>
  <si>
    <t>Fixed</t>
  </si>
  <si>
    <t>Expenses</t>
  </si>
  <si>
    <t>LLAE Ratio</t>
  </si>
  <si>
    <t>Total Fixed Expenses</t>
  </si>
  <si>
    <t>Total Variable Expenses</t>
  </si>
  <si>
    <t>In-Force</t>
  </si>
  <si>
    <t>Trend Length</t>
  </si>
  <si>
    <t>Selected Premium Trend</t>
  </si>
  <si>
    <t>Prospective</t>
  </si>
  <si>
    <t>Premium Trend Analysis</t>
  </si>
  <si>
    <t>Year /</t>
  </si>
  <si>
    <t>Period</t>
  </si>
  <si>
    <t>Quarter</t>
  </si>
  <si>
    <t>Index</t>
  </si>
  <si>
    <t>(15)</t>
  </si>
  <si>
    <t>Loss Trend Analysis</t>
  </si>
  <si>
    <t>Summary of Indices and Calculation of Prospective Loss Costs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</si>
  <si>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</si>
  <si>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</si>
  <si>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</si>
  <si>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</si>
  <si>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</si>
  <si>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</si>
  <si>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</si>
  <si>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</si>
  <si>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</si>
  <si>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</si>
  <si>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</si>
  <si>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CY Ending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</si>
  <si>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</si>
  <si>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</si>
  <si>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</si>
  <si>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</si>
  <si>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</si>
  <si>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</si>
  <si>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</si>
  <si>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</si>
  <si>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</si>
  <si>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</si>
  <si>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Modified Consumer Price Index - External Trend</t>
  </si>
  <si>
    <t>Payments</t>
  </si>
  <si>
    <t>IBNR</t>
  </si>
  <si>
    <t>Case Resv</t>
  </si>
  <si>
    <t>1/1/04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</si>
  <si>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</si>
  <si>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</si>
  <si>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</si>
  <si>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</si>
  <si>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</si>
  <si>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</si>
  <si>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</si>
  <si>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</si>
  <si>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</si>
  <si>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Claudette</t>
  </si>
  <si>
    <t>1/1/05</t>
  </si>
  <si>
    <t>Boeckh Commercial Construction Index Trend (Coastal)</t>
  </si>
  <si>
    <t>Boeckh Commercial Construction Index Trend (Statewide)</t>
  </si>
  <si>
    <t xml:space="preserve"> </t>
  </si>
  <si>
    <t>Historical Hurricane Frequency</t>
  </si>
  <si>
    <t>Industry Experience</t>
  </si>
  <si>
    <t>Using Actual Industry Experience</t>
  </si>
  <si>
    <t>5-Year</t>
  </si>
  <si>
    <t>4-Year</t>
  </si>
  <si>
    <t>3-Year</t>
  </si>
  <si>
    <t>Selected Loss Trend</t>
  </si>
  <si>
    <t>1/1/06</t>
  </si>
  <si>
    <t>Rita</t>
  </si>
  <si>
    <t>2005</t>
  </si>
  <si>
    <t xml:space="preserve">              For 1985, there were two additional rate changes</t>
  </si>
  <si>
    <t>at Present Rates</t>
  </si>
  <si>
    <t>Exponential Fitted Trends</t>
  </si>
  <si>
    <t>All-Year</t>
  </si>
  <si>
    <t>Average Annual Change</t>
  </si>
  <si>
    <t>Correlation Coefficient</t>
  </si>
  <si>
    <t>(16)</t>
  </si>
  <si>
    <t>9/1/06</t>
  </si>
  <si>
    <t>1/1/07</t>
  </si>
  <si>
    <t>C</t>
  </si>
  <si>
    <t>D</t>
  </si>
  <si>
    <t>E</t>
  </si>
  <si>
    <t>F</t>
  </si>
  <si>
    <t>G</t>
  </si>
  <si>
    <t>I</t>
  </si>
  <si>
    <t>J</t>
  </si>
  <si>
    <t>K</t>
  </si>
  <si>
    <t>Avg Cuml</t>
  </si>
  <si>
    <t>Month</t>
  </si>
  <si>
    <t>Landfall</t>
  </si>
  <si>
    <t>Jun</t>
  </si>
  <si>
    <t>Sep</t>
  </si>
  <si>
    <t>Jul</t>
  </si>
  <si>
    <t>Oct</t>
  </si>
  <si>
    <t>Aug</t>
  </si>
  <si>
    <t>“Matagorda”</t>
  </si>
  <si>
    <t>“Sabine River-Lake Calcasieu”</t>
  </si>
  <si>
    <t>“Galveston”</t>
  </si>
  <si>
    <t>“Lower Texas Coast"</t>
  </si>
  <si>
    <t>“Indianola”</t>
  </si>
  <si>
    <t>“Velasco”</t>
  </si>
  <si>
    <t>“Freeport”</t>
  </si>
  <si>
    <t>Beulah</t>
  </si>
  <si>
    <t>Bret</t>
  </si>
  <si>
    <t>Factors</t>
  </si>
  <si>
    <t>Exhibit 7</t>
  </si>
  <si>
    <t>Humberto</t>
  </si>
  <si>
    <t>2/1/08</t>
  </si>
  <si>
    <t xml:space="preserve">              For each year except 1985, 2006, and 2008 the B.O.Y. and E.O.Y. rates are the only rates applicable</t>
  </si>
  <si>
    <t xml:space="preserve">              For 2006, there was one additional rate change</t>
  </si>
  <si>
    <t xml:space="preserve">              For 2008, the rate change took effect mid-year</t>
  </si>
  <si>
    <t>Tier 2 (Territories 1 and 11)</t>
  </si>
  <si>
    <t>L</t>
  </si>
  <si>
    <t>2007</t>
  </si>
  <si>
    <t>2/1/09</t>
  </si>
  <si>
    <t>Dolly</t>
  </si>
  <si>
    <t>Ike</t>
  </si>
  <si>
    <t>M</t>
  </si>
  <si>
    <t>2008</t>
  </si>
  <si>
    <t>Using Experience and Models</t>
  </si>
  <si>
    <t>Reinsurance Contract</t>
  </si>
  <si>
    <t>Expiring</t>
  </si>
  <si>
    <t>(2a)</t>
  </si>
  <si>
    <t>Hurricane Model</t>
  </si>
  <si>
    <t>(2b)</t>
  </si>
  <si>
    <t>Net Cost of Reinsurance</t>
  </si>
  <si>
    <t>Indicated Reinsurance Expense %</t>
  </si>
  <si>
    <t>1/1/11</t>
  </si>
  <si>
    <t>N</t>
  </si>
  <si>
    <t>1/1/12</t>
  </si>
  <si>
    <t>1/1/13</t>
  </si>
  <si>
    <t>2006</t>
  </si>
  <si>
    <t>2009</t>
  </si>
  <si>
    <t>2010</t>
  </si>
  <si>
    <t>O</t>
  </si>
  <si>
    <t>P</t>
  </si>
  <si>
    <t>2011</t>
  </si>
  <si>
    <t>1/1/14</t>
  </si>
  <si>
    <t>Q</t>
  </si>
  <si>
    <t>R</t>
  </si>
  <si>
    <t>Deducted Litigation Costs</t>
  </si>
  <si>
    <t>Notes: premium trend derived above include impact from exposure change, deductible change, policy limits change, and etc.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</si>
  <si>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</si>
  <si>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</si>
  <si>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</si>
  <si>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</si>
  <si>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</si>
  <si>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</si>
  <si>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</si>
  <si>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</si>
  <si>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</si>
  <si>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</si>
  <si>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</si>
  <si>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</si>
  <si>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2012</t>
  </si>
  <si>
    <t>2013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</si>
  <si>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</si>
  <si>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</si>
  <si>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</si>
  <si>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</si>
  <si>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</si>
  <si>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</si>
  <si>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</si>
  <si>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</si>
  <si>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</si>
  <si>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</si>
  <si>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1/1/15</t>
  </si>
  <si>
    <t>S</t>
  </si>
  <si>
    <t>1/1/16</t>
  </si>
  <si>
    <t>Overall Indication</t>
  </si>
  <si>
    <t>Harvey</t>
  </si>
  <si>
    <t>Outstanding Class 1 Public Security Repayment</t>
  </si>
  <si>
    <t>CRTF Contribution &amp; UW Contingency &amp; Uncertainty</t>
  </si>
  <si>
    <t>T</t>
  </si>
  <si>
    <t>1/1/17</t>
  </si>
  <si>
    <t>1/1/18</t>
  </si>
  <si>
    <t>2014</t>
  </si>
  <si>
    <t>2015</t>
  </si>
  <si>
    <t>2016</t>
  </si>
  <si>
    <t>2017</t>
  </si>
  <si>
    <t>(9) = (5) + (7) + (8)</t>
  </si>
  <si>
    <t>Exposure</t>
  </si>
  <si>
    <t>Quarterly</t>
  </si>
  <si>
    <t>LAE loading</t>
  </si>
  <si>
    <t>Number of Hurricanes</t>
  </si>
  <si>
    <t>During the Year</t>
  </si>
  <si>
    <t>Average Hurricane Loss Ratio Per Hurricane</t>
  </si>
  <si>
    <t>Hurricane Year</t>
  </si>
  <si>
    <t>Per Hurricane</t>
  </si>
  <si>
    <t>Simple Average Loss Ratio Per Hurricane Year</t>
  </si>
  <si>
    <t>Permissible Loss, LAE, and Fixed Expense Ratio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</si>
  <si>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</si>
  <si>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</si>
  <si>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</si>
  <si>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</si>
  <si>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</si>
  <si>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</si>
  <si>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</si>
  <si>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</si>
  <si>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</si>
  <si>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</si>
  <si>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</si>
  <si>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</si>
  <si>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</si>
  <si>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</si>
  <si>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</si>
  <si>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Premium Surcharge</t>
  </si>
  <si>
    <t>surcharge removed</t>
  </si>
  <si>
    <t>Table of Contents</t>
  </si>
  <si>
    <t>Main Heading</t>
  </si>
  <si>
    <t xml:space="preserve">Exhibit </t>
  </si>
  <si>
    <t>Sheet</t>
  </si>
  <si>
    <t>Industry experience is for EC, where wind and hail related loss is predominant</t>
  </si>
  <si>
    <t>UW &amp; Investment Exhibit - part 3</t>
  </si>
  <si>
    <t>line 24, col 2</t>
  </si>
  <si>
    <t>line 24, col 3</t>
  </si>
  <si>
    <t>AJ</t>
  </si>
  <si>
    <t>Hanna</t>
  </si>
  <si>
    <t>Laura</t>
  </si>
  <si>
    <t>Delta</t>
  </si>
  <si>
    <t>Combined</t>
  </si>
  <si>
    <t>Nicholas</t>
  </si>
  <si>
    <t>Average of All Models</t>
  </si>
  <si>
    <t>AK</t>
  </si>
  <si>
    <t>RMS</t>
  </si>
  <si>
    <t>Impact Forecasting</t>
  </si>
  <si>
    <t>Indicated Rate Change</t>
  </si>
  <si>
    <t>Indicated Premium Trend</t>
  </si>
  <si>
    <t>Verisk</t>
  </si>
  <si>
    <t>line 19, col 2</t>
  </si>
  <si>
    <t>AL</t>
  </si>
  <si>
    <t>AM</t>
  </si>
  <si>
    <t>AN</t>
  </si>
  <si>
    <t>Ultimate Loss</t>
  </si>
  <si>
    <t>Implied</t>
  </si>
  <si>
    <t>Ult /  Incurred</t>
  </si>
  <si>
    <t>(7) = (6) * implied loss development factors from annual statement</t>
  </si>
  <si>
    <t>Expenses and Permissible Loss &amp; LAE Ratios</t>
  </si>
  <si>
    <t>Model Version: RMS RiskLink 23.0 Windstorm/Hurricane and Convective Storm (WS/CS)</t>
  </si>
  <si>
    <t>Model Version: Impact Forecasting ELEMENTS 18.0 Atlantic Tropical Cyclone and Severe Convective Storm</t>
  </si>
  <si>
    <t>Model Version: CoreLogic Risk Quantification &amp; Engineering (RQE) v23 North Atlantic Hurricane (HU) and Severe Convective Storm (SCS)</t>
  </si>
  <si>
    <t>Sheet 2a</t>
  </si>
  <si>
    <t>Sheet 2b</t>
  </si>
  <si>
    <t>Sheet 2c</t>
  </si>
  <si>
    <t>Sheet 2d</t>
  </si>
  <si>
    <t>3.2a</t>
  </si>
  <si>
    <t>3.2b</t>
  </si>
  <si>
    <t>3.2c</t>
  </si>
  <si>
    <t>3.2d</t>
  </si>
  <si>
    <t>Sub-Heading</t>
  </si>
  <si>
    <t>Non-Hurricane Loss Ratio</t>
  </si>
  <si>
    <t>Summary by Territory</t>
  </si>
  <si>
    <t xml:space="preserve">Calendar </t>
  </si>
  <si>
    <t>Tab Label</t>
  </si>
  <si>
    <t>CoreLogic RQE</t>
  </si>
  <si>
    <t>At Present Rates</t>
  </si>
  <si>
    <t>Developed Weighted</t>
  </si>
  <si>
    <t>84 manual rate change</t>
  </si>
  <si>
    <t>(4) = MAX [(3)-(5),0]/(2)</t>
  </si>
  <si>
    <t>All Territories Combined</t>
  </si>
  <si>
    <t>Exhibit 1</t>
  </si>
  <si>
    <t>TWIA Commercial Written Premium at Present Rates (WPPR)</t>
  </si>
  <si>
    <t>WPPR</t>
  </si>
  <si>
    <t>Annualized</t>
  </si>
  <si>
    <t>On-Level</t>
  </si>
  <si>
    <t>(7) Four-quarter rolling average written premium</t>
  </si>
  <si>
    <t>(6) = (5) / (2). WPPR = Written Premium at Present Rates</t>
  </si>
  <si>
    <t>Development of LAE Factor Using TWIA Commercial + Residential Experience</t>
  </si>
  <si>
    <t>July</t>
  </si>
  <si>
    <t>2025 Rate Level Review</t>
  </si>
  <si>
    <t>Model Version: Verisk Touchstone 12.0 Tropical Cyclone (TC) and Severe Thunderstorm (ST)</t>
  </si>
  <si>
    <t>Beryl</t>
  </si>
  <si>
    <t>Underwriting and Investment Exhibit Part 3</t>
  </si>
  <si>
    <t>Exhibit of Premiums and Losses (Statutory Page 14)</t>
  </si>
  <si>
    <t>IF</t>
  </si>
  <si>
    <t>RQE</t>
  </si>
  <si>
    <t>Board Decision (50% IF, 25% RMS and 25% RQE)</t>
  </si>
  <si>
    <t>Same Weight (50% IF, 25% RMS and 25% RQE)</t>
  </si>
  <si>
    <t>AO</t>
  </si>
  <si>
    <t>Tier 1 - Territory 8 (Galveston County)</t>
  </si>
  <si>
    <t>Tier 1 - Territory 9 (Nueces County)</t>
  </si>
  <si>
    <t>Tier 1 - Territory 10 (Other Tier 1)</t>
  </si>
  <si>
    <t>Industry Experience - Commercial Extended Coverage</t>
  </si>
  <si>
    <t>Losses at 12/31/2024</t>
  </si>
  <si>
    <t>DCC at 12/31/2024</t>
  </si>
  <si>
    <t>AOO at 12/31/2024</t>
  </si>
  <si>
    <t>Ult/Paid</t>
  </si>
  <si>
    <t>Ult/Incurred</t>
  </si>
  <si>
    <t>Hurricane Loss Ratio - Verisk (AIR) Model</t>
  </si>
  <si>
    <t>Hurricane Loss Ratio - RMS Model</t>
  </si>
  <si>
    <t>Hurricane Loss Ratio - Impact Forecasting Model</t>
  </si>
  <si>
    <t>Hurricane Loss Ratio - CoreLogic RQE Model</t>
  </si>
  <si>
    <t>Adjustment Date</t>
  </si>
  <si>
    <t>Prospective Adjusted 2025-2026 Reinsurance Premium</t>
  </si>
  <si>
    <t>Prospective Average Annual Loss and LAE</t>
  </si>
  <si>
    <t>1-in-50 Year Loss Level (Probable Maximum Loss Effective 1/1/2026)</t>
  </si>
  <si>
    <t>1-in-100 Year Loss Level (Current Probable Maximum Loss)</t>
  </si>
  <si>
    <t>Development of Reinsurance Provision</t>
  </si>
  <si>
    <t>Using Average of Verisk and RMS Hurricane Models</t>
  </si>
  <si>
    <t>Average Annual Loss to 50-Year PML</t>
  </si>
  <si>
    <t>(a)</t>
  </si>
  <si>
    <t>Verisk (AIR)</t>
  </si>
  <si>
    <t>(b)</t>
  </si>
  <si>
    <t>(c)</t>
  </si>
  <si>
    <t>Selected Average Annual Loss and LAE</t>
  </si>
  <si>
    <t>(8) Outstanding principal paid off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</si>
</sst>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_(* #,##0_);_(* \(#,##0\);_(* &quot;-&quot;??_);_(@_)"/>
    <numFmt numFmtId="170" formatCode="0.0"/>
    <numFmt numFmtId="171" formatCode="_(&quot;$&quot;* #,##0.00_);_(&quot;$&quot;* \(#,##0.00\);_(&quot;$&quot;* &quot;0.00&quot;_);_(@_)"/>
    <numFmt numFmtId="172" formatCode="_(* #,##0.00_);_(* \(#,##0.00\);_(* &quot;0.00&quot;_);_(@_)"/>
    <numFmt numFmtId="173" formatCode="_(* #,##0.000_);_(* \(#,##0.000\);_(* &quot;0.000&quot;_);_(@_)"/>
    <numFmt numFmtId="174" formatCode="_(&quot;$&quot;* #,##0.0_);_(&quot;$&quot;* \(#,##0.0\);_(&quot;$&quot;* &quot;0.0&quot;_);_(@_)"/>
    <numFmt numFmtId="175" formatCode="_(* #,##0.0_);_(* \(#,##0.0\);_(* &quot;0.0&quot;_);_(@_)"/>
    <numFmt numFmtId="176" formatCode="_(* #,##0.00000_);_(* \(#,##0.00000\);_(* &quot;0.00000&quot;_);_(@_)"/>
    <numFmt numFmtId="177" formatCode="0.0000000000000000%"/>
    <numFmt numFmtId="178" formatCode="m/d/yy;@"/>
    <numFmt numFmtId="179" formatCode="_(* #,##0.000_);_(* \(#,##0.000\);_(* &quot;-&quot;???_);_(@_)"/>
    <numFmt numFmtId="180" formatCode="_(* #,##0.0_);_(* \(#,##0.0\);_(* &quot;-&quot;??_);_(@_)"/>
    <numFmt numFmtId="181" formatCode="_(* #,##0.000_);_(* \(#,##0.000\);_(* &quot;-&quot;??_);_(@_)"/>
  </numFmts>
  <fonts count="27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4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0"/>
      <color rgb="FF1F497D"/>
      <name val="Arial"/>
      <family val="2"/>
    </font>
    <font>
      <sz val="8"/>
      <color theme="1"/>
      <name val="Arial"/>
      <family val="2"/>
    </font>
    <font>
      <b/>
      <sz val="10"/>
      <color rgb="FF26282A"/>
      <name val="Arial"/>
      <family val="2"/>
    </font>
    <font>
      <sz val="8"/>
      <color rgb="FF0000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rgb="FF7030A0"/>
      <name val="Arial"/>
      <family val="2"/>
    </font>
    <font>
      <sz val="8"/>
      <color theme="9" tint="-0.499984740745262"/>
      <name val="Arial"/>
      <family val="2"/>
    </font>
    <font>
      <sz val="8"/>
      <color theme="0" tint="-0.34998626667073579"/>
      <name val="Arial"/>
      <family val="2"/>
    </font>
    <font>
      <sz val="8"/>
      <color rgb="FFFF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175" fontId="11" fillId="0" borderId="0"/>
    <xf numFmtId="172" fontId="11" fillId="0" borderId="0"/>
    <xf numFmtId="173" fontId="11" fillId="0" borderId="0"/>
    <xf numFmtId="176" fontId="11" fillId="0" borderId="0"/>
    <xf numFmtId="174" fontId="11" fillId="0" borderId="0"/>
    <xf numFmtId="171" fontId="11" fillId="0" borderId="0"/>
    <xf numFmtId="0" fontId="5" fillId="0" borderId="0"/>
    <xf numFmtId="9" fontId="2" fillId="0" borderId="0" applyFont="0" applyFill="0" applyBorder="0" applyAlignment="0" applyProtection="0"/>
    <xf numFmtId="164" fontId="1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</cellStyleXfs>
  <cellXfs count="27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7" xfId="0" applyBorder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Continuous"/>
    </xf>
    <xf numFmtId="164" fontId="6" fillId="0" borderId="0" xfId="9" applyNumberFormat="1" applyFont="1"/>
    <xf numFmtId="165" fontId="6" fillId="0" borderId="0" xfId="9" applyNumberFormat="1" applyFont="1"/>
    <xf numFmtId="165" fontId="5" fillId="0" borderId="0" xfId="9" applyNumberFormat="1" applyFont="1"/>
    <xf numFmtId="164" fontId="5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164" fontId="5" fillId="0" borderId="0" xfId="9" applyNumberFormat="1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6" fillId="0" borderId="0" xfId="0" applyFont="1"/>
    <xf numFmtId="3" fontId="0" fillId="0" borderId="7" xfId="0" applyNumberFormat="1" applyBorder="1"/>
    <xf numFmtId="3" fontId="5" fillId="0" borderId="0" xfId="0" applyNumberFormat="1" applyFont="1"/>
    <xf numFmtId="3" fontId="5" fillId="0" borderId="7" xfId="0" applyNumberFormat="1" applyFont="1" applyBorder="1"/>
    <xf numFmtId="166" fontId="5" fillId="0" borderId="0" xfId="0" applyNumberFormat="1" applyFont="1"/>
    <xf numFmtId="166" fontId="0" fillId="0" borderId="0" xfId="0" applyNumberFormat="1"/>
    <xf numFmtId="166" fontId="0" fillId="0" borderId="7" xfId="0" applyNumberFormat="1" applyBorder="1"/>
    <xf numFmtId="3" fontId="6" fillId="0" borderId="0" xfId="0" applyNumberFormat="1" applyFont="1"/>
    <xf numFmtId="167" fontId="5" fillId="0" borderId="0" xfId="0" applyNumberFormat="1" applyFont="1"/>
    <xf numFmtId="167" fontId="5" fillId="0" borderId="7" xfId="0" applyNumberFormat="1" applyFont="1" applyBorder="1"/>
    <xf numFmtId="167" fontId="0" fillId="0" borderId="0" xfId="0" applyNumberFormat="1"/>
    <xf numFmtId="166" fontId="6" fillId="0" borderId="0" xfId="0" applyNumberFormat="1" applyFont="1"/>
    <xf numFmtId="14" fontId="5" fillId="0" borderId="0" xfId="0" applyNumberFormat="1" applyFont="1"/>
    <xf numFmtId="164" fontId="5" fillId="0" borderId="0" xfId="9" applyNumberFormat="1" applyFont="1" applyFill="1" applyBorder="1"/>
    <xf numFmtId="165" fontId="5" fillId="0" borderId="0" xfId="9" applyNumberFormat="1" applyFont="1" applyFill="1" applyBorder="1"/>
    <xf numFmtId="166" fontId="5" fillId="0" borderId="0" xfId="9" applyNumberFormat="1" applyFont="1" applyFill="1"/>
    <xf numFmtId="0" fontId="0" fillId="0" borderId="0" xfId="0" quotePrefix="1"/>
    <xf numFmtId="164" fontId="5" fillId="0" borderId="0" xfId="0" applyNumberFormat="1" applyFont="1"/>
    <xf numFmtId="164" fontId="6" fillId="0" borderId="0" xfId="0" applyNumberFormat="1" applyFont="1"/>
    <xf numFmtId="0" fontId="0" fillId="0" borderId="0" xfId="0" quotePrefix="1" applyAlignment="1">
      <alignment horizontal="center"/>
    </xf>
    <xf numFmtId="164" fontId="7" fillId="0" borderId="0" xfId="0" applyNumberFormat="1" applyFont="1"/>
    <xf numFmtId="164" fontId="5" fillId="0" borderId="7" xfId="0" applyNumberFormat="1" applyFont="1" applyBorder="1"/>
    <xf numFmtId="3" fontId="5" fillId="0" borderId="0" xfId="9" applyNumberFormat="1" applyFont="1" applyFill="1"/>
    <xf numFmtId="166" fontId="5" fillId="0" borderId="7" xfId="0" applyNumberFormat="1" applyFont="1" applyBorder="1"/>
    <xf numFmtId="3" fontId="6" fillId="0" borderId="7" xfId="0" applyNumberFormat="1" applyFont="1" applyBorder="1"/>
    <xf numFmtId="14" fontId="0" fillId="0" borderId="0" xfId="0" applyNumberFormat="1"/>
    <xf numFmtId="49" fontId="0" fillId="0" borderId="0" xfId="0" applyNumberFormat="1"/>
    <xf numFmtId="49" fontId="5" fillId="0" borderId="7" xfId="0" applyNumberFormat="1" applyFont="1" applyBorder="1"/>
    <xf numFmtId="169" fontId="5" fillId="0" borderId="0" xfId="9" applyNumberFormat="1" applyFont="1" applyFill="1"/>
    <xf numFmtId="169" fontId="5" fillId="0" borderId="7" xfId="9" applyNumberFormat="1" applyFont="1" applyFill="1" applyBorder="1"/>
    <xf numFmtId="169" fontId="0" fillId="0" borderId="0" xfId="0" applyNumberFormat="1"/>
    <xf numFmtId="170" fontId="5" fillId="0" borderId="0" xfId="0" applyNumberFormat="1" applyFont="1"/>
    <xf numFmtId="170" fontId="0" fillId="0" borderId="0" xfId="0" applyNumberFormat="1"/>
    <xf numFmtId="49" fontId="0" fillId="0" borderId="0" xfId="0" quotePrefix="1" applyNumberFormat="1"/>
    <xf numFmtId="3" fontId="9" fillId="0" borderId="7" xfId="0" applyNumberFormat="1" applyFont="1" applyBorder="1"/>
    <xf numFmtId="3" fontId="9" fillId="0" borderId="0" xfId="0" applyNumberFormat="1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170" fontId="8" fillId="0" borderId="0" xfId="0" applyNumberFormat="1" applyFont="1"/>
    <xf numFmtId="14" fontId="9" fillId="0" borderId="0" xfId="0" applyNumberFormat="1" applyFont="1"/>
    <xf numFmtId="14" fontId="6" fillId="0" borderId="0" xfId="0" applyNumberFormat="1" applyFont="1"/>
    <xf numFmtId="9" fontId="0" fillId="0" borderId="0" xfId="0" applyNumberFormat="1"/>
    <xf numFmtId="2" fontId="0" fillId="0" borderId="0" xfId="0" applyNumberFormat="1"/>
    <xf numFmtId="164" fontId="7" fillId="0" borderId="0" xfId="9" applyNumberFormat="1" applyFont="1" applyFill="1"/>
    <xf numFmtId="1" fontId="5" fillId="0" borderId="0" xfId="0" applyNumberFormat="1" applyFont="1"/>
    <xf numFmtId="0" fontId="5" fillId="0" borderId="0" xfId="0" quotePrefix="1" applyFont="1"/>
    <xf numFmtId="0" fontId="5" fillId="0" borderId="0" xfId="8"/>
    <xf numFmtId="3" fontId="9" fillId="0" borderId="0" xfId="8" applyNumberFormat="1" applyFont="1"/>
    <xf numFmtId="2" fontId="6" fillId="0" borderId="0" xfId="0" applyNumberFormat="1" applyFont="1"/>
    <xf numFmtId="2" fontId="5" fillId="0" borderId="0" xfId="0" applyNumberFormat="1" applyFont="1"/>
    <xf numFmtId="2" fontId="5" fillId="0" borderId="7" xfId="0" applyNumberFormat="1" applyFont="1" applyBorder="1"/>
    <xf numFmtId="14" fontId="0" fillId="0" borderId="7" xfId="0" applyNumberFormat="1" applyBorder="1"/>
    <xf numFmtId="10" fontId="0" fillId="0" borderId="0" xfId="0" applyNumberFormat="1"/>
    <xf numFmtId="3" fontId="7" fillId="0" borderId="0" xfId="0" applyNumberFormat="1" applyFont="1"/>
    <xf numFmtId="2" fontId="7" fillId="0" borderId="0" xfId="0" applyNumberFormat="1" applyFont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quotePrefix="1" applyAlignment="1">
      <alignment horizontal="centerContinuous"/>
    </xf>
    <xf numFmtId="0" fontId="0" fillId="0" borderId="0" xfId="0" quotePrefix="1" applyAlignment="1">
      <alignment horizontal="right"/>
    </xf>
    <xf numFmtId="14" fontId="7" fillId="0" borderId="0" xfId="0" applyNumberFormat="1" applyFont="1"/>
    <xf numFmtId="168" fontId="0" fillId="0" borderId="7" xfId="0" applyNumberFormat="1" applyBorder="1"/>
    <xf numFmtId="168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6" fillId="0" borderId="0" xfId="9" applyNumberFormat="1" applyFont="1" applyFill="1"/>
    <xf numFmtId="166" fontId="7" fillId="0" borderId="0" xfId="0" applyNumberFormat="1" applyFont="1"/>
    <xf numFmtId="4" fontId="5" fillId="0" borderId="0" xfId="0" applyNumberFormat="1" applyFont="1"/>
    <xf numFmtId="169" fontId="5" fillId="0" borderId="0" xfId="9" applyNumberFormat="1" applyFont="1" applyFill="1" applyBorder="1"/>
    <xf numFmtId="0" fontId="5" fillId="0" borderId="7" xfId="0" applyFont="1" applyBorder="1"/>
    <xf numFmtId="4" fontId="0" fillId="0" borderId="7" xfId="0" applyNumberFormat="1" applyBorder="1"/>
    <xf numFmtId="177" fontId="0" fillId="0" borderId="0" xfId="0" applyNumberFormat="1"/>
    <xf numFmtId="4" fontId="5" fillId="0" borderId="7" xfId="0" applyNumberFormat="1" applyFont="1" applyBorder="1"/>
    <xf numFmtId="166" fontId="8" fillId="0" borderId="0" xfId="0" applyNumberFormat="1" applyFont="1"/>
    <xf numFmtId="166" fontId="5" fillId="0" borderId="0" xfId="0" applyNumberFormat="1" applyFont="1" applyAlignment="1">
      <alignment horizontal="left"/>
    </xf>
    <xf numFmtId="0" fontId="7" fillId="0" borderId="0" xfId="0" applyFont="1"/>
    <xf numFmtId="166" fontId="9" fillId="0" borderId="7" xfId="0" applyNumberFormat="1" applyFont="1" applyBorder="1"/>
    <xf numFmtId="2" fontId="9" fillId="0" borderId="0" xfId="0" applyNumberFormat="1" applyFont="1"/>
    <xf numFmtId="2" fontId="9" fillId="0" borderId="7" xfId="0" applyNumberFormat="1" applyFont="1" applyBorder="1"/>
    <xf numFmtId="0" fontId="5" fillId="0" borderId="0" xfId="0" applyFont="1" applyAlignment="1">
      <alignment horizontal="right"/>
    </xf>
    <xf numFmtId="166" fontId="7" fillId="0" borderId="7" xfId="0" applyNumberFormat="1" applyFont="1" applyBorder="1"/>
    <xf numFmtId="0" fontId="3" fillId="0" borderId="0" xfId="0" applyFont="1" applyAlignment="1">
      <alignment horizontal="center"/>
    </xf>
    <xf numFmtId="3" fontId="16" fillId="0" borderId="0" xfId="0" applyNumberFormat="1" applyFont="1"/>
    <xf numFmtId="3" fontId="16" fillId="0" borderId="7" xfId="0" applyNumberFormat="1" applyFont="1" applyBorder="1"/>
    <xf numFmtId="0" fontId="13" fillId="0" borderId="0" xfId="0" applyFont="1" applyAlignment="1">
      <alignment vertical="center"/>
    </xf>
    <xf numFmtId="0" fontId="7" fillId="3" borderId="0" xfId="0" applyFont="1" applyFill="1" applyAlignment="1">
      <alignment horizontal="left"/>
    </xf>
    <xf numFmtId="0" fontId="0" fillId="3" borderId="0" xfId="0" applyFill="1"/>
    <xf numFmtId="166" fontId="0" fillId="0" borderId="6" xfId="0" applyNumberFormat="1" applyBorder="1"/>
    <xf numFmtId="167" fontId="5" fillId="0" borderId="6" xfId="0" applyNumberFormat="1" applyFont="1" applyBorder="1"/>
    <xf numFmtId="3" fontId="5" fillId="0" borderId="6" xfId="0" applyNumberFormat="1" applyFont="1" applyBorder="1"/>
    <xf numFmtId="0" fontId="16" fillId="0" borderId="0" xfId="0" applyFont="1"/>
    <xf numFmtId="14" fontId="0" fillId="0" borderId="0" xfId="0" applyNumberFormat="1" applyProtection="1">
      <protection locked="0"/>
    </xf>
    <xf numFmtId="0" fontId="0" fillId="0" borderId="0" xfId="0" applyAlignment="1">
      <alignment vertical="center"/>
    </xf>
    <xf numFmtId="3" fontId="16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2" fontId="0" fillId="0" borderId="7" xfId="0" applyNumberFormat="1" applyBorder="1" applyAlignment="1">
      <alignment horizontal="center"/>
    </xf>
    <xf numFmtId="3" fontId="17" fillId="0" borderId="0" xfId="0" applyNumberFormat="1" applyFont="1"/>
    <xf numFmtId="164" fontId="16" fillId="0" borderId="0" xfId="0" applyNumberFormat="1" applyFont="1"/>
    <xf numFmtId="0" fontId="5" fillId="0" borderId="0" xfId="0" applyFont="1" applyAlignment="1">
      <alignment horizontal="left"/>
    </xf>
    <xf numFmtId="178" fontId="6" fillId="0" borderId="0" xfId="0" applyNumberFormat="1" applyFont="1"/>
    <xf numFmtId="178" fontId="6" fillId="0" borderId="0" xfId="0" quotePrefix="1" applyNumberFormat="1" applyFont="1" applyAlignment="1">
      <alignment horizontal="left"/>
    </xf>
    <xf numFmtId="3" fontId="18" fillId="0" borderId="0" xfId="0" applyNumberFormat="1" applyFont="1"/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16" fillId="0" borderId="0" xfId="0" applyNumberFormat="1" applyFont="1" applyAlignment="1">
      <alignment horizontal="left"/>
    </xf>
    <xf numFmtId="178" fontId="6" fillId="0" borderId="6" xfId="0" quotePrefix="1" applyNumberFormat="1" applyFont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64" fontId="16" fillId="0" borderId="7" xfId="9" applyNumberFormat="1" applyFont="1" applyFill="1" applyBorder="1"/>
    <xf numFmtId="164" fontId="16" fillId="0" borderId="6" xfId="0" applyNumberFormat="1" applyFont="1" applyBorder="1"/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177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166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7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37" fontId="0" fillId="0" borderId="0" xfId="1" applyNumberFormat="1" applyFont="1" applyFill="1" applyBorder="1" applyAlignment="1">
      <alignment horizontal="center" wrapText="1"/>
    </xf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0" borderId="18" xfId="0" applyBorder="1"/>
    <xf numFmtId="164" fontId="0" fillId="0" borderId="0" xfId="9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0" fillId="0" borderId="0" xfId="0" applyFont="1"/>
    <xf numFmtId="0" fontId="0" fillId="0" borderId="16" xfId="0" applyBorder="1"/>
    <xf numFmtId="0" fontId="0" fillId="0" borderId="21" xfId="0" applyBorder="1" applyAlignment="1">
      <alignment horizontal="centerContinuous"/>
    </xf>
    <xf numFmtId="0" fontId="0" fillId="0" borderId="20" xfId="0" applyBorder="1"/>
    <xf numFmtId="0" fontId="0" fillId="0" borderId="22" xfId="0" applyBorder="1"/>
    <xf numFmtId="0" fontId="0" fillId="0" borderId="7" xfId="0" applyBorder="1" applyAlignment="1">
      <alignment horizontal="centerContinuous"/>
    </xf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20" fillId="0" borderId="16" xfId="0" applyFont="1" applyBorder="1"/>
    <xf numFmtId="0" fontId="20" fillId="0" borderId="14" xfId="0" applyFont="1" applyBorder="1"/>
    <xf numFmtId="0" fontId="20" fillId="0" borderId="24" xfId="0" applyFont="1" applyBorder="1"/>
    <xf numFmtId="0" fontId="20" fillId="0" borderId="15" xfId="0" applyFont="1" applyBorder="1"/>
    <xf numFmtId="179" fontId="0" fillId="0" borderId="0" xfId="0" applyNumberFormat="1"/>
    <xf numFmtId="0" fontId="3" fillId="0" borderId="7" xfId="0" applyFont="1" applyBorder="1"/>
    <xf numFmtId="180" fontId="0" fillId="0" borderId="0" xfId="1" applyNumberFormat="1" applyFont="1"/>
    <xf numFmtId="0" fontId="3" fillId="0" borderId="8" xfId="0" applyFont="1" applyBorder="1" applyAlignment="1">
      <alignment horizontal="left"/>
    </xf>
    <xf numFmtId="0" fontId="0" fillId="0" borderId="25" xfId="0" applyBorder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0" fillId="0" borderId="11" xfId="0" applyBorder="1"/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0" fillId="0" borderId="10" xfId="0" applyBorder="1" applyAlignment="1">
      <alignment horizontal="left"/>
    </xf>
    <xf numFmtId="180" fontId="0" fillId="0" borderId="11" xfId="1" applyNumberFormat="1" applyFont="1" applyBorder="1"/>
    <xf numFmtId="0" fontId="0" fillId="0" borderId="11" xfId="0" applyBorder="1" applyAlignment="1">
      <alignment horizontal="left"/>
    </xf>
    <xf numFmtId="180" fontId="0" fillId="0" borderId="0" xfId="1" applyNumberFormat="1" applyFont="1" applyBorder="1"/>
    <xf numFmtId="0" fontId="0" fillId="0" borderId="13" xfId="0" applyBorder="1" applyAlignment="1">
      <alignment horizontal="left"/>
    </xf>
    <xf numFmtId="0" fontId="0" fillId="0" borderId="28" xfId="0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164" fontId="0" fillId="0" borderId="6" xfId="0" applyNumberFormat="1" applyBorder="1"/>
    <xf numFmtId="164" fontId="0" fillId="0" borderId="6" xfId="0" applyNumberFormat="1" applyBorder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29" xfId="0" applyBorder="1"/>
    <xf numFmtId="14" fontId="6" fillId="0" borderId="29" xfId="0" applyNumberFormat="1" applyFont="1" applyBorder="1" applyAlignment="1">
      <alignment horizontal="left"/>
    </xf>
    <xf numFmtId="166" fontId="5" fillId="0" borderId="29" xfId="0" applyNumberFormat="1" applyFont="1" applyBorder="1"/>
    <xf numFmtId="170" fontId="5" fillId="0" borderId="29" xfId="0" applyNumberFormat="1" applyFont="1" applyBorder="1"/>
    <xf numFmtId="3" fontId="9" fillId="0" borderId="29" xfId="0" applyNumberFormat="1" applyFont="1" applyBorder="1"/>
    <xf numFmtId="3" fontId="5" fillId="0" borderId="0" xfId="9" applyNumberFormat="1" applyFont="1" applyFill="1" applyBorder="1"/>
    <xf numFmtId="3" fontId="0" fillId="0" borderId="29" xfId="0" applyNumberFormat="1" applyBorder="1"/>
    <xf numFmtId="0" fontId="5" fillId="0" borderId="29" xfId="0" applyFont="1" applyBorder="1"/>
    <xf numFmtId="164" fontId="0" fillId="0" borderId="29" xfId="0" applyNumberFormat="1" applyBorder="1"/>
    <xf numFmtId="178" fontId="0" fillId="0" borderId="0" xfId="0" applyNumberFormat="1" applyAlignment="1">
      <alignment horizontal="left"/>
    </xf>
    <xf numFmtId="164" fontId="0" fillId="0" borderId="0" xfId="9" applyNumberFormat="1" applyFont="1" applyBorder="1"/>
    <xf numFmtId="0" fontId="0" fillId="0" borderId="29" xfId="0" applyBorder="1" applyAlignment="1">
      <alignment horizontal="right"/>
    </xf>
    <xf numFmtId="166" fontId="0" fillId="0" borderId="29" xfId="0" applyNumberFormat="1" applyBorder="1"/>
    <xf numFmtId="0" fontId="16" fillId="0" borderId="6" xfId="0" applyFont="1" applyBorder="1"/>
    <xf numFmtId="14" fontId="0" fillId="0" borderId="0" xfId="0" applyNumberFormat="1" applyAlignment="1">
      <alignment horizontal="left"/>
    </xf>
    <xf numFmtId="14" fontId="9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167" fontId="23" fillId="0" borderId="0" xfId="0" applyNumberFormat="1" applyFont="1"/>
    <xf numFmtId="2" fontId="23" fillId="0" borderId="0" xfId="0" applyNumberFormat="1" applyFont="1"/>
    <xf numFmtId="166" fontId="23" fillId="0" borderId="0" xfId="0" applyNumberFormat="1" applyFont="1"/>
    <xf numFmtId="3" fontId="23" fillId="0" borderId="0" xfId="0" applyNumberFormat="1" applyFont="1"/>
    <xf numFmtId="3" fontId="24" fillId="0" borderId="0" xfId="0" applyNumberFormat="1" applyFont="1"/>
    <xf numFmtId="3" fontId="23" fillId="0" borderId="7" xfId="0" applyNumberFormat="1" applyFont="1" applyBorder="1"/>
    <xf numFmtId="9" fontId="0" fillId="0" borderId="0" xfId="9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166" fontId="0" fillId="2" borderId="2" xfId="0" applyNumberFormat="1" applyFill="1" applyBorder="1"/>
    <xf numFmtId="10" fontId="0" fillId="0" borderId="0" xfId="0" applyNumberFormat="1" applyAlignment="1">
      <alignment horizontal="center"/>
    </xf>
    <xf numFmtId="164" fontId="5" fillId="0" borderId="6" xfId="9" applyNumberFormat="1" applyFont="1" applyFill="1" applyBorder="1"/>
    <xf numFmtId="0" fontId="25" fillId="0" borderId="0" xfId="0" applyFont="1"/>
    <xf numFmtId="164" fontId="25" fillId="0" borderId="0" xfId="9" applyNumberFormat="1" applyFont="1"/>
    <xf numFmtId="164" fontId="0" fillId="0" borderId="0" xfId="9" applyNumberFormat="1" applyFont="1" applyFill="1"/>
    <xf numFmtId="164" fontId="26" fillId="0" borderId="0" xfId="0" applyNumberFormat="1" applyFont="1"/>
    <xf numFmtId="0" fontId="5" fillId="0" borderId="7" xfId="0" applyFont="1" applyBorder="1" applyAlignment="1">
      <alignment horizontal="center"/>
    </xf>
    <xf numFmtId="181" fontId="0" fillId="0" borderId="0" xfId="1" applyNumberFormat="1" applyFont="1"/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43" fontId="23" fillId="0" borderId="0" xfId="1" applyFont="1" applyAlignment="1">
      <alignment horizontal="center"/>
    </xf>
    <xf numFmtId="43" fontId="5" fillId="0" borderId="0" xfId="1" applyFont="1"/>
    <xf numFmtId="43" fontId="23" fillId="0" borderId="0" xfId="1" applyFont="1"/>
    <xf numFmtId="164" fontId="6" fillId="0" borderId="7" xfId="0" applyNumberFormat="1" applyFont="1" applyBorder="1"/>
    <xf numFmtId="9" fontId="0" fillId="0" borderId="0" xfId="9" quotePrefix="1" applyFont="1" applyFill="1" applyAlignment="1">
      <alignment horizontal="right"/>
    </xf>
    <xf numFmtId="164" fontId="20" fillId="0" borderId="0" xfId="0" applyNumberFormat="1" applyFont="1"/>
    <xf numFmtId="3" fontId="16" fillId="4" borderId="0" xfId="0" applyNumberFormat="1" applyFont="1" applyFill="1" applyAlignment="1">
      <alignment vertical="center"/>
    </xf>
    <xf numFmtId="3" fontId="16" fillId="4" borderId="0" xfId="0" applyNumberFormat="1" applyFont="1" applyFill="1"/>
    <xf numFmtId="164" fontId="5" fillId="0" borderId="0" xfId="9" applyNumberFormat="1" applyFont="1" applyAlignment="1">
      <alignment horizontal="right"/>
    </xf>
    <xf numFmtId="0" fontId="0" fillId="0" borderId="27" xfId="0" applyBorder="1" applyAlignment="1">
      <alignment horizontal="centerContinuous"/>
    </xf>
    <xf numFmtId="2" fontId="0" fillId="0" borderId="7" xfId="0" applyNumberForma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14" fontId="5" fillId="0" borderId="0" xfId="0" applyNumberFormat="1" applyFont="1" applyAlignment="1">
      <alignment horizontal="center"/>
    </xf>
    <xf numFmtId="16" fontId="0" fillId="0" borderId="0" xfId="0" applyNumberFormat="1"/>
    <xf numFmtId="14" fontId="16" fillId="0" borderId="0" xfId="0" applyNumberFormat="1" applyFont="1"/>
    <xf numFmtId="164" fontId="23" fillId="0" borderId="0" xfId="0" applyNumberFormat="1" applyFont="1"/>
    <xf numFmtId="0" fontId="18" fillId="0" borderId="0" xfId="0" applyFont="1"/>
    <xf numFmtId="0" fontId="21" fillId="0" borderId="1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4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omma 2" xfId="12" xr:uid="{43D21DC0-43DE-422E-964D-3FF7E2DE3841}"/>
    <cellStyle name="Currency [1]" xfId="6" xr:uid="{00000000-0005-0000-0000-000005000000}"/>
    <cellStyle name="Currency [2]" xfId="7" xr:uid="{00000000-0005-0000-0000-000006000000}"/>
    <cellStyle name="Normal" xfId="0" builtinId="0"/>
    <cellStyle name="Normal 2" xfId="13" xr:uid="{C02FF108-E132-4FF7-913C-92777719AD41}"/>
    <cellStyle name="Normal 3" xfId="11" xr:uid="{C95E6422-FBB7-41FB-887A-0F3D83E4C63B}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0000FF"/>
      <color rgb="FF00FF00"/>
      <color rgb="FFFF00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microsoft.com/office/2017/10/relationships/person" Target="persons/perso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38100</xdr:colOff>
      <xdr:row>28</xdr:row>
      <xdr:rowOff>0</xdr:rowOff>
    </xdr:from>
    <xdr:to>
      <xdr:col>62</xdr:col>
      <xdr:colOff>103505</xdr:colOff>
      <xdr:row>29</xdr:row>
      <xdr:rowOff>38100</xdr:rowOff>
    </xdr:to>
    <xdr:sp macro="" textlink="">
      <xdr:nvSpPr>
        <xdr:cNvPr id="495893" name="Text Box 5">
          <a:extLst>
            <a:ext uri="{FF2B5EF4-FFF2-40B4-BE49-F238E27FC236}">
              <a16:creationId xmlns:a16="http://schemas.microsoft.com/office/drawing/2014/main" id="{4FF5F8A6-8C5E-4E26-A84A-A241433C181B}"/>
            </a:ext>
          </a:extLst>
        </xdr:cNvPr>
        <xdr:cNvSpPr txBox="1">
          <a:spLocks noChangeArrowheads="1"/>
        </xdr:cNvSpPr>
      </xdr:nvSpPr>
      <xdr:spPr bwMode="auto">
        <a:xfrm>
          <a:off x="12169140" y="3642360"/>
          <a:ext cx="685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67</xdr:col>
      <xdr:colOff>39076</xdr:colOff>
      <xdr:row>54</xdr:row>
      <xdr:rowOff>9525</xdr:rowOff>
    </xdr:from>
    <xdr:to>
      <xdr:col>71</xdr:col>
      <xdr:colOff>47625</xdr:colOff>
      <xdr:row>58</xdr:row>
      <xdr:rowOff>4885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AF31A86-2FED-4324-9B4D-BC03A98121CD}"/>
            </a:ext>
          </a:extLst>
        </xdr:cNvPr>
        <xdr:cNvCxnSpPr>
          <a:cxnSpLocks noChangeShapeType="1"/>
        </xdr:cNvCxnSpPr>
      </xdr:nvCxnSpPr>
      <xdr:spPr bwMode="auto">
        <a:xfrm flipV="1">
          <a:off x="27604426" y="7743825"/>
          <a:ext cx="580049" cy="5763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71</xdr:col>
      <xdr:colOff>79130</xdr:colOff>
      <xdr:row>54</xdr:row>
      <xdr:rowOff>977</xdr:rowOff>
    </xdr:from>
    <xdr:to>
      <xdr:col>75</xdr:col>
      <xdr:colOff>84015</xdr:colOff>
      <xdr:row>58</xdr:row>
      <xdr:rowOff>5862</xdr:rowOff>
    </xdr:to>
    <xdr:cxnSp macro="">
      <xdr:nvCxnSpPr>
        <xdr:cNvPr id="8" name="AutoShape 4">
          <a:extLst>
            <a:ext uri="{FF2B5EF4-FFF2-40B4-BE49-F238E27FC236}">
              <a16:creationId xmlns:a16="http://schemas.microsoft.com/office/drawing/2014/main" id="{FBAE370E-9950-4D68-8059-CF785E6343FB}"/>
            </a:ext>
          </a:extLst>
        </xdr:cNvPr>
        <xdr:cNvCxnSpPr>
          <a:cxnSpLocks noChangeShapeType="1"/>
        </xdr:cNvCxnSpPr>
      </xdr:nvCxnSpPr>
      <xdr:spPr bwMode="auto">
        <a:xfrm flipV="1">
          <a:off x="26128784" y="637540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75</xdr:col>
      <xdr:colOff>70338</xdr:colOff>
      <xdr:row>53</xdr:row>
      <xdr:rowOff>133350</xdr:rowOff>
    </xdr:from>
    <xdr:to>
      <xdr:col>79</xdr:col>
      <xdr:colOff>57150</xdr:colOff>
      <xdr:row>58</xdr:row>
      <xdr:rowOff>6838</xdr:rowOff>
    </xdr:to>
    <xdr:cxnSp macro="">
      <xdr:nvCxnSpPr>
        <xdr:cNvPr id="9" name="AutoShape 4">
          <a:extLst>
            <a:ext uri="{FF2B5EF4-FFF2-40B4-BE49-F238E27FC236}">
              <a16:creationId xmlns:a16="http://schemas.microsoft.com/office/drawing/2014/main" id="{071F5353-BC4A-4354-B9BE-B8EF54F1498B}"/>
            </a:ext>
          </a:extLst>
        </xdr:cNvPr>
        <xdr:cNvCxnSpPr>
          <a:cxnSpLocks noChangeShapeType="1"/>
        </xdr:cNvCxnSpPr>
      </xdr:nvCxnSpPr>
      <xdr:spPr bwMode="auto">
        <a:xfrm flipV="1">
          <a:off x="28778688" y="7724775"/>
          <a:ext cx="558312" cy="59738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80</xdr:col>
      <xdr:colOff>17584</xdr:colOff>
      <xdr:row>54</xdr:row>
      <xdr:rowOff>9525</xdr:rowOff>
    </xdr:from>
    <xdr:to>
      <xdr:col>84</xdr:col>
      <xdr:colOff>57150</xdr:colOff>
      <xdr:row>57</xdr:row>
      <xdr:rowOff>148980</xdr:rowOff>
    </xdr:to>
    <xdr:cxnSp macro="">
      <xdr:nvCxnSpPr>
        <xdr:cNvPr id="10" name="AutoShape 4">
          <a:extLst>
            <a:ext uri="{FF2B5EF4-FFF2-40B4-BE49-F238E27FC236}">
              <a16:creationId xmlns:a16="http://schemas.microsoft.com/office/drawing/2014/main" id="{B5579A9C-6846-4F06-B24A-7155B96E2B06}"/>
            </a:ext>
          </a:extLst>
        </xdr:cNvPr>
        <xdr:cNvCxnSpPr>
          <a:cxnSpLocks noChangeShapeType="1"/>
        </xdr:cNvCxnSpPr>
      </xdr:nvCxnSpPr>
      <xdr:spPr bwMode="auto">
        <a:xfrm flipV="1">
          <a:off x="29440309" y="7743825"/>
          <a:ext cx="611066" cy="5680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85</xdr:col>
      <xdr:colOff>76200</xdr:colOff>
      <xdr:row>54</xdr:row>
      <xdr:rowOff>9525</xdr:rowOff>
    </xdr:from>
    <xdr:to>
      <xdr:col>89</xdr:col>
      <xdr:colOff>95250</xdr:colOff>
      <xdr:row>58</xdr:row>
      <xdr:rowOff>0</xdr:rowOff>
    </xdr:to>
    <xdr:cxnSp macro="">
      <xdr:nvCxnSpPr>
        <xdr:cNvPr id="11" name="AutoShape 4">
          <a:extLst>
            <a:ext uri="{FF2B5EF4-FFF2-40B4-BE49-F238E27FC236}">
              <a16:creationId xmlns:a16="http://schemas.microsoft.com/office/drawing/2014/main" id="{9D1266FC-C444-4B5A-9A3C-A8F246A20046}"/>
            </a:ext>
          </a:extLst>
        </xdr:cNvPr>
        <xdr:cNvCxnSpPr>
          <a:cxnSpLocks noChangeShapeType="1"/>
        </xdr:cNvCxnSpPr>
      </xdr:nvCxnSpPr>
      <xdr:spPr bwMode="auto">
        <a:xfrm flipV="1">
          <a:off x="30213300" y="7743825"/>
          <a:ext cx="590550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95</xdr:col>
      <xdr:colOff>4883</xdr:colOff>
      <xdr:row>54</xdr:row>
      <xdr:rowOff>9525</xdr:rowOff>
    </xdr:from>
    <xdr:to>
      <xdr:col>99</xdr:col>
      <xdr:colOff>19050</xdr:colOff>
      <xdr:row>58</xdr:row>
      <xdr:rowOff>0</xdr:rowOff>
    </xdr:to>
    <xdr:cxnSp macro="">
      <xdr:nvCxnSpPr>
        <xdr:cNvPr id="14" name="AutoShape 4">
          <a:extLst>
            <a:ext uri="{FF2B5EF4-FFF2-40B4-BE49-F238E27FC236}">
              <a16:creationId xmlns:a16="http://schemas.microsoft.com/office/drawing/2014/main" id="{DF7E04DE-07BC-47FB-8D87-50376D116995}"/>
            </a:ext>
          </a:extLst>
        </xdr:cNvPr>
        <xdr:cNvCxnSpPr>
          <a:cxnSpLocks noChangeShapeType="1"/>
        </xdr:cNvCxnSpPr>
      </xdr:nvCxnSpPr>
      <xdr:spPr bwMode="auto">
        <a:xfrm flipV="1">
          <a:off x="31570733" y="7743825"/>
          <a:ext cx="585667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100</xdr:col>
      <xdr:colOff>84014</xdr:colOff>
      <xdr:row>54</xdr:row>
      <xdr:rowOff>0</xdr:rowOff>
    </xdr:from>
    <xdr:to>
      <xdr:col>104</xdr:col>
      <xdr:colOff>95250</xdr:colOff>
      <xdr:row>58</xdr:row>
      <xdr:rowOff>977</xdr:rowOff>
    </xdr:to>
    <xdr:cxnSp macro="">
      <xdr:nvCxnSpPr>
        <xdr:cNvPr id="15" name="AutoShape 4">
          <a:extLst>
            <a:ext uri="{FF2B5EF4-FFF2-40B4-BE49-F238E27FC236}">
              <a16:creationId xmlns:a16="http://schemas.microsoft.com/office/drawing/2014/main" id="{9D54520B-17BE-4FD9-AF90-1A96649BE19A}"/>
            </a:ext>
          </a:extLst>
        </xdr:cNvPr>
        <xdr:cNvCxnSpPr>
          <a:cxnSpLocks noChangeShapeType="1"/>
        </xdr:cNvCxnSpPr>
      </xdr:nvCxnSpPr>
      <xdr:spPr bwMode="auto">
        <a:xfrm flipV="1">
          <a:off x="32364239" y="7734300"/>
          <a:ext cx="582736" cy="58200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105</xdr:col>
      <xdr:colOff>89877</xdr:colOff>
      <xdr:row>54</xdr:row>
      <xdr:rowOff>0</xdr:rowOff>
    </xdr:from>
    <xdr:to>
      <xdr:col>109</xdr:col>
      <xdr:colOff>118241</xdr:colOff>
      <xdr:row>58</xdr:row>
      <xdr:rowOff>1954</xdr:rowOff>
    </xdr:to>
    <xdr:cxnSp macro="">
      <xdr:nvCxnSpPr>
        <xdr:cNvPr id="16" name="AutoShape 4">
          <a:extLst>
            <a:ext uri="{FF2B5EF4-FFF2-40B4-BE49-F238E27FC236}">
              <a16:creationId xmlns:a16="http://schemas.microsoft.com/office/drawing/2014/main" id="{B48357D5-8895-4744-97CB-528D61EB868D}"/>
            </a:ext>
          </a:extLst>
        </xdr:cNvPr>
        <xdr:cNvCxnSpPr>
          <a:cxnSpLocks noChangeShapeType="1"/>
        </xdr:cNvCxnSpPr>
      </xdr:nvCxnSpPr>
      <xdr:spPr bwMode="auto">
        <a:xfrm flipV="1">
          <a:off x="32415756" y="7817069"/>
          <a:ext cx="527606" cy="58659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110</xdr:col>
      <xdr:colOff>236</xdr:colOff>
      <xdr:row>54</xdr:row>
      <xdr:rowOff>19050</xdr:rowOff>
    </xdr:from>
    <xdr:to>
      <xdr:col>114</xdr:col>
      <xdr:colOff>0</xdr:colOff>
      <xdr:row>58</xdr:row>
      <xdr:rowOff>2931</xdr:rowOff>
    </xdr:to>
    <xdr:cxnSp macro="">
      <xdr:nvCxnSpPr>
        <xdr:cNvPr id="17" name="AutoShape 4">
          <a:extLst>
            <a:ext uri="{FF2B5EF4-FFF2-40B4-BE49-F238E27FC236}">
              <a16:creationId xmlns:a16="http://schemas.microsoft.com/office/drawing/2014/main" id="{01D2AB69-9D13-4D21-BB49-CB2478A2D2CF}"/>
            </a:ext>
          </a:extLst>
        </xdr:cNvPr>
        <xdr:cNvCxnSpPr>
          <a:cxnSpLocks noChangeShapeType="1"/>
        </xdr:cNvCxnSpPr>
      </xdr:nvCxnSpPr>
      <xdr:spPr bwMode="auto">
        <a:xfrm flipV="1">
          <a:off x="33709211" y="7753350"/>
          <a:ext cx="571264" cy="564906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113</xdr:col>
      <xdr:colOff>1212</xdr:colOff>
      <xdr:row>54</xdr:row>
      <xdr:rowOff>19050</xdr:rowOff>
    </xdr:from>
    <xdr:to>
      <xdr:col>116</xdr:col>
      <xdr:colOff>123825</xdr:colOff>
      <xdr:row>58</xdr:row>
      <xdr:rowOff>3909</xdr:rowOff>
    </xdr:to>
    <xdr:cxnSp macro="">
      <xdr:nvCxnSpPr>
        <xdr:cNvPr id="18" name="AutoShape 4">
          <a:extLst>
            <a:ext uri="{FF2B5EF4-FFF2-40B4-BE49-F238E27FC236}">
              <a16:creationId xmlns:a16="http://schemas.microsoft.com/office/drawing/2014/main" id="{0980ADC0-6E05-4100-8378-347389F754F3}"/>
            </a:ext>
          </a:extLst>
        </xdr:cNvPr>
        <xdr:cNvCxnSpPr>
          <a:cxnSpLocks noChangeShapeType="1"/>
        </xdr:cNvCxnSpPr>
      </xdr:nvCxnSpPr>
      <xdr:spPr bwMode="auto">
        <a:xfrm flipV="1">
          <a:off x="34138812" y="7753350"/>
          <a:ext cx="551238" cy="56588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120</xdr:col>
      <xdr:colOff>2188</xdr:colOff>
      <xdr:row>54</xdr:row>
      <xdr:rowOff>9525</xdr:rowOff>
    </xdr:from>
    <xdr:to>
      <xdr:col>124</xdr:col>
      <xdr:colOff>9525</xdr:colOff>
      <xdr:row>58</xdr:row>
      <xdr:rowOff>4885</xdr:rowOff>
    </xdr:to>
    <xdr:cxnSp macro="">
      <xdr:nvCxnSpPr>
        <xdr:cNvPr id="19" name="AutoShape 4">
          <a:extLst>
            <a:ext uri="{FF2B5EF4-FFF2-40B4-BE49-F238E27FC236}">
              <a16:creationId xmlns:a16="http://schemas.microsoft.com/office/drawing/2014/main" id="{B3FAAE80-ECB9-4697-9DFA-F83450C63D3D}"/>
            </a:ext>
          </a:extLst>
        </xdr:cNvPr>
        <xdr:cNvCxnSpPr>
          <a:cxnSpLocks noChangeShapeType="1"/>
        </xdr:cNvCxnSpPr>
      </xdr:nvCxnSpPr>
      <xdr:spPr bwMode="auto">
        <a:xfrm flipV="1">
          <a:off x="35139913" y="7743825"/>
          <a:ext cx="578837" cy="5763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137</xdr:col>
      <xdr:colOff>974</xdr:colOff>
      <xdr:row>54</xdr:row>
      <xdr:rowOff>19050</xdr:rowOff>
    </xdr:from>
    <xdr:to>
      <xdr:col>140</xdr:col>
      <xdr:colOff>123825</xdr:colOff>
      <xdr:row>58</xdr:row>
      <xdr:rowOff>977</xdr:rowOff>
    </xdr:to>
    <xdr:cxnSp macro="">
      <xdr:nvCxnSpPr>
        <xdr:cNvPr id="20" name="AutoShape 4">
          <a:extLst>
            <a:ext uri="{FF2B5EF4-FFF2-40B4-BE49-F238E27FC236}">
              <a16:creationId xmlns:a16="http://schemas.microsoft.com/office/drawing/2014/main" id="{3348FBB3-8597-4721-93EC-B0DEFCB2D969}"/>
            </a:ext>
          </a:extLst>
        </xdr:cNvPr>
        <xdr:cNvCxnSpPr>
          <a:cxnSpLocks noChangeShapeType="1"/>
        </xdr:cNvCxnSpPr>
      </xdr:nvCxnSpPr>
      <xdr:spPr bwMode="auto">
        <a:xfrm flipV="1">
          <a:off x="37567574" y="7753350"/>
          <a:ext cx="551476" cy="56295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145</xdr:col>
      <xdr:colOff>1951</xdr:colOff>
      <xdr:row>54</xdr:row>
      <xdr:rowOff>6838</xdr:rowOff>
    </xdr:from>
    <xdr:to>
      <xdr:col>149</xdr:col>
      <xdr:colOff>6836</xdr:colOff>
      <xdr:row>58</xdr:row>
      <xdr:rowOff>11723</xdr:rowOff>
    </xdr:to>
    <xdr:cxnSp macro="">
      <xdr:nvCxnSpPr>
        <xdr:cNvPr id="21" name="AutoShape 4">
          <a:extLst>
            <a:ext uri="{FF2B5EF4-FFF2-40B4-BE49-F238E27FC236}">
              <a16:creationId xmlns:a16="http://schemas.microsoft.com/office/drawing/2014/main" id="{D3D04FC7-C64E-4484-9500-99162AE1BB38}"/>
            </a:ext>
          </a:extLst>
        </xdr:cNvPr>
        <xdr:cNvCxnSpPr>
          <a:cxnSpLocks noChangeShapeType="1"/>
        </xdr:cNvCxnSpPr>
      </xdr:nvCxnSpPr>
      <xdr:spPr bwMode="auto">
        <a:xfrm flipV="1">
          <a:off x="35449605" y="6381261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148</xdr:col>
      <xdr:colOff>125043</xdr:colOff>
      <xdr:row>53</xdr:row>
      <xdr:rowOff>125045</xdr:rowOff>
    </xdr:from>
    <xdr:to>
      <xdr:col>153</xdr:col>
      <xdr:colOff>2928</xdr:colOff>
      <xdr:row>58</xdr:row>
      <xdr:rowOff>2930</xdr:rowOff>
    </xdr:to>
    <xdr:cxnSp macro="">
      <xdr:nvCxnSpPr>
        <xdr:cNvPr id="22" name="AutoShape 4">
          <a:extLst>
            <a:ext uri="{FF2B5EF4-FFF2-40B4-BE49-F238E27FC236}">
              <a16:creationId xmlns:a16="http://schemas.microsoft.com/office/drawing/2014/main" id="{3EBEDC7F-CE34-4663-9B3D-C3C0115DBE85}"/>
            </a:ext>
          </a:extLst>
        </xdr:cNvPr>
        <xdr:cNvCxnSpPr>
          <a:cxnSpLocks noChangeShapeType="1"/>
        </xdr:cNvCxnSpPr>
      </xdr:nvCxnSpPr>
      <xdr:spPr bwMode="auto">
        <a:xfrm flipV="1">
          <a:off x="35953697" y="6372468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152</xdr:col>
      <xdr:colOff>126020</xdr:colOff>
      <xdr:row>54</xdr:row>
      <xdr:rowOff>3907</xdr:rowOff>
    </xdr:from>
    <xdr:to>
      <xdr:col>157</xdr:col>
      <xdr:colOff>3905</xdr:colOff>
      <xdr:row>58</xdr:row>
      <xdr:rowOff>8792</xdr:rowOff>
    </xdr:to>
    <xdr:cxnSp macro="">
      <xdr:nvCxnSpPr>
        <xdr:cNvPr id="23" name="AutoShape 4">
          <a:extLst>
            <a:ext uri="{FF2B5EF4-FFF2-40B4-BE49-F238E27FC236}">
              <a16:creationId xmlns:a16="http://schemas.microsoft.com/office/drawing/2014/main" id="{473FC9F0-CAA0-4D9F-BC4F-29FE8B8B912F}"/>
            </a:ext>
          </a:extLst>
        </xdr:cNvPr>
        <xdr:cNvCxnSpPr>
          <a:cxnSpLocks noChangeShapeType="1"/>
        </xdr:cNvCxnSpPr>
      </xdr:nvCxnSpPr>
      <xdr:spPr bwMode="auto">
        <a:xfrm flipV="1">
          <a:off x="36462674" y="6378330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156</xdr:col>
      <xdr:colOff>125044</xdr:colOff>
      <xdr:row>54</xdr:row>
      <xdr:rowOff>2930</xdr:rowOff>
    </xdr:from>
    <xdr:to>
      <xdr:col>161</xdr:col>
      <xdr:colOff>2929</xdr:colOff>
      <xdr:row>58</xdr:row>
      <xdr:rowOff>7815</xdr:rowOff>
    </xdr:to>
    <xdr:cxnSp macro="">
      <xdr:nvCxnSpPr>
        <xdr:cNvPr id="24" name="AutoShape 4">
          <a:extLst>
            <a:ext uri="{FF2B5EF4-FFF2-40B4-BE49-F238E27FC236}">
              <a16:creationId xmlns:a16="http://schemas.microsoft.com/office/drawing/2014/main" id="{08698CAB-57DF-429A-9AAD-B0BA7EB8F6FB}"/>
            </a:ext>
          </a:extLst>
        </xdr:cNvPr>
        <xdr:cNvCxnSpPr>
          <a:cxnSpLocks noChangeShapeType="1"/>
        </xdr:cNvCxnSpPr>
      </xdr:nvCxnSpPr>
      <xdr:spPr bwMode="auto">
        <a:xfrm flipV="1">
          <a:off x="36969698" y="6377353"/>
          <a:ext cx="512885" cy="5226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160</xdr:col>
      <xdr:colOff>121136</xdr:colOff>
      <xdr:row>54</xdr:row>
      <xdr:rowOff>0</xdr:rowOff>
    </xdr:from>
    <xdr:to>
      <xdr:col>165</xdr:col>
      <xdr:colOff>13138</xdr:colOff>
      <xdr:row>57</xdr:row>
      <xdr:rowOff>130906</xdr:rowOff>
    </xdr:to>
    <xdr:cxnSp macro="">
      <xdr:nvCxnSpPr>
        <xdr:cNvPr id="25" name="AutoShape 4">
          <a:extLst>
            <a:ext uri="{FF2B5EF4-FFF2-40B4-BE49-F238E27FC236}">
              <a16:creationId xmlns:a16="http://schemas.microsoft.com/office/drawing/2014/main" id="{610CC2E8-E2BE-4A7A-BB93-8DC29B79DB2F}"/>
            </a:ext>
          </a:extLst>
        </xdr:cNvPr>
        <xdr:cNvCxnSpPr>
          <a:cxnSpLocks noChangeShapeType="1"/>
        </xdr:cNvCxnSpPr>
      </xdr:nvCxnSpPr>
      <xdr:spPr bwMode="auto">
        <a:xfrm flipV="1">
          <a:off x="39311584" y="7817069"/>
          <a:ext cx="516054" cy="56445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164</xdr:col>
      <xdr:colOff>122113</xdr:colOff>
      <xdr:row>54</xdr:row>
      <xdr:rowOff>6569</xdr:rowOff>
    </xdr:from>
    <xdr:to>
      <xdr:col>168</xdr:col>
      <xdr:colOff>118241</xdr:colOff>
      <xdr:row>58</xdr:row>
      <xdr:rowOff>4884</xdr:rowOff>
    </xdr:to>
    <xdr:cxnSp macro="">
      <xdr:nvCxnSpPr>
        <xdr:cNvPr id="26" name="AutoShape 4">
          <a:extLst>
            <a:ext uri="{FF2B5EF4-FFF2-40B4-BE49-F238E27FC236}">
              <a16:creationId xmlns:a16="http://schemas.microsoft.com/office/drawing/2014/main" id="{0D305C3B-4853-48D8-B07D-D488B074AE13}"/>
            </a:ext>
          </a:extLst>
        </xdr:cNvPr>
        <xdr:cNvCxnSpPr>
          <a:cxnSpLocks noChangeShapeType="1"/>
        </xdr:cNvCxnSpPr>
      </xdr:nvCxnSpPr>
      <xdr:spPr bwMode="auto">
        <a:xfrm flipV="1">
          <a:off x="39811803" y="7823638"/>
          <a:ext cx="495369" cy="58295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169</xdr:col>
      <xdr:colOff>5860</xdr:colOff>
      <xdr:row>53</xdr:row>
      <xdr:rowOff>133350</xdr:rowOff>
    </xdr:from>
    <xdr:to>
      <xdr:col>173</xdr:col>
      <xdr:colOff>0</xdr:colOff>
      <xdr:row>58</xdr:row>
      <xdr:rowOff>977</xdr:rowOff>
    </xdr:to>
    <xdr:cxnSp macro="">
      <xdr:nvCxnSpPr>
        <xdr:cNvPr id="27" name="AutoShape 4">
          <a:extLst>
            <a:ext uri="{FF2B5EF4-FFF2-40B4-BE49-F238E27FC236}">
              <a16:creationId xmlns:a16="http://schemas.microsoft.com/office/drawing/2014/main" id="{B39D9906-1846-40EE-8E3C-044D307E376E}"/>
            </a:ext>
          </a:extLst>
        </xdr:cNvPr>
        <xdr:cNvCxnSpPr>
          <a:cxnSpLocks noChangeShapeType="1"/>
        </xdr:cNvCxnSpPr>
      </xdr:nvCxnSpPr>
      <xdr:spPr bwMode="auto">
        <a:xfrm flipV="1">
          <a:off x="42144460" y="7724775"/>
          <a:ext cx="565640" cy="59152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171</xdr:col>
      <xdr:colOff>80106</xdr:colOff>
      <xdr:row>54</xdr:row>
      <xdr:rowOff>9525</xdr:rowOff>
    </xdr:from>
    <xdr:to>
      <xdr:col>175</xdr:col>
      <xdr:colOff>95250</xdr:colOff>
      <xdr:row>58</xdr:row>
      <xdr:rowOff>6839</xdr:rowOff>
    </xdr:to>
    <xdr:cxnSp macro="">
      <xdr:nvCxnSpPr>
        <xdr:cNvPr id="28" name="AutoShape 4">
          <a:extLst>
            <a:ext uri="{FF2B5EF4-FFF2-40B4-BE49-F238E27FC236}">
              <a16:creationId xmlns:a16="http://schemas.microsoft.com/office/drawing/2014/main" id="{CC4B78C6-8B83-48AD-84C0-14AE425D5773}"/>
            </a:ext>
          </a:extLst>
        </xdr:cNvPr>
        <xdr:cNvCxnSpPr>
          <a:cxnSpLocks noChangeShapeType="1"/>
        </xdr:cNvCxnSpPr>
      </xdr:nvCxnSpPr>
      <xdr:spPr bwMode="auto">
        <a:xfrm flipV="1">
          <a:off x="42504456" y="7743825"/>
          <a:ext cx="586644" cy="57833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177</xdr:col>
      <xdr:colOff>39414</xdr:colOff>
      <xdr:row>54</xdr:row>
      <xdr:rowOff>9525</xdr:rowOff>
    </xdr:from>
    <xdr:to>
      <xdr:col>181</xdr:col>
      <xdr:colOff>47625</xdr:colOff>
      <xdr:row>58</xdr:row>
      <xdr:rowOff>0</xdr:rowOff>
    </xdr:to>
    <xdr:cxnSp macro="">
      <xdr:nvCxnSpPr>
        <xdr:cNvPr id="30" name="AutoShape 4">
          <a:extLst>
            <a:ext uri="{FF2B5EF4-FFF2-40B4-BE49-F238E27FC236}">
              <a16:creationId xmlns:a16="http://schemas.microsoft.com/office/drawing/2014/main" id="{719B0F18-3DE4-4D81-B922-1FC45C264465}"/>
            </a:ext>
          </a:extLst>
        </xdr:cNvPr>
        <xdr:cNvCxnSpPr>
          <a:cxnSpLocks noChangeShapeType="1"/>
        </xdr:cNvCxnSpPr>
      </xdr:nvCxnSpPr>
      <xdr:spPr bwMode="auto">
        <a:xfrm flipV="1">
          <a:off x="43321014" y="7743825"/>
          <a:ext cx="579711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181</xdr:col>
      <xdr:colOff>29306</xdr:colOff>
      <xdr:row>54</xdr:row>
      <xdr:rowOff>0</xdr:rowOff>
    </xdr:from>
    <xdr:to>
      <xdr:col>185</xdr:col>
      <xdr:colOff>57150</xdr:colOff>
      <xdr:row>58</xdr:row>
      <xdr:rowOff>0</xdr:rowOff>
    </xdr:to>
    <xdr:cxnSp macro="">
      <xdr:nvCxnSpPr>
        <xdr:cNvPr id="31" name="AutoShape 4">
          <a:extLst>
            <a:ext uri="{FF2B5EF4-FFF2-40B4-BE49-F238E27FC236}">
              <a16:creationId xmlns:a16="http://schemas.microsoft.com/office/drawing/2014/main" id="{362149EF-4326-4396-83DF-A46D28265CCA}"/>
            </a:ext>
          </a:extLst>
        </xdr:cNvPr>
        <xdr:cNvCxnSpPr>
          <a:cxnSpLocks noChangeShapeType="1"/>
        </xdr:cNvCxnSpPr>
      </xdr:nvCxnSpPr>
      <xdr:spPr bwMode="auto">
        <a:xfrm flipV="1">
          <a:off x="43882406" y="7734300"/>
          <a:ext cx="599344" cy="5810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188</xdr:col>
      <xdr:colOff>144517</xdr:colOff>
      <xdr:row>54</xdr:row>
      <xdr:rowOff>0</xdr:rowOff>
    </xdr:from>
    <xdr:to>
      <xdr:col>192</xdr:col>
      <xdr:colOff>137948</xdr:colOff>
      <xdr:row>58</xdr:row>
      <xdr:rowOff>13138</xdr:rowOff>
    </xdr:to>
    <xdr:cxnSp macro="">
      <xdr:nvCxnSpPr>
        <xdr:cNvPr id="33" name="AutoShape 4">
          <a:extLst>
            <a:ext uri="{FF2B5EF4-FFF2-40B4-BE49-F238E27FC236}">
              <a16:creationId xmlns:a16="http://schemas.microsoft.com/office/drawing/2014/main" id="{33A61403-0964-46EF-9C89-8823C50520BA}"/>
            </a:ext>
          </a:extLst>
        </xdr:cNvPr>
        <xdr:cNvCxnSpPr>
          <a:cxnSpLocks noChangeShapeType="1"/>
        </xdr:cNvCxnSpPr>
      </xdr:nvCxnSpPr>
      <xdr:spPr bwMode="auto">
        <a:xfrm flipV="1">
          <a:off x="45253603" y="7817069"/>
          <a:ext cx="571500" cy="597776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193</xdr:col>
      <xdr:colOff>974</xdr:colOff>
      <xdr:row>53</xdr:row>
      <xdr:rowOff>137948</xdr:rowOff>
    </xdr:from>
    <xdr:to>
      <xdr:col>197</xdr:col>
      <xdr:colOff>6569</xdr:colOff>
      <xdr:row>58</xdr:row>
      <xdr:rowOff>1465</xdr:rowOff>
    </xdr:to>
    <xdr:cxnSp macro="">
      <xdr:nvCxnSpPr>
        <xdr:cNvPr id="34" name="AutoShape 4">
          <a:extLst>
            <a:ext uri="{FF2B5EF4-FFF2-40B4-BE49-F238E27FC236}">
              <a16:creationId xmlns:a16="http://schemas.microsoft.com/office/drawing/2014/main" id="{B557AFF1-FB19-4016-87A3-D344C77D0D2B}"/>
            </a:ext>
          </a:extLst>
        </xdr:cNvPr>
        <xdr:cNvCxnSpPr>
          <a:cxnSpLocks noChangeShapeType="1"/>
        </xdr:cNvCxnSpPr>
      </xdr:nvCxnSpPr>
      <xdr:spPr bwMode="auto">
        <a:xfrm flipV="1">
          <a:off x="45832646" y="7810500"/>
          <a:ext cx="583664" cy="59267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197</xdr:col>
      <xdr:colOff>2188</xdr:colOff>
      <xdr:row>53</xdr:row>
      <xdr:rowOff>137948</xdr:rowOff>
    </xdr:from>
    <xdr:to>
      <xdr:col>201</xdr:col>
      <xdr:colOff>13138</xdr:colOff>
      <xdr:row>58</xdr:row>
      <xdr:rowOff>488</xdr:rowOff>
    </xdr:to>
    <xdr:cxnSp macro="">
      <xdr:nvCxnSpPr>
        <xdr:cNvPr id="35" name="AutoShape 4">
          <a:extLst>
            <a:ext uri="{FF2B5EF4-FFF2-40B4-BE49-F238E27FC236}">
              <a16:creationId xmlns:a16="http://schemas.microsoft.com/office/drawing/2014/main" id="{1D20F2ED-AF70-4F36-89FD-00FDE7ED514D}"/>
            </a:ext>
          </a:extLst>
        </xdr:cNvPr>
        <xdr:cNvCxnSpPr>
          <a:cxnSpLocks noChangeShapeType="1"/>
        </xdr:cNvCxnSpPr>
      </xdr:nvCxnSpPr>
      <xdr:spPr bwMode="auto">
        <a:xfrm flipV="1">
          <a:off x="43810619" y="7810500"/>
          <a:ext cx="510191" cy="59169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200</xdr:col>
      <xdr:colOff>123090</xdr:colOff>
      <xdr:row>53</xdr:row>
      <xdr:rowOff>140085</xdr:rowOff>
    </xdr:from>
    <xdr:to>
      <xdr:col>205</xdr:col>
      <xdr:colOff>975</xdr:colOff>
      <xdr:row>57</xdr:row>
      <xdr:rowOff>149854</xdr:rowOff>
    </xdr:to>
    <xdr:cxnSp macro="">
      <xdr:nvCxnSpPr>
        <xdr:cNvPr id="36" name="AutoShape 4">
          <a:extLst>
            <a:ext uri="{FF2B5EF4-FFF2-40B4-BE49-F238E27FC236}">
              <a16:creationId xmlns:a16="http://schemas.microsoft.com/office/drawing/2014/main" id="{727DAF3F-1ECB-4C2C-AEAC-DD2330AAE3CE}"/>
            </a:ext>
          </a:extLst>
        </xdr:cNvPr>
        <xdr:cNvCxnSpPr>
          <a:cxnSpLocks noChangeShapeType="1"/>
        </xdr:cNvCxnSpPr>
      </xdr:nvCxnSpPr>
      <xdr:spPr bwMode="auto">
        <a:xfrm flipV="1">
          <a:off x="44305952" y="7812637"/>
          <a:ext cx="501937" cy="58783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204</xdr:col>
      <xdr:colOff>124067</xdr:colOff>
      <xdr:row>54</xdr:row>
      <xdr:rowOff>1431</xdr:rowOff>
    </xdr:from>
    <xdr:to>
      <xdr:col>209</xdr:col>
      <xdr:colOff>1952</xdr:colOff>
      <xdr:row>58</xdr:row>
      <xdr:rowOff>6097</xdr:rowOff>
    </xdr:to>
    <xdr:cxnSp macro="">
      <xdr:nvCxnSpPr>
        <xdr:cNvPr id="37" name="AutoShape 4">
          <a:extLst>
            <a:ext uri="{FF2B5EF4-FFF2-40B4-BE49-F238E27FC236}">
              <a16:creationId xmlns:a16="http://schemas.microsoft.com/office/drawing/2014/main" id="{87280354-5AC1-41BE-ABA2-350376C09E83}"/>
            </a:ext>
          </a:extLst>
        </xdr:cNvPr>
        <xdr:cNvCxnSpPr>
          <a:cxnSpLocks noChangeShapeType="1"/>
        </xdr:cNvCxnSpPr>
      </xdr:nvCxnSpPr>
      <xdr:spPr bwMode="auto">
        <a:xfrm flipV="1">
          <a:off x="44806170" y="7818500"/>
          <a:ext cx="501937" cy="58930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209</xdr:col>
      <xdr:colOff>1246</xdr:colOff>
      <xdr:row>53</xdr:row>
      <xdr:rowOff>142041</xdr:rowOff>
    </xdr:from>
    <xdr:to>
      <xdr:col>213</xdr:col>
      <xdr:colOff>6131</xdr:colOff>
      <xdr:row>58</xdr:row>
      <xdr:rowOff>2190</xdr:rowOff>
    </xdr:to>
    <xdr:cxnSp macro="">
      <xdr:nvCxnSpPr>
        <xdr:cNvPr id="38" name="AutoShape 4">
          <a:extLst>
            <a:ext uri="{FF2B5EF4-FFF2-40B4-BE49-F238E27FC236}">
              <a16:creationId xmlns:a16="http://schemas.microsoft.com/office/drawing/2014/main" id="{DE683C21-2F00-4ADB-AFEE-8D67C03E4A91}"/>
            </a:ext>
          </a:extLst>
        </xdr:cNvPr>
        <xdr:cNvCxnSpPr>
          <a:cxnSpLocks noChangeShapeType="1"/>
        </xdr:cNvCxnSpPr>
      </xdr:nvCxnSpPr>
      <xdr:spPr bwMode="auto">
        <a:xfrm flipV="1">
          <a:off x="45307401" y="7814593"/>
          <a:ext cx="504127" cy="58930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212</xdr:col>
      <xdr:colOff>124067</xdr:colOff>
      <xdr:row>54</xdr:row>
      <xdr:rowOff>5372</xdr:rowOff>
    </xdr:from>
    <xdr:to>
      <xdr:col>217</xdr:col>
      <xdr:colOff>1952</xdr:colOff>
      <xdr:row>58</xdr:row>
      <xdr:rowOff>10257</xdr:rowOff>
    </xdr:to>
    <xdr:cxnSp macro="">
      <xdr:nvCxnSpPr>
        <xdr:cNvPr id="39" name="AutoShape 4">
          <a:extLst>
            <a:ext uri="{FF2B5EF4-FFF2-40B4-BE49-F238E27FC236}">
              <a16:creationId xmlns:a16="http://schemas.microsoft.com/office/drawing/2014/main" id="{A3138571-1221-4F57-A3C5-349AB5CD4D81}"/>
            </a:ext>
          </a:extLst>
        </xdr:cNvPr>
        <xdr:cNvCxnSpPr>
          <a:cxnSpLocks noChangeShapeType="1"/>
        </xdr:cNvCxnSpPr>
      </xdr:nvCxnSpPr>
      <xdr:spPr bwMode="auto">
        <a:xfrm flipV="1">
          <a:off x="44002567" y="6387122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217</xdr:col>
      <xdr:colOff>7814</xdr:colOff>
      <xdr:row>54</xdr:row>
      <xdr:rowOff>1465</xdr:rowOff>
    </xdr:from>
    <xdr:to>
      <xdr:col>221</xdr:col>
      <xdr:colOff>12699</xdr:colOff>
      <xdr:row>58</xdr:row>
      <xdr:rowOff>6350</xdr:rowOff>
    </xdr:to>
    <xdr:cxnSp macro="">
      <xdr:nvCxnSpPr>
        <xdr:cNvPr id="40" name="AutoShape 4">
          <a:extLst>
            <a:ext uri="{FF2B5EF4-FFF2-40B4-BE49-F238E27FC236}">
              <a16:creationId xmlns:a16="http://schemas.microsoft.com/office/drawing/2014/main" id="{C67B9B0C-7D67-4EBA-BF9A-26B7A9A25065}"/>
            </a:ext>
          </a:extLst>
        </xdr:cNvPr>
        <xdr:cNvCxnSpPr>
          <a:cxnSpLocks noChangeShapeType="1"/>
        </xdr:cNvCxnSpPr>
      </xdr:nvCxnSpPr>
      <xdr:spPr bwMode="auto">
        <a:xfrm flipV="1">
          <a:off x="44521314" y="6383215"/>
          <a:ext cx="512885" cy="52558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232</xdr:col>
      <xdr:colOff>132861</xdr:colOff>
      <xdr:row>54</xdr:row>
      <xdr:rowOff>1465</xdr:rowOff>
    </xdr:from>
    <xdr:to>
      <xdr:col>236</xdr:col>
      <xdr:colOff>128221</xdr:colOff>
      <xdr:row>58</xdr:row>
      <xdr:rowOff>6350</xdr:rowOff>
    </xdr:to>
    <xdr:cxnSp macro="">
      <xdr:nvCxnSpPr>
        <xdr:cNvPr id="42" name="AutoShape 4">
          <a:extLst>
            <a:ext uri="{FF2B5EF4-FFF2-40B4-BE49-F238E27FC236}">
              <a16:creationId xmlns:a16="http://schemas.microsoft.com/office/drawing/2014/main" id="{996FA4C8-3FCB-4E6B-942F-4746705F3536}"/>
            </a:ext>
          </a:extLst>
        </xdr:cNvPr>
        <xdr:cNvCxnSpPr>
          <a:cxnSpLocks noChangeShapeType="1"/>
        </xdr:cNvCxnSpPr>
      </xdr:nvCxnSpPr>
      <xdr:spPr bwMode="auto">
        <a:xfrm flipV="1">
          <a:off x="47538786" y="7450015"/>
          <a:ext cx="528760" cy="5859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173</xdr:col>
      <xdr:colOff>0</xdr:colOff>
      <xdr:row>54</xdr:row>
      <xdr:rowOff>6569</xdr:rowOff>
    </xdr:from>
    <xdr:to>
      <xdr:col>177</xdr:col>
      <xdr:colOff>32845</xdr:colOff>
      <xdr:row>57</xdr:row>
      <xdr:rowOff>144517</xdr:rowOff>
    </xdr:to>
    <xdr:cxnSp macro="">
      <xdr:nvCxnSpPr>
        <xdr:cNvPr id="43" name="AutoShape 4">
          <a:extLst>
            <a:ext uri="{FF2B5EF4-FFF2-40B4-BE49-F238E27FC236}">
              <a16:creationId xmlns:a16="http://schemas.microsoft.com/office/drawing/2014/main" id="{8C11F32B-C65B-47BD-80DD-F7DED8BE1365}"/>
            </a:ext>
          </a:extLst>
        </xdr:cNvPr>
        <xdr:cNvCxnSpPr>
          <a:cxnSpLocks noChangeShapeType="1"/>
        </xdr:cNvCxnSpPr>
      </xdr:nvCxnSpPr>
      <xdr:spPr bwMode="auto">
        <a:xfrm flipV="1">
          <a:off x="40812983" y="7823638"/>
          <a:ext cx="532086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88</xdr:col>
      <xdr:colOff>59121</xdr:colOff>
      <xdr:row>54</xdr:row>
      <xdr:rowOff>9525</xdr:rowOff>
    </xdr:from>
    <xdr:to>
      <xdr:col>92</xdr:col>
      <xdr:colOff>85725</xdr:colOff>
      <xdr:row>57</xdr:row>
      <xdr:rowOff>144517</xdr:rowOff>
    </xdr:to>
    <xdr:cxnSp macro="">
      <xdr:nvCxnSpPr>
        <xdr:cNvPr id="7" name="AutoShape 4">
          <a:extLst>
            <a:ext uri="{FF2B5EF4-FFF2-40B4-BE49-F238E27FC236}">
              <a16:creationId xmlns:a16="http://schemas.microsoft.com/office/drawing/2014/main" id="{35FD497A-5688-4E9B-A2CA-7EA41BBDDCB8}"/>
            </a:ext>
          </a:extLst>
        </xdr:cNvPr>
        <xdr:cNvCxnSpPr>
          <a:cxnSpLocks noChangeShapeType="1"/>
        </xdr:cNvCxnSpPr>
      </xdr:nvCxnSpPr>
      <xdr:spPr bwMode="auto">
        <a:xfrm flipV="1">
          <a:off x="30624846" y="7743825"/>
          <a:ext cx="598104" cy="56361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221</xdr:col>
      <xdr:colOff>10004</xdr:colOff>
      <xdr:row>53</xdr:row>
      <xdr:rowOff>136128</xdr:rowOff>
    </xdr:from>
    <xdr:to>
      <xdr:col>224</xdr:col>
      <xdr:colOff>126561</xdr:colOff>
      <xdr:row>57</xdr:row>
      <xdr:rowOff>147582</xdr:rowOff>
    </xdr:to>
    <xdr:cxnSp macro="">
      <xdr:nvCxnSpPr>
        <xdr:cNvPr id="495882" name="AutoShape 4">
          <a:extLst>
            <a:ext uri="{FF2B5EF4-FFF2-40B4-BE49-F238E27FC236}">
              <a16:creationId xmlns:a16="http://schemas.microsoft.com/office/drawing/2014/main" id="{01FBA681-B1EB-4274-A73D-CF6275D4D85D}"/>
            </a:ext>
          </a:extLst>
        </xdr:cNvPr>
        <xdr:cNvCxnSpPr>
          <a:cxnSpLocks noChangeShapeType="1"/>
        </xdr:cNvCxnSpPr>
      </xdr:nvCxnSpPr>
      <xdr:spPr bwMode="auto">
        <a:xfrm flipV="1">
          <a:off x="46813883" y="7808680"/>
          <a:ext cx="504126" cy="58952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225</xdr:col>
      <xdr:colOff>11316</xdr:colOff>
      <xdr:row>53</xdr:row>
      <xdr:rowOff>144010</xdr:rowOff>
    </xdr:from>
    <xdr:to>
      <xdr:col>228</xdr:col>
      <xdr:colOff>121304</xdr:colOff>
      <xdr:row>58</xdr:row>
      <xdr:rowOff>4378</xdr:rowOff>
    </xdr:to>
    <xdr:cxnSp macro="">
      <xdr:nvCxnSpPr>
        <xdr:cNvPr id="495883" name="AutoShape 4">
          <a:extLst>
            <a:ext uri="{FF2B5EF4-FFF2-40B4-BE49-F238E27FC236}">
              <a16:creationId xmlns:a16="http://schemas.microsoft.com/office/drawing/2014/main" id="{072A290B-2CC5-4E1E-9093-3A4ACCA670F2}"/>
            </a:ext>
          </a:extLst>
        </xdr:cNvPr>
        <xdr:cNvCxnSpPr>
          <a:cxnSpLocks noChangeShapeType="1"/>
        </xdr:cNvCxnSpPr>
      </xdr:nvCxnSpPr>
      <xdr:spPr bwMode="auto">
        <a:xfrm flipV="1">
          <a:off x="47334144" y="7816562"/>
          <a:ext cx="504126" cy="58952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229</xdr:col>
      <xdr:colOff>12630</xdr:colOff>
      <xdr:row>54</xdr:row>
      <xdr:rowOff>807</xdr:rowOff>
    </xdr:from>
    <xdr:to>
      <xdr:col>232</xdr:col>
      <xdr:colOff>122618</xdr:colOff>
      <xdr:row>58</xdr:row>
      <xdr:rowOff>5692</xdr:rowOff>
    </xdr:to>
    <xdr:cxnSp macro="">
      <xdr:nvCxnSpPr>
        <xdr:cNvPr id="495884" name="AutoShape 4">
          <a:extLst>
            <a:ext uri="{FF2B5EF4-FFF2-40B4-BE49-F238E27FC236}">
              <a16:creationId xmlns:a16="http://schemas.microsoft.com/office/drawing/2014/main" id="{16C976D9-59FA-4989-A7F1-3173DB3FE01F}"/>
            </a:ext>
          </a:extLst>
        </xdr:cNvPr>
        <xdr:cNvCxnSpPr>
          <a:cxnSpLocks noChangeShapeType="1"/>
        </xdr:cNvCxnSpPr>
      </xdr:nvCxnSpPr>
      <xdr:spPr bwMode="auto">
        <a:xfrm flipV="1">
          <a:off x="47860975" y="7817876"/>
          <a:ext cx="504126" cy="58952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236</xdr:col>
      <xdr:colOff>130562</xdr:colOff>
      <xdr:row>54</xdr:row>
      <xdr:rowOff>808</xdr:rowOff>
    </xdr:from>
    <xdr:to>
      <xdr:col>240</xdr:col>
      <xdr:colOff>125922</xdr:colOff>
      <xdr:row>58</xdr:row>
      <xdr:rowOff>5693</xdr:rowOff>
    </xdr:to>
    <xdr:cxnSp macro="">
      <xdr:nvCxnSpPr>
        <xdr:cNvPr id="495885" name="AutoShape 4">
          <a:extLst>
            <a:ext uri="{FF2B5EF4-FFF2-40B4-BE49-F238E27FC236}">
              <a16:creationId xmlns:a16="http://schemas.microsoft.com/office/drawing/2014/main" id="{FEA468EE-DCF7-4A95-97BD-8BB4B8CC002B}"/>
            </a:ext>
          </a:extLst>
        </xdr:cNvPr>
        <xdr:cNvCxnSpPr>
          <a:cxnSpLocks noChangeShapeType="1"/>
        </xdr:cNvCxnSpPr>
      </xdr:nvCxnSpPr>
      <xdr:spPr bwMode="auto">
        <a:xfrm flipV="1">
          <a:off x="48898562" y="7817877"/>
          <a:ext cx="520877" cy="58952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240</xdr:col>
      <xdr:colOff>125307</xdr:colOff>
      <xdr:row>54</xdr:row>
      <xdr:rowOff>0</xdr:rowOff>
    </xdr:from>
    <xdr:to>
      <xdr:col>244</xdr:col>
      <xdr:colOff>137948</xdr:colOff>
      <xdr:row>58</xdr:row>
      <xdr:rowOff>13576</xdr:rowOff>
    </xdr:to>
    <xdr:cxnSp macro="">
      <xdr:nvCxnSpPr>
        <xdr:cNvPr id="495886" name="AutoShape 4">
          <a:extLst>
            <a:ext uri="{FF2B5EF4-FFF2-40B4-BE49-F238E27FC236}">
              <a16:creationId xmlns:a16="http://schemas.microsoft.com/office/drawing/2014/main" id="{FB60334C-3DA1-40D4-877C-4048E2393BC0}"/>
            </a:ext>
          </a:extLst>
        </xdr:cNvPr>
        <xdr:cNvCxnSpPr>
          <a:cxnSpLocks noChangeShapeType="1"/>
        </xdr:cNvCxnSpPr>
      </xdr:nvCxnSpPr>
      <xdr:spPr bwMode="auto">
        <a:xfrm flipV="1">
          <a:off x="52749290" y="7817069"/>
          <a:ext cx="590710" cy="59821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245</xdr:col>
      <xdr:colOff>8379</xdr:colOff>
      <xdr:row>53</xdr:row>
      <xdr:rowOff>141384</xdr:rowOff>
    </xdr:from>
    <xdr:to>
      <xdr:col>249</xdr:col>
      <xdr:colOff>3739</xdr:colOff>
      <xdr:row>58</xdr:row>
      <xdr:rowOff>1752</xdr:rowOff>
    </xdr:to>
    <xdr:cxnSp macro="">
      <xdr:nvCxnSpPr>
        <xdr:cNvPr id="495887" name="AutoShape 4">
          <a:extLst>
            <a:ext uri="{FF2B5EF4-FFF2-40B4-BE49-F238E27FC236}">
              <a16:creationId xmlns:a16="http://schemas.microsoft.com/office/drawing/2014/main" id="{B6C20939-8BE7-433B-B4A5-27C0157109ED}"/>
            </a:ext>
          </a:extLst>
        </xdr:cNvPr>
        <xdr:cNvCxnSpPr>
          <a:cxnSpLocks noChangeShapeType="1"/>
        </xdr:cNvCxnSpPr>
      </xdr:nvCxnSpPr>
      <xdr:spPr bwMode="auto">
        <a:xfrm flipV="1">
          <a:off x="49958793" y="7813936"/>
          <a:ext cx="520877" cy="58952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85</xdr:col>
      <xdr:colOff>85725</xdr:colOff>
      <xdr:row>54</xdr:row>
      <xdr:rowOff>19050</xdr:rowOff>
    </xdr:from>
    <xdr:to>
      <xdr:col>89</xdr:col>
      <xdr:colOff>104775</xdr:colOff>
      <xdr:row>58</xdr:row>
      <xdr:rowOff>9525</xdr:rowOff>
    </xdr:to>
    <xdr:cxnSp macro="">
      <xdr:nvCxnSpPr>
        <xdr:cNvPr id="495904" name="AutoShape 4">
          <a:extLst>
            <a:ext uri="{FF2B5EF4-FFF2-40B4-BE49-F238E27FC236}">
              <a16:creationId xmlns:a16="http://schemas.microsoft.com/office/drawing/2014/main" id="{951545CB-E758-467D-9AB2-6A2D403018A3}"/>
            </a:ext>
          </a:extLst>
        </xdr:cNvPr>
        <xdr:cNvCxnSpPr>
          <a:cxnSpLocks noChangeShapeType="1"/>
        </xdr:cNvCxnSpPr>
      </xdr:nvCxnSpPr>
      <xdr:spPr bwMode="auto">
        <a:xfrm flipV="1">
          <a:off x="30222825" y="7753350"/>
          <a:ext cx="590550" cy="571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5%20Rate%20Review\2025%20Data.xlsx" TargetMode="External"/><Relationship Id="rId1" Type="http://schemas.openxmlformats.org/officeDocument/2006/relationships/externalLinkPath" Target="/Actuarial/Tier%203%20-%20Internal%20Use%20Secured/TWIA/Reviews/2025%20Rate%20Review/2025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5%20Rate%20Review\2025%20Residential%20Exhibits.xlsx" TargetMode="External"/><Relationship Id="rId1" Type="http://schemas.openxmlformats.org/officeDocument/2006/relationships/externalLinkPath" Target="2025%20Residential%20Exhibit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Funding\2025-26\Aon\TWIA_Cat_Model_Output_Summary_2025.xlsx" TargetMode="External"/><Relationship Id="rId1" Type="http://schemas.openxmlformats.org/officeDocument/2006/relationships/externalLinkPath" Target="/Actuarial/Tier%203%20-%20Internal%20Use%20Secured/TWIA/Funding/2025-26/Aon/TWIA_Cat_Model_Output_Summary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2%20-%20Internal%20Use\Premium%20Metrics\2025%2005\TWIA\TWIA%20Premium%20Projection%20-%200525.xlsx" TargetMode="External"/><Relationship Id="rId1" Type="http://schemas.openxmlformats.org/officeDocument/2006/relationships/externalLinkPath" Target="/Actuarial/Tier%202%20-%20Internal%20Use/Premium%20Metrics/2025%2005/TWIA/TWIA%20Premium%20Projection%20-%2005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5%20Rate%20Review\Reinsurance\TWIA_20241130_CatXOL_CededEL_byLOB.xlsx" TargetMode="External"/><Relationship Id="rId1" Type="http://schemas.openxmlformats.org/officeDocument/2006/relationships/externalLinkPath" Target="/Actuarial/Tier%203%20-%20Internal%20Use%20Secured/TWIA/Reviews/2025%20Rate%20Review/Reinsurance/TWIA_20241130_CatXOL_CededEL_byL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  <sheetName val="PremIF"/>
      <sheetName val="Checklist"/>
    </sheetNames>
    <sheetDataSet>
      <sheetData sheetId="0">
        <row r="1">
          <cell r="E1">
            <v>45657</v>
          </cell>
        </row>
        <row r="2">
          <cell r="E2">
            <v>45657</v>
          </cell>
        </row>
        <row r="36">
          <cell r="O36">
            <v>36723071</v>
          </cell>
          <cell r="P36">
            <v>26637417</v>
          </cell>
          <cell r="Q36">
            <v>61841773</v>
          </cell>
          <cell r="R36">
            <v>97018594</v>
          </cell>
          <cell r="T36">
            <v>5023267</v>
          </cell>
          <cell r="U36">
            <v>1279267</v>
          </cell>
          <cell r="V36">
            <v>15792584</v>
          </cell>
          <cell r="W36">
            <v>16306539</v>
          </cell>
        </row>
        <row r="37">
          <cell r="O37">
            <v>36137859</v>
          </cell>
          <cell r="P37">
            <v>22757345</v>
          </cell>
          <cell r="Q37">
            <v>56627856</v>
          </cell>
          <cell r="R37">
            <v>90901275</v>
          </cell>
          <cell r="T37">
            <v>331694</v>
          </cell>
          <cell r="U37">
            <v>2164326</v>
          </cell>
          <cell r="V37">
            <v>2363193</v>
          </cell>
          <cell r="W37">
            <v>34242678</v>
          </cell>
        </row>
        <row r="38">
          <cell r="O38">
            <v>32259473</v>
          </cell>
          <cell r="P38">
            <v>19093506</v>
          </cell>
          <cell r="Q38">
            <v>44981654</v>
          </cell>
          <cell r="R38">
            <v>83106919</v>
          </cell>
          <cell r="T38">
            <v>27347012</v>
          </cell>
          <cell r="U38">
            <v>252459645</v>
          </cell>
          <cell r="V38">
            <v>224014121</v>
          </cell>
          <cell r="W38">
            <v>123500244</v>
          </cell>
        </row>
        <row r="39">
          <cell r="O39">
            <v>32049111</v>
          </cell>
          <cell r="P39">
            <v>18172856</v>
          </cell>
          <cell r="Q39">
            <v>41642440</v>
          </cell>
          <cell r="R39">
            <v>85715184</v>
          </cell>
          <cell r="T39">
            <v>110422</v>
          </cell>
          <cell r="U39">
            <v>387950</v>
          </cell>
          <cell r="V39">
            <v>805050</v>
          </cell>
          <cell r="W39">
            <v>13769440</v>
          </cell>
        </row>
        <row r="40">
          <cell r="O40">
            <v>31291500</v>
          </cell>
          <cell r="P40">
            <v>16254020</v>
          </cell>
          <cell r="Q40">
            <v>39885137</v>
          </cell>
          <cell r="R40">
            <v>87787756</v>
          </cell>
          <cell r="T40">
            <v>369052</v>
          </cell>
          <cell r="U40">
            <v>47300</v>
          </cell>
          <cell r="V40">
            <v>2497147</v>
          </cell>
          <cell r="W40">
            <v>16450210</v>
          </cell>
        </row>
        <row r="41">
          <cell r="O41">
            <v>32462250</v>
          </cell>
          <cell r="P41">
            <v>15741802</v>
          </cell>
          <cell r="Q41">
            <v>39546806</v>
          </cell>
          <cell r="R41">
            <v>91774402</v>
          </cell>
          <cell r="T41">
            <v>870161</v>
          </cell>
          <cell r="U41">
            <v>1435530</v>
          </cell>
          <cell r="V41">
            <v>6698320</v>
          </cell>
          <cell r="W41">
            <v>25739371</v>
          </cell>
        </row>
        <row r="42">
          <cell r="O42">
            <v>32974545</v>
          </cell>
          <cell r="P42">
            <v>16704751</v>
          </cell>
          <cell r="Q42">
            <v>39655423</v>
          </cell>
          <cell r="R42">
            <v>95136330</v>
          </cell>
          <cell r="T42">
            <v>7027156</v>
          </cell>
          <cell r="U42">
            <v>53835</v>
          </cell>
          <cell r="V42">
            <v>3593975</v>
          </cell>
          <cell r="W42">
            <v>21912753</v>
          </cell>
        </row>
        <row r="43">
          <cell r="O43">
            <v>37415148</v>
          </cell>
          <cell r="P43">
            <v>21881155</v>
          </cell>
          <cell r="Q43">
            <v>44155084</v>
          </cell>
          <cell r="R43">
            <v>97177314</v>
          </cell>
          <cell r="T43">
            <v>998145</v>
          </cell>
          <cell r="U43">
            <v>237342</v>
          </cell>
          <cell r="V43">
            <v>2287650</v>
          </cell>
          <cell r="W43">
            <v>11084479</v>
          </cell>
        </row>
        <row r="44">
          <cell r="O44">
            <v>46240441</v>
          </cell>
          <cell r="P44">
            <v>33756337</v>
          </cell>
          <cell r="Q44">
            <v>66600601</v>
          </cell>
          <cell r="R44">
            <v>119304812</v>
          </cell>
          <cell r="T44">
            <v>758071</v>
          </cell>
          <cell r="U44">
            <v>671907</v>
          </cell>
          <cell r="V44">
            <v>8007684</v>
          </cell>
          <cell r="W44">
            <v>14580286</v>
          </cell>
        </row>
        <row r="45">
          <cell r="O45">
            <v>49610030</v>
          </cell>
          <cell r="P45">
            <v>41714049</v>
          </cell>
          <cell r="Q45">
            <v>84677227</v>
          </cell>
          <cell r="R45">
            <v>129319704</v>
          </cell>
          <cell r="T45">
            <v>39881481</v>
          </cell>
          <cell r="U45">
            <v>145026</v>
          </cell>
          <cell r="V45">
            <v>18709277</v>
          </cell>
          <cell r="W45">
            <v>60724342</v>
          </cell>
        </row>
        <row r="49">
          <cell r="O49">
            <v>0.81842942974156996</v>
          </cell>
          <cell r="P49">
            <v>0.8483616045942346</v>
          </cell>
          <cell r="Q49">
            <v>0.63274343525627974</v>
          </cell>
          <cell r="R49">
            <v>9.359660437945231E-3</v>
          </cell>
        </row>
      </sheetData>
      <sheetData sheetId="1"/>
      <sheetData sheetId="2">
        <row r="1">
          <cell r="E1">
            <v>45565</v>
          </cell>
        </row>
      </sheetData>
      <sheetData sheetId="3">
        <row r="1">
          <cell r="E1">
            <v>45565</v>
          </cell>
        </row>
      </sheetData>
      <sheetData sheetId="4">
        <row r="5">
          <cell r="B5">
            <v>2833700.3147999998</v>
          </cell>
          <cell r="F5">
            <v>601429390</v>
          </cell>
        </row>
        <row r="6">
          <cell r="B6">
            <v>3635801.1546999998</v>
          </cell>
          <cell r="F6">
            <v>871439090</v>
          </cell>
        </row>
        <row r="7">
          <cell r="B7">
            <v>1159493.7715</v>
          </cell>
          <cell r="F7">
            <v>191023910</v>
          </cell>
        </row>
        <row r="8">
          <cell r="B8">
            <v>9835146.2144000009</v>
          </cell>
          <cell r="F8">
            <v>1895711390</v>
          </cell>
        </row>
        <row r="9">
          <cell r="B9">
            <v>442327.66850000003</v>
          </cell>
          <cell r="F9">
            <v>124754615</v>
          </cell>
        </row>
        <row r="10">
          <cell r="B10">
            <v>28170285.903299998</v>
          </cell>
          <cell r="F10">
            <v>3735992194.5999999</v>
          </cell>
        </row>
        <row r="11">
          <cell r="B11">
            <v>834813.1912</v>
          </cell>
          <cell r="F11">
            <v>217270460</v>
          </cell>
        </row>
        <row r="12">
          <cell r="B12">
            <v>3024761.6740999999</v>
          </cell>
          <cell r="F12">
            <v>1027207154.1</v>
          </cell>
        </row>
        <row r="13">
          <cell r="B13">
            <v>272.39299999999997</v>
          </cell>
          <cell r="F13">
            <v>100000</v>
          </cell>
        </row>
        <row r="14">
          <cell r="B14">
            <v>182847.7868</v>
          </cell>
          <cell r="F14">
            <v>71519120</v>
          </cell>
        </row>
        <row r="15">
          <cell r="B15">
            <v>778514.85089999996</v>
          </cell>
          <cell r="F15">
            <v>165865990</v>
          </cell>
        </row>
        <row r="16">
          <cell r="B16">
            <v>18800474.863400001</v>
          </cell>
          <cell r="F16">
            <v>3933557665</v>
          </cell>
        </row>
        <row r="17">
          <cell r="B17">
            <v>72295.841100000005</v>
          </cell>
          <cell r="F17">
            <v>21991900</v>
          </cell>
        </row>
        <row r="18">
          <cell r="B18">
            <v>1173748.7981</v>
          </cell>
          <cell r="F18">
            <v>274485260</v>
          </cell>
        </row>
        <row r="19">
          <cell r="B19">
            <v>106506.8722</v>
          </cell>
          <cell r="F19">
            <v>26898030</v>
          </cell>
        </row>
        <row r="29">
          <cell r="B29">
            <v>2588314.1941999998</v>
          </cell>
        </row>
        <row r="30">
          <cell r="B30">
            <v>3336677.8273</v>
          </cell>
        </row>
        <row r="31">
          <cell r="B31">
            <v>810046.74979999999</v>
          </cell>
        </row>
        <row r="32">
          <cell r="B32">
            <v>7568686.2533999998</v>
          </cell>
        </row>
        <row r="33">
          <cell r="B33">
            <v>349921.28100000002</v>
          </cell>
        </row>
        <row r="34">
          <cell r="B34">
            <v>37415953.933399998</v>
          </cell>
        </row>
        <row r="35">
          <cell r="B35">
            <v>985827.04169999994</v>
          </cell>
        </row>
        <row r="36">
          <cell r="B36">
            <v>2904345.6165</v>
          </cell>
        </row>
        <row r="37">
          <cell r="B37">
            <v>133.4699</v>
          </cell>
        </row>
        <row r="38">
          <cell r="B38">
            <v>132749.8523</v>
          </cell>
        </row>
        <row r="39">
          <cell r="B39">
            <v>598349.07870000007</v>
          </cell>
        </row>
        <row r="40">
          <cell r="B40">
            <v>17758186.976500001</v>
          </cell>
        </row>
        <row r="41">
          <cell r="B41">
            <v>35887.209300000002</v>
          </cell>
        </row>
        <row r="42">
          <cell r="B42">
            <v>845259.61510000005</v>
          </cell>
        </row>
        <row r="43">
          <cell r="B43">
            <v>81374.130900000004</v>
          </cell>
        </row>
        <row r="52">
          <cell r="B52">
            <v>1860312.8474723098</v>
          </cell>
        </row>
        <row r="53">
          <cell r="B53">
            <v>1756104.8507088327</v>
          </cell>
        </row>
        <row r="54">
          <cell r="B54">
            <v>485653.01939413603</v>
          </cell>
        </row>
        <row r="55">
          <cell r="B55">
            <v>5734522.7412068062</v>
          </cell>
        </row>
        <row r="56">
          <cell r="B56">
            <v>211023.27249058484</v>
          </cell>
        </row>
        <row r="57">
          <cell r="B57">
            <v>10368059.546959994</v>
          </cell>
        </row>
        <row r="58">
          <cell r="B58">
            <v>247841.68969334147</v>
          </cell>
        </row>
        <row r="59">
          <cell r="B59">
            <v>1193237.4168857543</v>
          </cell>
        </row>
        <row r="60">
          <cell r="B60">
            <v>114.67469386529973</v>
          </cell>
        </row>
        <row r="61">
          <cell r="B61">
            <v>122570.65915470723</v>
          </cell>
        </row>
        <row r="62">
          <cell r="B62">
            <v>414935.30120627338</v>
          </cell>
        </row>
        <row r="63">
          <cell r="B63">
            <v>12342297.38701201</v>
          </cell>
        </row>
        <row r="64">
          <cell r="B64">
            <v>65154.115324367544</v>
          </cell>
        </row>
        <row r="65">
          <cell r="B65">
            <v>666207.25263338303</v>
          </cell>
        </row>
        <row r="66">
          <cell r="B66">
            <v>74275.086242394522</v>
          </cell>
        </row>
        <row r="75">
          <cell r="B75">
            <v>2080342.5060777068</v>
          </cell>
        </row>
        <row r="76">
          <cell r="B76">
            <v>2495373.6494387281</v>
          </cell>
        </row>
        <row r="77">
          <cell r="B77">
            <v>653669.80450291652</v>
          </cell>
        </row>
        <row r="78">
          <cell r="B78">
            <v>5059209.2540349616</v>
          </cell>
        </row>
        <row r="79">
          <cell r="B79">
            <v>317470.67248296738</v>
          </cell>
        </row>
        <row r="80">
          <cell r="B80">
            <v>19734097.843317777</v>
          </cell>
        </row>
        <row r="81">
          <cell r="B81">
            <v>771824.86237502098</v>
          </cell>
        </row>
        <row r="82">
          <cell r="B82">
            <v>3264536.3841900621</v>
          </cell>
        </row>
        <row r="83">
          <cell r="B83">
            <v>78.873733520507798</v>
          </cell>
        </row>
        <row r="84">
          <cell r="B84">
            <v>134486.32066434622</v>
          </cell>
        </row>
        <row r="85">
          <cell r="B85">
            <v>470455.601370588</v>
          </cell>
        </row>
        <row r="86">
          <cell r="B86">
            <v>11692974.179152276</v>
          </cell>
        </row>
        <row r="87">
          <cell r="B87">
            <v>36422.134576797514</v>
          </cell>
        </row>
        <row r="88">
          <cell r="B88">
            <v>612146.25348111521</v>
          </cell>
        </row>
        <row r="89">
          <cell r="B89">
            <v>69123.03097427079</v>
          </cell>
        </row>
      </sheetData>
      <sheetData sheetId="5">
        <row r="1">
          <cell r="B1">
            <v>45565</v>
          </cell>
        </row>
      </sheetData>
      <sheetData sheetId="6"/>
      <sheetData sheetId="7">
        <row r="12">
          <cell r="H12">
            <v>18718278.780000001</v>
          </cell>
          <cell r="J12">
            <v>0</v>
          </cell>
          <cell r="L12">
            <v>18718278.780000001</v>
          </cell>
          <cell r="M12">
            <v>120286468.78</v>
          </cell>
        </row>
        <row r="13">
          <cell r="H13">
            <v>2551121.67</v>
          </cell>
          <cell r="J13">
            <v>0</v>
          </cell>
          <cell r="L13">
            <v>2551121.67</v>
          </cell>
          <cell r="M13">
            <v>25645894.620000001</v>
          </cell>
        </row>
        <row r="14">
          <cell r="H14">
            <v>2000222</v>
          </cell>
          <cell r="J14">
            <v>469272075.27999997</v>
          </cell>
          <cell r="L14">
            <v>471272297.27999997</v>
          </cell>
          <cell r="M14">
            <v>933994575.49000001</v>
          </cell>
        </row>
        <row r="15">
          <cell r="H15">
            <v>251357.35</v>
          </cell>
          <cell r="J15">
            <v>0</v>
          </cell>
          <cell r="L15">
            <v>251357.35</v>
          </cell>
          <cell r="M15">
            <v>11862645.09</v>
          </cell>
        </row>
        <row r="16">
          <cell r="H16">
            <v>941867.1</v>
          </cell>
          <cell r="J16">
            <v>0</v>
          </cell>
          <cell r="L16">
            <v>941867.1</v>
          </cell>
          <cell r="M16">
            <v>16664642.220000001</v>
          </cell>
        </row>
        <row r="17">
          <cell r="H17">
            <v>846048.33</v>
          </cell>
          <cell r="J17">
            <v>6374715.1299999999</v>
          </cell>
          <cell r="L17">
            <v>7220763.46</v>
          </cell>
          <cell r="M17">
            <v>57079319.379999995</v>
          </cell>
        </row>
        <row r="18">
          <cell r="H18">
            <v>797940.1</v>
          </cell>
          <cell r="J18">
            <v>7364502.3700000001</v>
          </cell>
          <cell r="L18">
            <v>8162442.4699999997</v>
          </cell>
          <cell r="M18">
            <v>58248470.68</v>
          </cell>
        </row>
        <row r="19">
          <cell r="H19">
            <v>1447224.99</v>
          </cell>
          <cell r="J19">
            <v>0</v>
          </cell>
          <cell r="L19">
            <v>1447224.99</v>
          </cell>
          <cell r="M19">
            <v>26347578.090000004</v>
          </cell>
        </row>
        <row r="20">
          <cell r="H20">
            <v>6000142.5299999993</v>
          </cell>
          <cell r="J20">
            <v>0</v>
          </cell>
          <cell r="L20">
            <v>6000142.5299999993</v>
          </cell>
          <cell r="M20">
            <v>69689983.829999998</v>
          </cell>
        </row>
        <row r="21">
          <cell r="H21">
            <v>4789092.28</v>
          </cell>
          <cell r="J21">
            <v>25044891.93</v>
          </cell>
          <cell r="L21">
            <v>29833984.210000001</v>
          </cell>
          <cell r="M21">
            <v>364740425.18000001</v>
          </cell>
        </row>
      </sheetData>
      <sheetData sheetId="8">
        <row r="38">
          <cell r="B38">
            <v>33339199</v>
          </cell>
          <cell r="C38">
            <v>7870</v>
          </cell>
        </row>
        <row r="39">
          <cell r="B39">
            <v>28055666</v>
          </cell>
          <cell r="C39">
            <v>7657</v>
          </cell>
        </row>
        <row r="40">
          <cell r="B40">
            <v>17430504</v>
          </cell>
          <cell r="C40">
            <v>4802</v>
          </cell>
        </row>
        <row r="41">
          <cell r="B41">
            <v>22487925</v>
          </cell>
          <cell r="C41">
            <v>5512</v>
          </cell>
        </row>
        <row r="42">
          <cell r="B42">
            <v>28623450</v>
          </cell>
          <cell r="C42">
            <v>6522</v>
          </cell>
        </row>
        <row r="43">
          <cell r="B43">
            <v>25417054</v>
          </cell>
          <cell r="C43">
            <v>6507</v>
          </cell>
        </row>
        <row r="44">
          <cell r="B44">
            <v>14955154</v>
          </cell>
          <cell r="C44">
            <v>4047</v>
          </cell>
        </row>
        <row r="45">
          <cell r="B45">
            <v>17482209</v>
          </cell>
          <cell r="C45">
            <v>4263</v>
          </cell>
        </row>
        <row r="46">
          <cell r="B46">
            <v>25224489</v>
          </cell>
          <cell r="C46">
            <v>5717</v>
          </cell>
        </row>
        <row r="47">
          <cell r="B47">
            <v>19050031</v>
          </cell>
          <cell r="C47">
            <v>5172</v>
          </cell>
        </row>
        <row r="48">
          <cell r="B48">
            <v>13077837</v>
          </cell>
          <cell r="C48">
            <v>3489</v>
          </cell>
        </row>
        <row r="49">
          <cell r="B49">
            <v>15807970</v>
          </cell>
          <cell r="C49">
            <v>3663</v>
          </cell>
        </row>
        <row r="50">
          <cell r="B50">
            <v>22862777</v>
          </cell>
          <cell r="C50">
            <v>5108</v>
          </cell>
        </row>
        <row r="51">
          <cell r="B51">
            <v>17927115</v>
          </cell>
          <cell r="C51">
            <v>4612</v>
          </cell>
        </row>
        <row r="52">
          <cell r="B52">
            <v>12284401</v>
          </cell>
          <cell r="C52">
            <v>3109</v>
          </cell>
        </row>
        <row r="53">
          <cell r="B53">
            <v>14759154</v>
          </cell>
          <cell r="C53">
            <v>2933</v>
          </cell>
        </row>
        <row r="54">
          <cell r="B54">
            <v>20959587</v>
          </cell>
          <cell r="C54">
            <v>4431</v>
          </cell>
        </row>
        <row r="55">
          <cell r="B55">
            <v>14943999</v>
          </cell>
          <cell r="C55">
            <v>3993</v>
          </cell>
        </row>
        <row r="56">
          <cell r="B56">
            <v>12109737</v>
          </cell>
          <cell r="C56">
            <v>2966</v>
          </cell>
        </row>
        <row r="57">
          <cell r="B57">
            <v>14566185</v>
          </cell>
          <cell r="C57">
            <v>2719</v>
          </cell>
        </row>
        <row r="58">
          <cell r="B58">
            <v>18776705</v>
          </cell>
          <cell r="C58">
            <v>3982</v>
          </cell>
        </row>
        <row r="59">
          <cell r="B59">
            <v>15951658</v>
          </cell>
          <cell r="C59">
            <v>3970</v>
          </cell>
        </row>
        <row r="60">
          <cell r="B60">
            <v>13543203</v>
          </cell>
          <cell r="C60">
            <v>2710</v>
          </cell>
        </row>
        <row r="61">
          <cell r="B61">
            <v>12672604</v>
          </cell>
          <cell r="C61">
            <v>2521</v>
          </cell>
        </row>
        <row r="62">
          <cell r="B62">
            <v>20348072</v>
          </cell>
          <cell r="C62">
            <v>4228</v>
          </cell>
        </row>
        <row r="63">
          <cell r="B63">
            <v>16793147</v>
          </cell>
          <cell r="C63">
            <v>3892</v>
          </cell>
        </row>
        <row r="64">
          <cell r="B64">
            <v>16369478</v>
          </cell>
          <cell r="C64">
            <v>3112</v>
          </cell>
        </row>
        <row r="65">
          <cell r="B65">
            <v>15396927</v>
          </cell>
          <cell r="C65">
            <v>2725</v>
          </cell>
        </row>
        <row r="66">
          <cell r="B66">
            <v>25560832</v>
          </cell>
          <cell r="C66">
            <v>4642</v>
          </cell>
        </row>
        <row r="67">
          <cell r="B67">
            <v>29199819</v>
          </cell>
          <cell r="C67">
            <v>5337</v>
          </cell>
        </row>
        <row r="68">
          <cell r="B68">
            <v>22787093</v>
          </cell>
          <cell r="C68">
            <v>3496</v>
          </cell>
        </row>
        <row r="69">
          <cell r="B69">
            <v>22499113</v>
          </cell>
          <cell r="C69">
            <v>3273</v>
          </cell>
        </row>
        <row r="70">
          <cell r="B70">
            <v>44485048</v>
          </cell>
          <cell r="C70">
            <v>6379</v>
          </cell>
        </row>
        <row r="71">
          <cell r="B71">
            <v>38901087</v>
          </cell>
          <cell r="C71">
            <v>6029</v>
          </cell>
        </row>
        <row r="72">
          <cell r="B72">
            <v>30360734</v>
          </cell>
          <cell r="C72">
            <v>4278</v>
          </cell>
        </row>
        <row r="73">
          <cell r="B73">
            <v>27201729</v>
          </cell>
          <cell r="C73">
            <v>3555</v>
          </cell>
        </row>
        <row r="74">
          <cell r="B74">
            <v>44703204</v>
          </cell>
          <cell r="C74">
            <v>6073</v>
          </cell>
        </row>
        <row r="75">
          <cell r="B75">
            <v>37497228</v>
          </cell>
          <cell r="C75">
            <v>5734</v>
          </cell>
        </row>
        <row r="76">
          <cell r="B76">
            <v>29822911</v>
          </cell>
          <cell r="C76">
            <v>3996</v>
          </cell>
        </row>
      </sheetData>
      <sheetData sheetId="9">
        <row r="24">
          <cell r="X24">
            <v>38547308</v>
          </cell>
        </row>
        <row r="25">
          <cell r="X25">
            <v>35998023</v>
          </cell>
        </row>
        <row r="26">
          <cell r="X26">
            <v>53946319</v>
          </cell>
        </row>
        <row r="27">
          <cell r="X27">
            <v>1943077</v>
          </cell>
        </row>
        <row r="308">
          <cell r="C308">
            <v>29220514</v>
          </cell>
          <cell r="D308">
            <v>58573191</v>
          </cell>
          <cell r="I308">
            <v>2.6891459199349992</v>
          </cell>
        </row>
        <row r="309">
          <cell r="C309">
            <v>31009323</v>
          </cell>
          <cell r="D309">
            <v>71292702</v>
          </cell>
          <cell r="I309">
            <v>2.448174392695059</v>
          </cell>
        </row>
        <row r="310">
          <cell r="C310">
            <v>35740174</v>
          </cell>
          <cell r="D310">
            <v>78094458</v>
          </cell>
          <cell r="I310">
            <v>2.2196457159722458</v>
          </cell>
        </row>
        <row r="311">
          <cell r="C311">
            <v>76847840</v>
          </cell>
          <cell r="D311">
            <v>119658576</v>
          </cell>
          <cell r="I311">
            <v>2.0368887779518374</v>
          </cell>
        </row>
        <row r="312">
          <cell r="C312">
            <v>110951718</v>
          </cell>
          <cell r="D312">
            <v>203561196</v>
          </cell>
          <cell r="I312">
            <v>1.8570470989540067</v>
          </cell>
        </row>
        <row r="313">
          <cell r="C313">
            <v>98036118.420000017</v>
          </cell>
          <cell r="D313">
            <v>232925989.76999998</v>
          </cell>
          <cell r="I313">
            <v>1.7641482522914038</v>
          </cell>
        </row>
        <row r="314">
          <cell r="C314">
            <v>111269572.63</v>
          </cell>
          <cell r="D314">
            <v>269535059.02999997</v>
          </cell>
          <cell r="I314">
            <v>1.5997647448930246</v>
          </cell>
        </row>
        <row r="315">
          <cell r="C315">
            <v>102174679.52999991</v>
          </cell>
          <cell r="D315">
            <v>278116922.00999999</v>
          </cell>
          <cell r="I315">
            <v>1.4780006228698483</v>
          </cell>
        </row>
        <row r="316">
          <cell r="C316">
            <v>100017021</v>
          </cell>
          <cell r="D316">
            <v>307494236.20000005</v>
          </cell>
          <cell r="I316">
            <v>1.4430316100910405</v>
          </cell>
        </row>
        <row r="317">
          <cell r="C317">
            <v>110524396.51999998</v>
          </cell>
          <cell r="D317">
            <v>335795725.19999981</v>
          </cell>
          <cell r="I317">
            <v>1.3723433115836108</v>
          </cell>
        </row>
        <row r="318">
          <cell r="C318">
            <v>112904624</v>
          </cell>
          <cell r="D318">
            <v>360838080.7099998</v>
          </cell>
          <cell r="I318">
            <v>1.3075797103216005</v>
          </cell>
        </row>
        <row r="319">
          <cell r="C319">
            <v>104642688</v>
          </cell>
          <cell r="D319">
            <v>389333918.13999987</v>
          </cell>
          <cell r="I319">
            <v>1.2467307484438648</v>
          </cell>
        </row>
        <row r="320">
          <cell r="C320">
            <v>98715934</v>
          </cell>
          <cell r="D320">
            <v>407969846.0800004</v>
          </cell>
          <cell r="I320">
            <v>1.1863253854339271</v>
          </cell>
        </row>
        <row r="321">
          <cell r="C321">
            <v>88278690</v>
          </cell>
          <cell r="D321">
            <v>399074847</v>
          </cell>
          <cell r="I321">
            <v>1.1296863217775721</v>
          </cell>
        </row>
        <row r="322">
          <cell r="C322">
            <v>70749081</v>
          </cell>
          <cell r="D322">
            <v>352368052</v>
          </cell>
          <cell r="I322">
            <v>1.102499999999994</v>
          </cell>
        </row>
        <row r="323">
          <cell r="C323">
            <v>65696833</v>
          </cell>
          <cell r="D323">
            <v>331676957</v>
          </cell>
          <cell r="I323">
            <v>1.0755512293710299</v>
          </cell>
        </row>
        <row r="324">
          <cell r="C324">
            <v>59123729</v>
          </cell>
          <cell r="D324">
            <v>314907158.99999952</v>
          </cell>
          <cell r="I324">
            <v>1.049999999999998</v>
          </cell>
        </row>
        <row r="325">
          <cell r="C325">
            <v>60327052</v>
          </cell>
          <cell r="D325">
            <v>310312753</v>
          </cell>
          <cell r="I325">
            <v>1.0499999999999974</v>
          </cell>
        </row>
        <row r="326">
          <cell r="C326">
            <v>63366551</v>
          </cell>
          <cell r="D326">
            <v>331736850</v>
          </cell>
          <cell r="I326">
            <v>1.0499999999999947</v>
          </cell>
        </row>
        <row r="327">
          <cell r="C327">
            <v>88784127</v>
          </cell>
          <cell r="D327">
            <v>429663068</v>
          </cell>
          <cell r="I327">
            <v>1.0224475776595738</v>
          </cell>
        </row>
        <row r="328">
          <cell r="C328">
            <v>130162738</v>
          </cell>
          <cell r="D328">
            <v>522931821</v>
          </cell>
          <cell r="I328">
            <v>1</v>
          </cell>
        </row>
        <row r="329">
          <cell r="C329">
            <v>130434727</v>
          </cell>
          <cell r="D329">
            <v>628410118</v>
          </cell>
          <cell r="I329">
            <v>1</v>
          </cell>
        </row>
        <row r="380">
          <cell r="I380">
            <v>1.1951789688713677</v>
          </cell>
        </row>
        <row r="381">
          <cell r="I381">
            <v>1.1766787394611087</v>
          </cell>
        </row>
        <row r="382">
          <cell r="I382">
            <v>1.1632081489641464</v>
          </cell>
        </row>
        <row r="383">
          <cell r="I383">
            <v>1.1513095053377946</v>
          </cell>
        </row>
        <row r="384">
          <cell r="I384">
            <v>1.1378553171391943</v>
          </cell>
        </row>
        <row r="385">
          <cell r="I385">
            <v>1.119959045602978</v>
          </cell>
        </row>
        <row r="386">
          <cell r="I386">
            <v>1.1071889513986732</v>
          </cell>
        </row>
        <row r="387">
          <cell r="I387">
            <v>1.1025</v>
          </cell>
        </row>
        <row r="388">
          <cell r="I388">
            <v>1.1025000000000003</v>
          </cell>
        </row>
        <row r="389">
          <cell r="I389">
            <v>1.1024999999999998</v>
          </cell>
        </row>
        <row r="390">
          <cell r="I390">
            <v>1.1024999999999998</v>
          </cell>
        </row>
        <row r="391">
          <cell r="I391">
            <v>1.0963494619655838</v>
          </cell>
        </row>
        <row r="392">
          <cell r="I392">
            <v>1.0835713915824325</v>
          </cell>
        </row>
        <row r="393">
          <cell r="I393">
            <v>1.0664454028906998</v>
          </cell>
        </row>
        <row r="394">
          <cell r="I394">
            <v>1.0545559318545092</v>
          </cell>
        </row>
        <row r="395">
          <cell r="I395">
            <v>1.05</v>
          </cell>
        </row>
        <row r="396">
          <cell r="I396">
            <v>1.0499999999999998</v>
          </cell>
        </row>
        <row r="397">
          <cell r="I397">
            <v>1.0500000000000003</v>
          </cell>
        </row>
        <row r="398">
          <cell r="I398">
            <v>1.05</v>
          </cell>
        </row>
        <row r="399">
          <cell r="I399">
            <v>1.0500000000000003</v>
          </cell>
        </row>
        <row r="400">
          <cell r="I400">
            <v>1.05</v>
          </cell>
        </row>
        <row r="401">
          <cell r="I401">
            <v>1.05</v>
          </cell>
        </row>
        <row r="402">
          <cell r="I402">
            <v>1.05</v>
          </cell>
        </row>
        <row r="403">
          <cell r="I403">
            <v>1.05</v>
          </cell>
        </row>
        <row r="404">
          <cell r="I404">
            <v>1.05</v>
          </cell>
        </row>
        <row r="405">
          <cell r="I405">
            <v>1.0499999999999998</v>
          </cell>
        </row>
        <row r="406">
          <cell r="I406">
            <v>1.05</v>
          </cell>
        </row>
        <row r="407">
          <cell r="I407">
            <v>1.044300410003699</v>
          </cell>
        </row>
        <row r="408">
          <cell r="I408">
            <v>1.0317032711155398</v>
          </cell>
        </row>
        <row r="409">
          <cell r="I409">
            <v>1.015232887108092</v>
          </cell>
        </row>
        <row r="410">
          <cell r="I410">
            <v>1.0050875291673478</v>
          </cell>
        </row>
        <row r="411">
          <cell r="I411">
            <v>1</v>
          </cell>
        </row>
        <row r="412">
          <cell r="I412">
            <v>1</v>
          </cell>
        </row>
        <row r="413">
          <cell r="I413">
            <v>1</v>
          </cell>
        </row>
        <row r="414">
          <cell r="I414">
            <v>1</v>
          </cell>
        </row>
        <row r="415">
          <cell r="I415">
            <v>1</v>
          </cell>
        </row>
        <row r="416">
          <cell r="I416">
            <v>1</v>
          </cell>
        </row>
        <row r="417">
          <cell r="I417">
            <v>1</v>
          </cell>
        </row>
        <row r="418">
          <cell r="I418">
            <v>1</v>
          </cell>
        </row>
      </sheetData>
      <sheetData sheetId="10">
        <row r="112">
          <cell r="G112">
            <v>189.08</v>
          </cell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193.85</v>
          </cell>
        </row>
        <row r="123">
          <cell r="H123">
            <v>194.07</v>
          </cell>
        </row>
        <row r="124">
          <cell r="H124">
            <v>194.14</v>
          </cell>
        </row>
        <row r="125">
          <cell r="H125">
            <v>194.1</v>
          </cell>
        </row>
        <row r="126">
          <cell r="H126">
            <v>194.71</v>
          </cell>
        </row>
        <row r="127">
          <cell r="H127">
            <v>195.27</v>
          </cell>
        </row>
        <row r="128">
          <cell r="H128">
            <v>195.59</v>
          </cell>
        </row>
        <row r="129">
          <cell r="H129">
            <v>196.2</v>
          </cell>
        </row>
        <row r="130">
          <cell r="H130">
            <v>196.98</v>
          </cell>
        </row>
        <row r="131">
          <cell r="H131">
            <v>198.12</v>
          </cell>
        </row>
        <row r="132">
          <cell r="H132">
            <v>199.66</v>
          </cell>
        </row>
        <row r="133">
          <cell r="H133">
            <v>200.22</v>
          </cell>
        </row>
        <row r="134">
          <cell r="H134">
            <v>199.74</v>
          </cell>
        </row>
        <row r="135">
          <cell r="H135">
            <v>197.63</v>
          </cell>
        </row>
        <row r="136">
          <cell r="H136">
            <v>195.93</v>
          </cell>
        </row>
        <row r="137">
          <cell r="H137">
            <v>194.86</v>
          </cell>
        </row>
        <row r="138">
          <cell r="H138">
            <v>194.38</v>
          </cell>
        </row>
        <row r="139">
          <cell r="H139">
            <v>197.56</v>
          </cell>
        </row>
        <row r="140">
          <cell r="H140">
            <v>201.3</v>
          </cell>
        </row>
        <row r="141">
          <cell r="H141">
            <v>206.8</v>
          </cell>
        </row>
        <row r="142">
          <cell r="H142">
            <v>213.06</v>
          </cell>
        </row>
        <row r="143">
          <cell r="H143">
            <v>217.34</v>
          </cell>
        </row>
        <row r="144">
          <cell r="H144">
            <v>220.62</v>
          </cell>
        </row>
        <row r="145">
          <cell r="H145">
            <v>223.1</v>
          </cell>
        </row>
        <row r="146">
          <cell r="H146">
            <v>225.88</v>
          </cell>
        </row>
        <row r="147">
          <cell r="H147">
            <v>227.59</v>
          </cell>
        </row>
        <row r="148">
          <cell r="H148">
            <v>229.23</v>
          </cell>
        </row>
        <row r="149">
          <cell r="H149">
            <v>229.35</v>
          </cell>
        </row>
        <row r="150">
          <cell r="H150">
            <v>229.06</v>
          </cell>
        </row>
        <row r="151">
          <cell r="H151">
            <v>228.89</v>
          </cell>
        </row>
        <row r="152">
          <cell r="H152">
            <v>228.72</v>
          </cell>
        </row>
        <row r="153">
          <cell r="H153">
            <v>229.71</v>
          </cell>
        </row>
      </sheetData>
      <sheetData sheetId="11">
        <row r="74">
          <cell r="D74">
            <v>2294.2214726562497</v>
          </cell>
        </row>
      </sheetData>
      <sheetData sheetId="12">
        <row r="46">
          <cell r="D46">
            <v>2379.0001522656248</v>
          </cell>
          <cell r="E46">
            <v>2408.7474253125006</v>
          </cell>
        </row>
        <row r="47">
          <cell r="D47">
            <v>2391.2794456250003</v>
          </cell>
          <cell r="E47">
            <v>2420.4066109375008</v>
          </cell>
        </row>
        <row r="48">
          <cell r="D48">
            <v>2399.6567646093754</v>
          </cell>
          <cell r="E48">
            <v>2429.4589703125002</v>
          </cell>
        </row>
        <row r="49">
          <cell r="D49">
            <v>2402.7906172656249</v>
          </cell>
          <cell r="E49">
            <v>2433.7049350000002</v>
          </cell>
        </row>
        <row r="50">
          <cell r="D50">
            <v>2400.1201932031254</v>
          </cell>
          <cell r="E50">
            <v>2432.7721259374998</v>
          </cell>
        </row>
        <row r="51">
          <cell r="D51">
            <v>2394.4024263281253</v>
          </cell>
          <cell r="E51">
            <v>2428.4900681250001</v>
          </cell>
        </row>
        <row r="52">
          <cell r="D52">
            <v>2389.9976371875</v>
          </cell>
          <cell r="E52">
            <v>2423.66251625</v>
          </cell>
        </row>
        <row r="53">
          <cell r="D53">
            <v>2389.0140510937499</v>
          </cell>
          <cell r="E53">
            <v>2420.5812343750003</v>
          </cell>
        </row>
        <row r="54">
          <cell r="D54">
            <v>2395.2181153125002</v>
          </cell>
          <cell r="E54">
            <v>2424.2738562499999</v>
          </cell>
        </row>
        <row r="55">
          <cell r="D55">
            <v>2408.6195184375006</v>
          </cell>
          <cell r="E55">
            <v>2437.0245412499999</v>
          </cell>
        </row>
        <row r="56">
          <cell r="D56">
            <v>2427.4767911718754</v>
          </cell>
          <cell r="E56">
            <v>2454.0778749999999</v>
          </cell>
        </row>
        <row r="57">
          <cell r="D57">
            <v>2446.4112276562505</v>
          </cell>
          <cell r="E57">
            <v>2474.477901875</v>
          </cell>
        </row>
        <row r="58">
          <cell r="D58">
            <v>2466.8920509375002</v>
          </cell>
          <cell r="E58">
            <v>2495.3126140625004</v>
          </cell>
        </row>
        <row r="59">
          <cell r="D59">
            <v>2491.3659953906254</v>
          </cell>
          <cell r="E59">
            <v>2519.5054493750004</v>
          </cell>
        </row>
        <row r="60">
          <cell r="D60">
            <v>2519.2573298437501</v>
          </cell>
          <cell r="E60">
            <v>2548.5952846875002</v>
          </cell>
        </row>
        <row r="61">
          <cell r="D61">
            <v>2550.141099609375</v>
          </cell>
          <cell r="E61">
            <v>2582.9126603124996</v>
          </cell>
        </row>
        <row r="62">
          <cell r="D62">
            <v>2574.5857467968754</v>
          </cell>
          <cell r="E62">
            <v>2613.7853681249999</v>
          </cell>
        </row>
        <row r="63">
          <cell r="D63">
            <v>2586.3443174218755</v>
          </cell>
          <cell r="E63">
            <v>2628.2411131250001</v>
          </cell>
        </row>
        <row r="64">
          <cell r="D64">
            <v>2587.5570428906249</v>
          </cell>
          <cell r="E64">
            <v>2633.1826734374999</v>
          </cell>
        </row>
        <row r="65">
          <cell r="D65">
            <v>2584.8475767968753</v>
          </cell>
          <cell r="E65">
            <v>2628.3808515624996</v>
          </cell>
        </row>
        <row r="66">
          <cell r="D66">
            <v>2583.3543867968751</v>
          </cell>
          <cell r="E66">
            <v>2622.6944221875001</v>
          </cell>
        </row>
        <row r="67">
          <cell r="D67">
            <v>2588.4560396093752</v>
          </cell>
          <cell r="E67">
            <v>2624.4214249999995</v>
          </cell>
        </row>
        <row r="68">
          <cell r="D68">
            <v>2597.4197964843752</v>
          </cell>
          <cell r="E68">
            <v>2630.6979528125003</v>
          </cell>
        </row>
        <row r="69">
          <cell r="D69">
            <v>2622.6961740625002</v>
          </cell>
          <cell r="E69">
            <v>2653.3499253125005</v>
          </cell>
        </row>
        <row r="70">
          <cell r="D70">
            <v>2660.0442883593755</v>
          </cell>
          <cell r="E70">
            <v>2689.1534428125005</v>
          </cell>
        </row>
        <row r="71">
          <cell r="D71">
            <v>2729.9047346093753</v>
          </cell>
          <cell r="E71">
            <v>2763.2679287500005</v>
          </cell>
        </row>
        <row r="72">
          <cell r="D72">
            <v>2881.9937543750002</v>
          </cell>
          <cell r="E72">
            <v>2915.3896825000002</v>
          </cell>
        </row>
        <row r="73">
          <cell r="D73">
            <v>3011.4962307031251</v>
          </cell>
          <cell r="E73">
            <v>3057.1086531249998</v>
          </cell>
        </row>
        <row r="74">
          <cell r="D74">
            <v>3154.4045398437502</v>
          </cell>
          <cell r="E74">
            <v>3205.7315240625003</v>
          </cell>
        </row>
        <row r="75">
          <cell r="D75">
            <v>3320.4425096093751</v>
          </cell>
          <cell r="E75">
            <v>3375.4609671875005</v>
          </cell>
        </row>
        <row r="76">
          <cell r="D76">
            <v>3416.7185463281253</v>
          </cell>
          <cell r="E76">
            <v>3481.2624018750003</v>
          </cell>
        </row>
        <row r="77">
          <cell r="D77">
            <v>3517.1262910937498</v>
          </cell>
          <cell r="E77">
            <v>3580.5586534375002</v>
          </cell>
        </row>
        <row r="78">
          <cell r="D78">
            <v>3580.234025390625</v>
          </cell>
          <cell r="E78">
            <v>3647.149923125</v>
          </cell>
        </row>
        <row r="79">
          <cell r="D79">
            <v>3583.6431788281247</v>
          </cell>
          <cell r="E79">
            <v>3650.0499796875001</v>
          </cell>
        </row>
        <row r="80">
          <cell r="D80">
            <v>3569.6586029687501</v>
          </cell>
          <cell r="E80">
            <v>3633.456230625</v>
          </cell>
        </row>
        <row r="81">
          <cell r="D81">
            <v>3554.9732320312501</v>
          </cell>
          <cell r="E81">
            <v>3614.1835378125002</v>
          </cell>
        </row>
        <row r="82">
          <cell r="D82">
            <v>3556.612589921875</v>
          </cell>
          <cell r="E82">
            <v>3611.0882956250007</v>
          </cell>
        </row>
        <row r="83">
          <cell r="D83">
            <v>3563.6823228124999</v>
          </cell>
          <cell r="E83">
            <v>3616.12706875</v>
          </cell>
        </row>
        <row r="84">
          <cell r="D84">
            <v>3577.1540426562506</v>
          </cell>
          <cell r="E84">
            <v>3629.2213831250006</v>
          </cell>
        </row>
        <row r="85">
          <cell r="D85">
            <v>3594.7516929687499</v>
          </cell>
          <cell r="E85">
            <v>3649.6030987500003</v>
          </cell>
        </row>
      </sheetData>
      <sheetData sheetId="13">
        <row r="9">
          <cell r="D9">
            <v>2994513</v>
          </cell>
        </row>
        <row r="15">
          <cell r="D15">
            <v>132492428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3e"/>
      <sheetName val="2.4a"/>
      <sheetName val="2.4b"/>
      <sheetName val="2.4c"/>
      <sheetName val="2.4d"/>
      <sheetName val="2.5"/>
      <sheetName val="3.1"/>
      <sheetName val="3.2"/>
      <sheetName val="3.3a"/>
      <sheetName val="3.3b"/>
      <sheetName val="3.3c"/>
      <sheetName val="3.3d"/>
      <sheetName val="4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"/>
      <sheetName val="9.1a"/>
      <sheetName val="9.1b"/>
      <sheetName val="9.1c"/>
      <sheetName val="9.1d"/>
      <sheetName val="9.2"/>
      <sheetName val="10.1"/>
      <sheetName val="10.2"/>
      <sheetName val="11"/>
    </sheetNames>
    <sheetDataSet>
      <sheetData sheetId="0"/>
      <sheetData sheetId="1"/>
      <sheetData sheetId="2">
        <row r="15">
          <cell r="C15">
            <v>0.42249999999999999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C14">
            <v>1.4239999999999999</v>
          </cell>
          <cell r="D14">
            <v>1.44</v>
          </cell>
        </row>
        <row r="15">
          <cell r="C15">
            <v>1.4330000000000001</v>
          </cell>
          <cell r="D15">
            <v>1.45</v>
          </cell>
        </row>
        <row r="16">
          <cell r="C16">
            <v>1.417</v>
          </cell>
          <cell r="D16">
            <v>1.4330000000000001</v>
          </cell>
        </row>
        <row r="17">
          <cell r="C17">
            <v>1.3660000000000001</v>
          </cell>
          <cell r="D17">
            <v>1.379</v>
          </cell>
        </row>
        <row r="18">
          <cell r="C18">
            <v>1.3340000000000001</v>
          </cell>
          <cell r="D18">
            <v>1.3360000000000001</v>
          </cell>
        </row>
        <row r="19">
          <cell r="C19">
            <v>1.325</v>
          </cell>
          <cell r="D19">
            <v>1.337</v>
          </cell>
        </row>
        <row r="20">
          <cell r="C20">
            <v>1.1870000000000001</v>
          </cell>
          <cell r="D20">
            <v>1.1990000000000001</v>
          </cell>
        </row>
        <row r="21">
          <cell r="C21">
            <v>1.0249999999999999</v>
          </cell>
          <cell r="D21">
            <v>1.018</v>
          </cell>
        </row>
        <row r="22">
          <cell r="C22">
            <v>0.997</v>
          </cell>
          <cell r="D22">
            <v>0.99399999999999999</v>
          </cell>
        </row>
        <row r="23">
          <cell r="C23">
            <v>1</v>
          </cell>
          <cell r="D23">
            <v>1</v>
          </cell>
        </row>
        <row r="28">
          <cell r="C28">
            <v>7.9000000000000001E-2</v>
          </cell>
          <cell r="D28">
            <v>8.2000000000000003E-2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H19">
            <v>0.16</v>
          </cell>
        </row>
      </sheetData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 4"/>
      <sheetName val="Page 5"/>
      <sheetName val="Page 6"/>
      <sheetName val="Page 7"/>
      <sheetName val="Page 8"/>
    </sheetNames>
    <sheetDataSet>
      <sheetData sheetId="0">
        <row r="47">
          <cell r="D47">
            <v>6192987504</v>
          </cell>
          <cell r="E47">
            <v>7175690393</v>
          </cell>
          <cell r="F47">
            <v>4962755478.1322098</v>
          </cell>
          <cell r="G47">
            <v>5540469248</v>
          </cell>
        </row>
        <row r="48">
          <cell r="D48">
            <v>3740923394</v>
          </cell>
          <cell r="E48">
            <v>4252818691</v>
          </cell>
          <cell r="F48">
            <v>3081890239.3273902</v>
          </cell>
          <cell r="G48">
            <v>3248236288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lides"/>
      <sheetName val="for PPT"/>
      <sheetName val="Summary"/>
      <sheetName val="Policies Issued"/>
      <sheetName val="Cancellation"/>
      <sheetName val="Expiration &amp; Other"/>
      <sheetName val="In-Force Policies"/>
      <sheetName val="Average Exposure"/>
      <sheetName val="In-Force Exposure"/>
      <sheetName val="Rate Index"/>
      <sheetName val="Written Premium"/>
      <sheetName val="Average IF Premiu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2">
          <cell r="U62">
            <v>125293798768.7</v>
          </cell>
        </row>
        <row r="68">
          <cell r="V68">
            <v>0.1134932144944818</v>
          </cell>
        </row>
        <row r="72">
          <cell r="O72">
            <v>120523345790.30678</v>
          </cell>
        </row>
      </sheetData>
      <sheetData sheetId="9" refreshError="1"/>
      <sheetData sheetId="10">
        <row r="64">
          <cell r="AA64">
            <v>52361882.375</v>
          </cell>
          <cell r="AB64">
            <v>256344.16666666666</v>
          </cell>
          <cell r="AC64">
            <v>10860916.583333334</v>
          </cell>
        </row>
        <row r="65">
          <cell r="AA65">
            <v>52876332</v>
          </cell>
          <cell r="AB65">
            <v>258590.625</v>
          </cell>
          <cell r="AC65">
            <v>10884732.791666666</v>
          </cell>
        </row>
        <row r="66">
          <cell r="AA66">
            <v>53491583.541666664</v>
          </cell>
          <cell r="AB66">
            <v>264475.5</v>
          </cell>
          <cell r="AC66">
            <v>10889950.458333334</v>
          </cell>
        </row>
        <row r="67">
          <cell r="AA67">
            <v>54181755.708333336</v>
          </cell>
          <cell r="AB67">
            <v>271185.625</v>
          </cell>
          <cell r="AC67">
            <v>10795485.416666666</v>
          </cell>
        </row>
        <row r="68">
          <cell r="AA68">
            <v>54799195.791666664</v>
          </cell>
          <cell r="AB68">
            <v>276296.20833333331</v>
          </cell>
          <cell r="AC68">
            <v>10600199.333333334</v>
          </cell>
        </row>
        <row r="69">
          <cell r="AA69">
            <v>55472329.415824004</v>
          </cell>
          <cell r="AB69">
            <v>283775.23610739812</v>
          </cell>
          <cell r="AC69">
            <v>10481808.898870526</v>
          </cell>
        </row>
        <row r="70">
          <cell r="AA70">
            <v>56218725.737513654</v>
          </cell>
          <cell r="AB70">
            <v>293541.14492903015</v>
          </cell>
          <cell r="AC70">
            <v>10455590.371046092</v>
          </cell>
        </row>
        <row r="71">
          <cell r="AA71">
            <v>56718095.982017875</v>
          </cell>
          <cell r="AB71">
            <v>300927.76615789538</v>
          </cell>
          <cell r="AC71">
            <v>10393567.450830249</v>
          </cell>
        </row>
        <row r="72">
          <cell r="AA72">
            <v>56896814.56350255</v>
          </cell>
          <cell r="AB72">
            <v>302954.32922867202</v>
          </cell>
          <cell r="AC72">
            <v>10334706.25865907</v>
          </cell>
        </row>
        <row r="73">
          <cell r="AA73">
            <v>57024171.873650335</v>
          </cell>
          <cell r="AB73">
            <v>304969.16947247839</v>
          </cell>
          <cell r="AC73">
            <v>10282891.644632135</v>
          </cell>
        </row>
        <row r="74">
          <cell r="AA74">
            <v>57172237.104301445</v>
          </cell>
          <cell r="AB74">
            <v>307525.20039930096</v>
          </cell>
          <cell r="AC74">
            <v>10244299.128265345</v>
          </cell>
        </row>
        <row r="75">
          <cell r="AA75">
            <v>57275414.117919736</v>
          </cell>
          <cell r="AB75">
            <v>309175.21450422652</v>
          </cell>
          <cell r="AC75">
            <v>10198236.484085241</v>
          </cell>
        </row>
      </sheetData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ded EL by LOB"/>
    </sheetNames>
    <sheetDataSet>
      <sheetData sheetId="0">
        <row r="8">
          <cell r="G8">
            <v>67743621.631933302</v>
          </cell>
        </row>
        <row r="20">
          <cell r="G20">
            <v>14345412.4211934</v>
          </cell>
        </row>
        <row r="21">
          <cell r="G21">
            <v>3604107.7987273699</v>
          </cell>
        </row>
        <row r="24">
          <cell r="G24">
            <v>25826079.5578814</v>
          </cell>
        </row>
        <row r="25">
          <cell r="G25">
            <v>6858824.1307842601</v>
          </cell>
        </row>
        <row r="42">
          <cell r="G42">
            <v>16648536.7039559</v>
          </cell>
        </row>
        <row r="43">
          <cell r="G43">
            <v>3926728.8008337501</v>
          </cell>
        </row>
        <row r="46">
          <cell r="G46">
            <v>28183484.5328786</v>
          </cell>
        </row>
        <row r="47">
          <cell r="G47">
            <v>6912919.1070307503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rdan He" id="{FAE35700-DDC3-4198-9F38-49B11CDC6796}" userId="S::j.he@twia.org::5aa469f3-f7c5-45b3-8313-bb2161ddf64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6" dT="2025-06-09T21:32:36.47" personId="{FAE35700-DDC3-4198-9F38-49B11CDC6796}" id="{F8971C67-DDD0-418E-B435-07438C64AD45}">
    <text xml:space="preserve">House Bill 2517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0.bin"/><Relationship Id="rId4" Type="http://schemas.microsoft.com/office/2017/10/relationships/threadedComment" Target="../threadedComments/threadedComment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9C67-4E3C-4E80-91EC-B129EBBD5BA4}">
  <dimension ref="B17:J46"/>
  <sheetViews>
    <sheetView showGridLines="0" tabSelected="1" zoomScaleNormal="100" workbookViewId="0"/>
  </sheetViews>
  <sheetFormatPr defaultRowHeight="11.25" x14ac:dyDescent="0.2"/>
  <cols>
    <col min="1" max="12" width="10.1640625" customWidth="1"/>
  </cols>
  <sheetData>
    <row r="17" spans="2:10" ht="12" thickBot="1" x14ac:dyDescent="0.25"/>
    <row r="18" spans="2:10" x14ac:dyDescent="0.2">
      <c r="B18" s="197"/>
      <c r="C18" s="183"/>
      <c r="D18" s="183"/>
      <c r="E18" s="183"/>
      <c r="F18" s="183"/>
      <c r="G18" s="183"/>
      <c r="H18" s="183"/>
      <c r="I18" s="183"/>
      <c r="J18" s="184"/>
    </row>
    <row r="19" spans="2:10" x14ac:dyDescent="0.2">
      <c r="B19" s="198"/>
      <c r="J19" s="186"/>
    </row>
    <row r="20" spans="2:10" x14ac:dyDescent="0.2">
      <c r="B20" s="198"/>
      <c r="J20" s="186"/>
    </row>
    <row r="21" spans="2:10" x14ac:dyDescent="0.2">
      <c r="B21" s="198"/>
      <c r="J21" s="186"/>
    </row>
    <row r="22" spans="2:10" x14ac:dyDescent="0.2">
      <c r="B22" s="198"/>
      <c r="J22" s="186"/>
    </row>
    <row r="23" spans="2:10" x14ac:dyDescent="0.2">
      <c r="B23" s="198"/>
      <c r="J23" s="186"/>
    </row>
    <row r="24" spans="2:10" x14ac:dyDescent="0.2">
      <c r="B24" s="198"/>
      <c r="J24" s="186"/>
    </row>
    <row r="25" spans="2:10" x14ac:dyDescent="0.2">
      <c r="B25" s="198"/>
      <c r="J25" s="186"/>
    </row>
    <row r="26" spans="2:10" x14ac:dyDescent="0.2">
      <c r="B26" s="198"/>
      <c r="J26" s="186"/>
    </row>
    <row r="27" spans="2:10" x14ac:dyDescent="0.2">
      <c r="B27" s="198"/>
      <c r="J27" s="186"/>
    </row>
    <row r="28" spans="2:10" x14ac:dyDescent="0.2">
      <c r="B28" s="198"/>
      <c r="J28" s="186"/>
    </row>
    <row r="29" spans="2:10" x14ac:dyDescent="0.2">
      <c r="B29" s="198"/>
      <c r="J29" s="186"/>
    </row>
    <row r="30" spans="2:10" x14ac:dyDescent="0.2">
      <c r="B30" s="198"/>
      <c r="J30" s="186"/>
    </row>
    <row r="31" spans="2:10" x14ac:dyDescent="0.2">
      <c r="B31" s="198"/>
      <c r="J31" s="186"/>
    </row>
    <row r="32" spans="2:10" ht="15.75" x14ac:dyDescent="0.25">
      <c r="B32" s="263" t="s">
        <v>0</v>
      </c>
      <c r="C32" s="264"/>
      <c r="D32" s="264"/>
      <c r="E32" s="264"/>
      <c r="F32" s="264"/>
      <c r="G32" s="264"/>
      <c r="H32" s="264"/>
      <c r="I32" s="264"/>
      <c r="J32" s="265"/>
    </row>
    <row r="33" spans="2:10" ht="15.75" x14ac:dyDescent="0.25">
      <c r="B33" s="263" t="s">
        <v>162</v>
      </c>
      <c r="C33" s="264"/>
      <c r="D33" s="264"/>
      <c r="E33" s="264"/>
      <c r="F33" s="264"/>
      <c r="G33" s="264"/>
      <c r="H33" s="264"/>
      <c r="I33" s="264"/>
      <c r="J33" s="265"/>
    </row>
    <row r="34" spans="2:10" ht="15.75" x14ac:dyDescent="0.25">
      <c r="B34" s="263" t="s">
        <v>487</v>
      </c>
      <c r="C34" s="264"/>
      <c r="D34" s="264"/>
      <c r="E34" s="264"/>
      <c r="F34" s="264"/>
      <c r="G34" s="264"/>
      <c r="H34" s="264"/>
      <c r="I34" s="264"/>
      <c r="J34" s="265"/>
    </row>
    <row r="35" spans="2:10" x14ac:dyDescent="0.2">
      <c r="B35" s="198"/>
      <c r="J35" s="186"/>
    </row>
    <row r="36" spans="2:10" x14ac:dyDescent="0.2">
      <c r="B36" s="198"/>
      <c r="J36" s="186"/>
    </row>
    <row r="37" spans="2:10" x14ac:dyDescent="0.2">
      <c r="B37" s="198"/>
      <c r="J37" s="186"/>
    </row>
    <row r="38" spans="2:10" x14ac:dyDescent="0.2">
      <c r="B38" s="198"/>
      <c r="J38" s="186"/>
    </row>
    <row r="39" spans="2:10" x14ac:dyDescent="0.2">
      <c r="B39" s="198"/>
      <c r="J39" s="186"/>
    </row>
    <row r="40" spans="2:10" x14ac:dyDescent="0.2">
      <c r="B40" s="198"/>
      <c r="J40" s="186"/>
    </row>
    <row r="41" spans="2:10" x14ac:dyDescent="0.2">
      <c r="B41" s="198"/>
      <c r="J41" s="186"/>
    </row>
    <row r="42" spans="2:10" x14ac:dyDescent="0.2">
      <c r="B42" s="198"/>
      <c r="J42" s="186"/>
    </row>
    <row r="43" spans="2:10" x14ac:dyDescent="0.2">
      <c r="B43" s="198"/>
      <c r="J43" s="186"/>
    </row>
    <row r="44" spans="2:10" x14ac:dyDescent="0.2">
      <c r="B44" s="198"/>
      <c r="J44" s="186"/>
    </row>
    <row r="45" spans="2:10" x14ac:dyDescent="0.2">
      <c r="B45" s="198"/>
      <c r="J45" s="186"/>
    </row>
    <row r="46" spans="2:10" ht="12" thickBot="1" x14ac:dyDescent="0.25">
      <c r="B46" s="199"/>
      <c r="C46" s="196"/>
      <c r="D46" s="196"/>
      <c r="E46" s="196"/>
      <c r="F46" s="196"/>
      <c r="G46" s="196"/>
      <c r="H46" s="196"/>
      <c r="I46" s="196"/>
      <c r="J46" s="200"/>
    </row>
  </sheetData>
  <mergeCells count="3">
    <mergeCell ref="B32:J32"/>
    <mergeCell ref="B33:J33"/>
    <mergeCell ref="B34:J34"/>
  </mergeCells>
  <pageMargins left="0.5" right="0.5" top="0.5" bottom="0.5" header="0.5" footer="0.5"/>
  <pageSetup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>
    <tabColor rgb="FF00B050"/>
  </sheetPr>
  <dimension ref="A1:R69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42</v>
      </c>
      <c r="M1" s="1"/>
      <c r="Q1"/>
      <c r="R1"/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460</v>
      </c>
      <c r="M2" s="2"/>
      <c r="Q2"/>
      <c r="R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0" t="s">
        <v>235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0" t="s">
        <v>276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/>
      <c r="G7"/>
      <c r="H7"/>
      <c r="I7"/>
      <c r="J7"/>
      <c r="K7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s="11" t="s">
        <v>248</v>
      </c>
    </row>
    <row r="9" spans="1:18" x14ac:dyDescent="0.2">
      <c r="A9" t="s">
        <v>470</v>
      </c>
      <c r="B9"/>
      <c r="C9" s="133" t="s">
        <v>249</v>
      </c>
      <c r="D9" s="256" t="s">
        <v>250</v>
      </c>
      <c r="E9" s="256"/>
      <c r="F9"/>
      <c r="G9"/>
      <c r="H9"/>
      <c r="I9"/>
      <c r="J9"/>
      <c r="K9"/>
      <c r="L9"/>
      <c r="M9" s="2"/>
      <c r="N9" s="132">
        <v>45657</v>
      </c>
    </row>
    <row r="10" spans="1:18" x14ac:dyDescent="0.2">
      <c r="A10" t="s">
        <v>232</v>
      </c>
      <c r="B10"/>
      <c r="C10" s="11" t="s">
        <v>237</v>
      </c>
      <c r="D10" s="11" t="s">
        <v>251</v>
      </c>
      <c r="E10" s="11"/>
      <c r="F10"/>
      <c r="G10"/>
      <c r="H10"/>
      <c r="I10"/>
      <c r="J10"/>
      <c r="K10"/>
      <c r="L10"/>
      <c r="M10" s="2"/>
    </row>
    <row r="11" spans="1:18" x14ac:dyDescent="0.2">
      <c r="A11" s="9" t="s">
        <v>25</v>
      </c>
      <c r="B11" s="9"/>
      <c r="C11" s="143" t="s">
        <v>233</v>
      </c>
      <c r="D11" s="143" t="s">
        <v>255</v>
      </c>
      <c r="E11" s="143" t="s">
        <v>256</v>
      </c>
      <c r="F11"/>
      <c r="G11"/>
      <c r="H11"/>
      <c r="I11"/>
      <c r="J11"/>
      <c r="K11"/>
      <c r="L11"/>
      <c r="M11" s="2"/>
      <c r="N11" s="143" t="s">
        <v>233</v>
      </c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/>
      <c r="G12"/>
      <c r="H12"/>
      <c r="I12"/>
      <c r="J12"/>
      <c r="K12"/>
      <c r="L12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2" si="0">TEXT(DATE(YEAR(A15+1),MONTH(A15+1)-3,1)-1,"m/d/yyyy")</f>
        <v>3/31/2015</v>
      </c>
      <c r="B14" s="22"/>
      <c r="C14" s="246">
        <f>'[1]Boeckh (C)'!D46</f>
        <v>2379.0001522656248</v>
      </c>
      <c r="D14" s="247">
        <f t="shared" ref="D14:D20" si="1">TREND($C$14:$C$53,$N$14:$N$53,$N14,TRUE)</f>
        <v>2098.8225490423501</v>
      </c>
      <c r="E14" s="247">
        <f t="shared" ref="E14:E20" si="2">GROWTH($C$14:$C$53,$N$14:$N$53,$N14,TRUE)</f>
        <v>2174.2954242337814</v>
      </c>
      <c r="F14"/>
      <c r="G14"/>
      <c r="H14"/>
      <c r="I14"/>
      <c r="J14"/>
      <c r="K14"/>
      <c r="L14"/>
      <c r="M14" s="2"/>
      <c r="N14" s="12">
        <f t="shared" ref="N14:N53" si="3">YEAR(A14)+MONTH(A14)/12</f>
        <v>2015.25</v>
      </c>
    </row>
    <row r="15" spans="1:18" x14ac:dyDescent="0.2">
      <c r="A15" s="12" t="str">
        <f t="shared" si="0"/>
        <v>6/30/2015</v>
      </c>
      <c r="B15" s="22"/>
      <c r="C15" s="246">
        <f>'[1]Boeckh (C)'!D47</f>
        <v>2391.2794456250003</v>
      </c>
      <c r="D15" s="247">
        <f t="shared" si="1"/>
        <v>2135.8697838084772</v>
      </c>
      <c r="E15" s="247">
        <f t="shared" si="2"/>
        <v>2202.077215329904</v>
      </c>
      <c r="F15"/>
      <c r="G15"/>
      <c r="H15"/>
      <c r="I15"/>
      <c r="J15"/>
      <c r="K15"/>
      <c r="L15"/>
      <c r="M15" s="2"/>
      <c r="N15" s="12">
        <f t="shared" si="3"/>
        <v>2015.5</v>
      </c>
    </row>
    <row r="16" spans="1:18" x14ac:dyDescent="0.2">
      <c r="A16" s="12" t="str">
        <f t="shared" si="0"/>
        <v>9/30/2015</v>
      </c>
      <c r="B16" s="22"/>
      <c r="C16" s="246">
        <f>'[1]Boeckh (C)'!D48</f>
        <v>2399.6567646093754</v>
      </c>
      <c r="D16" s="247">
        <f t="shared" si="1"/>
        <v>2172.9170185746625</v>
      </c>
      <c r="E16" s="247">
        <f t="shared" si="2"/>
        <v>2230.2139848286743</v>
      </c>
      <c r="F16"/>
      <c r="G16"/>
      <c r="H16"/>
      <c r="I16"/>
      <c r="J16"/>
      <c r="K16"/>
      <c r="L16"/>
      <c r="M16" s="2"/>
      <c r="N16" s="12">
        <f t="shared" si="3"/>
        <v>2015.75</v>
      </c>
    </row>
    <row r="17" spans="1:14" x14ac:dyDescent="0.2">
      <c r="A17" s="12" t="str">
        <f t="shared" si="0"/>
        <v>12/31/2015</v>
      </c>
      <c r="B17" s="22"/>
      <c r="C17" s="246">
        <f>'[1]Boeckh (C)'!D49</f>
        <v>2402.7906172656249</v>
      </c>
      <c r="D17" s="247">
        <f t="shared" si="1"/>
        <v>2209.9642533408478</v>
      </c>
      <c r="E17" s="247">
        <f t="shared" si="2"/>
        <v>2258.7102684227334</v>
      </c>
      <c r="F17"/>
      <c r="G17"/>
      <c r="H17"/>
      <c r="I17"/>
      <c r="J17"/>
      <c r="K17"/>
      <c r="L17"/>
      <c r="M17" s="2"/>
      <c r="N17" s="12">
        <f t="shared" si="3"/>
        <v>2016</v>
      </c>
    </row>
    <row r="18" spans="1:14" x14ac:dyDescent="0.2">
      <c r="A18" s="12" t="str">
        <f t="shared" si="0"/>
        <v>3/31/2016</v>
      </c>
      <c r="B18" s="22"/>
      <c r="C18" s="246">
        <f>'[1]Boeckh (C)'!D50</f>
        <v>2400.1201932031254</v>
      </c>
      <c r="D18" s="247">
        <f t="shared" si="1"/>
        <v>2247.0114881069749</v>
      </c>
      <c r="E18" s="247">
        <f t="shared" si="2"/>
        <v>2287.5706597590088</v>
      </c>
      <c r="F18"/>
      <c r="G18"/>
      <c r="H18"/>
      <c r="I18"/>
      <c r="J18"/>
      <c r="K18"/>
      <c r="L18"/>
      <c r="M18" s="2"/>
      <c r="N18" s="12">
        <f t="shared" si="3"/>
        <v>2016.25</v>
      </c>
    </row>
    <row r="19" spans="1:14" x14ac:dyDescent="0.2">
      <c r="A19" s="12" t="str">
        <f t="shared" si="0"/>
        <v>6/30/2016</v>
      </c>
      <c r="B19" s="22"/>
      <c r="C19" s="246">
        <f>'[1]Boeckh (C)'!D51</f>
        <v>2394.4024263281253</v>
      </c>
      <c r="D19" s="247">
        <f t="shared" si="1"/>
        <v>2284.0587228731601</v>
      </c>
      <c r="E19" s="247">
        <f t="shared" si="2"/>
        <v>2316.7998111791803</v>
      </c>
      <c r="F19"/>
      <c r="G19"/>
      <c r="H19"/>
      <c r="I19"/>
      <c r="J19"/>
      <c r="K19"/>
      <c r="L19"/>
      <c r="M19" s="2"/>
      <c r="N19" s="12">
        <f t="shared" si="3"/>
        <v>2016.5</v>
      </c>
    </row>
    <row r="20" spans="1:14" x14ac:dyDescent="0.2">
      <c r="A20" s="12" t="str">
        <f t="shared" si="0"/>
        <v>9/30/2016</v>
      </c>
      <c r="B20" s="22"/>
      <c r="C20" s="246">
        <f>'[1]Boeckh (C)'!D52</f>
        <v>2389.9976371875</v>
      </c>
      <c r="D20" s="247">
        <f t="shared" si="1"/>
        <v>2321.1059576392872</v>
      </c>
      <c r="E20" s="247">
        <f t="shared" si="2"/>
        <v>2346.4024344696522</v>
      </c>
      <c r="F20"/>
      <c r="G20"/>
      <c r="H20"/>
      <c r="I20"/>
      <c r="J20"/>
      <c r="K20"/>
      <c r="L20"/>
      <c r="M20" s="2"/>
      <c r="N20" s="12">
        <f t="shared" si="3"/>
        <v>2016.75</v>
      </c>
    </row>
    <row r="21" spans="1:14" x14ac:dyDescent="0.2">
      <c r="A21" s="12" t="str">
        <f t="shared" si="0"/>
        <v>12/31/2016</v>
      </c>
      <c r="B21" s="22"/>
      <c r="C21" s="246">
        <f>'[1]Boeckh (C)'!D53</f>
        <v>2389.0140510937499</v>
      </c>
      <c r="D21" s="247">
        <f>TREND($C$14:$C$53,$N$14:$N$53,$N21,TRUE)</f>
        <v>2358.1531924054725</v>
      </c>
      <c r="E21" s="247">
        <f>GROWTH($C$14:$C$53,$N$14:$N$53,$N21,TRUE)</f>
        <v>2376.3833016210956</v>
      </c>
      <c r="F21"/>
      <c r="G21"/>
      <c r="H21"/>
      <c r="I21"/>
      <c r="J21"/>
      <c r="K21"/>
      <c r="L21"/>
      <c r="M21" s="2"/>
      <c r="N21" s="12">
        <f t="shared" si="3"/>
        <v>2017</v>
      </c>
    </row>
    <row r="22" spans="1:14" x14ac:dyDescent="0.2">
      <c r="A22" s="12" t="str">
        <f t="shared" si="0"/>
        <v>3/31/2017</v>
      </c>
      <c r="B22" s="22"/>
      <c r="C22" s="246">
        <f>'[1]Boeckh (C)'!D54</f>
        <v>2395.2181153125002</v>
      </c>
      <c r="D22" s="247">
        <f t="shared" ref="D22:D53" si="4">TREND($C$14:$C$53,$N$14:$N$53,$N22,TRUE)</f>
        <v>2395.2004271715996</v>
      </c>
      <c r="E22" s="247">
        <f t="shared" ref="E22:E53" si="5">GROWTH($C$14:$C$53,$N$14:$N$53,$N22,TRUE)</f>
        <v>2406.7472455977017</v>
      </c>
      <c r="F22"/>
      <c r="G22"/>
      <c r="H22"/>
      <c r="I22"/>
      <c r="J22"/>
      <c r="K22"/>
      <c r="L22"/>
      <c r="M22" s="2"/>
      <c r="N22" s="12">
        <f t="shared" si="3"/>
        <v>2017.25</v>
      </c>
    </row>
    <row r="23" spans="1:14" x14ac:dyDescent="0.2">
      <c r="A23" s="12" t="str">
        <f t="shared" si="0"/>
        <v>6/30/2017</v>
      </c>
      <c r="B23" s="22"/>
      <c r="C23" s="246">
        <f>'[1]Boeckh (C)'!D55</f>
        <v>2408.6195184375006</v>
      </c>
      <c r="D23" s="247">
        <f t="shared" si="4"/>
        <v>2432.2476619377849</v>
      </c>
      <c r="E23" s="247">
        <f t="shared" si="5"/>
        <v>2437.4991611162673</v>
      </c>
      <c r="F23"/>
      <c r="G23"/>
      <c r="H23"/>
      <c r="I23"/>
      <c r="J23"/>
      <c r="K23"/>
      <c r="L23"/>
      <c r="M23" s="2"/>
      <c r="N23" s="12">
        <f t="shared" si="3"/>
        <v>2017.5</v>
      </c>
    </row>
    <row r="24" spans="1:14" x14ac:dyDescent="0.2">
      <c r="A24" s="12" t="str">
        <f t="shared" si="0"/>
        <v>9/30/2017</v>
      </c>
      <c r="B24"/>
      <c r="C24" s="246">
        <f>'[1]Boeckh (C)'!D56</f>
        <v>2427.4767911718754</v>
      </c>
      <c r="D24" s="247">
        <f t="shared" si="4"/>
        <v>2469.2948967039702</v>
      </c>
      <c r="E24" s="247">
        <f t="shared" si="5"/>
        <v>2468.6440054352252</v>
      </c>
      <c r="F24"/>
      <c r="G24"/>
      <c r="H24"/>
      <c r="I24"/>
      <c r="J24"/>
      <c r="K24"/>
      <c r="L24"/>
      <c r="M24" s="2"/>
      <c r="N24" s="12">
        <f t="shared" si="3"/>
        <v>2017.75</v>
      </c>
    </row>
    <row r="25" spans="1:14" x14ac:dyDescent="0.2">
      <c r="A25" s="12" t="str">
        <f t="shared" si="0"/>
        <v>12/31/2017</v>
      </c>
      <c r="B25"/>
      <c r="C25" s="246">
        <f>'[1]Boeckh (C)'!D57</f>
        <v>2446.4112276562505</v>
      </c>
      <c r="D25" s="247">
        <f t="shared" si="4"/>
        <v>2506.3421314700972</v>
      </c>
      <c r="E25" s="247">
        <f t="shared" si="5"/>
        <v>2500.186799153731</v>
      </c>
      <c r="F25"/>
      <c r="G25"/>
      <c r="H25"/>
      <c r="I25"/>
      <c r="J25"/>
      <c r="K25"/>
      <c r="L25"/>
      <c r="M25" s="2"/>
      <c r="N25" s="12">
        <f t="shared" si="3"/>
        <v>2018</v>
      </c>
    </row>
    <row r="26" spans="1:14" x14ac:dyDescent="0.2">
      <c r="A26" s="12" t="str">
        <f t="shared" si="0"/>
        <v>3/31/2018</v>
      </c>
      <c r="B26"/>
      <c r="C26" s="246">
        <f>'[1]Boeckh (C)'!D58</f>
        <v>2466.8920509375002</v>
      </c>
      <c r="D26" s="247">
        <f t="shared" si="4"/>
        <v>2543.3893662362825</v>
      </c>
      <c r="E26" s="247">
        <f t="shared" si="5"/>
        <v>2532.1326270211325</v>
      </c>
      <c r="F26"/>
      <c r="G26"/>
      <c r="H26"/>
      <c r="I26"/>
      <c r="J26"/>
      <c r="K26"/>
      <c r="L26"/>
      <c r="M26" s="2"/>
      <c r="N26" s="12">
        <f t="shared" si="3"/>
        <v>2018.25</v>
      </c>
    </row>
    <row r="27" spans="1:14" x14ac:dyDescent="0.2">
      <c r="A27" s="12" t="str">
        <f t="shared" si="0"/>
        <v>6/30/2018</v>
      </c>
      <c r="B27"/>
      <c r="C27" s="246">
        <f>'[1]Boeckh (C)'!D59</f>
        <v>2491.3659953906254</v>
      </c>
      <c r="D27" s="247">
        <f t="shared" si="4"/>
        <v>2580.4366010024096</v>
      </c>
      <c r="E27" s="247">
        <f t="shared" si="5"/>
        <v>2564.4866387564271</v>
      </c>
      <c r="F27"/>
      <c r="G27"/>
      <c r="H27"/>
      <c r="I27"/>
      <c r="J27"/>
      <c r="K27"/>
      <c r="L27"/>
      <c r="M27" s="2"/>
      <c r="N27" s="12">
        <f t="shared" si="3"/>
        <v>2018.5</v>
      </c>
    </row>
    <row r="28" spans="1:14" x14ac:dyDescent="0.2">
      <c r="A28" s="12" t="str">
        <f t="shared" si="0"/>
        <v>9/30/2018</v>
      </c>
      <c r="B28"/>
      <c r="C28" s="246">
        <f>'[1]Boeckh (C)'!D60</f>
        <v>2519.2573298437501</v>
      </c>
      <c r="D28" s="247">
        <f t="shared" si="4"/>
        <v>2617.4838357685949</v>
      </c>
      <c r="E28" s="247">
        <f t="shared" si="5"/>
        <v>2597.2540498785456</v>
      </c>
      <c r="F28"/>
      <c r="G28"/>
      <c r="H28"/>
      <c r="I28"/>
      <c r="J28"/>
      <c r="K28"/>
      <c r="L28"/>
      <c r="M28" s="2"/>
      <c r="N28" s="12">
        <f t="shared" si="3"/>
        <v>2018.75</v>
      </c>
    </row>
    <row r="29" spans="1:14" x14ac:dyDescent="0.2">
      <c r="A29" s="12" t="str">
        <f t="shared" si="0"/>
        <v>12/31/2018</v>
      </c>
      <c r="B29"/>
      <c r="C29" s="246">
        <f>'[1]Boeckh (C)'!D61</f>
        <v>2550.141099609375</v>
      </c>
      <c r="D29" s="247">
        <f t="shared" si="4"/>
        <v>2654.5310705347219</v>
      </c>
      <c r="E29" s="247">
        <f t="shared" si="5"/>
        <v>2630.4401425470678</v>
      </c>
      <c r="F29"/>
      <c r="G29"/>
      <c r="H29"/>
      <c r="I29"/>
      <c r="J29"/>
      <c r="K29"/>
      <c r="L29"/>
      <c r="M29" s="2"/>
      <c r="N29" s="12">
        <f t="shared" si="3"/>
        <v>2019</v>
      </c>
    </row>
    <row r="30" spans="1:14" x14ac:dyDescent="0.2">
      <c r="A30" s="12" t="str">
        <f t="shared" si="0"/>
        <v>3/31/2019</v>
      </c>
      <c r="B30"/>
      <c r="C30" s="246">
        <f>'[1]Boeckh (C)'!D62</f>
        <v>2574.5857467968754</v>
      </c>
      <c r="D30" s="247">
        <f t="shared" si="4"/>
        <v>2691.5783053009072</v>
      </c>
      <c r="E30" s="247">
        <f t="shared" si="5"/>
        <v>2664.0502664137148</v>
      </c>
      <c r="F30"/>
      <c r="G30"/>
      <c r="H30"/>
      <c r="I30"/>
      <c r="J30"/>
      <c r="K30"/>
      <c r="L30"/>
      <c r="M30" s="2"/>
      <c r="N30" s="12">
        <f t="shared" si="3"/>
        <v>2019.25</v>
      </c>
    </row>
    <row r="31" spans="1:14" x14ac:dyDescent="0.2">
      <c r="A31" s="12" t="str">
        <f t="shared" si="0"/>
        <v>6/30/2019</v>
      </c>
      <c r="B31"/>
      <c r="C31" s="246">
        <f>'[1]Boeckh (C)'!D63</f>
        <v>2586.3443174218755</v>
      </c>
      <c r="D31" s="247">
        <f t="shared" si="4"/>
        <v>2728.6255400670925</v>
      </c>
      <c r="E31" s="247">
        <f t="shared" si="5"/>
        <v>2698.0898394847209</v>
      </c>
      <c r="F31"/>
      <c r="G31"/>
      <c r="H31"/>
      <c r="I31"/>
      <c r="J31"/>
      <c r="K31"/>
      <c r="L31"/>
      <c r="M31" s="2"/>
      <c r="N31" s="12">
        <f t="shared" si="3"/>
        <v>2019.5</v>
      </c>
    </row>
    <row r="32" spans="1:14" x14ac:dyDescent="0.2">
      <c r="A32" s="12" t="str">
        <f t="shared" si="0"/>
        <v>9/30/2019</v>
      </c>
      <c r="B32"/>
      <c r="C32" s="246">
        <f>'[1]Boeckh (C)'!D64</f>
        <v>2587.5570428906249</v>
      </c>
      <c r="D32" s="247">
        <f t="shared" si="4"/>
        <v>2765.6727748332196</v>
      </c>
      <c r="E32" s="247">
        <f t="shared" si="5"/>
        <v>2732.5643489942258</v>
      </c>
      <c r="F32"/>
      <c r="G32"/>
      <c r="H32"/>
      <c r="I32"/>
      <c r="J32"/>
      <c r="K32"/>
      <c r="L32"/>
      <c r="M32" s="2"/>
      <c r="N32" s="12">
        <f t="shared" si="3"/>
        <v>2019.75</v>
      </c>
    </row>
    <row r="33" spans="1:14" x14ac:dyDescent="0.2">
      <c r="A33" s="12" t="str">
        <f t="shared" si="0"/>
        <v>12/31/2019</v>
      </c>
      <c r="B33" s="22"/>
      <c r="C33" s="246">
        <f>'[1]Boeckh (C)'!D65</f>
        <v>2584.8475767968753</v>
      </c>
      <c r="D33" s="247">
        <f t="shared" si="4"/>
        <v>2802.7200095994049</v>
      </c>
      <c r="E33" s="247">
        <f t="shared" si="5"/>
        <v>2767.4793522888258</v>
      </c>
      <c r="F33"/>
      <c r="G33"/>
      <c r="H33"/>
      <c r="I33"/>
      <c r="J33"/>
      <c r="K33"/>
      <c r="L33"/>
      <c r="M33" s="2"/>
      <c r="N33" s="12">
        <f t="shared" si="3"/>
        <v>2020</v>
      </c>
    </row>
    <row r="34" spans="1:14" x14ac:dyDescent="0.2">
      <c r="A34" s="12" t="str">
        <f t="shared" si="0"/>
        <v>3/31/2020</v>
      </c>
      <c r="B34" s="22"/>
      <c r="C34" s="246">
        <f>'[1]Boeckh (C)'!D66</f>
        <v>2583.3543867968751</v>
      </c>
      <c r="D34" s="247">
        <f t="shared" si="4"/>
        <v>2839.767244365532</v>
      </c>
      <c r="E34" s="247">
        <f t="shared" si="5"/>
        <v>2802.8404777234259</v>
      </c>
      <c r="F34"/>
      <c r="G34"/>
      <c r="H34"/>
      <c r="I34"/>
      <c r="J34"/>
      <c r="K34"/>
      <c r="L34"/>
      <c r="M34" s="2"/>
      <c r="N34" s="12">
        <f t="shared" si="3"/>
        <v>2020.25</v>
      </c>
    </row>
    <row r="35" spans="1:14" x14ac:dyDescent="0.2">
      <c r="A35" s="12" t="str">
        <f t="shared" si="0"/>
        <v>6/30/2020</v>
      </c>
      <c r="B35"/>
      <c r="C35" s="246">
        <f>'[1]Boeckh (C)'!D67</f>
        <v>2588.4560396093752</v>
      </c>
      <c r="D35" s="247">
        <f t="shared" si="4"/>
        <v>2876.8144791317172</v>
      </c>
      <c r="E35" s="247">
        <f t="shared" si="5"/>
        <v>2838.653425568541</v>
      </c>
      <c r="F35"/>
      <c r="G35"/>
      <c r="H35"/>
      <c r="I35"/>
      <c r="J35"/>
      <c r="K35"/>
      <c r="L35"/>
      <c r="M35" s="2"/>
      <c r="N35" s="12">
        <f t="shared" si="3"/>
        <v>2020.5</v>
      </c>
    </row>
    <row r="36" spans="1:14" x14ac:dyDescent="0.2">
      <c r="A36" s="12" t="str">
        <f t="shared" si="0"/>
        <v>9/30/2020</v>
      </c>
      <c r="C36" s="246">
        <f>'[1]Boeckh (C)'!D68</f>
        <v>2597.4197964843752</v>
      </c>
      <c r="D36" s="247">
        <f t="shared" si="4"/>
        <v>2913.8617138978443</v>
      </c>
      <c r="E36" s="247">
        <f t="shared" si="5"/>
        <v>2874.9239689291476</v>
      </c>
      <c r="F36"/>
      <c r="G36"/>
      <c r="H36"/>
      <c r="I36"/>
      <c r="J36"/>
      <c r="K36"/>
      <c r="L36"/>
      <c r="M36" s="2"/>
      <c r="N36" s="12">
        <f t="shared" si="3"/>
        <v>2020.75</v>
      </c>
    </row>
    <row r="37" spans="1:14" x14ac:dyDescent="0.2">
      <c r="A37" s="12" t="str">
        <f t="shared" si="0"/>
        <v>12/31/2020</v>
      </c>
      <c r="C37" s="246">
        <f>'[1]Boeckh (C)'!D69</f>
        <v>2622.6961740625002</v>
      </c>
      <c r="D37" s="247">
        <f t="shared" si="4"/>
        <v>2950.9089486640296</v>
      </c>
      <c r="E37" s="247">
        <f t="shared" si="5"/>
        <v>2911.6579546754783</v>
      </c>
      <c r="F37"/>
      <c r="G37"/>
      <c r="H37"/>
      <c r="I37"/>
      <c r="J37"/>
      <c r="K37"/>
      <c r="L37"/>
      <c r="M37" s="2"/>
      <c r="N37" s="12">
        <f t="shared" si="3"/>
        <v>2021</v>
      </c>
    </row>
    <row r="38" spans="1:14" x14ac:dyDescent="0.2">
      <c r="A38" s="12" t="str">
        <f t="shared" si="0"/>
        <v>3/31/2021</v>
      </c>
      <c r="C38" s="246">
        <f>'[1]Boeckh (C)'!D70</f>
        <v>2660.0442883593755</v>
      </c>
      <c r="D38" s="247">
        <f t="shared" si="4"/>
        <v>2987.9561834301567</v>
      </c>
      <c r="E38" s="247">
        <f t="shared" si="5"/>
        <v>2948.861304385307</v>
      </c>
      <c r="F38"/>
      <c r="G38"/>
      <c r="H38"/>
      <c r="I38"/>
      <c r="J38"/>
      <c r="K38"/>
      <c r="L38"/>
      <c r="M38" s="2"/>
      <c r="N38" s="12">
        <f t="shared" si="3"/>
        <v>2021.25</v>
      </c>
    </row>
    <row r="39" spans="1:14" x14ac:dyDescent="0.2">
      <c r="A39" s="12" t="str">
        <f t="shared" si="0"/>
        <v>6/30/2021</v>
      </c>
      <c r="C39" s="246">
        <f>'[1]Boeckh (C)'!D71</f>
        <v>2729.9047346093753</v>
      </c>
      <c r="D39" s="247">
        <f t="shared" si="4"/>
        <v>3025.003418196342</v>
      </c>
      <c r="E39" s="247">
        <f t="shared" si="5"/>
        <v>2986.5400152986758</v>
      </c>
      <c r="F39"/>
      <c r="G39"/>
      <c r="H39"/>
      <c r="I39"/>
      <c r="J39"/>
      <c r="K39"/>
      <c r="L39"/>
      <c r="M39" s="2"/>
      <c r="N39" s="12">
        <f t="shared" si="3"/>
        <v>2021.5</v>
      </c>
    </row>
    <row r="40" spans="1:14" x14ac:dyDescent="0.2">
      <c r="A40" s="12" t="str">
        <f t="shared" si="0"/>
        <v>9/30/2021</v>
      </c>
      <c r="C40" s="246">
        <f>'[1]Boeckh (C)'!D72</f>
        <v>2881.9937543750002</v>
      </c>
      <c r="D40" s="247">
        <f t="shared" si="4"/>
        <v>3062.0506529625272</v>
      </c>
      <c r="E40" s="247">
        <f t="shared" si="5"/>
        <v>3024.7001612846207</v>
      </c>
      <c r="F40"/>
      <c r="G40"/>
      <c r="H40"/>
      <c r="I40"/>
      <c r="J40"/>
      <c r="K40"/>
      <c r="L40"/>
      <c r="M40" s="2"/>
      <c r="N40" s="12">
        <f t="shared" si="3"/>
        <v>2021.75</v>
      </c>
    </row>
    <row r="41" spans="1:14" x14ac:dyDescent="0.2">
      <c r="A41" s="12" t="str">
        <f t="shared" si="0"/>
        <v>12/31/2021</v>
      </c>
      <c r="C41" s="246">
        <f>'[1]Boeckh (C)'!D73</f>
        <v>3011.4962307031251</v>
      </c>
      <c r="D41" s="247">
        <f t="shared" si="4"/>
        <v>3099.0978877286543</v>
      </c>
      <c r="E41" s="247">
        <f t="shared" si="5"/>
        <v>3063.3478938202884</v>
      </c>
      <c r="F41"/>
      <c r="G41"/>
      <c r="H41"/>
      <c r="I41"/>
      <c r="J41"/>
      <c r="K41"/>
      <c r="L41"/>
      <c r="M41" s="2"/>
      <c r="N41" s="12">
        <f t="shared" si="3"/>
        <v>2022</v>
      </c>
    </row>
    <row r="42" spans="1:14" x14ac:dyDescent="0.2">
      <c r="A42" s="12" t="str">
        <f t="shared" si="0"/>
        <v>3/31/2022</v>
      </c>
      <c r="C42" s="246">
        <f>'[1]Boeckh (C)'!D74</f>
        <v>3154.4045398437502</v>
      </c>
      <c r="D42" s="247">
        <f t="shared" si="4"/>
        <v>3136.1451224948396</v>
      </c>
      <c r="E42" s="247">
        <f t="shared" si="5"/>
        <v>3102.4894429825649</v>
      </c>
      <c r="F42"/>
      <c r="G42"/>
      <c r="H42"/>
      <c r="I42"/>
      <c r="J42"/>
      <c r="K42"/>
      <c r="L42"/>
      <c r="M42" s="2"/>
      <c r="N42" s="12">
        <f t="shared" si="3"/>
        <v>2022.25</v>
      </c>
    </row>
    <row r="43" spans="1:14" x14ac:dyDescent="0.2">
      <c r="A43" s="12" t="str">
        <f t="shared" si="0"/>
        <v>6/30/2022</v>
      </c>
      <c r="B43"/>
      <c r="C43" s="246">
        <f>'[1]Boeckh (C)'!D75</f>
        <v>3320.4425096093751</v>
      </c>
      <c r="D43" s="247">
        <f t="shared" si="4"/>
        <v>3173.1923572609667</v>
      </c>
      <c r="E43" s="247">
        <f t="shared" si="5"/>
        <v>3142.1311184523734</v>
      </c>
      <c r="F43"/>
      <c r="G43"/>
      <c r="H43"/>
      <c r="I43"/>
      <c r="J43"/>
      <c r="K43"/>
      <c r="L43"/>
      <c r="M43" s="2"/>
      <c r="N43" s="12">
        <f t="shared" si="3"/>
        <v>2022.5</v>
      </c>
    </row>
    <row r="44" spans="1:14" x14ac:dyDescent="0.2">
      <c r="A44" s="12" t="str">
        <f t="shared" si="0"/>
        <v>9/30/2022</v>
      </c>
      <c r="C44" s="246">
        <f>'[1]Boeckh (C)'!D76</f>
        <v>3416.7185463281253</v>
      </c>
      <c r="D44" s="247">
        <f t="shared" si="4"/>
        <v>3210.239592027152</v>
      </c>
      <c r="E44" s="247">
        <f t="shared" si="5"/>
        <v>3182.279310531806</v>
      </c>
      <c r="F44"/>
      <c r="G44"/>
      <c r="H44"/>
      <c r="I44"/>
      <c r="J44"/>
      <c r="K44"/>
      <c r="L44"/>
      <c r="M44" s="2"/>
      <c r="N44" s="12">
        <f t="shared" si="3"/>
        <v>2022.75</v>
      </c>
    </row>
    <row r="45" spans="1:14" x14ac:dyDescent="0.2">
      <c r="A45" s="12" t="str">
        <f t="shared" si="0"/>
        <v>12/31/2022</v>
      </c>
      <c r="C45" s="246">
        <f>'[1]Boeckh (C)'!D77</f>
        <v>3517.1262910937498</v>
      </c>
      <c r="D45" s="247">
        <f t="shared" si="4"/>
        <v>3247.286826793279</v>
      </c>
      <c r="E45" s="247">
        <f t="shared" si="5"/>
        <v>3222.9404911742499</v>
      </c>
      <c r="F45"/>
      <c r="G45"/>
      <c r="H45"/>
      <c r="I45"/>
      <c r="J45"/>
      <c r="K45"/>
      <c r="L45"/>
      <c r="M45" s="2"/>
      <c r="N45" s="12">
        <f t="shared" si="3"/>
        <v>2023</v>
      </c>
    </row>
    <row r="46" spans="1:14" x14ac:dyDescent="0.2">
      <c r="A46" s="12" t="str">
        <f t="shared" si="0"/>
        <v>3/31/2023</v>
      </c>
      <c r="C46" s="246">
        <f>'[1]Boeckh (C)'!D78</f>
        <v>3580.234025390625</v>
      </c>
      <c r="D46" s="247">
        <f t="shared" si="4"/>
        <v>3284.3340615594643</v>
      </c>
      <c r="E46" s="247">
        <f t="shared" si="5"/>
        <v>3264.1212150276292</v>
      </c>
      <c r="F46"/>
      <c r="G46"/>
      <c r="H46"/>
      <c r="I46"/>
      <c r="J46"/>
      <c r="K46"/>
      <c r="L46"/>
      <c r="M46" s="2"/>
      <c r="N46" s="12">
        <f t="shared" si="3"/>
        <v>2023.25</v>
      </c>
    </row>
    <row r="47" spans="1:14" x14ac:dyDescent="0.2">
      <c r="A47" s="12" t="str">
        <f t="shared" si="0"/>
        <v>6/30/2023</v>
      </c>
      <c r="C47" s="246">
        <f>'[1]Boeckh (C)'!D79</f>
        <v>3583.6431788281247</v>
      </c>
      <c r="D47" s="247">
        <f t="shared" si="4"/>
        <v>3321.3812963256496</v>
      </c>
      <c r="E47" s="247">
        <f t="shared" si="5"/>
        <v>3305.8281204912137</v>
      </c>
      <c r="F47"/>
      <c r="G47"/>
      <c r="H47"/>
      <c r="I47"/>
      <c r="J47"/>
      <c r="K47"/>
      <c r="L47"/>
      <c r="M47" s="2"/>
      <c r="N47" s="12">
        <f t="shared" si="3"/>
        <v>2023.5</v>
      </c>
    </row>
    <row r="48" spans="1:14" x14ac:dyDescent="0.2">
      <c r="A48" s="12" t="str">
        <f t="shared" si="0"/>
        <v>9/30/2023</v>
      </c>
      <c r="B48"/>
      <c r="C48" s="246">
        <f>'[1]Boeckh (C)'!D80</f>
        <v>3569.6586029687501</v>
      </c>
      <c r="D48" s="247">
        <f t="shared" si="4"/>
        <v>3358.4285310917767</v>
      </c>
      <c r="E48" s="247">
        <f t="shared" si="5"/>
        <v>3348.0679307854584</v>
      </c>
      <c r="F48"/>
      <c r="G48"/>
      <c r="H48"/>
      <c r="I48"/>
      <c r="J48"/>
      <c r="K48"/>
      <c r="L48"/>
      <c r="M48" s="2"/>
      <c r="N48" s="12">
        <f t="shared" si="3"/>
        <v>2023.75</v>
      </c>
    </row>
    <row r="49" spans="1:14" x14ac:dyDescent="0.2">
      <c r="A49" s="12" t="str">
        <f t="shared" si="0"/>
        <v>12/31/2023</v>
      </c>
      <c r="C49" s="246">
        <f>'[1]Boeckh (C)'!D81</f>
        <v>3554.9732320312501</v>
      </c>
      <c r="D49" s="247">
        <f t="shared" si="4"/>
        <v>3395.475765857962</v>
      </c>
      <c r="E49" s="247">
        <f t="shared" si="5"/>
        <v>3390.8474550359838</v>
      </c>
      <c r="F49"/>
      <c r="G49"/>
      <c r="H49"/>
      <c r="I49"/>
      <c r="J49"/>
      <c r="K49"/>
      <c r="L49"/>
      <c r="M49" s="2"/>
      <c r="N49" s="12">
        <f t="shared" si="3"/>
        <v>2024</v>
      </c>
    </row>
    <row r="50" spans="1:14" x14ac:dyDescent="0.2">
      <c r="A50" s="12" t="str">
        <f t="shared" si="0"/>
        <v>3/31/2024</v>
      </c>
      <c r="C50" s="246">
        <f>'[1]Boeckh (C)'!D82</f>
        <v>3556.612589921875</v>
      </c>
      <c r="D50" s="247">
        <f t="shared" si="4"/>
        <v>3432.523000624089</v>
      </c>
      <c r="E50" s="247">
        <f t="shared" si="5"/>
        <v>3434.1735893711707</v>
      </c>
      <c r="F50"/>
      <c r="G50"/>
      <c r="H50"/>
      <c r="I50"/>
      <c r="J50"/>
      <c r="K50"/>
      <c r="L50"/>
      <c r="M50" s="2"/>
      <c r="N50" s="12">
        <f t="shared" si="3"/>
        <v>2024.25</v>
      </c>
    </row>
    <row r="51" spans="1:14" x14ac:dyDescent="0.2">
      <c r="A51" s="12" t="str">
        <f t="shared" si="0"/>
        <v>6/30/2024</v>
      </c>
      <c r="C51" s="246">
        <f>'[1]Boeckh (C)'!D83</f>
        <v>3563.6823228124999</v>
      </c>
      <c r="D51" s="247">
        <f t="shared" si="4"/>
        <v>3469.5702353902743</v>
      </c>
      <c r="E51" s="247">
        <f t="shared" si="5"/>
        <v>3478.0533180338298</v>
      </c>
      <c r="F51"/>
      <c r="G51"/>
      <c r="H51"/>
      <c r="I51"/>
      <c r="J51"/>
      <c r="K51"/>
      <c r="L51"/>
      <c r="M51" s="2"/>
      <c r="N51" s="12">
        <f t="shared" si="3"/>
        <v>2024.5</v>
      </c>
    </row>
    <row r="52" spans="1:14" x14ac:dyDescent="0.2">
      <c r="A52" s="12" t="str">
        <f t="shared" si="0"/>
        <v>9/30/2024</v>
      </c>
      <c r="C52" s="246">
        <f>'[1]Boeckh (C)'!D84</f>
        <v>3577.1540426562506</v>
      </c>
      <c r="D52" s="247">
        <f t="shared" si="4"/>
        <v>3506.6174701564014</v>
      </c>
      <c r="E52" s="247">
        <f t="shared" si="5"/>
        <v>3522.4937145070703</v>
      </c>
      <c r="F52"/>
      <c r="G52"/>
      <c r="H52"/>
      <c r="I52"/>
      <c r="J52"/>
      <c r="K52"/>
      <c r="L52"/>
      <c r="M52" s="2"/>
      <c r="N52" s="12">
        <f t="shared" si="3"/>
        <v>2024.75</v>
      </c>
    </row>
    <row r="53" spans="1:14" x14ac:dyDescent="0.2">
      <c r="A53" s="12" t="str">
        <f>TEXT(N9,"m/d/yyyy")</f>
        <v>12/31/2024</v>
      </c>
      <c r="C53" s="246">
        <f>'[1]Boeckh (C)'!D85</f>
        <v>3594.7516929687499</v>
      </c>
      <c r="D53" s="247">
        <f t="shared" si="4"/>
        <v>3543.6647049225867</v>
      </c>
      <c r="E53" s="247">
        <f t="shared" si="5"/>
        <v>3567.5019426545573</v>
      </c>
      <c r="F53"/>
      <c r="G53"/>
      <c r="H53"/>
      <c r="I53"/>
      <c r="J53"/>
      <c r="K53"/>
      <c r="L53"/>
      <c r="M53" s="2"/>
      <c r="N53" s="12">
        <f t="shared" si="3"/>
        <v>2025</v>
      </c>
    </row>
    <row r="54" spans="1:14" x14ac:dyDescent="0.2">
      <c r="A54" s="75"/>
      <c r="B54" s="9"/>
      <c r="C54" s="120"/>
      <c r="D54" s="74"/>
      <c r="E54" s="74"/>
      <c r="L54"/>
      <c r="M54" s="2"/>
    </row>
    <row r="55" spans="1:14" x14ac:dyDescent="0.2">
      <c r="A55"/>
      <c r="C55"/>
      <c r="D55"/>
      <c r="E55"/>
      <c r="F55"/>
      <c r="G55"/>
      <c r="H55"/>
      <c r="I55"/>
      <c r="J55"/>
      <c r="K55"/>
      <c r="L55"/>
      <c r="M55" s="2"/>
    </row>
    <row r="56" spans="1:14" x14ac:dyDescent="0.2">
      <c r="A56" s="12" t="s">
        <v>257</v>
      </c>
      <c r="C56"/>
      <c r="D56" s="19">
        <f>(D53-D49)/D53</f>
        <v>4.1817991092320907E-2</v>
      </c>
      <c r="E56" s="19">
        <f>LOGEST($C$34:$C$53,$N$34:$N$53,TRUE,TRUE)-1</f>
        <v>9.0577453136805319E-2</v>
      </c>
      <c r="F56"/>
      <c r="G56"/>
      <c r="H56"/>
      <c r="I56"/>
      <c r="J56"/>
      <c r="K56"/>
      <c r="L56"/>
      <c r="M56" s="2"/>
    </row>
    <row r="57" spans="1:14" x14ac:dyDescent="0.2">
      <c r="A57" t="s">
        <v>258</v>
      </c>
      <c r="B57"/>
      <c r="C57" s="59"/>
      <c r="D57" s="28">
        <f>INDEX(LINEST($C$14:$C$53,$N$14:$N$53,TRUE,TRUE),3,1)</f>
        <v>0.83800370128952228</v>
      </c>
      <c r="E57" s="28">
        <f>INDEX(LOGEST($C$14:$C$53,$N$14:$N$53,TRUE,TRUE),3,1)</f>
        <v>0.85989824701923356</v>
      </c>
      <c r="F57"/>
      <c r="G57"/>
      <c r="H57"/>
      <c r="I57"/>
      <c r="J57"/>
      <c r="K57"/>
      <c r="L57"/>
      <c r="M57" s="2"/>
    </row>
    <row r="58" spans="1:14" ht="12" thickBot="1" x14ac:dyDescent="0.25">
      <c r="A58" s="6"/>
      <c r="B58" s="6"/>
      <c r="C58" s="6"/>
      <c r="D58" s="6"/>
      <c r="E58" s="6"/>
      <c r="F58"/>
      <c r="G58"/>
      <c r="H58"/>
      <c r="I58"/>
      <c r="J58"/>
      <c r="K58"/>
      <c r="L58"/>
      <c r="M58" s="2"/>
    </row>
    <row r="59" spans="1:14" ht="12" thickTop="1" x14ac:dyDescent="0.2">
      <c r="A59"/>
      <c r="B59"/>
      <c r="C59"/>
      <c r="D59"/>
      <c r="E59"/>
      <c r="F59"/>
      <c r="G59"/>
      <c r="H59"/>
      <c r="I59"/>
      <c r="J59"/>
      <c r="K59"/>
      <c r="L59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1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4" x14ac:dyDescent="0.2">
      <c r="B62" s="12" t="str">
        <f>D12&amp;" - "&amp;E12&amp;" = "&amp;C12&amp;" Fitted to linear and exponential distributions"</f>
        <v>(3) - (4) = (2) Fitted to linear and exponential distributions</v>
      </c>
      <c r="L62"/>
      <c r="M62" s="2"/>
    </row>
    <row r="63" spans="1:14" x14ac:dyDescent="0.2">
      <c r="L63"/>
      <c r="M63" s="2"/>
    </row>
    <row r="64" spans="1:14" x14ac:dyDescent="0.2">
      <c r="L64"/>
      <c r="M64" s="2"/>
    </row>
    <row r="65" spans="1:13" x14ac:dyDescent="0.2">
      <c r="L65"/>
      <c r="M65" s="2"/>
    </row>
    <row r="66" spans="1:13" x14ac:dyDescent="0.2">
      <c r="L66"/>
      <c r="M66" s="2"/>
    </row>
    <row r="67" spans="1:13" x14ac:dyDescent="0.2">
      <c r="L67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>
    <tabColor rgb="FF00B050"/>
  </sheetPr>
  <dimension ref="A1:R63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8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42</v>
      </c>
      <c r="M1" s="1"/>
      <c r="Q1"/>
      <c r="R1"/>
    </row>
    <row r="2" spans="1:18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461</v>
      </c>
      <c r="M2" s="2"/>
    </row>
    <row r="3" spans="1:18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70" t="s">
        <v>235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70" t="s">
        <v>275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2" thickBot="1" x14ac:dyDescent="0.25">
      <c r="A7" s="6"/>
      <c r="B7" s="6"/>
      <c r="C7" s="6"/>
      <c r="D7" s="6"/>
      <c r="E7" s="6"/>
      <c r="F7"/>
      <c r="G7"/>
      <c r="H7"/>
      <c r="I7"/>
      <c r="J7"/>
      <c r="K7"/>
      <c r="L7"/>
      <c r="M7" s="2"/>
    </row>
    <row r="8" spans="1:18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248</v>
      </c>
    </row>
    <row r="9" spans="1:18" x14ac:dyDescent="0.2">
      <c r="A9" t="s">
        <v>155</v>
      </c>
      <c r="B9"/>
      <c r="C9" s="133" t="s">
        <v>249</v>
      </c>
      <c r="D9" s="256" t="s">
        <v>250</v>
      </c>
      <c r="E9" s="256"/>
      <c r="F9"/>
      <c r="G9"/>
      <c r="H9"/>
      <c r="I9"/>
      <c r="J9"/>
      <c r="K9"/>
      <c r="L9"/>
      <c r="M9" s="2"/>
      <c r="N9" s="36">
        <f>'3.2b'!$N$9</f>
        <v>45657</v>
      </c>
    </row>
    <row r="10" spans="1:18" x14ac:dyDescent="0.2">
      <c r="A10" t="s">
        <v>232</v>
      </c>
      <c r="B10"/>
      <c r="C10" s="11" t="s">
        <v>238</v>
      </c>
      <c r="D10" s="11" t="s">
        <v>251</v>
      </c>
      <c r="E10" s="11"/>
      <c r="F10"/>
      <c r="G10"/>
      <c r="H10"/>
      <c r="I10"/>
      <c r="M10" s="2"/>
    </row>
    <row r="11" spans="1:18" x14ac:dyDescent="0.2">
      <c r="A11" s="9" t="s">
        <v>25</v>
      </c>
      <c r="B11" s="9"/>
      <c r="C11" s="143" t="s">
        <v>233</v>
      </c>
      <c r="D11" s="143" t="s">
        <v>255</v>
      </c>
      <c r="E11" s="143" t="s">
        <v>256</v>
      </c>
      <c r="F11"/>
      <c r="G11"/>
      <c r="H11"/>
      <c r="I11"/>
      <c r="M11" s="2"/>
      <c r="N11" s="9" t="s">
        <v>233</v>
      </c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/>
      <c r="G12"/>
      <c r="H12"/>
      <c r="I12"/>
      <c r="M12" s="2"/>
    </row>
    <row r="13" spans="1:18" x14ac:dyDescent="0.2">
      <c r="A13"/>
      <c r="B13"/>
      <c r="C13"/>
      <c r="D13"/>
      <c r="E13"/>
      <c r="F13"/>
      <c r="G13"/>
      <c r="H13"/>
      <c r="I13"/>
      <c r="M13" s="2"/>
    </row>
    <row r="14" spans="1:18" x14ac:dyDescent="0.2">
      <c r="A14" s="12" t="str">
        <f t="shared" ref="A14:A52" si="0">TEXT(DATE(YEAR(A15+1),MONTH(A15+1)-3,1)-1,"m/d/yyyy")</f>
        <v>3/31/2015</v>
      </c>
      <c r="B14" s="22"/>
      <c r="C14" s="248">
        <f>'[1]Boeckh (C)'!E46</f>
        <v>2408.7474253125006</v>
      </c>
      <c r="D14" s="247">
        <f t="shared" ref="D14:D53" si="1">TREND($C$14:$C$53,$N$14:$N$53,$N14,TRUE)</f>
        <v>2122.3226664954564</v>
      </c>
      <c r="E14" s="247">
        <f t="shared" ref="E14:E53" si="2">GROWTH($C$14:$C$53,$N$14:$N$53,$N14,TRUE)</f>
        <v>2200.1691595540124</v>
      </c>
      <c r="F14" s="66"/>
      <c r="G14"/>
      <c r="H14"/>
      <c r="I14"/>
      <c r="M14" s="2"/>
      <c r="N14" s="12">
        <f t="shared" ref="N14:N45" si="3">YEAR(A14)+MONTH(A14)/12</f>
        <v>2015.25</v>
      </c>
    </row>
    <row r="15" spans="1:18" x14ac:dyDescent="0.2">
      <c r="A15" s="12" t="str">
        <f t="shared" si="0"/>
        <v>6/30/2015</v>
      </c>
      <c r="B15" s="22"/>
      <c r="C15" s="248">
        <f>'[1]Boeckh (C)'!E47</f>
        <v>2420.4066109375008</v>
      </c>
      <c r="D15" s="247">
        <f t="shared" si="1"/>
        <v>2160.2645433057914</v>
      </c>
      <c r="E15" s="247">
        <f t="shared" si="2"/>
        <v>2228.5450993112649</v>
      </c>
      <c r="F15" s="66"/>
      <c r="G15"/>
      <c r="H15"/>
      <c r="I15"/>
      <c r="M15" s="2"/>
      <c r="N15" s="12">
        <f t="shared" si="3"/>
        <v>2015.5</v>
      </c>
    </row>
    <row r="16" spans="1:18" x14ac:dyDescent="0.2">
      <c r="A16" s="12" t="str">
        <f t="shared" si="0"/>
        <v>9/30/2015</v>
      </c>
      <c r="B16"/>
      <c r="C16" s="248">
        <f>'[1]Boeckh (C)'!E48</f>
        <v>2429.4589703125002</v>
      </c>
      <c r="D16" s="247">
        <f t="shared" si="1"/>
        <v>2198.2064201161265</v>
      </c>
      <c r="E16" s="247">
        <f t="shared" si="2"/>
        <v>2257.287008182157</v>
      </c>
      <c r="F16" s="66"/>
      <c r="G16"/>
      <c r="H16"/>
      <c r="I16"/>
      <c r="M16" s="2"/>
      <c r="N16" s="12">
        <f t="shared" si="3"/>
        <v>2015.75</v>
      </c>
    </row>
    <row r="17" spans="1:14" x14ac:dyDescent="0.2">
      <c r="A17" s="12" t="str">
        <f t="shared" si="0"/>
        <v>12/31/2015</v>
      </c>
      <c r="B17"/>
      <c r="C17" s="248">
        <f>'[1]Boeckh (C)'!E49</f>
        <v>2433.7049350000002</v>
      </c>
      <c r="D17" s="247">
        <f t="shared" si="1"/>
        <v>2236.1482969264616</v>
      </c>
      <c r="E17" s="247">
        <f t="shared" si="2"/>
        <v>2286.3996061298485</v>
      </c>
      <c r="F17" s="66"/>
      <c r="G17"/>
      <c r="H17"/>
      <c r="I17"/>
      <c r="M17" s="2"/>
      <c r="N17" s="12">
        <f t="shared" si="3"/>
        <v>2016</v>
      </c>
    </row>
    <row r="18" spans="1:14" x14ac:dyDescent="0.2">
      <c r="A18" s="12" t="str">
        <f t="shared" si="0"/>
        <v>3/31/2016</v>
      </c>
      <c r="B18"/>
      <c r="C18" s="248">
        <f>'[1]Boeckh (C)'!E50</f>
        <v>2432.7721259374998</v>
      </c>
      <c r="D18" s="247">
        <f t="shared" si="1"/>
        <v>2274.0901737367967</v>
      </c>
      <c r="E18" s="247">
        <f t="shared" si="2"/>
        <v>2315.8876739917632</v>
      </c>
      <c r="F18" s="66"/>
      <c r="G18"/>
      <c r="H18"/>
      <c r="I18"/>
      <c r="M18" s="2"/>
      <c r="N18" s="12">
        <f t="shared" si="3"/>
        <v>2016.25</v>
      </c>
    </row>
    <row r="19" spans="1:14" x14ac:dyDescent="0.2">
      <c r="A19" s="12" t="str">
        <f t="shared" si="0"/>
        <v>6/30/2016</v>
      </c>
      <c r="B19"/>
      <c r="C19" s="248">
        <f>'[1]Boeckh (C)'!E51</f>
        <v>2428.4900681250001</v>
      </c>
      <c r="D19" s="247">
        <f t="shared" si="1"/>
        <v>2312.0320505471318</v>
      </c>
      <c r="E19" s="247">
        <f t="shared" si="2"/>
        <v>2345.7560542644305</v>
      </c>
      <c r="F19" s="66"/>
      <c r="G19"/>
      <c r="H19"/>
      <c r="I19"/>
      <c r="M19" s="2"/>
      <c r="N19" s="12">
        <f t="shared" si="3"/>
        <v>2016.5</v>
      </c>
    </row>
    <row r="20" spans="1:14" x14ac:dyDescent="0.2">
      <c r="A20" s="12" t="str">
        <f t="shared" si="0"/>
        <v>9/30/2016</v>
      </c>
      <c r="B20"/>
      <c r="C20" s="248">
        <f>'[1]Boeckh (C)'!E52</f>
        <v>2423.66251625</v>
      </c>
      <c r="D20" s="247">
        <f t="shared" si="1"/>
        <v>2349.9739273574087</v>
      </c>
      <c r="E20" s="247">
        <f t="shared" si="2"/>
        <v>2376.0096518989462</v>
      </c>
      <c r="F20" s="66"/>
      <c r="G20"/>
      <c r="H20"/>
      <c r="I20"/>
      <c r="M20" s="2"/>
      <c r="N20" s="12">
        <f t="shared" si="3"/>
        <v>2016.75</v>
      </c>
    </row>
    <row r="21" spans="1:14" x14ac:dyDescent="0.2">
      <c r="A21" s="12" t="str">
        <f t="shared" si="0"/>
        <v>12/31/2016</v>
      </c>
      <c r="B21"/>
      <c r="C21" s="248">
        <f>'[1]Boeckh (C)'!E53</f>
        <v>2420.5812343750003</v>
      </c>
      <c r="D21" s="247">
        <f t="shared" si="1"/>
        <v>2387.9158041677438</v>
      </c>
      <c r="E21" s="247">
        <f t="shared" si="2"/>
        <v>2406.6534351063606</v>
      </c>
      <c r="F21" s="66"/>
      <c r="G21"/>
      <c r="H21"/>
      <c r="I21"/>
      <c r="M21" s="2"/>
      <c r="N21" s="12">
        <f t="shared" si="3"/>
        <v>2017</v>
      </c>
    </row>
    <row r="22" spans="1:14" x14ac:dyDescent="0.2">
      <c r="A22" s="12" t="str">
        <f t="shared" si="0"/>
        <v>3/31/2017</v>
      </c>
      <c r="B22"/>
      <c r="C22" s="248">
        <f>'[1]Boeckh (C)'!E54</f>
        <v>2424.2738562499999</v>
      </c>
      <c r="D22" s="247">
        <f t="shared" si="1"/>
        <v>2425.8576809780789</v>
      </c>
      <c r="E22" s="247">
        <f t="shared" si="2"/>
        <v>2437.692436173445</v>
      </c>
      <c r="F22" s="66"/>
      <c r="G22"/>
      <c r="H22"/>
      <c r="I22"/>
      <c r="M22" s="2"/>
      <c r="N22" s="12">
        <f t="shared" si="3"/>
        <v>2017.25</v>
      </c>
    </row>
    <row r="23" spans="1:14" x14ac:dyDescent="0.2">
      <c r="A23" s="12" t="str">
        <f t="shared" si="0"/>
        <v>6/30/2017</v>
      </c>
      <c r="B23"/>
      <c r="C23" s="248">
        <f>'[1]Boeckh (C)'!E55</f>
        <v>2437.0245412499999</v>
      </c>
      <c r="D23" s="247">
        <f t="shared" si="1"/>
        <v>2463.7995577884139</v>
      </c>
      <c r="E23" s="247">
        <f t="shared" si="2"/>
        <v>2469.1317522893332</v>
      </c>
      <c r="F23" s="66"/>
      <c r="G23"/>
      <c r="H23"/>
      <c r="I23"/>
      <c r="M23" s="2"/>
      <c r="N23" s="12">
        <f t="shared" si="3"/>
        <v>2017.5</v>
      </c>
    </row>
    <row r="24" spans="1:14" x14ac:dyDescent="0.2">
      <c r="A24" s="12" t="str">
        <f t="shared" si="0"/>
        <v>9/30/2017</v>
      </c>
      <c r="B24"/>
      <c r="C24" s="248">
        <f>'[1]Boeckh (C)'!E56</f>
        <v>2454.0778749999999</v>
      </c>
      <c r="D24" s="247">
        <f t="shared" si="1"/>
        <v>2501.741434598749</v>
      </c>
      <c r="E24" s="247">
        <f t="shared" si="2"/>
        <v>2500.9765463822946</v>
      </c>
      <c r="F24" s="66"/>
      <c r="G24"/>
      <c r="H24"/>
      <c r="I24"/>
      <c r="M24" s="2"/>
      <c r="N24" s="12">
        <f t="shared" si="3"/>
        <v>2017.75</v>
      </c>
    </row>
    <row r="25" spans="1:14" x14ac:dyDescent="0.2">
      <c r="A25" s="12" t="str">
        <f t="shared" si="0"/>
        <v>12/31/2017</v>
      </c>
      <c r="B25" s="22"/>
      <c r="C25" s="248">
        <f>'[1]Boeckh (C)'!E57</f>
        <v>2474.477901875</v>
      </c>
      <c r="D25" s="247">
        <f t="shared" si="1"/>
        <v>2539.6833114090841</v>
      </c>
      <c r="E25" s="247">
        <f t="shared" si="2"/>
        <v>2533.2320479678328</v>
      </c>
      <c r="F25" s="66"/>
      <c r="G25"/>
      <c r="H25"/>
      <c r="I25"/>
      <c r="M25" s="2"/>
      <c r="N25" s="12">
        <f t="shared" si="3"/>
        <v>2018</v>
      </c>
    </row>
    <row r="26" spans="1:14" x14ac:dyDescent="0.2">
      <c r="A26" s="12" t="str">
        <f t="shared" si="0"/>
        <v>3/31/2018</v>
      </c>
      <c r="B26" s="22"/>
      <c r="C26" s="248">
        <f>'[1]Boeckh (C)'!E58</f>
        <v>2495.3126140625004</v>
      </c>
      <c r="D26" s="247">
        <f t="shared" si="1"/>
        <v>2577.6251882194192</v>
      </c>
      <c r="E26" s="247">
        <f t="shared" si="2"/>
        <v>2565.9035540073637</v>
      </c>
      <c r="F26" s="66"/>
      <c r="G26"/>
      <c r="H26"/>
      <c r="I26"/>
      <c r="M26" s="2"/>
      <c r="N26" s="12">
        <f t="shared" si="3"/>
        <v>2018.25</v>
      </c>
    </row>
    <row r="27" spans="1:14" x14ac:dyDescent="0.2">
      <c r="A27" s="12" t="str">
        <f t="shared" si="0"/>
        <v>6/30/2018</v>
      </c>
      <c r="B27"/>
      <c r="C27" s="248">
        <f>'[1]Boeckh (C)'!E59</f>
        <v>2519.5054493750004</v>
      </c>
      <c r="D27" s="247">
        <f t="shared" si="1"/>
        <v>2615.5670650297543</v>
      </c>
      <c r="E27" s="247">
        <f t="shared" si="2"/>
        <v>2598.996429777967</v>
      </c>
      <c r="F27" s="66"/>
      <c r="G27"/>
      <c r="H27"/>
      <c r="I27"/>
      <c r="M27" s="2"/>
      <c r="N27" s="12">
        <f t="shared" si="3"/>
        <v>2018.5</v>
      </c>
    </row>
    <row r="28" spans="1:14" x14ac:dyDescent="0.2">
      <c r="A28" s="12" t="str">
        <f t="shared" si="0"/>
        <v>9/30/2018</v>
      </c>
      <c r="C28" s="248">
        <f>'[1]Boeckh (C)'!E60</f>
        <v>2548.5952846875002</v>
      </c>
      <c r="D28" s="247">
        <f t="shared" si="1"/>
        <v>2653.5089418400894</v>
      </c>
      <c r="E28" s="247">
        <f t="shared" si="2"/>
        <v>2632.5161097537225</v>
      </c>
      <c r="F28" s="66"/>
      <c r="G28"/>
      <c r="H28"/>
      <c r="I28"/>
      <c r="M28" s="2"/>
      <c r="N28" s="12">
        <f t="shared" si="3"/>
        <v>2018.75</v>
      </c>
    </row>
    <row r="29" spans="1:14" x14ac:dyDescent="0.2">
      <c r="A29" s="12" t="str">
        <f t="shared" si="0"/>
        <v>12/31/2018</v>
      </c>
      <c r="C29" s="248">
        <f>'[1]Boeckh (C)'!E61</f>
        <v>2582.9126603124996</v>
      </c>
      <c r="D29" s="247">
        <f t="shared" si="1"/>
        <v>2691.4508186504245</v>
      </c>
      <c r="E29" s="247">
        <f t="shared" si="2"/>
        <v>2666.4680984978568</v>
      </c>
      <c r="F29" s="66"/>
      <c r="G29"/>
      <c r="H29"/>
      <c r="I29"/>
      <c r="M29" s="2"/>
      <c r="N29" s="12">
        <f t="shared" si="3"/>
        <v>2019</v>
      </c>
    </row>
    <row r="30" spans="1:14" x14ac:dyDescent="0.2">
      <c r="A30" s="12" t="str">
        <f t="shared" si="0"/>
        <v>3/31/2019</v>
      </c>
      <c r="C30" s="248">
        <f>'[1]Boeckh (C)'!E62</f>
        <v>2613.7853681249999</v>
      </c>
      <c r="D30" s="247">
        <f t="shared" si="1"/>
        <v>2729.3926954607596</v>
      </c>
      <c r="E30" s="247">
        <f t="shared" si="2"/>
        <v>2700.8579715669957</v>
      </c>
      <c r="F30" s="66"/>
      <c r="G30"/>
      <c r="H30"/>
      <c r="I30"/>
      <c r="M30" s="2"/>
      <c r="N30" s="12">
        <f t="shared" si="3"/>
        <v>2019.25</v>
      </c>
    </row>
    <row r="31" spans="1:14" x14ac:dyDescent="0.2">
      <c r="A31" s="12" t="str">
        <f t="shared" si="0"/>
        <v>6/30/2019</v>
      </c>
      <c r="C31" s="248">
        <f>'[1]Boeckh (C)'!E63</f>
        <v>2628.2411131250001</v>
      </c>
      <c r="D31" s="247">
        <f t="shared" si="1"/>
        <v>2767.3345722710947</v>
      </c>
      <c r="E31" s="247">
        <f t="shared" si="2"/>
        <v>2735.6913764264732</v>
      </c>
      <c r="F31" s="66"/>
      <c r="G31"/>
      <c r="H31"/>
      <c r="I31"/>
      <c r="M31" s="2"/>
      <c r="N31" s="12">
        <f t="shared" si="3"/>
        <v>2019.5</v>
      </c>
    </row>
    <row r="32" spans="1:14" x14ac:dyDescent="0.2">
      <c r="A32" s="12" t="str">
        <f t="shared" si="0"/>
        <v>9/30/2019</v>
      </c>
      <c r="C32" s="248">
        <f>'[1]Boeckh (C)'!E64</f>
        <v>2633.1826734374999</v>
      </c>
      <c r="D32" s="247">
        <f t="shared" si="1"/>
        <v>2805.2764490814297</v>
      </c>
      <c r="E32" s="247">
        <f t="shared" si="2"/>
        <v>2770.9740333780187</v>
      </c>
      <c r="F32" s="66"/>
      <c r="G32"/>
      <c r="H32"/>
      <c r="I32"/>
      <c r="M32" s="2"/>
      <c r="N32" s="12">
        <f t="shared" si="3"/>
        <v>2019.75</v>
      </c>
    </row>
    <row r="33" spans="1:14" x14ac:dyDescent="0.2">
      <c r="A33" s="12" t="str">
        <f t="shared" si="0"/>
        <v>12/31/2019</v>
      </c>
      <c r="C33" s="248">
        <f>'[1]Boeckh (C)'!E65</f>
        <v>2628.3808515624996</v>
      </c>
      <c r="D33" s="247">
        <f t="shared" si="1"/>
        <v>2843.2183258917066</v>
      </c>
      <c r="E33" s="247">
        <f t="shared" si="2"/>
        <v>2806.7117364990249</v>
      </c>
      <c r="F33" s="66"/>
      <c r="G33"/>
      <c r="H33"/>
      <c r="I33"/>
      <c r="M33" s="2"/>
      <c r="N33" s="12">
        <f t="shared" si="3"/>
        <v>2020</v>
      </c>
    </row>
    <row r="34" spans="1:14" x14ac:dyDescent="0.2">
      <c r="A34" s="12" t="str">
        <f t="shared" si="0"/>
        <v>3/31/2020</v>
      </c>
      <c r="C34" s="248">
        <f>'[1]Boeckh (C)'!E66</f>
        <v>2622.6944221875001</v>
      </c>
      <c r="D34" s="247">
        <f t="shared" si="1"/>
        <v>2881.1602027020417</v>
      </c>
      <c r="E34" s="247">
        <f t="shared" si="2"/>
        <v>2842.9103545939238</v>
      </c>
      <c r="F34" s="66"/>
      <c r="G34"/>
      <c r="H34"/>
      <c r="I34"/>
      <c r="M34" s="2"/>
      <c r="N34" s="12">
        <f t="shared" si="3"/>
        <v>2020.25</v>
      </c>
    </row>
    <row r="35" spans="1:14" x14ac:dyDescent="0.2">
      <c r="A35" s="12" t="str">
        <f t="shared" si="0"/>
        <v>6/30/2020</v>
      </c>
      <c r="B35"/>
      <c r="C35" s="248">
        <f>'[1]Boeckh (C)'!E67</f>
        <v>2624.4214249999995</v>
      </c>
      <c r="D35" s="247">
        <f t="shared" si="1"/>
        <v>2919.1020795123768</v>
      </c>
      <c r="E35" s="247">
        <f t="shared" si="2"/>
        <v>2879.5758321582352</v>
      </c>
      <c r="F35" s="66"/>
      <c r="G35"/>
      <c r="H35"/>
      <c r="I35"/>
      <c r="M35" s="2"/>
      <c r="N35" s="12">
        <f t="shared" si="3"/>
        <v>2020.5</v>
      </c>
    </row>
    <row r="36" spans="1:14" x14ac:dyDescent="0.2">
      <c r="A36" s="12" t="str">
        <f t="shared" si="0"/>
        <v>9/30/2020</v>
      </c>
      <c r="C36" s="248">
        <f>'[1]Boeckh (C)'!E68</f>
        <v>2630.6979528125003</v>
      </c>
      <c r="D36" s="247">
        <f t="shared" si="1"/>
        <v>2957.0439563227119</v>
      </c>
      <c r="E36" s="247">
        <f t="shared" si="2"/>
        <v>2916.7141903544421</v>
      </c>
      <c r="F36" s="66"/>
      <c r="G36"/>
      <c r="H36"/>
      <c r="I36"/>
      <c r="M36" s="2"/>
      <c r="N36" s="12">
        <f t="shared" si="3"/>
        <v>2020.75</v>
      </c>
    </row>
    <row r="37" spans="1:14" x14ac:dyDescent="0.2">
      <c r="A37" s="12" t="str">
        <f t="shared" si="0"/>
        <v>12/31/2020</v>
      </c>
      <c r="C37" s="248">
        <f>'[1]Boeckh (C)'!E69</f>
        <v>2653.3499253125005</v>
      </c>
      <c r="D37" s="247">
        <f t="shared" si="1"/>
        <v>2994.985833133047</v>
      </c>
      <c r="E37" s="247">
        <f t="shared" si="2"/>
        <v>2954.3315280011029</v>
      </c>
      <c r="F37" s="66"/>
      <c r="G37"/>
      <c r="H37"/>
      <c r="I37"/>
      <c r="M37" s="2"/>
      <c r="N37" s="12">
        <f t="shared" si="3"/>
        <v>2021</v>
      </c>
    </row>
    <row r="38" spans="1:14" x14ac:dyDescent="0.2">
      <c r="A38" s="12" t="str">
        <f t="shared" si="0"/>
        <v>3/31/2021</v>
      </c>
      <c r="C38" s="248">
        <f>'[1]Boeckh (C)'!E70</f>
        <v>2689.1534428125005</v>
      </c>
      <c r="D38" s="247">
        <f t="shared" si="1"/>
        <v>3032.9277099433821</v>
      </c>
      <c r="E38" s="247">
        <f t="shared" si="2"/>
        <v>2992.4340225740684</v>
      </c>
      <c r="F38" s="66"/>
      <c r="G38"/>
      <c r="H38"/>
      <c r="I38"/>
      <c r="M38" s="2"/>
      <c r="N38" s="12">
        <f t="shared" si="3"/>
        <v>2021.25</v>
      </c>
    </row>
    <row r="39" spans="1:14" x14ac:dyDescent="0.2">
      <c r="A39" s="12" t="str">
        <f t="shared" si="0"/>
        <v>6/30/2021</v>
      </c>
      <c r="C39" s="248">
        <f>'[1]Boeckh (C)'!E71</f>
        <v>2763.2679287500005</v>
      </c>
      <c r="D39" s="247">
        <f t="shared" si="1"/>
        <v>3070.8695867537172</v>
      </c>
      <c r="E39" s="247">
        <f t="shared" si="2"/>
        <v>3031.0279312212233</v>
      </c>
      <c r="F39" s="66"/>
      <c r="G39"/>
      <c r="H39"/>
      <c r="I39"/>
      <c r="M39" s="2"/>
      <c r="N39" s="12">
        <f t="shared" si="3"/>
        <v>2021.5</v>
      </c>
    </row>
    <row r="40" spans="1:14" x14ac:dyDescent="0.2">
      <c r="A40" s="12" t="str">
        <f t="shared" si="0"/>
        <v>9/30/2021</v>
      </c>
      <c r="B40"/>
      <c r="C40" s="248">
        <f>'[1]Boeckh (C)'!E72</f>
        <v>2915.3896825000002</v>
      </c>
      <c r="D40" s="247">
        <f t="shared" si="1"/>
        <v>3108.8114635640522</v>
      </c>
      <c r="E40" s="247">
        <f t="shared" si="2"/>
        <v>3070.1195917899117</v>
      </c>
      <c r="F40" s="66"/>
      <c r="G40"/>
      <c r="H40"/>
      <c r="I40"/>
      <c r="M40" s="2"/>
      <c r="N40" s="12">
        <f t="shared" si="3"/>
        <v>2021.75</v>
      </c>
    </row>
    <row r="41" spans="1:14" x14ac:dyDescent="0.2">
      <c r="A41" s="12" t="str">
        <f t="shared" si="0"/>
        <v>12/31/2021</v>
      </c>
      <c r="C41" s="248">
        <f>'[1]Boeckh (C)'!E73</f>
        <v>3057.1086531249998</v>
      </c>
      <c r="D41" s="247">
        <f t="shared" si="1"/>
        <v>3146.7533403743873</v>
      </c>
      <c r="E41" s="247">
        <f t="shared" si="2"/>
        <v>3109.7154238675921</v>
      </c>
      <c r="F41" s="66"/>
      <c r="G41"/>
      <c r="H41"/>
      <c r="I41"/>
      <c r="M41" s="2"/>
      <c r="N41" s="12">
        <f t="shared" si="3"/>
        <v>2022</v>
      </c>
    </row>
    <row r="42" spans="1:14" x14ac:dyDescent="0.2">
      <c r="A42" s="12" t="str">
        <f t="shared" si="0"/>
        <v>3/31/2022</v>
      </c>
      <c r="C42" s="248">
        <f>'[1]Boeckh (C)'!E74</f>
        <v>3205.7315240625003</v>
      </c>
      <c r="D42" s="247">
        <f t="shared" si="1"/>
        <v>3184.6952171847224</v>
      </c>
      <c r="E42" s="247">
        <f t="shared" si="2"/>
        <v>3149.8219298363656</v>
      </c>
      <c r="F42" s="66"/>
      <c r="G42"/>
      <c r="H42"/>
      <c r="I42"/>
      <c r="M42" s="2"/>
      <c r="N42" s="12">
        <f t="shared" si="3"/>
        <v>2022.25</v>
      </c>
    </row>
    <row r="43" spans="1:14" x14ac:dyDescent="0.2">
      <c r="A43" s="12" t="str">
        <f t="shared" si="0"/>
        <v>6/30/2022</v>
      </c>
      <c r="C43" s="248">
        <f>'[1]Boeckh (C)'!E75</f>
        <v>3375.4609671875005</v>
      </c>
      <c r="D43" s="247">
        <f t="shared" si="1"/>
        <v>3222.6370939950575</v>
      </c>
      <c r="E43" s="247">
        <f t="shared" si="2"/>
        <v>3190.4456959404361</v>
      </c>
      <c r="F43" s="66"/>
      <c r="G43"/>
      <c r="H43"/>
      <c r="I43"/>
      <c r="M43" s="2"/>
      <c r="N43" s="12">
        <f t="shared" si="3"/>
        <v>2022.5</v>
      </c>
    </row>
    <row r="44" spans="1:14" x14ac:dyDescent="0.2">
      <c r="A44" s="12" t="str">
        <f t="shared" si="0"/>
        <v>9/30/2022</v>
      </c>
      <c r="C44" s="248">
        <f>'[1]Boeckh (C)'!E76</f>
        <v>3481.2624018750003</v>
      </c>
      <c r="D44" s="247">
        <f t="shared" si="1"/>
        <v>3260.5789708053926</v>
      </c>
      <c r="E44" s="247">
        <f t="shared" si="2"/>
        <v>3231.593393368003</v>
      </c>
      <c r="F44" s="66"/>
      <c r="G44"/>
      <c r="H44"/>
      <c r="I44"/>
      <c r="M44" s="2"/>
      <c r="N44" s="12">
        <f t="shared" si="3"/>
        <v>2022.75</v>
      </c>
    </row>
    <row r="45" spans="1:14" x14ac:dyDescent="0.2">
      <c r="A45" s="12" t="str">
        <f t="shared" si="0"/>
        <v>12/31/2022</v>
      </c>
      <c r="B45"/>
      <c r="C45" s="248">
        <f>'[1]Boeckh (C)'!E77</f>
        <v>3580.5586534375002</v>
      </c>
      <c r="D45" s="247">
        <f t="shared" si="1"/>
        <v>3298.5208476157277</v>
      </c>
      <c r="E45" s="247">
        <f t="shared" si="2"/>
        <v>3273.2717793466686</v>
      </c>
      <c r="F45" s="66"/>
      <c r="G45"/>
      <c r="H45"/>
      <c r="I45"/>
      <c r="M45" s="2"/>
      <c r="N45" s="12">
        <f t="shared" si="3"/>
        <v>2023</v>
      </c>
    </row>
    <row r="46" spans="1:14" x14ac:dyDescent="0.2">
      <c r="A46" s="12" t="str">
        <f t="shared" si="0"/>
        <v>3/31/2023</v>
      </c>
      <c r="C46" s="248">
        <f>'[1]Boeckh (C)'!E78</f>
        <v>3647.149923125</v>
      </c>
      <c r="D46" s="247">
        <f t="shared" si="1"/>
        <v>3336.4627244260628</v>
      </c>
      <c r="E46" s="247">
        <f t="shared" si="2"/>
        <v>3315.4876982529613</v>
      </c>
      <c r="F46" s="66"/>
      <c r="G46"/>
      <c r="H46"/>
      <c r="I46"/>
      <c r="M46" s="2"/>
      <c r="N46" s="12">
        <f t="shared" ref="N46:N52" si="4">YEAR(A46)+MONTH(A46)/12</f>
        <v>2023.25</v>
      </c>
    </row>
    <row r="47" spans="1:14" x14ac:dyDescent="0.2">
      <c r="A47" s="12" t="str">
        <f t="shared" si="0"/>
        <v>6/30/2023</v>
      </c>
      <c r="C47" s="248">
        <f>'[1]Boeckh (C)'!E79</f>
        <v>3650.0499796875001</v>
      </c>
      <c r="D47" s="247">
        <f t="shared" si="1"/>
        <v>3374.4046012363397</v>
      </c>
      <c r="E47" s="247">
        <f t="shared" si="2"/>
        <v>3358.2480827366317</v>
      </c>
      <c r="F47" s="66"/>
      <c r="G47"/>
      <c r="H47"/>
      <c r="I47"/>
      <c r="M47" s="2"/>
      <c r="N47" s="12">
        <f t="shared" si="4"/>
        <v>2023.5</v>
      </c>
    </row>
    <row r="48" spans="1:14" x14ac:dyDescent="0.2">
      <c r="A48" s="12" t="str">
        <f t="shared" si="0"/>
        <v>9/30/2023</v>
      </c>
      <c r="C48" s="248">
        <f>'[1]Boeckh (C)'!E80</f>
        <v>3633.456230625</v>
      </c>
      <c r="D48" s="247">
        <f t="shared" si="1"/>
        <v>3412.3464780466747</v>
      </c>
      <c r="E48" s="247">
        <f t="shared" si="2"/>
        <v>3401.5599548587561</v>
      </c>
      <c r="F48" s="66"/>
      <c r="G48"/>
      <c r="H48"/>
      <c r="I48"/>
      <c r="M48" s="2"/>
      <c r="N48" s="12">
        <f t="shared" si="4"/>
        <v>2023.75</v>
      </c>
    </row>
    <row r="49" spans="1:14" x14ac:dyDescent="0.2">
      <c r="A49" s="12" t="str">
        <f t="shared" si="0"/>
        <v>12/31/2023</v>
      </c>
      <c r="B49"/>
      <c r="C49" s="248">
        <f>'[1]Boeckh (C)'!E81</f>
        <v>3614.1835378125002</v>
      </c>
      <c r="D49" s="247">
        <f t="shared" si="1"/>
        <v>3450.2883548570098</v>
      </c>
      <c r="E49" s="247">
        <f t="shared" si="2"/>
        <v>3445.430427245265</v>
      </c>
      <c r="F49" s="66"/>
      <c r="G49"/>
      <c r="H49"/>
      <c r="I49"/>
      <c r="M49" s="2"/>
      <c r="N49" s="12">
        <f t="shared" si="4"/>
        <v>2024</v>
      </c>
    </row>
    <row r="50" spans="1:14" x14ac:dyDescent="0.2">
      <c r="A50" s="12" t="str">
        <f t="shared" si="0"/>
        <v>3/31/2024</v>
      </c>
      <c r="C50" s="248">
        <f>'[1]Boeckh (C)'!E82</f>
        <v>3611.0882956250007</v>
      </c>
      <c r="D50" s="247">
        <f t="shared" si="1"/>
        <v>3488.2302316673449</v>
      </c>
      <c r="E50" s="247">
        <f t="shared" si="2"/>
        <v>3489.8667042545912</v>
      </c>
      <c r="F50" s="66"/>
      <c r="G50"/>
      <c r="H50"/>
      <c r="I50"/>
      <c r="M50" s="2"/>
      <c r="N50" s="12">
        <f t="shared" si="4"/>
        <v>2024.25</v>
      </c>
    </row>
    <row r="51" spans="1:14" x14ac:dyDescent="0.2">
      <c r="A51" s="12" t="str">
        <f t="shared" si="0"/>
        <v>6/30/2024</v>
      </c>
      <c r="C51" s="248">
        <f>'[1]Boeckh (C)'!E83</f>
        <v>3616.12706875</v>
      </c>
      <c r="D51" s="247">
        <f t="shared" si="1"/>
        <v>3526.17210847768</v>
      </c>
      <c r="E51" s="247">
        <f t="shared" si="2"/>
        <v>3534.8760831610953</v>
      </c>
      <c r="F51" s="66"/>
      <c r="G51"/>
      <c r="H51"/>
      <c r="I51"/>
      <c r="M51" s="2"/>
      <c r="N51" s="12">
        <f t="shared" si="4"/>
        <v>2024.5</v>
      </c>
    </row>
    <row r="52" spans="1:14" x14ac:dyDescent="0.2">
      <c r="A52" s="12" t="str">
        <f t="shared" si="0"/>
        <v>9/30/2024</v>
      </c>
      <c r="C52" s="248">
        <f>'[1]Boeckh (C)'!E84</f>
        <v>3629.2213831250006</v>
      </c>
      <c r="D52" s="247">
        <f t="shared" si="1"/>
        <v>3564.1139852880151</v>
      </c>
      <c r="E52" s="247">
        <f t="shared" si="2"/>
        <v>3580.4659553532756</v>
      </c>
      <c r="F52" s="66"/>
      <c r="G52"/>
      <c r="H52"/>
      <c r="I52"/>
      <c r="M52" s="2"/>
      <c r="N52" s="12">
        <f t="shared" si="4"/>
        <v>2024.75</v>
      </c>
    </row>
    <row r="53" spans="1:14" x14ac:dyDescent="0.2">
      <c r="A53" s="49" t="str">
        <f>TEXT(N9,"m/d/yyyy")</f>
        <v>12/31/2024</v>
      </c>
      <c r="B53"/>
      <c r="C53" s="248">
        <f>'[1]Boeckh (C)'!E85</f>
        <v>3649.6030987500003</v>
      </c>
      <c r="D53" s="247">
        <f t="shared" si="1"/>
        <v>3602.0558620983502</v>
      </c>
      <c r="E53" s="247">
        <f t="shared" si="2"/>
        <v>3626.6438075474198</v>
      </c>
      <c r="F53" s="66"/>
      <c r="G53"/>
      <c r="H53"/>
      <c r="I53"/>
      <c r="M53" s="2"/>
      <c r="N53" s="12">
        <f>YEAR(A53)+MONTH(A53)/12</f>
        <v>2025</v>
      </c>
    </row>
    <row r="54" spans="1:14" x14ac:dyDescent="0.2">
      <c r="A54" s="94"/>
      <c r="B54" s="94"/>
      <c r="C54" s="94"/>
      <c r="D54" s="94"/>
      <c r="E54" s="94"/>
      <c r="F54"/>
      <c r="G54"/>
      <c r="H54"/>
      <c r="I54"/>
      <c r="M54" s="2"/>
    </row>
    <row r="55" spans="1:14" x14ac:dyDescent="0.2">
      <c r="A55"/>
      <c r="C55" s="102"/>
      <c r="D55"/>
      <c r="E55"/>
      <c r="F55"/>
      <c r="G55"/>
      <c r="H55"/>
      <c r="I55"/>
      <c r="M55" s="2"/>
    </row>
    <row r="56" spans="1:14" x14ac:dyDescent="0.2">
      <c r="A56" s="12" t="s">
        <v>257</v>
      </c>
      <c r="C56"/>
      <c r="D56" s="19">
        <f>(D53-D49)/D49</f>
        <v>4.3986905334360102E-2</v>
      </c>
      <c r="E56" s="19">
        <f>LOGEST($C$34:$C$53,$N$34:$N$53,TRUE,TRUE)-1</f>
        <v>9.1467493162162405E-2</v>
      </c>
      <c r="F56"/>
      <c r="G56"/>
      <c r="H56"/>
      <c r="I56"/>
      <c r="M56" s="2"/>
    </row>
    <row r="57" spans="1:14" x14ac:dyDescent="0.2">
      <c r="A57" t="s">
        <v>258</v>
      </c>
      <c r="B57"/>
      <c r="C57" s="59"/>
      <c r="D57" s="28">
        <f>INDEX(LINEST($C$14:$C$53,$N$14:$N$53,TRUE,TRUE),3,1)</f>
        <v>0.8358323282995338</v>
      </c>
      <c r="E57" s="28">
        <f>INDEX(LOGEST($C$14:$C$53,$N$14:$N$53,TRUE,TRUE),3,1)</f>
        <v>0.85806509970892586</v>
      </c>
      <c r="F57"/>
      <c r="G57"/>
      <c r="H57"/>
      <c r="I57"/>
      <c r="M57" s="2"/>
    </row>
    <row r="58" spans="1:14" ht="12" thickBot="1" x14ac:dyDescent="0.25">
      <c r="A58" s="6"/>
      <c r="B58" s="6"/>
      <c r="C58" s="6"/>
      <c r="D58" s="6"/>
      <c r="E58" s="6"/>
      <c r="F58"/>
      <c r="G58"/>
      <c r="H58"/>
      <c r="I58"/>
      <c r="M58" s="2"/>
    </row>
    <row r="59" spans="1:14" ht="12" thickTop="1" x14ac:dyDescent="0.2">
      <c r="A59"/>
      <c r="B59"/>
      <c r="C59"/>
      <c r="D59"/>
      <c r="E59"/>
      <c r="F59"/>
      <c r="G59"/>
      <c r="H59"/>
      <c r="I59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12" t="str">
        <f>C12&amp;" = Average index for Corpus Christi and Houston"</f>
        <v>(2) = Average index for Corpus Christi and Houston</v>
      </c>
      <c r="C61"/>
      <c r="D61"/>
      <c r="E61"/>
      <c r="F61"/>
      <c r="G61"/>
      <c r="H61"/>
      <c r="I61"/>
      <c r="J61"/>
      <c r="K61"/>
      <c r="L61"/>
      <c r="M61" s="2"/>
    </row>
    <row r="62" spans="1:14" ht="12" thickBot="1" x14ac:dyDescent="0.25">
      <c r="B62" s="12" t="str">
        <f>D12&amp;" - "&amp;E12&amp;" = "&amp;C12&amp;" Fitted to linear and exponential distributions"</f>
        <v>(3) - (4) = (2) Fitted to linear and exponential distributions</v>
      </c>
      <c r="F62"/>
      <c r="G62"/>
      <c r="H62"/>
      <c r="I62"/>
      <c r="M62" s="2"/>
    </row>
    <row r="63" spans="1:14" ht="12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>
    <tabColor rgb="FF00B050"/>
  </sheetPr>
  <dimension ref="A1:S69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9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42</v>
      </c>
      <c r="M1" s="1"/>
      <c r="Q1"/>
      <c r="R1"/>
      <c r="S1"/>
    </row>
    <row r="2" spans="1:19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L2" s="7" t="s">
        <v>462</v>
      </c>
      <c r="M2" s="2"/>
      <c r="Q2"/>
      <c r="R2"/>
      <c r="S2"/>
    </row>
    <row r="3" spans="1:19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9" x14ac:dyDescent="0.2">
      <c r="A4" s="70" t="s">
        <v>235</v>
      </c>
      <c r="C4"/>
      <c r="D4"/>
      <c r="E4"/>
      <c r="F4"/>
      <c r="G4"/>
      <c r="H4"/>
      <c r="I4"/>
      <c r="J4"/>
      <c r="K4"/>
      <c r="L4"/>
      <c r="M4" s="2"/>
    </row>
    <row r="5" spans="1:19" x14ac:dyDescent="0.2">
      <c r="A5" s="70" t="s">
        <v>259</v>
      </c>
      <c r="C5"/>
      <c r="D5"/>
      <c r="E5"/>
      <c r="F5"/>
      <c r="G5"/>
      <c r="H5"/>
      <c r="I5"/>
      <c r="J5"/>
      <c r="K5"/>
      <c r="L5"/>
      <c r="M5" s="2"/>
    </row>
    <row r="6" spans="1:19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  <c r="M7" s="2"/>
    </row>
    <row r="8" spans="1:19" ht="12" thickTop="1" x14ac:dyDescent="0.2">
      <c r="A8"/>
      <c r="B8"/>
      <c r="C8"/>
      <c r="D8"/>
      <c r="E8"/>
      <c r="F8"/>
      <c r="G8"/>
      <c r="H8"/>
      <c r="I8"/>
      <c r="J8"/>
      <c r="K8"/>
      <c r="L8"/>
      <c r="M8" s="2"/>
      <c r="N8" t="s">
        <v>248</v>
      </c>
    </row>
    <row r="9" spans="1:19" x14ac:dyDescent="0.2">
      <c r="A9" t="s">
        <v>155</v>
      </c>
      <c r="B9"/>
      <c r="D9" s="171" t="s">
        <v>250</v>
      </c>
      <c r="E9" s="171"/>
      <c r="F9" s="257"/>
      <c r="G9" s="171"/>
      <c r="H9" s="171"/>
      <c r="I9" s="171"/>
      <c r="J9" s="171"/>
      <c r="K9" s="171"/>
      <c r="L9"/>
      <c r="M9" s="2"/>
      <c r="N9" s="64">
        <v>45657</v>
      </c>
    </row>
    <row r="10" spans="1:19" x14ac:dyDescent="0.2">
      <c r="A10" t="s">
        <v>232</v>
      </c>
      <c r="B10"/>
      <c r="C10" s="11" t="s">
        <v>239</v>
      </c>
      <c r="D10" s="11" t="s">
        <v>251</v>
      </c>
      <c r="E10" s="11"/>
      <c r="F10" s="11" t="s">
        <v>252</v>
      </c>
      <c r="G10" s="10"/>
      <c r="H10" s="11" t="s">
        <v>253</v>
      </c>
      <c r="I10" s="245"/>
      <c r="J10" s="11" t="s">
        <v>254</v>
      </c>
      <c r="K10" s="245"/>
      <c r="L10"/>
      <c r="M10" s="2"/>
    </row>
    <row r="11" spans="1:19" x14ac:dyDescent="0.2">
      <c r="A11" s="9" t="s">
        <v>25</v>
      </c>
      <c r="B11" s="9"/>
      <c r="C11" s="143" t="s">
        <v>242</v>
      </c>
      <c r="D11" s="143" t="s">
        <v>255</v>
      </c>
      <c r="E11" s="143" t="s">
        <v>256</v>
      </c>
      <c r="F11" s="143" t="s">
        <v>255</v>
      </c>
      <c r="G11" s="143" t="s">
        <v>256</v>
      </c>
      <c r="H11" s="143" t="s">
        <v>255</v>
      </c>
      <c r="I11" s="143" t="s">
        <v>256</v>
      </c>
      <c r="J11" s="143" t="s">
        <v>255</v>
      </c>
      <c r="K11" s="143" t="s">
        <v>256</v>
      </c>
      <c r="L11"/>
      <c r="M11" s="2"/>
      <c r="N11" s="9" t="s">
        <v>233</v>
      </c>
    </row>
    <row r="12" spans="1:19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9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9" x14ac:dyDescent="0.2">
      <c r="A14" s="12" t="str">
        <f>TEXT(DATE(YEAR(A15+1),MONTH(A15+1)-3,1)-1,"m/d/yyyy")</f>
        <v>9/30/2014</v>
      </c>
      <c r="B14" s="22"/>
      <c r="C14" s="222">
        <f>[1]CPI!H112</f>
        <v>187.59</v>
      </c>
      <c r="D14" s="73">
        <f>TREND($C$14:$C$55,$N$14:$N$55,$N14,TRUE)</f>
        <v>181.63271317829458</v>
      </c>
      <c r="E14" s="73">
        <f>GROWTH($C$14:$C$55,$N$14:$N$55,$N14,TRUE)</f>
        <v>182.74018590339602</v>
      </c>
      <c r="F14" s="73"/>
      <c r="G14" s="73"/>
      <c r="H14" s="29"/>
      <c r="I14"/>
      <c r="J14" s="29"/>
      <c r="K14"/>
      <c r="L14"/>
      <c r="M14" s="2"/>
      <c r="N14" s="12">
        <f>YEAR(A14)+MONTH(A14)/12</f>
        <v>2014.75</v>
      </c>
    </row>
    <row r="15" spans="1:19" x14ac:dyDescent="0.2">
      <c r="A15" s="12" t="str">
        <f t="shared" ref="A15:A53" si="1">TEXT(DATE(YEAR(A16+1),MONTH(A16+1)-3,1)-1,"m/d/yyyy")</f>
        <v>12/31/2014</v>
      </c>
      <c r="B15" s="22"/>
      <c r="C15" s="222">
        <f>[1]CPI!H113</f>
        <v>188.62</v>
      </c>
      <c r="D15" s="73">
        <f t="shared" ref="D15:D54" si="2">TREND($C$14:$C$55,$N$14:$N$55,$N15,TRUE)</f>
        <v>182.70151230316333</v>
      </c>
      <c r="E15" s="73">
        <f t="shared" ref="E15:E54" si="3">GROWTH($C$14:$C$55,$N$14:$N$55,$N15,TRUE)</f>
        <v>183.68208637444278</v>
      </c>
      <c r="F15" s="73"/>
      <c r="G15" s="73"/>
      <c r="H15" s="29"/>
      <c r="I15"/>
      <c r="J15" s="29"/>
      <c r="K15"/>
      <c r="L15"/>
      <c r="M15" s="2"/>
      <c r="N15" s="12">
        <f>YEAR(A15)+MONTH(A15)/12</f>
        <v>2015</v>
      </c>
    </row>
    <row r="16" spans="1:19" x14ac:dyDescent="0.2">
      <c r="A16" s="12" t="str">
        <f t="shared" si="1"/>
        <v>3/31/2015</v>
      </c>
      <c r="B16" s="22"/>
      <c r="C16" s="222">
        <f>[1]CPI!H114</f>
        <v>189.46</v>
      </c>
      <c r="D16" s="73">
        <f t="shared" si="2"/>
        <v>183.77031142803025</v>
      </c>
      <c r="E16" s="73">
        <f t="shared" si="3"/>
        <v>184.62884169716179</v>
      </c>
      <c r="F16" s="73"/>
      <c r="G16" s="73"/>
      <c r="H16" s="29"/>
      <c r="I16"/>
      <c r="J16" s="29"/>
      <c r="K16"/>
      <c r="L16"/>
      <c r="M16" s="2"/>
      <c r="N16" s="12">
        <f t="shared" ref="N16:N54" si="4">YEAR(A16)+MONTH(A16)/12</f>
        <v>2015.25</v>
      </c>
    </row>
    <row r="17" spans="1:14" x14ac:dyDescent="0.2">
      <c r="A17" s="12" t="str">
        <f t="shared" si="1"/>
        <v>6/30/2015</v>
      </c>
      <c r="B17" s="22"/>
      <c r="C17" s="222">
        <f>[1]CPI!H115</f>
        <v>189.59</v>
      </c>
      <c r="D17" s="73">
        <f t="shared" si="2"/>
        <v>184.839110552899</v>
      </c>
      <c r="E17" s="73">
        <f t="shared" si="3"/>
        <v>185.58047689498883</v>
      </c>
      <c r="F17" s="73"/>
      <c r="G17" s="73"/>
      <c r="H17" s="29"/>
      <c r="I17"/>
      <c r="J17" s="29"/>
      <c r="K17"/>
      <c r="L17"/>
      <c r="M17" s="2"/>
      <c r="N17" s="12">
        <f t="shared" si="4"/>
        <v>2015.5</v>
      </c>
    </row>
    <row r="18" spans="1:14" x14ac:dyDescent="0.2">
      <c r="A18" s="12" t="str">
        <f t="shared" si="1"/>
        <v>9/30/2015</v>
      </c>
      <c r="B18" s="22"/>
      <c r="C18" s="222">
        <f>[1]CPI!H116</f>
        <v>190.03</v>
      </c>
      <c r="D18" s="73">
        <f t="shared" si="2"/>
        <v>185.90790967776775</v>
      </c>
      <c r="E18" s="73">
        <f t="shared" si="3"/>
        <v>186.53701712033714</v>
      </c>
      <c r="F18" s="73"/>
      <c r="G18" s="73"/>
      <c r="H18" s="29"/>
      <c r="I18"/>
      <c r="J18" s="29"/>
      <c r="K18"/>
      <c r="L18"/>
      <c r="M18" s="2"/>
      <c r="N18" s="12">
        <f t="shared" si="4"/>
        <v>2015.75</v>
      </c>
    </row>
    <row r="19" spans="1:14" x14ac:dyDescent="0.2">
      <c r="A19" s="12" t="str">
        <f t="shared" si="1"/>
        <v>12/31/2015</v>
      </c>
      <c r="B19" s="22"/>
      <c r="C19" s="222">
        <f>[1]CPI!H117</f>
        <v>190.5</v>
      </c>
      <c r="D19" s="73">
        <f t="shared" si="2"/>
        <v>186.97670880263649</v>
      </c>
      <c r="E19" s="73">
        <f t="shared" si="3"/>
        <v>187.49848765526474</v>
      </c>
      <c r="F19" s="73"/>
      <c r="G19" s="73"/>
      <c r="H19" s="29"/>
      <c r="I19"/>
      <c r="J19" s="29"/>
      <c r="K19"/>
      <c r="L19"/>
      <c r="M19" s="2"/>
      <c r="N19" s="12">
        <f t="shared" si="4"/>
        <v>2016</v>
      </c>
    </row>
    <row r="20" spans="1:14" x14ac:dyDescent="0.2">
      <c r="A20" s="12" t="str">
        <f t="shared" si="1"/>
        <v>3/31/2016</v>
      </c>
      <c r="B20" s="22"/>
      <c r="C20" s="222">
        <f>[1]CPI!H118</f>
        <v>190.95</v>
      </c>
      <c r="D20" s="73">
        <f t="shared" si="2"/>
        <v>188.04550792750342</v>
      </c>
      <c r="E20" s="73">
        <f t="shared" si="3"/>
        <v>188.46491391213723</v>
      </c>
      <c r="F20" s="73"/>
      <c r="G20" s="73"/>
      <c r="H20" s="29"/>
      <c r="I20"/>
      <c r="J20" s="29"/>
      <c r="K20"/>
      <c r="L20"/>
      <c r="M20" s="2"/>
      <c r="N20" s="12">
        <f t="shared" si="4"/>
        <v>2016.25</v>
      </c>
    </row>
    <row r="21" spans="1:14" x14ac:dyDescent="0.2">
      <c r="A21" s="12" t="str">
        <f t="shared" si="1"/>
        <v>6/30/2016</v>
      </c>
      <c r="B21" s="22"/>
      <c r="C21" s="222">
        <f>[1]CPI!H119</f>
        <v>192.03</v>
      </c>
      <c r="D21" s="73">
        <f t="shared" si="2"/>
        <v>189.11430705237217</v>
      </c>
      <c r="E21" s="73">
        <f t="shared" si="3"/>
        <v>189.4363214343077</v>
      </c>
      <c r="F21" s="73"/>
      <c r="G21" s="73"/>
      <c r="H21" s="29"/>
      <c r="I21"/>
      <c r="J21" s="29"/>
      <c r="K21"/>
      <c r="L21"/>
      <c r="M21" s="2"/>
      <c r="N21" s="12">
        <f t="shared" si="4"/>
        <v>2016.5</v>
      </c>
    </row>
    <row r="22" spans="1:14" x14ac:dyDescent="0.2">
      <c r="A22" s="12" t="str">
        <f t="shared" si="1"/>
        <v>9/30/2016</v>
      </c>
      <c r="B22" s="22"/>
      <c r="C22" s="222">
        <f>[1]CPI!H120</f>
        <v>192.82</v>
      </c>
      <c r="D22" s="73">
        <f t="shared" si="2"/>
        <v>190.18310617724092</v>
      </c>
      <c r="E22" s="73">
        <f t="shared" si="3"/>
        <v>190.41273589678622</v>
      </c>
      <c r="F22" s="73"/>
      <c r="G22" s="73"/>
      <c r="H22" s="29"/>
      <c r="I22"/>
      <c r="J22" s="29"/>
      <c r="K22"/>
      <c r="L22"/>
      <c r="M22" s="2"/>
      <c r="N22" s="12">
        <f t="shared" si="4"/>
        <v>2016.75</v>
      </c>
    </row>
    <row r="23" spans="1:14" x14ac:dyDescent="0.2">
      <c r="A23" s="12" t="str">
        <f t="shared" si="1"/>
        <v>12/31/2016</v>
      </c>
      <c r="B23"/>
      <c r="C23" s="222">
        <f>[1]CPI!H121</f>
        <v>193.56</v>
      </c>
      <c r="D23" s="73">
        <f t="shared" si="2"/>
        <v>191.25190530210966</v>
      </c>
      <c r="E23" s="73">
        <f t="shared" si="3"/>
        <v>191.39418310692147</v>
      </c>
      <c r="F23" s="73"/>
      <c r="G23" s="73"/>
      <c r="H23"/>
      <c r="I23"/>
      <c r="J23"/>
      <c r="K23"/>
      <c r="L23"/>
      <c r="M23" s="2"/>
      <c r="N23" s="12">
        <f t="shared" si="4"/>
        <v>2017</v>
      </c>
    </row>
    <row r="24" spans="1:14" x14ac:dyDescent="0.2">
      <c r="A24" s="12" t="str">
        <f t="shared" si="1"/>
        <v>3/31/2017</v>
      </c>
      <c r="B24"/>
      <c r="C24" s="222">
        <f>[1]CPI!H122</f>
        <v>193.85</v>
      </c>
      <c r="D24" s="73">
        <f t="shared" si="2"/>
        <v>192.32070442697659</v>
      </c>
      <c r="E24" s="73">
        <f t="shared" si="3"/>
        <v>192.38068900507716</v>
      </c>
      <c r="F24" s="73"/>
      <c r="G24" s="73"/>
      <c r="H24"/>
      <c r="I24"/>
      <c r="J24"/>
      <c r="K24"/>
      <c r="L24"/>
      <c r="M24" s="2"/>
      <c r="N24" s="12">
        <f t="shared" si="4"/>
        <v>2017.25</v>
      </c>
    </row>
    <row r="25" spans="1:14" x14ac:dyDescent="0.2">
      <c r="A25" s="12" t="str">
        <f t="shared" si="1"/>
        <v>6/30/2017</v>
      </c>
      <c r="B25"/>
      <c r="C25" s="222">
        <f>[1]CPI!H123</f>
        <v>194.07</v>
      </c>
      <c r="D25" s="73">
        <f t="shared" si="2"/>
        <v>193.38950355184534</v>
      </c>
      <c r="E25" s="73">
        <f t="shared" si="3"/>
        <v>193.37227966532592</v>
      </c>
      <c r="F25" s="73"/>
      <c r="G25" s="73"/>
      <c r="H25"/>
      <c r="I25"/>
      <c r="J25"/>
      <c r="K25"/>
      <c r="L25"/>
      <c r="M25" s="2"/>
      <c r="N25" s="12">
        <f t="shared" si="4"/>
        <v>2017.5</v>
      </c>
    </row>
    <row r="26" spans="1:14" x14ac:dyDescent="0.2">
      <c r="A26" s="12" t="str">
        <f t="shared" si="1"/>
        <v>9/30/2017</v>
      </c>
      <c r="B26"/>
      <c r="C26" s="222">
        <f>[1]CPI!H124</f>
        <v>194.14</v>
      </c>
      <c r="D26" s="73">
        <f t="shared" si="2"/>
        <v>194.45830267671408</v>
      </c>
      <c r="E26" s="73">
        <f t="shared" si="3"/>
        <v>194.36898129613439</v>
      </c>
      <c r="F26" s="73"/>
      <c r="G26" s="73"/>
      <c r="H26"/>
      <c r="I26"/>
      <c r="J26"/>
      <c r="K26"/>
      <c r="L26"/>
      <c r="M26" s="2"/>
      <c r="N26" s="12">
        <f t="shared" si="4"/>
        <v>2017.75</v>
      </c>
    </row>
    <row r="27" spans="1:14" x14ac:dyDescent="0.2">
      <c r="A27" s="12" t="str">
        <f t="shared" si="1"/>
        <v>12/31/2017</v>
      </c>
      <c r="B27"/>
      <c r="C27" s="222">
        <f>[1]CPI!H125</f>
        <v>194.1</v>
      </c>
      <c r="D27" s="73">
        <f t="shared" si="2"/>
        <v>195.52710180158283</v>
      </c>
      <c r="E27" s="73">
        <f t="shared" si="3"/>
        <v>195.37082024105172</v>
      </c>
      <c r="F27" s="73"/>
      <c r="G27" s="73"/>
      <c r="H27"/>
      <c r="I27"/>
      <c r="J27"/>
      <c r="K27"/>
      <c r="L27"/>
      <c r="M27" s="2"/>
      <c r="N27" s="12">
        <f t="shared" si="4"/>
        <v>2018</v>
      </c>
    </row>
    <row r="28" spans="1:14" x14ac:dyDescent="0.2">
      <c r="A28" s="12" t="str">
        <f t="shared" si="1"/>
        <v>3/31/2018</v>
      </c>
      <c r="B28"/>
      <c r="C28" s="222">
        <f>[1]CPI!H126</f>
        <v>194.71</v>
      </c>
      <c r="D28" s="73">
        <f t="shared" si="2"/>
        <v>196.59590092645158</v>
      </c>
      <c r="E28" s="73">
        <f t="shared" si="3"/>
        <v>196.37782297941416</v>
      </c>
      <c r="F28" s="73"/>
      <c r="G28" s="73"/>
      <c r="H28"/>
      <c r="I28"/>
      <c r="J28"/>
      <c r="K28"/>
      <c r="L28"/>
      <c r="M28" s="2"/>
      <c r="N28" s="12">
        <f t="shared" si="4"/>
        <v>2018.25</v>
      </c>
    </row>
    <row r="29" spans="1:14" x14ac:dyDescent="0.2">
      <c r="A29" s="12" t="str">
        <f t="shared" si="1"/>
        <v>6/30/2018</v>
      </c>
      <c r="B29"/>
      <c r="C29" s="222">
        <f>[1]CPI!H127</f>
        <v>195.27</v>
      </c>
      <c r="D29" s="73">
        <f t="shared" si="2"/>
        <v>197.6647000513185</v>
      </c>
      <c r="E29" s="73">
        <f t="shared" si="3"/>
        <v>197.39001612703947</v>
      </c>
      <c r="F29" s="73"/>
      <c r="G29" s="73"/>
      <c r="H29"/>
      <c r="I29"/>
      <c r="J29"/>
      <c r="K29"/>
      <c r="L29"/>
      <c r="M29" s="2"/>
      <c r="N29" s="12">
        <f t="shared" si="4"/>
        <v>2018.5</v>
      </c>
    </row>
    <row r="30" spans="1:14" x14ac:dyDescent="0.2">
      <c r="A30" s="12" t="str">
        <f t="shared" si="1"/>
        <v>9/30/2018</v>
      </c>
      <c r="B30"/>
      <c r="C30" s="222">
        <f>[1]CPI!H128</f>
        <v>195.59</v>
      </c>
      <c r="D30" s="73">
        <f t="shared" si="2"/>
        <v>198.73349917618725</v>
      </c>
      <c r="E30" s="73">
        <f t="shared" si="3"/>
        <v>198.40742643693306</v>
      </c>
      <c r="F30" s="73"/>
      <c r="G30" s="73"/>
      <c r="H30" s="19"/>
      <c r="I30" s="29"/>
      <c r="J30" s="19"/>
      <c r="K30" s="29"/>
      <c r="L30" s="29"/>
      <c r="M30" s="2"/>
      <c r="N30" s="12">
        <f t="shared" si="4"/>
        <v>2018.75</v>
      </c>
    </row>
    <row r="31" spans="1:14" x14ac:dyDescent="0.2">
      <c r="A31" s="12" t="str">
        <f t="shared" si="1"/>
        <v>12/31/2018</v>
      </c>
      <c r="B31"/>
      <c r="C31" s="222">
        <f>[1]CPI!H129</f>
        <v>196.2</v>
      </c>
      <c r="D31" s="73">
        <f t="shared" si="2"/>
        <v>199.802298301056</v>
      </c>
      <c r="E31" s="73">
        <f t="shared" si="3"/>
        <v>199.43008079998955</v>
      </c>
      <c r="F31" s="73"/>
      <c r="G31" s="73"/>
      <c r="H31" s="19"/>
      <c r="I31" s="29"/>
      <c r="J31" s="19"/>
      <c r="K31" s="29"/>
      <c r="L31" s="29"/>
      <c r="M31" s="2"/>
      <c r="N31" s="12">
        <f t="shared" si="4"/>
        <v>2019</v>
      </c>
    </row>
    <row r="32" spans="1:14" x14ac:dyDescent="0.2">
      <c r="A32" s="12" t="str">
        <f t="shared" si="1"/>
        <v>3/31/2019</v>
      </c>
      <c r="B32" s="22"/>
      <c r="C32" s="222">
        <f>[1]CPI!H130</f>
        <v>196.98</v>
      </c>
      <c r="D32" s="73">
        <f t="shared" si="2"/>
        <v>200.87109742592475</v>
      </c>
      <c r="E32" s="73">
        <f t="shared" si="3"/>
        <v>200.45800624571194</v>
      </c>
      <c r="F32" s="73"/>
      <c r="G32" s="73"/>
      <c r="H32" s="19"/>
      <c r="I32" s="29"/>
      <c r="J32" s="19"/>
      <c r="K32" s="29"/>
      <c r="L32" s="29"/>
      <c r="M32" s="2"/>
      <c r="N32" s="12">
        <f t="shared" si="4"/>
        <v>2019.25</v>
      </c>
    </row>
    <row r="33" spans="1:14" x14ac:dyDescent="0.2">
      <c r="A33" s="12" t="str">
        <f t="shared" si="1"/>
        <v>6/30/2019</v>
      </c>
      <c r="B33" s="22"/>
      <c r="C33" s="222">
        <f>[1]CPI!H131</f>
        <v>198.12</v>
      </c>
      <c r="D33" s="73">
        <f t="shared" si="2"/>
        <v>201.93989655079167</v>
      </c>
      <c r="E33" s="73">
        <f t="shared" si="3"/>
        <v>201.49122994292043</v>
      </c>
      <c r="F33" s="73"/>
      <c r="G33" s="73"/>
      <c r="H33" s="19"/>
      <c r="I33" s="29"/>
      <c r="J33" s="19"/>
      <c r="K33" s="29"/>
      <c r="L33" s="29"/>
      <c r="M33" s="2"/>
      <c r="N33" s="12">
        <f t="shared" si="4"/>
        <v>2019.5</v>
      </c>
    </row>
    <row r="34" spans="1:14" x14ac:dyDescent="0.2">
      <c r="A34" s="12" t="str">
        <f t="shared" si="1"/>
        <v>9/30/2019</v>
      </c>
      <c r="B34"/>
      <c r="C34" s="222">
        <f>[1]CPI!H132</f>
        <v>199.66</v>
      </c>
      <c r="D34" s="73">
        <f t="shared" si="2"/>
        <v>203.00869567566042</v>
      </c>
      <c r="E34" s="73">
        <f t="shared" si="3"/>
        <v>202.5297792004732</v>
      </c>
      <c r="F34" s="73"/>
      <c r="G34" s="73"/>
      <c r="H34" s="29"/>
      <c r="I34" s="29"/>
      <c r="J34" s="29"/>
      <c r="K34" s="29"/>
      <c r="L34" s="29"/>
      <c r="M34" s="2"/>
      <c r="N34" s="12">
        <f t="shared" si="4"/>
        <v>2019.75</v>
      </c>
    </row>
    <row r="35" spans="1:14" x14ac:dyDescent="0.2">
      <c r="A35" s="12" t="str">
        <f t="shared" si="1"/>
        <v>12/31/2019</v>
      </c>
      <c r="C35" s="222">
        <f>[1]CPI!H133</f>
        <v>200.22</v>
      </c>
      <c r="D35" s="73">
        <f t="shared" si="2"/>
        <v>204.07749480052917</v>
      </c>
      <c r="E35" s="73">
        <f t="shared" si="3"/>
        <v>203.57368146798268</v>
      </c>
      <c r="F35" s="73"/>
      <c r="G35" s="73"/>
      <c r="H35"/>
      <c r="I35"/>
      <c r="J35"/>
      <c r="K35"/>
      <c r="L35"/>
      <c r="M35" s="2"/>
      <c r="N35" s="12">
        <f t="shared" si="4"/>
        <v>2020</v>
      </c>
    </row>
    <row r="36" spans="1:14" x14ac:dyDescent="0.2">
      <c r="A36" s="12" t="str">
        <f t="shared" si="1"/>
        <v>3/31/2020</v>
      </c>
      <c r="C36" s="222">
        <f>[1]CPI!H134</f>
        <v>199.74</v>
      </c>
      <c r="D36" s="73">
        <f t="shared" si="2"/>
        <v>205.14629392539791</v>
      </c>
      <c r="E36" s="73">
        <f t="shared" si="3"/>
        <v>204.6229643365495</v>
      </c>
      <c r="F36" s="73">
        <f>TREND($C$36:$C$55,$N$36:$N$55,$N36,TRUE)</f>
        <v>192.96971428571123</v>
      </c>
      <c r="G36" s="73">
        <f>GROWTH($C$36:$C$55,$N$36:$N$55,$N36,TRUE)</f>
        <v>193.45081225215853</v>
      </c>
      <c r="H36"/>
      <c r="J36"/>
      <c r="M36" s="2"/>
      <c r="N36" s="12">
        <f t="shared" si="4"/>
        <v>2020.25</v>
      </c>
    </row>
    <row r="37" spans="1:14" x14ac:dyDescent="0.2">
      <c r="A37" s="12" t="str">
        <f t="shared" si="1"/>
        <v>6/30/2020</v>
      </c>
      <c r="C37" s="222">
        <f>[1]CPI!H135</f>
        <v>197.63</v>
      </c>
      <c r="D37" s="73">
        <f t="shared" si="2"/>
        <v>206.21509305026484</v>
      </c>
      <c r="E37" s="73">
        <f t="shared" si="3"/>
        <v>205.6776555394861</v>
      </c>
      <c r="F37" s="73">
        <f t="shared" ref="F37:F54" si="5">TREND($C$36:$C$55,$N$36:$N$55,$N37,TRUE)</f>
        <v>195.2400075187943</v>
      </c>
      <c r="G37" s="73">
        <f t="shared" ref="G37:G54" si="6">GROWTH($C$36:$C$55,$N$36:$N$55,$N37,TRUE)</f>
        <v>195.52521938424275</v>
      </c>
      <c r="H37" s="73"/>
      <c r="I37" s="73"/>
      <c r="J37" s="29"/>
      <c r="K37" s="29"/>
      <c r="L37" s="29"/>
      <c r="M37" s="2"/>
      <c r="N37" s="12">
        <f t="shared" si="4"/>
        <v>2020.5</v>
      </c>
    </row>
    <row r="38" spans="1:14" x14ac:dyDescent="0.2">
      <c r="A38" s="12" t="str">
        <f t="shared" si="1"/>
        <v>9/30/2020</v>
      </c>
      <c r="C38" s="222">
        <f>[1]CPI!H136</f>
        <v>195.93</v>
      </c>
      <c r="D38" s="73">
        <f t="shared" si="2"/>
        <v>207.28389217513359</v>
      </c>
      <c r="E38" s="73">
        <f t="shared" si="3"/>
        <v>206.73778295305263</v>
      </c>
      <c r="F38" s="73">
        <f t="shared" si="5"/>
        <v>197.51030075187737</v>
      </c>
      <c r="G38" s="73">
        <f t="shared" si="6"/>
        <v>197.62187074936764</v>
      </c>
      <c r="H38" s="73"/>
      <c r="I38" s="73"/>
      <c r="J38" s="29"/>
      <c r="K38" s="29"/>
      <c r="L38" s="29"/>
      <c r="M38" s="2"/>
      <c r="N38" s="12">
        <f t="shared" si="4"/>
        <v>2020.75</v>
      </c>
    </row>
    <row r="39" spans="1:14" x14ac:dyDescent="0.2">
      <c r="A39" s="12" t="str">
        <f t="shared" si="1"/>
        <v>12/31/2020</v>
      </c>
      <c r="C39" s="222">
        <f>[1]CPI!H137</f>
        <v>194.86</v>
      </c>
      <c r="D39" s="73">
        <f t="shared" si="2"/>
        <v>208.35269130000233</v>
      </c>
      <c r="E39" s="73">
        <f t="shared" si="3"/>
        <v>207.80337459718783</v>
      </c>
      <c r="F39" s="73">
        <f t="shared" si="5"/>
        <v>199.78059398496043</v>
      </c>
      <c r="G39" s="73">
        <f t="shared" si="6"/>
        <v>199.74100487636193</v>
      </c>
      <c r="H39" s="73"/>
      <c r="I39" s="73"/>
      <c r="J39" s="29"/>
      <c r="K39" s="29"/>
      <c r="L39" s="29"/>
      <c r="M39" s="2"/>
      <c r="N39" s="12">
        <f t="shared" si="4"/>
        <v>2021</v>
      </c>
    </row>
    <row r="40" spans="1:14" x14ac:dyDescent="0.2">
      <c r="A40" s="12" t="str">
        <f t="shared" si="1"/>
        <v>3/31/2021</v>
      </c>
      <c r="C40" s="222">
        <f>[1]CPI!H138</f>
        <v>194.38</v>
      </c>
      <c r="D40" s="73">
        <f t="shared" si="2"/>
        <v>209.42149042487108</v>
      </c>
      <c r="E40" s="73">
        <f t="shared" si="3"/>
        <v>208.87445863625845</v>
      </c>
      <c r="F40" s="73">
        <f t="shared" si="5"/>
        <v>202.0508872180435</v>
      </c>
      <c r="G40" s="73">
        <f t="shared" si="6"/>
        <v>201.882862851841</v>
      </c>
      <c r="H40" s="73">
        <f>TREND($C$40:$C$55,$N$40:$N$55,$N40,TRUE)</f>
        <v>200.86742647059145</v>
      </c>
      <c r="I40" s="73">
        <f>GROWTH($C$40:$C$55,$N$40:$N$55,$N40,TRUE)</f>
        <v>200.92810600159916</v>
      </c>
      <c r="J40"/>
      <c r="K40" s="18"/>
      <c r="L40" s="18"/>
      <c r="M40" s="2"/>
      <c r="N40" s="12">
        <f t="shared" si="4"/>
        <v>2021.25</v>
      </c>
    </row>
    <row r="41" spans="1:14" x14ac:dyDescent="0.2">
      <c r="A41" s="12" t="str">
        <f t="shared" si="1"/>
        <v>6/30/2021</v>
      </c>
      <c r="C41" s="222">
        <f>[1]CPI!H139</f>
        <v>197.56</v>
      </c>
      <c r="D41" s="73">
        <f t="shared" si="2"/>
        <v>210.49028954973983</v>
      </c>
      <c r="E41" s="73">
        <f t="shared" si="3"/>
        <v>209.95106337979928</v>
      </c>
      <c r="F41" s="73">
        <f t="shared" si="5"/>
        <v>204.32118045112293</v>
      </c>
      <c r="G41" s="73">
        <f t="shared" si="6"/>
        <v>204.04768834763453</v>
      </c>
      <c r="H41" s="73">
        <f t="shared" ref="H41:H55" si="7">TREND($C$40:$C$55,$N$40:$N$55,$N41,TRUE)</f>
        <v>203.27335294117802</v>
      </c>
      <c r="I41" s="73">
        <f t="shared" ref="I41:I54" si="8">GROWTH($C$40:$C$55,$N$40:$N$55,$N41,TRUE)</f>
        <v>203.19524163114926</v>
      </c>
      <c r="J41" s="73"/>
      <c r="K41" s="73"/>
      <c r="L41" s="73"/>
      <c r="M41" s="2"/>
      <c r="N41" s="12">
        <f t="shared" si="4"/>
        <v>2021.5</v>
      </c>
    </row>
    <row r="42" spans="1:14" x14ac:dyDescent="0.2">
      <c r="A42" s="12" t="str">
        <f t="shared" si="1"/>
        <v>9/30/2021</v>
      </c>
      <c r="B42"/>
      <c r="C42" s="222">
        <f>[1]CPI!H140</f>
        <v>201.3</v>
      </c>
      <c r="D42" s="73">
        <f t="shared" si="2"/>
        <v>211.55908867460676</v>
      </c>
      <c r="E42" s="73">
        <f t="shared" si="3"/>
        <v>211.03321728325687</v>
      </c>
      <c r="F42" s="73">
        <f t="shared" si="5"/>
        <v>206.59147368420599</v>
      </c>
      <c r="G42" s="73">
        <f t="shared" si="6"/>
        <v>206.23572764850806</v>
      </c>
      <c r="H42" s="73">
        <f t="shared" si="7"/>
        <v>205.67927941176822</v>
      </c>
      <c r="I42" s="73">
        <f t="shared" si="8"/>
        <v>205.48795807199082</v>
      </c>
      <c r="J42" s="73"/>
      <c r="K42" s="73"/>
      <c r="L42" s="73"/>
      <c r="M42" s="2"/>
      <c r="N42" s="12">
        <f t="shared" si="4"/>
        <v>2021.75</v>
      </c>
    </row>
    <row r="43" spans="1:14" x14ac:dyDescent="0.2">
      <c r="A43" s="12" t="str">
        <f t="shared" si="1"/>
        <v>12/31/2021</v>
      </c>
      <c r="C43" s="222">
        <f>[1]CPI!H141</f>
        <v>206.8</v>
      </c>
      <c r="D43" s="73">
        <f>TREND($C$14:$C$55,$N$14:$N$55,$N43,TRUE)</f>
        <v>212.6278877994755</v>
      </c>
      <c r="E43" s="73">
        <f t="shared" si="3"/>
        <v>212.12094894875062</v>
      </c>
      <c r="F43" s="73">
        <f t="shared" si="5"/>
        <v>208.86176691728906</v>
      </c>
      <c r="G43" s="73">
        <f t="shared" si="6"/>
        <v>208.44722968018212</v>
      </c>
      <c r="H43" s="73">
        <f t="shared" si="7"/>
        <v>208.08520588235478</v>
      </c>
      <c r="I43" s="73">
        <f t="shared" si="8"/>
        <v>207.80654396054143</v>
      </c>
      <c r="J43" s="73"/>
      <c r="K43" s="73"/>
      <c r="L43" s="73"/>
      <c r="M43" s="2"/>
      <c r="N43" s="12">
        <f t="shared" si="4"/>
        <v>2022</v>
      </c>
    </row>
    <row r="44" spans="1:14" x14ac:dyDescent="0.2">
      <c r="A44" s="12" t="str">
        <f t="shared" si="1"/>
        <v>3/31/2022</v>
      </c>
      <c r="C44" s="222">
        <f>[1]CPI!H142</f>
        <v>213.06</v>
      </c>
      <c r="D44" s="73">
        <f t="shared" si="2"/>
        <v>213.69668692434425</v>
      </c>
      <c r="E44" s="73">
        <f t="shared" si="3"/>
        <v>213.21428712582275</v>
      </c>
      <c r="F44" s="73">
        <f t="shared" si="5"/>
        <v>211.13206015037213</v>
      </c>
      <c r="G44" s="73">
        <f t="shared" si="6"/>
        <v>210.68244603765154</v>
      </c>
      <c r="H44" s="73">
        <f t="shared" si="7"/>
        <v>210.49113235294499</v>
      </c>
      <c r="I44" s="73">
        <f t="shared" si="8"/>
        <v>210.15129118999505</v>
      </c>
      <c r="J44" s="73">
        <f>TREND($C$44:$C$55,$N$44:$N$55,$N44,TRUE)</f>
        <v>217.80269230769227</v>
      </c>
      <c r="K44" s="73">
        <f>GROWTH($C$44:$C$55,$N$44:$N$55,$N44,TRUE)</f>
        <v>217.78477111633754</v>
      </c>
      <c r="L44" s="73"/>
      <c r="M44" s="2"/>
      <c r="N44" s="12">
        <f t="shared" si="4"/>
        <v>2022.25</v>
      </c>
    </row>
    <row r="45" spans="1:14" x14ac:dyDescent="0.2">
      <c r="A45" s="12" t="str">
        <f t="shared" si="1"/>
        <v>6/30/2022</v>
      </c>
      <c r="C45" s="222">
        <f>[1]CPI!H143</f>
        <v>217.34</v>
      </c>
      <c r="D45" s="73">
        <f t="shared" si="2"/>
        <v>214.765486049213</v>
      </c>
      <c r="E45" s="73">
        <f t="shared" si="3"/>
        <v>214.31326071220116</v>
      </c>
      <c r="F45" s="73">
        <f t="shared" si="5"/>
        <v>213.40235338345519</v>
      </c>
      <c r="G45" s="73">
        <f t="shared" si="6"/>
        <v>212.94163101380857</v>
      </c>
      <c r="H45" s="73">
        <f t="shared" si="7"/>
        <v>212.89705882353155</v>
      </c>
      <c r="I45" s="73">
        <f t="shared" si="8"/>
        <v>212.52249494706928</v>
      </c>
      <c r="J45" s="73">
        <f t="shared" ref="J45:J54" si="9">TREND($C$44:$C$55,$N$44:$N$55,$N45,TRUE)</f>
        <v>219.14993006993063</v>
      </c>
      <c r="K45" s="73">
        <f t="shared" ref="K45:K54" si="10">GROWTH($C$44:$C$55,$N$44:$N$55,$N45,TRUE)</f>
        <v>219.10562456195336</v>
      </c>
      <c r="L45" s="73"/>
      <c r="M45" s="2"/>
      <c r="N45" s="12">
        <f t="shared" si="4"/>
        <v>2022.5</v>
      </c>
    </row>
    <row r="46" spans="1:14" x14ac:dyDescent="0.2">
      <c r="A46" s="12" t="str">
        <f t="shared" si="1"/>
        <v>9/30/2022</v>
      </c>
      <c r="C46" s="222">
        <f>[1]CPI!H144</f>
        <v>220.62</v>
      </c>
      <c r="D46" s="73">
        <f t="shared" si="2"/>
        <v>215.83428517407992</v>
      </c>
      <c r="E46" s="73">
        <f>GROWTH($C$14:$C$55,$N$14:$N$55,$N46,TRUE)</f>
        <v>215.41789875455717</v>
      </c>
      <c r="F46" s="73">
        <f>TREND($C$36:$C$55,$N$36:$N$55,$N46,TRUE)</f>
        <v>215.67264661653826</v>
      </c>
      <c r="G46" s="73">
        <f>GROWTH($C$36:$C$55,$N$36:$N$55,$N46,TRUE)</f>
        <v>215.22504162837302</v>
      </c>
      <c r="H46" s="73">
        <f t="shared" si="7"/>
        <v>215.30298529412175</v>
      </c>
      <c r="I46" s="73">
        <f t="shared" si="8"/>
        <v>214.92045374916711</v>
      </c>
      <c r="J46" s="73">
        <f t="shared" si="9"/>
        <v>220.49716783216718</v>
      </c>
      <c r="K46" s="73">
        <f t="shared" si="10"/>
        <v>220.43448891584279</v>
      </c>
      <c r="L46" s="73"/>
      <c r="M46" s="2"/>
      <c r="N46" s="12">
        <f t="shared" si="4"/>
        <v>2022.75</v>
      </c>
    </row>
    <row r="47" spans="1:14" x14ac:dyDescent="0.2">
      <c r="A47" s="12" t="str">
        <f t="shared" si="1"/>
        <v>12/31/2022</v>
      </c>
      <c r="B47"/>
      <c r="C47" s="222">
        <f>[1]CPI!H145</f>
        <v>223.1</v>
      </c>
      <c r="D47" s="73">
        <f t="shared" si="2"/>
        <v>216.90308429894867</v>
      </c>
      <c r="E47" s="73">
        <f t="shared" si="3"/>
        <v>216.52823044928252</v>
      </c>
      <c r="F47" s="73">
        <f t="shared" si="5"/>
        <v>217.94293984962133</v>
      </c>
      <c r="G47" s="73">
        <f t="shared" si="6"/>
        <v>217.53293765713232</v>
      </c>
      <c r="H47" s="73">
        <f>TREND($C$40:$C$55,$N$40:$N$55,$N47,TRUE)</f>
        <v>217.70891176470832</v>
      </c>
      <c r="I47" s="73">
        <f t="shared" si="8"/>
        <v>217.34546948196137</v>
      </c>
      <c r="J47" s="73">
        <f t="shared" si="9"/>
        <v>221.84440559440554</v>
      </c>
      <c r="K47" s="73">
        <f t="shared" si="10"/>
        <v>221.77141276375281</v>
      </c>
      <c r="L47" s="73"/>
      <c r="M47" s="2"/>
      <c r="N47" s="12">
        <f t="shared" si="4"/>
        <v>2023</v>
      </c>
    </row>
    <row r="48" spans="1:14" x14ac:dyDescent="0.2">
      <c r="A48" s="12" t="str">
        <f t="shared" si="1"/>
        <v>3/31/2023</v>
      </c>
      <c r="C48" s="222">
        <f>[1]CPI!H146</f>
        <v>225.88</v>
      </c>
      <c r="D48" s="73">
        <f t="shared" si="2"/>
        <v>217.97188342381742</v>
      </c>
      <c r="E48" s="73">
        <f t="shared" si="3"/>
        <v>217.64428514325462</v>
      </c>
      <c r="F48" s="73">
        <f t="shared" si="5"/>
        <v>220.21323308270439</v>
      </c>
      <c r="G48" s="73">
        <f t="shared" si="6"/>
        <v>219.86558166149553</v>
      </c>
      <c r="H48" s="73">
        <f t="shared" si="7"/>
        <v>220.11483823529852</v>
      </c>
      <c r="I48" s="73">
        <f>GROWTH($C$40:$C$55,$N$40:$N$55,$N48,TRUE)</f>
        <v>219.7978474373875</v>
      </c>
      <c r="J48" s="73">
        <f>TREND($C$44:$C$55,$N$44:$N$55,$N48,TRUE)</f>
        <v>223.19164335664391</v>
      </c>
      <c r="K48" s="73">
        <f>GROWTH($C$44:$C$55,$N$44:$N$55,$N48,TRUE)</f>
        <v>223.11644498610053</v>
      </c>
      <c r="L48" s="73"/>
      <c r="M48" s="2"/>
      <c r="N48" s="12">
        <f t="shared" si="4"/>
        <v>2023.25</v>
      </c>
    </row>
    <row r="49" spans="1:14" x14ac:dyDescent="0.2">
      <c r="A49" s="12" t="str">
        <f t="shared" si="1"/>
        <v>6/30/2023</v>
      </c>
      <c r="C49" s="222">
        <f>[1]CPI!H147</f>
        <v>227.59</v>
      </c>
      <c r="D49" s="73">
        <f t="shared" si="2"/>
        <v>219.04068254868616</v>
      </c>
      <c r="E49" s="73">
        <f t="shared" si="3"/>
        <v>218.76609233461556</v>
      </c>
      <c r="F49" s="73">
        <f>TREND($C$36:$C$55,$N$36:$N$55,$N49,TRUE)</f>
        <v>222.48352631578746</v>
      </c>
      <c r="G49" s="73">
        <f t="shared" si="6"/>
        <v>222.22323901836381</v>
      </c>
      <c r="H49" s="73">
        <f t="shared" si="7"/>
        <v>222.52076470588509</v>
      </c>
      <c r="I49" s="73">
        <f t="shared" si="8"/>
        <v>222.27789635209609</v>
      </c>
      <c r="J49" s="73">
        <f t="shared" si="9"/>
        <v>224.53888111888045</v>
      </c>
      <c r="K49" s="73">
        <f t="shared" si="10"/>
        <v>224.4696347597602</v>
      </c>
      <c r="L49" s="73"/>
      <c r="M49" s="2"/>
      <c r="N49" s="12">
        <f t="shared" si="4"/>
        <v>2023.5</v>
      </c>
    </row>
    <row r="50" spans="1:14" x14ac:dyDescent="0.2">
      <c r="A50" s="12" t="str">
        <f t="shared" si="1"/>
        <v>9/30/2023</v>
      </c>
      <c r="C50" s="222">
        <f>[1]CPI!H148</f>
        <v>229.23</v>
      </c>
      <c r="D50" s="73">
        <f t="shared" si="2"/>
        <v>220.10948167355309</v>
      </c>
      <c r="E50" s="73">
        <f>GROWTH($C$14:$C$55,$N$14:$N$55,$N50,TRUE)</f>
        <v>219.89368167354553</v>
      </c>
      <c r="F50" s="73">
        <f t="shared" si="5"/>
        <v>224.75381954887052</v>
      </c>
      <c r="G50" s="73">
        <f t="shared" si="6"/>
        <v>224.60617795032175</v>
      </c>
      <c r="H50" s="73">
        <f t="shared" si="7"/>
        <v>224.92669117647165</v>
      </c>
      <c r="I50" s="73">
        <f t="shared" si="8"/>
        <v>224.78592844630833</v>
      </c>
      <c r="J50" s="73">
        <f t="shared" si="9"/>
        <v>225.88611888111882</v>
      </c>
      <c r="K50" s="73">
        <f t="shared" si="10"/>
        <v>225.83103155986143</v>
      </c>
      <c r="L50" s="73"/>
      <c r="M50" s="2"/>
      <c r="N50" s="12">
        <f t="shared" si="4"/>
        <v>2023.75</v>
      </c>
    </row>
    <row r="51" spans="1:14" x14ac:dyDescent="0.2">
      <c r="A51" s="12" t="str">
        <f t="shared" si="1"/>
        <v>12/31/2023</v>
      </c>
      <c r="C51" s="222">
        <f>[1]CPI!H149</f>
        <v>229.35</v>
      </c>
      <c r="D51" s="73">
        <f t="shared" si="2"/>
        <v>221.17828079842184</v>
      </c>
      <c r="E51" s="73">
        <f t="shared" si="3"/>
        <v>221.02708296305565</v>
      </c>
      <c r="F51" s="73">
        <f t="shared" si="5"/>
        <v>227.02411278195359</v>
      </c>
      <c r="G51" s="73">
        <f t="shared" si="6"/>
        <v>227.01466955615177</v>
      </c>
      <c r="H51" s="73">
        <f t="shared" si="7"/>
        <v>227.33261764706185</v>
      </c>
      <c r="I51" s="73">
        <f t="shared" si="8"/>
        <v>227.32225946312522</v>
      </c>
      <c r="J51" s="73">
        <f t="shared" si="9"/>
        <v>227.23335664335718</v>
      </c>
      <c r="K51" s="73">
        <f t="shared" si="10"/>
        <v>227.20068516159779</v>
      </c>
      <c r="L51" s="73"/>
      <c r="M51" s="2"/>
      <c r="N51" s="12">
        <f t="shared" si="4"/>
        <v>2024</v>
      </c>
    </row>
    <row r="52" spans="1:14" x14ac:dyDescent="0.2">
      <c r="A52" s="12" t="str">
        <f t="shared" si="1"/>
        <v>3/31/2024</v>
      </c>
      <c r="C52" s="222">
        <f>[1]CPI!H150</f>
        <v>229.06</v>
      </c>
      <c r="D52" s="73">
        <f t="shared" si="2"/>
        <v>222.24707992329058</v>
      </c>
      <c r="E52" s="73">
        <f t="shared" si="3"/>
        <v>222.16632615976974</v>
      </c>
      <c r="F52" s="73">
        <f t="shared" si="5"/>
        <v>229.29440601503302</v>
      </c>
      <c r="G52" s="73">
        <f t="shared" si="6"/>
        <v>229.4489878416764</v>
      </c>
      <c r="H52" s="73">
        <f t="shared" si="7"/>
        <v>229.73854411764842</v>
      </c>
      <c r="I52" s="73">
        <f t="shared" si="8"/>
        <v>229.88720870827751</v>
      </c>
      <c r="J52" s="73">
        <f t="shared" si="9"/>
        <v>228.58059440559373</v>
      </c>
      <c r="K52" s="73">
        <f t="shared" si="10"/>
        <v>228.57864564204692</v>
      </c>
      <c r="L52" s="73"/>
      <c r="M52" s="2"/>
      <c r="N52" s="12">
        <f t="shared" si="4"/>
        <v>2024.25</v>
      </c>
    </row>
    <row r="53" spans="1:14" x14ac:dyDescent="0.2">
      <c r="A53" s="12" t="str">
        <f t="shared" si="1"/>
        <v>6/30/2024</v>
      </c>
      <c r="C53" s="222">
        <f>[1]CPI!H151</f>
        <v>228.89</v>
      </c>
      <c r="D53" s="73">
        <f t="shared" si="2"/>
        <v>223.31587904815933</v>
      </c>
      <c r="E53" s="73">
        <f t="shared" si="3"/>
        <v>223.3114413747189</v>
      </c>
      <c r="F53" s="73">
        <f t="shared" si="5"/>
        <v>231.56469924811609</v>
      </c>
      <c r="G53" s="73">
        <f t="shared" si="6"/>
        <v>231.90940975093085</v>
      </c>
      <c r="H53" s="73">
        <f t="shared" si="7"/>
        <v>232.14447058823862</v>
      </c>
      <c r="I53" s="73">
        <f t="shared" si="8"/>
        <v>232.48109909032397</v>
      </c>
      <c r="J53" s="73">
        <f t="shared" si="9"/>
        <v>229.92783216783209</v>
      </c>
      <c r="K53" s="73">
        <f t="shared" si="10"/>
        <v>229.96496338200305</v>
      </c>
      <c r="L53"/>
      <c r="M53" s="2"/>
      <c r="N53" s="12">
        <f t="shared" si="4"/>
        <v>2024.5</v>
      </c>
    </row>
    <row r="54" spans="1:14" x14ac:dyDescent="0.2">
      <c r="A54" s="12" t="str">
        <f>TEXT(DATE(YEAR(A55+1),MONTH(A55+1)-3,1)-1,"m/d/yyyy")</f>
        <v>9/30/2024</v>
      </c>
      <c r="C54" s="222">
        <f>[1]CPI!H152</f>
        <v>228.72</v>
      </c>
      <c r="D54" s="73">
        <f t="shared" si="2"/>
        <v>224.38467817302808</v>
      </c>
      <c r="E54" s="73">
        <f t="shared" si="3"/>
        <v>224.46245887413127</v>
      </c>
      <c r="F54" s="73">
        <f t="shared" si="5"/>
        <v>233.83499248119915</v>
      </c>
      <c r="G54" s="73">
        <f t="shared" si="6"/>
        <v>234.39621519766996</v>
      </c>
      <c r="H54" s="73">
        <f t="shared" si="7"/>
        <v>234.55039705882518</v>
      </c>
      <c r="I54" s="73">
        <f t="shared" si="8"/>
        <v>235.10425716130308</v>
      </c>
      <c r="J54" s="73">
        <f t="shared" si="9"/>
        <v>231.27506993007046</v>
      </c>
      <c r="K54" s="73">
        <f t="shared" si="10"/>
        <v>231.35968906781224</v>
      </c>
      <c r="L54"/>
      <c r="M54" s="2"/>
      <c r="N54" s="12">
        <f t="shared" si="4"/>
        <v>2024.75</v>
      </c>
    </row>
    <row r="55" spans="1:14" x14ac:dyDescent="0.2">
      <c r="A55" s="12" t="str">
        <f>TEXT(N9,"m/d/yyyy")</f>
        <v>12/31/2024</v>
      </c>
      <c r="C55" s="222">
        <f>[1]CPI!H153</f>
        <v>229.71</v>
      </c>
      <c r="D55" s="73">
        <f>TREND($C$14:$C$55,$N$14:$N$55,$N55,TRUE)</f>
        <v>225.45347729789501</v>
      </c>
      <c r="E55" s="73">
        <f>GROWTH($C$14:$C$55,$N$14:$N$55,$N55,TRUE)</f>
        <v>225.61940908024158</v>
      </c>
      <c r="F55" s="73">
        <f>TREND($C$36:$C$55,$N$36:$N$55,$N55,TRUE)</f>
        <v>236.10528571428222</v>
      </c>
      <c r="G55" s="73">
        <f>GROWTH($C$36:$C$55,$N$36:$N$55,$N55,TRUE)</f>
        <v>236.90968709721309</v>
      </c>
      <c r="H55" s="73">
        <f t="shared" si="7"/>
        <v>236.95632352941539</v>
      </c>
      <c r="I55" s="73">
        <f>GROWTH($C$40:$C$55,$N$40:$N$55,$N55,TRUE)</f>
        <v>237.75701315784374</v>
      </c>
      <c r="J55" s="73">
        <f>TREND($C$44:$C$55,$N$44:$N$55,$N55,TRUE)</f>
        <v>232.622307692307</v>
      </c>
      <c r="K55" s="73">
        <f>GROWTH($C$44:$C$55,$N$44:$N$55,$N55,TRUE)</f>
        <v>232.7628736932358</v>
      </c>
      <c r="L55" s="73"/>
      <c r="M55" s="2"/>
      <c r="N55" s="12">
        <f>YEAR(A55)+MONTH(A55)/12</f>
        <v>2025</v>
      </c>
    </row>
    <row r="56" spans="1:14" x14ac:dyDescent="0.2">
      <c r="A56" s="75"/>
      <c r="B56" s="9"/>
      <c r="C56" s="103"/>
      <c r="D56" s="74"/>
      <c r="E56" s="74"/>
      <c r="F56" s="74"/>
      <c r="G56" s="74"/>
      <c r="H56" s="74"/>
      <c r="I56" s="74"/>
      <c r="J56" s="74"/>
      <c r="K56" s="74"/>
      <c r="L56"/>
      <c r="M56" s="2"/>
    </row>
    <row r="57" spans="1:14" x14ac:dyDescent="0.2">
      <c r="A57"/>
      <c r="C57"/>
      <c r="D57"/>
      <c r="E57"/>
      <c r="F57"/>
      <c r="G57"/>
      <c r="H57"/>
      <c r="J57"/>
      <c r="K57"/>
      <c r="L57"/>
      <c r="M57" s="2"/>
    </row>
    <row r="58" spans="1:14" x14ac:dyDescent="0.2">
      <c r="A58" s="12" t="s">
        <v>257</v>
      </c>
      <c r="C58"/>
      <c r="D58" s="19">
        <f>(D55-D51)/D55</f>
        <v>1.896265495973827E-2</v>
      </c>
      <c r="E58" s="19">
        <f>LOGEST($C$14:$C$55,$N$14:$N$55,TRUE,TRUE)-1</f>
        <v>2.0777209994458534E-2</v>
      </c>
      <c r="F58" s="19">
        <f>(F55-F51)/F55</f>
        <v>3.8462387255988904E-2</v>
      </c>
      <c r="G58" s="19">
        <f>LOGEST($C$36:$C$55,$N$36:$N$55,TRUE,TRUE)-1</f>
        <v>4.3587568858029391E-2</v>
      </c>
      <c r="H58" s="19">
        <f>(H55-H51)/H55</f>
        <v>4.0613838613844218E-2</v>
      </c>
      <c r="I58" s="19">
        <f>LOGEST($C$40:$C$55,$N$40:$N$55,TRUE,TRUE)-1</f>
        <v>4.5902912100924675E-2</v>
      </c>
      <c r="J58" s="19">
        <f>(J55-J51)/J55</f>
        <v>2.3166097449595704E-2</v>
      </c>
      <c r="K58" s="19">
        <f>LOGEST($C$44:$C$55,$N$44:$N$55,TRUE,TRUE)-1</f>
        <v>2.4481389779616114E-2</v>
      </c>
      <c r="L58" s="19"/>
      <c r="M58" s="2"/>
    </row>
    <row r="59" spans="1:14" x14ac:dyDescent="0.2">
      <c r="A59" t="s">
        <v>258</v>
      </c>
      <c r="B59"/>
      <c r="C59" s="59"/>
      <c r="D59" s="28">
        <f>INDEX(LINEST($C$14:$C$55,$N$14:$N$55,TRUE,TRUE),3,1)</f>
        <v>0.80643560668853831</v>
      </c>
      <c r="E59" s="28">
        <f>INDEX(LOGEST($C$14:$C$55,$N$14:$N$55,TRUE,TRUE),3,1)</f>
        <v>0.81729709478650603</v>
      </c>
      <c r="F59" s="28">
        <f>INDEX(LINEST($C$36:$C$55,$N$36:$N$55,TRUE,TRUE),3,1)</f>
        <v>0.88548583094523914</v>
      </c>
      <c r="G59" s="28">
        <f>INDEX(LOGEST($C$36:$C$55,$N$36:$N$55,TRUE,TRUE),3,1)</f>
        <v>0.88023516474804664</v>
      </c>
      <c r="H59" s="28">
        <f>INDEX(LINEST($C$40:$C$55,$N$40:$N$55,TRUE,TRUE),3,1)</f>
        <v>0.84598069476408411</v>
      </c>
      <c r="I59" s="28">
        <f>INDEX(LOGEST($C$40:$C$55,$N$40:$N$55,TRUE,TRUE),3,1)</f>
        <v>0.83661026088291857</v>
      </c>
      <c r="J59" s="28">
        <f>INDEX(LINEST($C$44:$C$55,$N$44:$N$55,TRUE,TRUE),3,1)</f>
        <v>0.77379415701102383</v>
      </c>
      <c r="K59" s="28">
        <f>INDEX(LOGEST($C$44:$C$55,$N$44:$N$55,TRUE,TRUE),3,1)</f>
        <v>0.76914777407590151</v>
      </c>
      <c r="L59" s="28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/>
      <c r="J61"/>
      <c r="K61"/>
      <c r="L61"/>
      <c r="M61" s="2"/>
    </row>
    <row r="62" spans="1:14" x14ac:dyDescent="0.2">
      <c r="A62" t="s">
        <v>17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1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1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D65"/>
      <c r="E65"/>
      <c r="F65"/>
      <c r="H65"/>
      <c r="J65"/>
      <c r="K65"/>
      <c r="L65"/>
      <c r="M65" s="2"/>
    </row>
    <row r="66" spans="1:13" x14ac:dyDescent="0.2">
      <c r="A66"/>
      <c r="D66"/>
      <c r="E66"/>
      <c r="F66"/>
      <c r="H66"/>
      <c r="J66"/>
      <c r="K66"/>
      <c r="L66"/>
      <c r="M66" s="2"/>
    </row>
    <row r="67" spans="1:13" x14ac:dyDescent="0.2">
      <c r="A67"/>
      <c r="D67"/>
      <c r="E67"/>
      <c r="F67"/>
      <c r="H67"/>
      <c r="J67"/>
      <c r="K67"/>
      <c r="L67"/>
      <c r="M67" s="2"/>
    </row>
    <row r="68" spans="1:13" ht="12" thickBot="1" x14ac:dyDescent="0.25">
      <c r="A68"/>
      <c r="B68"/>
      <c r="C68" s="59"/>
      <c r="D68" s="28"/>
      <c r="E68" s="28"/>
      <c r="F68" s="28"/>
      <c r="G68" s="28"/>
      <c r="H68" s="28"/>
      <c r="I68" s="28"/>
      <c r="J68" s="28"/>
      <c r="K68" s="28"/>
      <c r="L68" s="2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rgb="FF00B050"/>
    <pageSetUpPr fitToPage="1"/>
  </sheetPr>
  <dimension ref="A1:S74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1" x14ac:dyDescent="0.2">
      <c r="A1" s="8" t="str">
        <f>'1'!$A$1</f>
        <v>Texas Windstorm Insurance Association</v>
      </c>
      <c r="B1" s="12"/>
      <c r="J1" s="7" t="s">
        <v>46</v>
      </c>
      <c r="K1" s="1"/>
    </row>
    <row r="2" spans="1:11" x14ac:dyDescent="0.2">
      <c r="A2" s="8" t="str">
        <f>'1'!$A$2</f>
        <v>Commercial Property - Wind &amp; Hail</v>
      </c>
      <c r="B2" s="12"/>
      <c r="J2" s="7"/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485</v>
      </c>
      <c r="B4" s="12"/>
      <c r="K4" s="2"/>
    </row>
    <row r="5" spans="1:11" x14ac:dyDescent="0.2">
      <c r="B5" s="12"/>
      <c r="K5" s="2"/>
    </row>
    <row r="6" spans="1:11" ht="12" thickBot="1" x14ac:dyDescent="0.25">
      <c r="A6" s="6"/>
      <c r="B6" s="6"/>
      <c r="C6" s="6"/>
      <c r="D6" s="6"/>
      <c r="E6" s="6"/>
      <c r="F6" s="6"/>
      <c r="K6" s="2"/>
    </row>
    <row r="7" spans="1:11" ht="12" thickTop="1" x14ac:dyDescent="0.2">
      <c r="A7" t="s">
        <v>37</v>
      </c>
      <c r="K7" s="2"/>
    </row>
    <row r="8" spans="1:11" x14ac:dyDescent="0.2">
      <c r="A8" t="s">
        <v>38</v>
      </c>
      <c r="C8" s="133"/>
      <c r="D8" s="11"/>
      <c r="E8" s="11" t="s">
        <v>26</v>
      </c>
      <c r="F8" s="11"/>
      <c r="K8" s="2"/>
    </row>
    <row r="9" spans="1:11" x14ac:dyDescent="0.2">
      <c r="A9" t="s">
        <v>25</v>
      </c>
      <c r="C9" s="11" t="s">
        <v>26</v>
      </c>
      <c r="D9" s="11" t="s">
        <v>26</v>
      </c>
      <c r="E9" s="11" t="s">
        <v>47</v>
      </c>
      <c r="F9" s="11" t="s">
        <v>4</v>
      </c>
      <c r="K9" s="2"/>
    </row>
    <row r="10" spans="1:11" x14ac:dyDescent="0.2">
      <c r="A10" s="9" t="str">
        <f>TEXT('3.2d'!N9,"m/d")</f>
        <v>12/31</v>
      </c>
      <c r="B10" s="9"/>
      <c r="C10" s="143" t="s">
        <v>32</v>
      </c>
      <c r="D10" s="143" t="s">
        <v>27</v>
      </c>
      <c r="E10" s="143" t="s">
        <v>48</v>
      </c>
      <c r="F10" s="143" t="s">
        <v>49</v>
      </c>
      <c r="K10" s="2"/>
    </row>
    <row r="11" spans="1:11" x14ac:dyDescent="0.2">
      <c r="A11" s="13" t="str">
        <f>TEXT(COLUMN(),"(#)")</f>
        <v>(1)</v>
      </c>
      <c r="B11" s="13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K11" s="2"/>
    </row>
    <row r="12" spans="1:11" x14ac:dyDescent="0.2">
      <c r="K12" s="2"/>
    </row>
    <row r="13" spans="1:11" x14ac:dyDescent="0.2">
      <c r="A13" s="60">
        <v>1980</v>
      </c>
      <c r="B13" s="22"/>
      <c r="C13" s="107">
        <v>12911</v>
      </c>
      <c r="D13" s="107">
        <v>1318</v>
      </c>
      <c r="E13" s="32">
        <f>ROUND(D13/C13,3)</f>
        <v>0.10199999999999999</v>
      </c>
      <c r="F13" s="31" t="s">
        <v>50</v>
      </c>
      <c r="K13" s="2"/>
    </row>
    <row r="14" spans="1:11" x14ac:dyDescent="0.2">
      <c r="A14" t="str">
        <f>TEXT(A13+1,"#")</f>
        <v>1981</v>
      </c>
      <c r="B14" s="22"/>
      <c r="C14" s="107">
        <v>2512</v>
      </c>
      <c r="D14" s="107">
        <v>543</v>
      </c>
      <c r="E14" s="32">
        <f t="shared" ref="E14:E50" si="0">ROUND(D14/C14,3)</f>
        <v>0.216</v>
      </c>
      <c r="F14" s="31"/>
      <c r="K14" s="2"/>
    </row>
    <row r="15" spans="1:11" x14ac:dyDescent="0.2">
      <c r="A15" t="str">
        <f t="shared" ref="A15:A45" si="1">TEXT(A14+1,"#")</f>
        <v>1982</v>
      </c>
      <c r="B15" s="22"/>
      <c r="C15" s="107">
        <v>796</v>
      </c>
      <c r="D15" s="107">
        <v>565</v>
      </c>
      <c r="E15" s="32">
        <f t="shared" si="0"/>
        <v>0.71</v>
      </c>
      <c r="F15" s="31"/>
      <c r="K15" s="2"/>
    </row>
    <row r="16" spans="1:11" x14ac:dyDescent="0.2">
      <c r="A16" t="str">
        <f t="shared" si="1"/>
        <v>1983</v>
      </c>
      <c r="B16" s="22"/>
      <c r="C16" s="107">
        <v>148999</v>
      </c>
      <c r="D16" s="107">
        <v>9127</v>
      </c>
      <c r="E16" s="32">
        <f t="shared" si="0"/>
        <v>6.0999999999999999E-2</v>
      </c>
      <c r="F16" s="31" t="s">
        <v>50</v>
      </c>
      <c r="K16" s="2"/>
    </row>
    <row r="17" spans="1:19" x14ac:dyDescent="0.2">
      <c r="A17" t="str">
        <f t="shared" si="1"/>
        <v>1984</v>
      </c>
      <c r="B17" s="22"/>
      <c r="C17" s="107">
        <v>999</v>
      </c>
      <c r="D17" s="107">
        <v>324</v>
      </c>
      <c r="E17" s="32">
        <f t="shared" si="0"/>
        <v>0.32400000000000001</v>
      </c>
      <c r="F17" s="31"/>
      <c r="K17" s="2"/>
    </row>
    <row r="18" spans="1:19" x14ac:dyDescent="0.2">
      <c r="A18" t="str">
        <f t="shared" si="1"/>
        <v>1985</v>
      </c>
      <c r="B18" s="22"/>
      <c r="C18" s="107">
        <v>512</v>
      </c>
      <c r="D18" s="107">
        <v>297</v>
      </c>
      <c r="E18" s="32">
        <f t="shared" si="0"/>
        <v>0.57999999999999996</v>
      </c>
      <c r="F18" s="31"/>
      <c r="K18" s="2"/>
    </row>
    <row r="19" spans="1:19" x14ac:dyDescent="0.2">
      <c r="A19" t="str">
        <f t="shared" si="1"/>
        <v>1986</v>
      </c>
      <c r="B19" s="22"/>
      <c r="C19" s="107">
        <v>881</v>
      </c>
      <c r="D19" s="107">
        <v>505</v>
      </c>
      <c r="E19" s="32">
        <f t="shared" si="0"/>
        <v>0.57299999999999995</v>
      </c>
      <c r="F19" s="31" t="s">
        <v>50</v>
      </c>
      <c r="K19" s="2"/>
    </row>
    <row r="20" spans="1:19" x14ac:dyDescent="0.2">
      <c r="A20" t="str">
        <f t="shared" si="1"/>
        <v>1987</v>
      </c>
      <c r="B20" s="22"/>
      <c r="C20" s="107">
        <v>1897</v>
      </c>
      <c r="D20" s="107">
        <v>1056</v>
      </c>
      <c r="E20" s="32">
        <f t="shared" si="0"/>
        <v>0.55700000000000005</v>
      </c>
      <c r="F20" s="31"/>
      <c r="K20" s="2"/>
    </row>
    <row r="21" spans="1:19" x14ac:dyDescent="0.2">
      <c r="A21" t="str">
        <f t="shared" si="1"/>
        <v>1988</v>
      </c>
      <c r="B21" s="22"/>
      <c r="C21" s="107">
        <v>1160</v>
      </c>
      <c r="D21" s="107">
        <v>357</v>
      </c>
      <c r="E21" s="32">
        <f t="shared" si="0"/>
        <v>0.308</v>
      </c>
      <c r="F21" s="31"/>
      <c r="K21" s="2"/>
    </row>
    <row r="22" spans="1:19" x14ac:dyDescent="0.2">
      <c r="A22" t="str">
        <f t="shared" si="1"/>
        <v>1989</v>
      </c>
      <c r="C22" s="107">
        <v>12296</v>
      </c>
      <c r="D22" s="107">
        <v>3528</v>
      </c>
      <c r="E22" s="32">
        <f t="shared" si="0"/>
        <v>0.28699999999999998</v>
      </c>
      <c r="F22" s="24" t="s">
        <v>50</v>
      </c>
      <c r="K22" s="2"/>
    </row>
    <row r="23" spans="1:19" x14ac:dyDescent="0.2">
      <c r="A23" t="str">
        <f t="shared" si="1"/>
        <v>1990</v>
      </c>
      <c r="C23" s="107">
        <v>335</v>
      </c>
      <c r="D23" s="107">
        <v>225</v>
      </c>
      <c r="E23" s="32">
        <f t="shared" si="0"/>
        <v>0.67200000000000004</v>
      </c>
      <c r="F23" s="24"/>
      <c r="K23" s="2"/>
    </row>
    <row r="24" spans="1:19" x14ac:dyDescent="0.2">
      <c r="A24" t="str">
        <f t="shared" si="1"/>
        <v>1991</v>
      </c>
      <c r="C24" s="107">
        <v>1217</v>
      </c>
      <c r="D24" s="107">
        <v>729</v>
      </c>
      <c r="E24" s="32">
        <f t="shared" si="0"/>
        <v>0.59899999999999998</v>
      </c>
      <c r="F24" s="24"/>
      <c r="K24" s="2"/>
      <c r="N24" t="s">
        <v>501</v>
      </c>
    </row>
    <row r="25" spans="1:19" x14ac:dyDescent="0.2">
      <c r="A25" t="str">
        <f t="shared" si="1"/>
        <v>1992</v>
      </c>
      <c r="C25" s="107">
        <v>489</v>
      </c>
      <c r="D25" s="107">
        <v>554</v>
      </c>
      <c r="E25" s="32">
        <f t="shared" si="0"/>
        <v>1.133</v>
      </c>
      <c r="F25" s="24"/>
      <c r="K25" s="2"/>
      <c r="N25" s="23" t="s">
        <v>260</v>
      </c>
      <c r="O25" s="23" t="s">
        <v>262</v>
      </c>
      <c r="P25" s="23" t="s">
        <v>261</v>
      </c>
      <c r="Q25" s="23" t="s">
        <v>56</v>
      </c>
      <c r="R25" s="11" t="s">
        <v>504</v>
      </c>
      <c r="S25" s="11" t="s">
        <v>505</v>
      </c>
    </row>
    <row r="26" spans="1:19" x14ac:dyDescent="0.2">
      <c r="A26" t="str">
        <f t="shared" si="1"/>
        <v>1993</v>
      </c>
      <c r="C26" s="107">
        <v>3375</v>
      </c>
      <c r="D26" s="107">
        <v>1375</v>
      </c>
      <c r="E26" s="32">
        <f t="shared" si="0"/>
        <v>0.40699999999999997</v>
      </c>
      <c r="F26" s="24"/>
      <c r="K26" s="2"/>
    </row>
    <row r="27" spans="1:19" x14ac:dyDescent="0.2">
      <c r="A27" t="str">
        <f t="shared" si="1"/>
        <v>1994</v>
      </c>
      <c r="C27" s="107">
        <v>679</v>
      </c>
      <c r="D27" s="107">
        <v>507</v>
      </c>
      <c r="E27" s="32">
        <f t="shared" si="0"/>
        <v>0.747</v>
      </c>
      <c r="F27" s="24"/>
      <c r="K27" s="2"/>
    </row>
    <row r="28" spans="1:19" x14ac:dyDescent="0.2">
      <c r="A28" t="str">
        <f t="shared" si="1"/>
        <v>1995</v>
      </c>
      <c r="C28" s="107">
        <v>2977</v>
      </c>
      <c r="D28" s="107">
        <v>903</v>
      </c>
      <c r="E28" s="32">
        <f t="shared" si="0"/>
        <v>0.30299999999999999</v>
      </c>
      <c r="F28" s="24"/>
      <c r="K28" s="2"/>
      <c r="M28" s="117">
        <f t="shared" ref="M28:M35" si="2">M29-1</f>
        <v>2015</v>
      </c>
      <c r="N28" s="118">
        <v>138697</v>
      </c>
      <c r="O28" s="118">
        <v>3</v>
      </c>
      <c r="P28" s="118">
        <v>129</v>
      </c>
      <c r="Q28" s="119">
        <f t="shared" ref="Q28:Q37" si="3">SUM(N28:P28)</f>
        <v>138829</v>
      </c>
      <c r="R28" s="242">
        <f>Q28/N28</f>
        <v>1.000951714889291</v>
      </c>
      <c r="S28" s="242">
        <f>Q28/SUM(N28:O28)</f>
        <v>1.000930064888248</v>
      </c>
    </row>
    <row r="29" spans="1:19" x14ac:dyDescent="0.2">
      <c r="A29" t="str">
        <f t="shared" si="1"/>
        <v>1996</v>
      </c>
      <c r="C29" s="107">
        <v>1166</v>
      </c>
      <c r="D29" s="107">
        <v>582</v>
      </c>
      <c r="E29" s="32">
        <f t="shared" si="0"/>
        <v>0.499</v>
      </c>
      <c r="F29" s="24"/>
      <c r="K29" s="2"/>
      <c r="M29" s="117">
        <f t="shared" si="2"/>
        <v>2016</v>
      </c>
      <c r="N29" s="118">
        <v>28422</v>
      </c>
      <c r="O29" s="118">
        <v>0</v>
      </c>
      <c r="P29" s="118">
        <v>0</v>
      </c>
      <c r="Q29" s="119">
        <f t="shared" si="3"/>
        <v>28422</v>
      </c>
      <c r="R29" s="242">
        <f t="shared" ref="R29:R37" si="4">Q29/N29</f>
        <v>1</v>
      </c>
      <c r="S29" s="242">
        <f t="shared" ref="S29:S37" si="5">Q29/SUM(N29:O29)</f>
        <v>1</v>
      </c>
    </row>
    <row r="30" spans="1:19" x14ac:dyDescent="0.2">
      <c r="A30" t="str">
        <f t="shared" si="1"/>
        <v>1997</v>
      </c>
      <c r="C30" s="107">
        <v>2964</v>
      </c>
      <c r="D30" s="107">
        <v>1343</v>
      </c>
      <c r="E30" s="32">
        <f t="shared" si="0"/>
        <v>0.45300000000000001</v>
      </c>
      <c r="F30" s="24"/>
      <c r="K30" s="2"/>
      <c r="M30" s="117">
        <f t="shared" si="2"/>
        <v>2017</v>
      </c>
      <c r="N30" s="118">
        <v>1406494</v>
      </c>
      <c r="O30" s="118">
        <v>241</v>
      </c>
      <c r="P30" s="118">
        <v>3487</v>
      </c>
      <c r="Q30" s="119">
        <f t="shared" si="3"/>
        <v>1410222</v>
      </c>
      <c r="R30" s="242">
        <f t="shared" si="4"/>
        <v>1.0026505623202089</v>
      </c>
      <c r="S30" s="242">
        <f t="shared" si="5"/>
        <v>1.0024787895374752</v>
      </c>
    </row>
    <row r="31" spans="1:19" x14ac:dyDescent="0.2">
      <c r="A31" t="str">
        <f t="shared" si="1"/>
        <v>1998</v>
      </c>
      <c r="B31" s="12"/>
      <c r="C31" s="107">
        <v>22401</v>
      </c>
      <c r="D31" s="107">
        <v>4732</v>
      </c>
      <c r="E31" s="32">
        <f t="shared" si="0"/>
        <v>0.21099999999999999</v>
      </c>
      <c r="F31" s="24"/>
      <c r="K31" s="2"/>
      <c r="M31" s="117">
        <f t="shared" si="2"/>
        <v>2018</v>
      </c>
      <c r="N31" s="118">
        <v>12097</v>
      </c>
      <c r="O31" s="118">
        <v>0</v>
      </c>
      <c r="P31" s="118">
        <v>9</v>
      </c>
      <c r="Q31" s="119">
        <f t="shared" si="3"/>
        <v>12106</v>
      </c>
      <c r="R31" s="242">
        <f t="shared" si="4"/>
        <v>1.0007439861122593</v>
      </c>
      <c r="S31" s="242">
        <f t="shared" si="5"/>
        <v>1.0007439861122593</v>
      </c>
    </row>
    <row r="32" spans="1:19" x14ac:dyDescent="0.2">
      <c r="A32" t="str">
        <f t="shared" si="1"/>
        <v>1999</v>
      </c>
      <c r="B32" s="12"/>
      <c r="C32" s="107">
        <v>8773</v>
      </c>
      <c r="D32" s="107">
        <v>2388</v>
      </c>
      <c r="E32" s="32">
        <f t="shared" si="0"/>
        <v>0.27200000000000002</v>
      </c>
      <c r="F32" s="24" t="s">
        <v>50</v>
      </c>
      <c r="K32" s="2"/>
      <c r="M32" s="117">
        <f t="shared" si="2"/>
        <v>2019</v>
      </c>
      <c r="N32" s="118">
        <v>17606</v>
      </c>
      <c r="O32" s="118">
        <v>15</v>
      </c>
      <c r="P32" s="118">
        <v>6</v>
      </c>
      <c r="Q32" s="119">
        <f t="shared" si="3"/>
        <v>17627</v>
      </c>
      <c r="R32" s="242">
        <f t="shared" si="4"/>
        <v>1.0011927751902761</v>
      </c>
      <c r="S32" s="242">
        <f t="shared" si="5"/>
        <v>1.0003405028091481</v>
      </c>
    </row>
    <row r="33" spans="1:19" x14ac:dyDescent="0.2">
      <c r="A33" t="str">
        <f t="shared" si="1"/>
        <v>2000</v>
      </c>
      <c r="B33" s="12"/>
      <c r="C33" s="107">
        <v>6227</v>
      </c>
      <c r="D33" s="107">
        <v>1885</v>
      </c>
      <c r="E33" s="32">
        <f t="shared" si="0"/>
        <v>0.30299999999999999</v>
      </c>
      <c r="F33" s="24"/>
      <c r="K33" s="2"/>
      <c r="M33" s="117">
        <f t="shared" si="2"/>
        <v>2020</v>
      </c>
      <c r="N33" s="107">
        <v>64174</v>
      </c>
      <c r="O33" s="118">
        <v>87</v>
      </c>
      <c r="P33" s="118">
        <v>418</v>
      </c>
      <c r="Q33" s="119">
        <f t="shared" si="3"/>
        <v>64679</v>
      </c>
      <c r="R33" s="242">
        <f t="shared" si="4"/>
        <v>1.0078692305294978</v>
      </c>
      <c r="S33" s="242">
        <f t="shared" si="5"/>
        <v>1.006504722926814</v>
      </c>
    </row>
    <row r="34" spans="1:19" x14ac:dyDescent="0.2">
      <c r="A34" t="str">
        <f t="shared" si="1"/>
        <v>2001</v>
      </c>
      <c r="C34" s="107">
        <v>24605</v>
      </c>
      <c r="D34" s="107">
        <v>1880</v>
      </c>
      <c r="E34" s="32">
        <f t="shared" si="0"/>
        <v>7.5999999999999998E-2</v>
      </c>
      <c r="F34" s="24"/>
      <c r="K34" s="2"/>
      <c r="M34" s="117">
        <f t="shared" si="2"/>
        <v>2021</v>
      </c>
      <c r="N34" s="107">
        <v>65295</v>
      </c>
      <c r="O34" s="107">
        <v>1327</v>
      </c>
      <c r="P34" s="118">
        <v>881</v>
      </c>
      <c r="Q34" s="119">
        <f t="shared" si="3"/>
        <v>67503</v>
      </c>
      <c r="R34" s="242">
        <f t="shared" si="4"/>
        <v>1.0338157592464967</v>
      </c>
      <c r="S34" s="242">
        <f t="shared" si="5"/>
        <v>1.0132238599861907</v>
      </c>
    </row>
    <row r="35" spans="1:19" x14ac:dyDescent="0.2">
      <c r="A35" t="str">
        <f t="shared" si="1"/>
        <v>2002</v>
      </c>
      <c r="C35" s="107">
        <v>5167</v>
      </c>
      <c r="D35" s="107">
        <v>5226</v>
      </c>
      <c r="E35" s="32">
        <f t="shared" si="0"/>
        <v>1.0109999999999999</v>
      </c>
      <c r="F35" s="24"/>
      <c r="K35" s="2"/>
      <c r="M35" s="117">
        <f t="shared" si="2"/>
        <v>2022</v>
      </c>
      <c r="N35" s="118">
        <v>28828</v>
      </c>
      <c r="O35" s="118">
        <v>180</v>
      </c>
      <c r="P35" s="107">
        <v>208</v>
      </c>
      <c r="Q35" s="119">
        <f t="shared" si="3"/>
        <v>29216</v>
      </c>
      <c r="R35" s="242">
        <f t="shared" si="4"/>
        <v>1.0134591369501873</v>
      </c>
      <c r="S35" s="242">
        <f t="shared" si="5"/>
        <v>1.0071704357418643</v>
      </c>
    </row>
    <row r="36" spans="1:19" x14ac:dyDescent="0.2">
      <c r="A36" t="str">
        <f t="shared" si="1"/>
        <v>2003</v>
      </c>
      <c r="C36" s="107">
        <v>155001</v>
      </c>
      <c r="D36" s="107">
        <v>5122</v>
      </c>
      <c r="E36" s="32">
        <f t="shared" si="0"/>
        <v>3.3000000000000002E-2</v>
      </c>
      <c r="F36" s="24" t="s">
        <v>50</v>
      </c>
      <c r="K36" s="2"/>
      <c r="M36" s="117">
        <f>M37-1</f>
        <v>2023</v>
      </c>
      <c r="N36" s="118">
        <v>75666</v>
      </c>
      <c r="O36" s="118">
        <v>3472</v>
      </c>
      <c r="P36" s="118">
        <v>2162</v>
      </c>
      <c r="Q36" s="119">
        <f t="shared" si="3"/>
        <v>81300</v>
      </c>
      <c r="R36" s="242">
        <f t="shared" si="4"/>
        <v>1.0744588058044564</v>
      </c>
      <c r="S36" s="242">
        <f t="shared" si="5"/>
        <v>1.0273193661704869</v>
      </c>
    </row>
    <row r="37" spans="1:19" ht="11.25" customHeight="1" x14ac:dyDescent="0.2">
      <c r="A37" t="str">
        <f t="shared" si="1"/>
        <v>2004</v>
      </c>
      <c r="C37" s="107">
        <v>5167</v>
      </c>
      <c r="D37" s="107">
        <v>1471</v>
      </c>
      <c r="E37" s="32">
        <f t="shared" si="0"/>
        <v>0.28499999999999998</v>
      </c>
      <c r="F37" s="24"/>
      <c r="K37" s="2"/>
      <c r="M37" s="117">
        <v>2024</v>
      </c>
      <c r="N37" s="118">
        <v>395045</v>
      </c>
      <c r="O37" s="118">
        <v>84146</v>
      </c>
      <c r="P37" s="118">
        <v>36626</v>
      </c>
      <c r="Q37" s="119">
        <f t="shared" si="3"/>
        <v>515817</v>
      </c>
      <c r="R37" s="242">
        <f t="shared" si="4"/>
        <v>1.3057170702071916</v>
      </c>
      <c r="S37" s="242">
        <f t="shared" si="5"/>
        <v>1.0764329880986914</v>
      </c>
    </row>
    <row r="38" spans="1:19" ht="11.25" customHeight="1" x14ac:dyDescent="0.2">
      <c r="A38" t="str">
        <f t="shared" si="1"/>
        <v>2005</v>
      </c>
      <c r="C38" s="107">
        <v>154981</v>
      </c>
      <c r="D38" s="107">
        <v>20235</v>
      </c>
      <c r="E38" s="32">
        <f t="shared" si="0"/>
        <v>0.13100000000000001</v>
      </c>
      <c r="F38" s="24" t="s">
        <v>50</v>
      </c>
      <c r="K38" s="2"/>
      <c r="M38" s="109"/>
      <c r="N38" s="18">
        <f>SUM(N28:N37)</f>
        <v>2232324</v>
      </c>
      <c r="O38" s="18">
        <f t="shared" ref="O38:P38" si="6">SUM(O28:O37)</f>
        <v>89471</v>
      </c>
      <c r="P38" s="18">
        <f t="shared" si="6"/>
        <v>43926</v>
      </c>
      <c r="Q38" s="18">
        <f>SUM(Q28:Q36)</f>
        <v>1849904</v>
      </c>
    </row>
    <row r="39" spans="1:19" x14ac:dyDescent="0.2">
      <c r="A39" t="str">
        <f t="shared" si="1"/>
        <v>2006</v>
      </c>
      <c r="C39" s="107">
        <v>4276</v>
      </c>
      <c r="D39" s="107">
        <v>1110</v>
      </c>
      <c r="E39" s="32">
        <f t="shared" si="0"/>
        <v>0.26</v>
      </c>
      <c r="F39" s="24"/>
      <c r="K39" s="2"/>
    </row>
    <row r="40" spans="1:19" x14ac:dyDescent="0.2">
      <c r="A40" t="str">
        <f t="shared" si="1"/>
        <v>2007</v>
      </c>
      <c r="C40" s="107">
        <v>15745</v>
      </c>
      <c r="D40" s="107">
        <v>4941</v>
      </c>
      <c r="E40" s="32">
        <f t="shared" si="0"/>
        <v>0.314</v>
      </c>
      <c r="F40" s="24" t="s">
        <v>50</v>
      </c>
      <c r="K40" s="2"/>
      <c r="N40" t="s">
        <v>502</v>
      </c>
    </row>
    <row r="41" spans="1:19" x14ac:dyDescent="0.2">
      <c r="A41" t="str">
        <f t="shared" si="1"/>
        <v>2008</v>
      </c>
      <c r="C41" s="107">
        <v>2583017</v>
      </c>
      <c r="D41" s="107">
        <v>346615</v>
      </c>
      <c r="E41" s="32">
        <f t="shared" si="0"/>
        <v>0.13400000000000001</v>
      </c>
      <c r="F41" s="24" t="s">
        <v>50</v>
      </c>
      <c r="K41" s="2"/>
      <c r="N41" s="23" t="s">
        <v>260</v>
      </c>
      <c r="O41" s="23" t="s">
        <v>262</v>
      </c>
      <c r="P41" s="23" t="s">
        <v>261</v>
      </c>
      <c r="Q41" s="23" t="s">
        <v>56</v>
      </c>
    </row>
    <row r="42" spans="1:19" x14ac:dyDescent="0.2">
      <c r="A42" t="str">
        <f t="shared" si="1"/>
        <v>2009</v>
      </c>
      <c r="C42" s="107">
        <v>10407</v>
      </c>
      <c r="D42" s="107">
        <v>2219</v>
      </c>
      <c r="E42" s="32">
        <f t="shared" si="0"/>
        <v>0.21299999999999999</v>
      </c>
      <c r="F42" s="31"/>
      <c r="K42" s="2"/>
    </row>
    <row r="43" spans="1:19" x14ac:dyDescent="0.2">
      <c r="A43" t="str">
        <f t="shared" si="1"/>
        <v>2010</v>
      </c>
      <c r="B43" s="12"/>
      <c r="C43" s="107">
        <v>18005</v>
      </c>
      <c r="D43" s="107">
        <v>4274</v>
      </c>
      <c r="E43" s="32">
        <f t="shared" si="0"/>
        <v>0.23699999999999999</v>
      </c>
      <c r="F43" s="24"/>
      <c r="K43" s="2"/>
    </row>
    <row r="44" spans="1:19" x14ac:dyDescent="0.2">
      <c r="A44" t="str">
        <f t="shared" si="1"/>
        <v>2011</v>
      </c>
      <c r="B44" s="12"/>
      <c r="C44" s="107">
        <v>96073</v>
      </c>
      <c r="D44" s="107">
        <v>15108</v>
      </c>
      <c r="E44" s="32">
        <f t="shared" si="0"/>
        <v>0.157</v>
      </c>
      <c r="F44" s="24"/>
      <c r="K44" s="2"/>
      <c r="M44" s="117">
        <f>M28</f>
        <v>2015</v>
      </c>
      <c r="N44" s="118">
        <v>2895</v>
      </c>
      <c r="O44" s="118">
        <v>31</v>
      </c>
      <c r="P44" s="118">
        <v>55</v>
      </c>
      <c r="Q44" s="119">
        <f t="shared" ref="Q44:Q53" si="7">SUM(N44:P44)</f>
        <v>2981</v>
      </c>
      <c r="S44" s="18"/>
    </row>
    <row r="45" spans="1:19" x14ac:dyDescent="0.2">
      <c r="A45" t="str">
        <f t="shared" si="1"/>
        <v>2012</v>
      </c>
      <c r="B45" s="12"/>
      <c r="C45" s="107">
        <v>67492</v>
      </c>
      <c r="D45" s="107">
        <v>15833</v>
      </c>
      <c r="E45" s="32">
        <f t="shared" si="0"/>
        <v>0.23499999999999999</v>
      </c>
      <c r="F45" s="24"/>
      <c r="K45" s="2"/>
      <c r="M45" s="117">
        <f t="shared" ref="M45:M53" si="8">M29</f>
        <v>2016</v>
      </c>
      <c r="N45" s="118">
        <v>504</v>
      </c>
      <c r="O45" s="118">
        <v>0</v>
      </c>
      <c r="P45" s="118">
        <v>0</v>
      </c>
      <c r="Q45" s="119">
        <f t="shared" si="7"/>
        <v>504</v>
      </c>
      <c r="S45" s="18"/>
    </row>
    <row r="46" spans="1:19" x14ac:dyDescent="0.2">
      <c r="A46" t="str">
        <f>TEXT(A45+1,"#")</f>
        <v>2013</v>
      </c>
      <c r="B46" s="12"/>
      <c r="C46" s="107">
        <v>70835</v>
      </c>
      <c r="D46" s="107">
        <v>13829</v>
      </c>
      <c r="E46" s="32">
        <f t="shared" si="0"/>
        <v>0.19500000000000001</v>
      </c>
      <c r="F46" s="31"/>
      <c r="K46" s="2"/>
      <c r="M46" s="117">
        <f t="shared" si="8"/>
        <v>2017</v>
      </c>
      <c r="N46" s="118">
        <v>13376</v>
      </c>
      <c r="O46" s="118">
        <v>430</v>
      </c>
      <c r="P46" s="118">
        <v>241</v>
      </c>
      <c r="Q46" s="119">
        <f t="shared" si="7"/>
        <v>14047</v>
      </c>
    </row>
    <row r="47" spans="1:19" x14ac:dyDescent="0.2">
      <c r="A47" t="str">
        <f>TEXT(A46+1,"#")</f>
        <v>2014</v>
      </c>
      <c r="B47" s="12"/>
      <c r="C47" s="107">
        <v>7871</v>
      </c>
      <c r="D47" s="107">
        <v>6928</v>
      </c>
      <c r="E47" s="32">
        <f t="shared" si="0"/>
        <v>0.88</v>
      </c>
      <c r="F47" s="24"/>
      <c r="K47" s="2"/>
      <c r="M47" s="117">
        <f t="shared" si="8"/>
        <v>2018</v>
      </c>
      <c r="N47" s="118">
        <v>373</v>
      </c>
      <c r="O47" s="118">
        <v>23</v>
      </c>
      <c r="P47" s="118">
        <v>4</v>
      </c>
      <c r="Q47" s="119">
        <f t="shared" si="7"/>
        <v>400</v>
      </c>
      <c r="S47" s="18"/>
    </row>
    <row r="48" spans="1:19" x14ac:dyDescent="0.2">
      <c r="A48" t="str">
        <f>TEXT(A47+1,"#")</f>
        <v>2015</v>
      </c>
      <c r="B48" s="12"/>
      <c r="C48" s="26">
        <f>Q28</f>
        <v>138829</v>
      </c>
      <c r="D48" s="26">
        <f>Q44+Q60</f>
        <v>40137</v>
      </c>
      <c r="E48" s="32">
        <f t="shared" si="0"/>
        <v>0.28899999999999998</v>
      </c>
      <c r="F48" s="31"/>
      <c r="K48" s="2"/>
      <c r="M48" s="117">
        <f t="shared" si="8"/>
        <v>2019</v>
      </c>
      <c r="N48" s="118">
        <v>519</v>
      </c>
      <c r="O48" s="118">
        <v>0</v>
      </c>
      <c r="P48" s="118">
        <v>2</v>
      </c>
      <c r="Q48" s="119">
        <f t="shared" si="7"/>
        <v>521</v>
      </c>
    </row>
    <row r="49" spans="1:19" x14ac:dyDescent="0.2">
      <c r="A49" t="str">
        <f t="shared" ref="A49:A57" si="9">TEXT(A48+1,"#")</f>
        <v>2016</v>
      </c>
      <c r="B49" s="12"/>
      <c r="C49" s="26">
        <f t="shared" ref="C49:C57" si="10">Q29</f>
        <v>28422</v>
      </c>
      <c r="D49" s="26">
        <f t="shared" ref="D49:D57" si="11">Q45+Q61</f>
        <v>15387</v>
      </c>
      <c r="E49" s="32">
        <f t="shared" si="0"/>
        <v>0.54100000000000004</v>
      </c>
      <c r="F49" s="31"/>
      <c r="K49" s="2"/>
      <c r="M49" s="117">
        <f t="shared" si="8"/>
        <v>2020</v>
      </c>
      <c r="N49" s="107">
        <v>1627</v>
      </c>
      <c r="O49" s="118">
        <v>142</v>
      </c>
      <c r="P49" s="118">
        <v>632</v>
      </c>
      <c r="Q49" s="119">
        <f t="shared" si="7"/>
        <v>2401</v>
      </c>
    </row>
    <row r="50" spans="1:19" x14ac:dyDescent="0.2">
      <c r="A50" t="str">
        <f t="shared" si="9"/>
        <v>2017</v>
      </c>
      <c r="B50" s="12"/>
      <c r="C50" s="26">
        <f t="shared" si="10"/>
        <v>1410222</v>
      </c>
      <c r="D50" s="26">
        <f t="shared" si="11"/>
        <v>279062</v>
      </c>
      <c r="E50" s="32">
        <f t="shared" si="0"/>
        <v>0.19800000000000001</v>
      </c>
      <c r="F50" s="31" t="s">
        <v>50</v>
      </c>
      <c r="K50" s="2"/>
      <c r="M50" s="117">
        <f t="shared" si="8"/>
        <v>2021</v>
      </c>
      <c r="N50" s="107">
        <v>1613</v>
      </c>
      <c r="O50" s="107">
        <v>333</v>
      </c>
      <c r="P50" s="118">
        <v>79</v>
      </c>
      <c r="Q50" s="119">
        <f t="shared" si="7"/>
        <v>2025</v>
      </c>
      <c r="S50" s="18"/>
    </row>
    <row r="51" spans="1:19" x14ac:dyDescent="0.2">
      <c r="A51" t="str">
        <f t="shared" si="9"/>
        <v>2018</v>
      </c>
      <c r="C51" s="26">
        <f t="shared" si="10"/>
        <v>12106</v>
      </c>
      <c r="D51" s="26">
        <f t="shared" si="11"/>
        <v>6802</v>
      </c>
      <c r="E51" s="32">
        <f t="shared" ref="E51:E57" si="12">ROUND(D51/C51,3)</f>
        <v>0.56200000000000006</v>
      </c>
      <c r="K51" s="2"/>
      <c r="M51" s="117">
        <f t="shared" si="8"/>
        <v>2022</v>
      </c>
      <c r="N51" s="118">
        <v>542</v>
      </c>
      <c r="O51" s="118">
        <v>183</v>
      </c>
      <c r="P51" s="107">
        <v>56</v>
      </c>
      <c r="Q51" s="119">
        <f t="shared" si="7"/>
        <v>781</v>
      </c>
      <c r="S51" s="18"/>
    </row>
    <row r="52" spans="1:19" x14ac:dyDescent="0.2">
      <c r="A52" t="str">
        <f t="shared" si="9"/>
        <v>2019</v>
      </c>
      <c r="C52" s="26">
        <f t="shared" si="10"/>
        <v>17627</v>
      </c>
      <c r="D52" s="26">
        <f t="shared" si="11"/>
        <v>9329</v>
      </c>
      <c r="E52" s="32">
        <f t="shared" si="12"/>
        <v>0.52900000000000003</v>
      </c>
      <c r="K52" s="2"/>
      <c r="M52" s="117">
        <f t="shared" si="8"/>
        <v>2023</v>
      </c>
      <c r="N52" s="118">
        <v>826</v>
      </c>
      <c r="O52" s="118">
        <v>844</v>
      </c>
      <c r="P52" s="118">
        <v>235</v>
      </c>
      <c r="Q52" s="119">
        <f t="shared" si="7"/>
        <v>1905</v>
      </c>
    </row>
    <row r="53" spans="1:19" x14ac:dyDescent="0.2">
      <c r="A53" t="str">
        <f t="shared" si="9"/>
        <v>2020</v>
      </c>
      <c r="C53" s="26">
        <f t="shared" si="10"/>
        <v>64679</v>
      </c>
      <c r="D53" s="26">
        <f t="shared" si="11"/>
        <v>29960</v>
      </c>
      <c r="E53" s="32">
        <f t="shared" si="12"/>
        <v>0.46300000000000002</v>
      </c>
      <c r="F53" s="115" t="s">
        <v>50</v>
      </c>
      <c r="K53" s="2"/>
      <c r="M53" s="117">
        <f t="shared" si="8"/>
        <v>2024</v>
      </c>
      <c r="N53" s="118">
        <v>251</v>
      </c>
      <c r="O53" s="118">
        <v>1753</v>
      </c>
      <c r="P53" s="118">
        <v>352</v>
      </c>
      <c r="Q53" s="119">
        <f t="shared" si="7"/>
        <v>2356</v>
      </c>
    </row>
    <row r="54" spans="1:19" ht="11.25" customHeight="1" x14ac:dyDescent="0.2">
      <c r="A54" t="str">
        <f t="shared" si="9"/>
        <v>2021</v>
      </c>
      <c r="C54" s="26">
        <f t="shared" si="10"/>
        <v>67503</v>
      </c>
      <c r="D54" s="26">
        <f t="shared" si="11"/>
        <v>28819</v>
      </c>
      <c r="E54" s="32">
        <f t="shared" si="12"/>
        <v>0.42699999999999999</v>
      </c>
      <c r="F54" s="115" t="s">
        <v>50</v>
      </c>
      <c r="K54" s="2"/>
      <c r="M54" s="109"/>
      <c r="N54" s="18">
        <f>SUM(N44:N53)</f>
        <v>22526</v>
      </c>
      <c r="O54" s="18">
        <f t="shared" ref="O54:P54" si="13">SUM(O44:O53)</f>
        <v>3739</v>
      </c>
      <c r="P54" s="18">
        <f t="shared" si="13"/>
        <v>1656</v>
      </c>
      <c r="Q54" s="18">
        <f>SUM(Q44:Q52)</f>
        <v>25565</v>
      </c>
    </row>
    <row r="55" spans="1:19" x14ac:dyDescent="0.2">
      <c r="A55" t="str">
        <f t="shared" si="9"/>
        <v>2022</v>
      </c>
      <c r="C55" s="26">
        <f t="shared" si="10"/>
        <v>29216</v>
      </c>
      <c r="D55" s="26">
        <f t="shared" si="11"/>
        <v>12171</v>
      </c>
      <c r="E55" s="32">
        <f t="shared" si="12"/>
        <v>0.41699999999999998</v>
      </c>
      <c r="F55" s="115"/>
      <c r="K55" s="2"/>
    </row>
    <row r="56" spans="1:19" x14ac:dyDescent="0.2">
      <c r="A56" t="str">
        <f t="shared" si="9"/>
        <v>2023</v>
      </c>
      <c r="C56" s="26">
        <f t="shared" si="10"/>
        <v>81300</v>
      </c>
      <c r="D56" s="26">
        <f t="shared" si="11"/>
        <v>23589</v>
      </c>
      <c r="E56" s="32">
        <f t="shared" si="12"/>
        <v>0.28999999999999998</v>
      </c>
      <c r="F56" s="115"/>
      <c r="K56" s="2"/>
      <c r="N56" t="s">
        <v>503</v>
      </c>
    </row>
    <row r="57" spans="1:19" ht="12" thickBot="1" x14ac:dyDescent="0.25">
      <c r="A57" s="6" t="str">
        <f t="shared" si="9"/>
        <v>2024</v>
      </c>
      <c r="B57" s="6"/>
      <c r="C57" s="114">
        <f t="shared" si="10"/>
        <v>515817</v>
      </c>
      <c r="D57" s="114">
        <f t="shared" si="11"/>
        <v>114581</v>
      </c>
      <c r="E57" s="113">
        <f t="shared" si="12"/>
        <v>0.222</v>
      </c>
      <c r="F57" s="217" t="s">
        <v>50</v>
      </c>
      <c r="K57" s="2"/>
      <c r="N57" s="23" t="s">
        <v>260</v>
      </c>
      <c r="O57" s="23" t="s">
        <v>262</v>
      </c>
      <c r="P57" s="23" t="s">
        <v>261</v>
      </c>
      <c r="Q57" s="23" t="s">
        <v>56</v>
      </c>
    </row>
    <row r="58" spans="1:19" ht="12" thickTop="1" x14ac:dyDescent="0.2">
      <c r="B58" s="12"/>
      <c r="K58" s="2"/>
    </row>
    <row r="59" spans="1:19" x14ac:dyDescent="0.2">
      <c r="A59" t="s">
        <v>52</v>
      </c>
      <c r="C59" s="18">
        <f>SUM(C13:C58)</f>
        <v>5817929</v>
      </c>
      <c r="D59" s="18">
        <f>SUM(D13:D58)</f>
        <v>1037471</v>
      </c>
      <c r="E59" s="32">
        <f>ROUND(D59/C59,3)</f>
        <v>0.17799999999999999</v>
      </c>
      <c r="F59" s="18"/>
      <c r="K59" s="2"/>
    </row>
    <row r="60" spans="1:19" x14ac:dyDescent="0.2">
      <c r="K60" s="2"/>
      <c r="M60" s="117">
        <f>M44</f>
        <v>2015</v>
      </c>
      <c r="N60" s="118">
        <v>37156</v>
      </c>
      <c r="O60" s="118">
        <v>0</v>
      </c>
      <c r="P60" s="252"/>
      <c r="Q60" s="119">
        <f>SUM(N60:P60)</f>
        <v>37156</v>
      </c>
      <c r="S60" s="18"/>
    </row>
    <row r="61" spans="1:19" x14ac:dyDescent="0.2">
      <c r="A61" t="s">
        <v>51</v>
      </c>
      <c r="C61" s="18">
        <f>SUMIF($F$13:$F$58,"H",C$13:C$58)</f>
        <v>5150825</v>
      </c>
      <c r="D61" s="18">
        <f>SUMIF($F$13:$F$58,"H",D$13:D$58)</f>
        <v>846201</v>
      </c>
      <c r="E61" s="32">
        <f>ROUND(D61/C61,3)</f>
        <v>0.16400000000000001</v>
      </c>
      <c r="K61" s="2"/>
      <c r="M61" s="117">
        <f t="shared" ref="M61:M69" si="14">M45</f>
        <v>2016</v>
      </c>
      <c r="N61" s="118">
        <v>14883</v>
      </c>
      <c r="O61" s="118">
        <v>0</v>
      </c>
      <c r="P61" s="252"/>
      <c r="Q61" s="119">
        <f t="shared" ref="Q61:Q69" si="15">SUM(N61:P61)</f>
        <v>14883</v>
      </c>
      <c r="S61" s="18"/>
    </row>
    <row r="62" spans="1:19" x14ac:dyDescent="0.2">
      <c r="K62" s="2"/>
      <c r="M62" s="117">
        <f t="shared" si="14"/>
        <v>2017</v>
      </c>
      <c r="N62" s="118">
        <v>264176</v>
      </c>
      <c r="O62" s="118">
        <v>839</v>
      </c>
      <c r="P62" s="252"/>
      <c r="Q62" s="119">
        <f t="shared" si="15"/>
        <v>265015</v>
      </c>
      <c r="S62" s="18"/>
    </row>
    <row r="63" spans="1:19" x14ac:dyDescent="0.2">
      <c r="A63" t="s">
        <v>53</v>
      </c>
      <c r="K63" s="2"/>
      <c r="M63" s="117">
        <f t="shared" si="14"/>
        <v>2018</v>
      </c>
      <c r="N63" s="118">
        <v>6402</v>
      </c>
      <c r="O63" s="118">
        <v>0</v>
      </c>
      <c r="P63" s="252"/>
      <c r="Q63" s="119">
        <f t="shared" si="15"/>
        <v>6402</v>
      </c>
      <c r="S63" s="18"/>
    </row>
    <row r="64" spans="1:19" x14ac:dyDescent="0.2">
      <c r="B64" t="s">
        <v>7</v>
      </c>
      <c r="C64" s="18">
        <f>C59-C61</f>
        <v>667104</v>
      </c>
      <c r="D64" s="18">
        <f>D59-D61</f>
        <v>191270</v>
      </c>
      <c r="E64" s="32">
        <f>ROUND(D64/C64,3)</f>
        <v>0.28699999999999998</v>
      </c>
      <c r="K64" s="2"/>
      <c r="M64" s="117">
        <f t="shared" si="14"/>
        <v>2019</v>
      </c>
      <c r="N64" s="118">
        <v>8807</v>
      </c>
      <c r="O64" s="118">
        <v>1</v>
      </c>
      <c r="P64" s="252"/>
      <c r="Q64" s="119">
        <f t="shared" si="15"/>
        <v>8808</v>
      </c>
      <c r="S64" s="18"/>
    </row>
    <row r="65" spans="1:19" x14ac:dyDescent="0.2">
      <c r="B65" t="s">
        <v>54</v>
      </c>
      <c r="C65" s="18">
        <f>SUMIF($F$44:$F$57,"&lt;&gt;H",C$44:C$57)</f>
        <v>549771</v>
      </c>
      <c r="D65" s="18">
        <f>SUMIF($F$44:$F$57,"&lt;&gt;H",D$44:D$57)</f>
        <v>159113</v>
      </c>
      <c r="E65" s="32">
        <f>ROUND(D65/C65,3)</f>
        <v>0.28899999999999998</v>
      </c>
      <c r="K65" s="2"/>
      <c r="M65" s="117">
        <f t="shared" si="14"/>
        <v>2020</v>
      </c>
      <c r="N65" s="107">
        <v>27454</v>
      </c>
      <c r="O65" s="118">
        <v>105</v>
      </c>
      <c r="P65" s="252"/>
      <c r="Q65" s="119">
        <f t="shared" si="15"/>
        <v>27559</v>
      </c>
      <c r="S65" s="18"/>
    </row>
    <row r="66" spans="1:19" ht="12" thickBot="1" x14ac:dyDescent="0.25">
      <c r="A66" s="6"/>
      <c r="B66" s="6"/>
      <c r="C66" s="6"/>
      <c r="D66" s="6"/>
      <c r="E66" s="6"/>
      <c r="F66" s="6"/>
      <c r="K66" s="2"/>
      <c r="M66" s="117">
        <f t="shared" si="14"/>
        <v>2021</v>
      </c>
      <c r="N66" s="107">
        <v>26713</v>
      </c>
      <c r="O66" s="107">
        <v>81</v>
      </c>
      <c r="P66" s="252"/>
      <c r="Q66" s="119">
        <f t="shared" si="15"/>
        <v>26794</v>
      </c>
      <c r="S66" s="18"/>
    </row>
    <row r="67" spans="1:19" ht="12" thickTop="1" x14ac:dyDescent="0.2">
      <c r="K67" s="2"/>
      <c r="M67" s="117">
        <f t="shared" si="14"/>
        <v>2022</v>
      </c>
      <c r="N67" s="118">
        <v>11348</v>
      </c>
      <c r="O67" s="118">
        <v>42</v>
      </c>
      <c r="P67" s="253"/>
      <c r="Q67" s="119">
        <f t="shared" si="15"/>
        <v>11390</v>
      </c>
      <c r="S67" s="18"/>
    </row>
    <row r="68" spans="1:19" x14ac:dyDescent="0.2">
      <c r="A68" t="s">
        <v>17</v>
      </c>
      <c r="K68" s="2"/>
      <c r="M68" s="117">
        <f t="shared" si="14"/>
        <v>2023</v>
      </c>
      <c r="N68" s="118">
        <v>20919</v>
      </c>
      <c r="O68" s="118">
        <v>765</v>
      </c>
      <c r="P68" s="252"/>
      <c r="Q68" s="119">
        <f t="shared" si="15"/>
        <v>21684</v>
      </c>
      <c r="S68" s="18"/>
    </row>
    <row r="69" spans="1:19" x14ac:dyDescent="0.2">
      <c r="B69" s="12" t="str">
        <f>C11&amp;" - "&amp;D11&amp;" "&amp;A48&amp;" - "&amp;A57&amp;": from most recent TWIA annual statement"&amp;"; "&amp;A13&amp;" - "&amp;A47&amp;": from prior TWIA annual statements"</f>
        <v>(2) - (3) 2015 - 2024: from most recent TWIA annual statement; 1980 - 2014: from prior TWIA annual statements</v>
      </c>
      <c r="D69" s="12"/>
      <c r="K69" s="2"/>
      <c r="M69" s="117">
        <f t="shared" si="14"/>
        <v>2024</v>
      </c>
      <c r="N69" s="118">
        <v>91375</v>
      </c>
      <c r="O69" s="118">
        <v>20850</v>
      </c>
      <c r="P69" s="252"/>
      <c r="Q69" s="119">
        <f t="shared" si="15"/>
        <v>112225</v>
      </c>
      <c r="S69" s="18"/>
    </row>
    <row r="70" spans="1:19" ht="11.25" customHeight="1" x14ac:dyDescent="0.2">
      <c r="B70" s="12" t="str">
        <f>E11&amp;" = "&amp;D11&amp;" / "&amp;C11</f>
        <v>(4) = (3) / (2)</v>
      </c>
      <c r="K70" s="2"/>
      <c r="M70" s="109"/>
      <c r="N70" s="18">
        <f>SUM(N60:N69)</f>
        <v>509233</v>
      </c>
      <c r="O70" s="18">
        <f t="shared" ref="O70:P70" si="16">SUM(O60:O69)</f>
        <v>22683</v>
      </c>
      <c r="P70" s="18">
        <f t="shared" si="16"/>
        <v>0</v>
      </c>
      <c r="Q70" s="18">
        <f>SUM(Q60:Q68)</f>
        <v>419691</v>
      </c>
    </row>
    <row r="71" spans="1:19" x14ac:dyDescent="0.2">
      <c r="B71" s="12" t="str">
        <f>F11&amp;" ""H"" indicates hurricane year"</f>
        <v>(5) "H" indicates hurricane year</v>
      </c>
      <c r="K71" s="2"/>
    </row>
    <row r="72" spans="1:19" hidden="1" x14ac:dyDescent="0.2">
      <c r="K72" s="2"/>
    </row>
    <row r="73" spans="1:19" ht="12" thickBot="1" x14ac:dyDescent="0.25">
      <c r="K73" s="2"/>
    </row>
    <row r="74" spans="1:19" ht="12" thickBot="1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3"/>
    </row>
  </sheetData>
  <phoneticPr fontId="0" type="noConversion"/>
  <pageMargins left="0.5" right="0.5" top="0.5" bottom="0.5" header="0.5" footer="0.5"/>
  <pageSetup scale="98" orientation="portrait" blackAndWhite="1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tabColor rgb="FF00B050"/>
  </sheetPr>
  <dimension ref="A1:I35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  <col min="11" max="11" width="16.5" bestFit="1" customWidth="1"/>
  </cols>
  <sheetData>
    <row r="1" spans="1:9" x14ac:dyDescent="0.2">
      <c r="A1" s="8" t="str">
        <f>'1'!$A$1</f>
        <v>Texas Windstorm Insurance Association</v>
      </c>
      <c r="B1" s="12"/>
      <c r="H1" s="7" t="s">
        <v>61</v>
      </c>
      <c r="I1" s="1"/>
    </row>
    <row r="2" spans="1:9" x14ac:dyDescent="0.2">
      <c r="A2" s="8" t="str">
        <f>'1'!$A$2</f>
        <v>Commercial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60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I7" s="2"/>
    </row>
    <row r="8" spans="1:9" ht="12" thickTop="1" x14ac:dyDescent="0.2">
      <c r="I8" s="2"/>
    </row>
    <row r="9" spans="1:9" x14ac:dyDescent="0.2">
      <c r="B9" s="11"/>
      <c r="C9" s="133" t="s">
        <v>11</v>
      </c>
      <c r="D9" s="11"/>
      <c r="E9" s="11" t="s">
        <v>11</v>
      </c>
      <c r="I9" s="2"/>
    </row>
    <row r="10" spans="1:9" x14ac:dyDescent="0.2">
      <c r="B10" s="11"/>
      <c r="C10" s="11" t="s">
        <v>32</v>
      </c>
      <c r="D10" s="11" t="s">
        <v>27</v>
      </c>
      <c r="E10" s="11" t="s">
        <v>9</v>
      </c>
      <c r="I10" s="2"/>
    </row>
    <row r="11" spans="1:9" x14ac:dyDescent="0.2">
      <c r="A11" s="9" t="s">
        <v>62</v>
      </c>
      <c r="B11" s="143"/>
      <c r="C11" s="143" t="s">
        <v>10</v>
      </c>
      <c r="D11" s="143" t="s">
        <v>28</v>
      </c>
      <c r="E11" s="143" t="s">
        <v>10</v>
      </c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/>
      <c r="G12" s="11"/>
      <c r="H12" s="11"/>
      <c r="I12" s="2"/>
    </row>
    <row r="13" spans="1:9" x14ac:dyDescent="0.2">
      <c r="I13" s="2"/>
    </row>
    <row r="14" spans="1:9" x14ac:dyDescent="0.2">
      <c r="A14" t="s">
        <v>279</v>
      </c>
      <c r="C14" s="21">
        <f>'6.1'!E38</f>
        <v>0.38</v>
      </c>
      <c r="D14" s="39">
        <f>'4'!$E$61</f>
        <v>0.16400000000000001</v>
      </c>
      <c r="E14" s="17">
        <f>ROUND(C14*(1+D14),3)</f>
        <v>0.442</v>
      </c>
      <c r="F14" s="37"/>
      <c r="G14" s="37"/>
      <c r="H14" s="38"/>
      <c r="I14" s="2"/>
    </row>
    <row r="15" spans="1:9" x14ac:dyDescent="0.2">
      <c r="C15" s="21"/>
      <c r="D15" s="21"/>
      <c r="E15" s="21"/>
      <c r="F15" s="37"/>
      <c r="G15" s="37"/>
      <c r="H15" s="38"/>
      <c r="I15" s="2"/>
    </row>
    <row r="16" spans="1:9" x14ac:dyDescent="0.2">
      <c r="A16" s="10" t="s">
        <v>63</v>
      </c>
      <c r="C16" s="21"/>
      <c r="D16" s="21"/>
      <c r="E16" s="21"/>
      <c r="F16" s="37"/>
      <c r="G16" s="37"/>
      <c r="H16" s="38"/>
      <c r="I16" s="2"/>
    </row>
    <row r="17" spans="1:9" x14ac:dyDescent="0.2">
      <c r="B17" t="s">
        <v>446</v>
      </c>
      <c r="C17" s="21">
        <f>'7.1'!$E$34</f>
        <v>0.56899999999999995</v>
      </c>
      <c r="D17" s="39">
        <f>D$14</f>
        <v>0.16400000000000001</v>
      </c>
      <c r="E17" s="17">
        <f>ROUND(C17*(1+D17),3)</f>
        <v>0.66200000000000003</v>
      </c>
      <c r="I17" s="2"/>
    </row>
    <row r="18" spans="1:9" x14ac:dyDescent="0.2">
      <c r="B18" t="s">
        <v>442</v>
      </c>
      <c r="C18" s="21">
        <f>'7.2'!$E$34</f>
        <v>0.53600000000000003</v>
      </c>
      <c r="D18" s="39">
        <f>D$14</f>
        <v>0.16400000000000001</v>
      </c>
      <c r="E18" s="17">
        <f>ROUND(C18*(1+D18),3)</f>
        <v>0.624</v>
      </c>
      <c r="I18" s="2"/>
    </row>
    <row r="19" spans="1:9" x14ac:dyDescent="0.2">
      <c r="B19" t="s">
        <v>443</v>
      </c>
      <c r="C19" s="21">
        <f>'7.3'!$E$34</f>
        <v>0.26800000000000002</v>
      </c>
      <c r="D19" s="39">
        <f t="shared" ref="D19:D20" si="0">D$14</f>
        <v>0.16400000000000001</v>
      </c>
      <c r="E19" s="17">
        <f t="shared" ref="E19:E20" si="1">ROUND(C19*(1+D19),3)</f>
        <v>0.312</v>
      </c>
      <c r="I19" s="2"/>
    </row>
    <row r="20" spans="1:9" x14ac:dyDescent="0.2">
      <c r="B20" t="s">
        <v>472</v>
      </c>
      <c r="C20" s="21">
        <f>'7.4'!$E$34</f>
        <v>0.35799999999999998</v>
      </c>
      <c r="D20" s="39">
        <f t="shared" si="0"/>
        <v>0.16400000000000001</v>
      </c>
      <c r="E20" s="17">
        <f t="shared" si="1"/>
        <v>0.41699999999999998</v>
      </c>
      <c r="I20" s="2"/>
    </row>
    <row r="21" spans="1:9" x14ac:dyDescent="0.2">
      <c r="I21" s="2"/>
    </row>
    <row r="22" spans="1:9" x14ac:dyDescent="0.2">
      <c r="B22" t="s">
        <v>64</v>
      </c>
      <c r="C22" s="19">
        <f>ROUND(AVERAGE(C17:C20),3)</f>
        <v>0.433</v>
      </c>
      <c r="D22" s="39">
        <f>D$14</f>
        <v>0.16400000000000001</v>
      </c>
      <c r="E22" s="17">
        <f>ROUND(C22*(1+D22),3)</f>
        <v>0.504</v>
      </c>
      <c r="I22" s="2"/>
    </row>
    <row r="23" spans="1:9" ht="12" thickBot="1" x14ac:dyDescent="0.25">
      <c r="A23" s="6"/>
      <c r="B23" s="6"/>
      <c r="C23" s="6"/>
      <c r="D23" s="6"/>
      <c r="E23" s="6"/>
      <c r="I23" s="2"/>
    </row>
    <row r="24" spans="1:9" ht="12" thickTop="1" x14ac:dyDescent="0.2">
      <c r="I24" s="2"/>
    </row>
    <row r="25" spans="1:9" x14ac:dyDescent="0.2">
      <c r="A25" t="s">
        <v>17</v>
      </c>
      <c r="I25" s="2"/>
    </row>
    <row r="26" spans="1:9" x14ac:dyDescent="0.2">
      <c r="B26" s="12" t="str">
        <f>C12&amp;" "&amp;'6.1'!$J$1&amp;", "&amp;'6.1'!J2&amp;" &amp; "&amp;'7.2'!$J$1&amp;", "&amp;'7.1'!J2&amp; " - "&amp;'7.4'!J2</f>
        <v>(2) Exhibit 6, Sheet 1 &amp; Exhibit 7, Sheet 1 - Sheet 4</v>
      </c>
      <c r="I26" s="2"/>
    </row>
    <row r="27" spans="1:9" x14ac:dyDescent="0.2">
      <c r="B27" s="12" t="str">
        <f>D12&amp;" "&amp;'4'!$J$1</f>
        <v>(3) Exhibit 4</v>
      </c>
      <c r="I27" s="2"/>
    </row>
    <row r="28" spans="1:9" x14ac:dyDescent="0.2">
      <c r="B28" s="12" t="str">
        <f>E12&amp;" = "&amp;C12&amp;" * [1 + "&amp;D12&amp;"]"</f>
        <v>(4) = (2) * [1 + (3)]</v>
      </c>
      <c r="I28" s="2"/>
    </row>
    <row r="29" spans="1:9" x14ac:dyDescent="0.2">
      <c r="B29" s="12"/>
      <c r="I29" s="2"/>
    </row>
    <row r="30" spans="1:9" x14ac:dyDescent="0.2">
      <c r="B30" s="12"/>
      <c r="I30" s="2"/>
    </row>
    <row r="31" spans="1:9" x14ac:dyDescent="0.2">
      <c r="I31" s="2"/>
    </row>
    <row r="32" spans="1:9" x14ac:dyDescent="0.2">
      <c r="I32" s="2"/>
    </row>
    <row r="33" spans="1:9" x14ac:dyDescent="0.2">
      <c r="I33" s="2"/>
    </row>
    <row r="34" spans="1:9" ht="12" thickBot="1" x14ac:dyDescent="0.25">
      <c r="I34" s="2"/>
    </row>
    <row r="35" spans="1:9" ht="12" thickBot="1" x14ac:dyDescent="0.25">
      <c r="A35" s="4"/>
      <c r="B35" s="5"/>
      <c r="C35" s="5"/>
      <c r="D35" s="5"/>
      <c r="E35" s="5"/>
      <c r="F35" s="5"/>
      <c r="G35" s="5"/>
      <c r="H35" s="5"/>
      <c r="I3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tabColor rgb="FF00B050"/>
  </sheetPr>
  <dimension ref="A1:N49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3" width="15.33203125" customWidth="1"/>
    <col min="4" max="4" width="19.1640625" style="11" customWidth="1"/>
    <col min="5" max="5" width="17" customWidth="1"/>
    <col min="6" max="6" width="13.83203125" customWidth="1"/>
    <col min="7" max="7" width="3.83203125" customWidth="1"/>
    <col min="8" max="8" width="10.1640625" customWidth="1"/>
    <col min="9" max="9" width="11.33203125" customWidth="1"/>
    <col min="10" max="10" width="2.66406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65</v>
      </c>
      <c r="K1" s="1"/>
    </row>
    <row r="2" spans="1:14" x14ac:dyDescent="0.2">
      <c r="A2" s="8" t="str">
        <f>'1'!$A$2</f>
        <v>Commercial Property - Wind &amp; Hail</v>
      </c>
      <c r="B2" s="12"/>
      <c r="J2" s="7" t="s">
        <v>20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500</v>
      </c>
      <c r="B4" s="12"/>
      <c r="K4" s="2"/>
      <c r="L4" s="11"/>
      <c r="M4" s="11"/>
      <c r="N4" s="11"/>
    </row>
    <row r="5" spans="1:14" x14ac:dyDescent="0.2">
      <c r="A5" t="str">
        <f>"Hurricane Years Only"</f>
        <v>Hurricane Years Only</v>
      </c>
      <c r="B5" s="12"/>
      <c r="K5" s="2"/>
      <c r="L5" s="64"/>
      <c r="M5" s="64"/>
      <c r="N5" s="56"/>
    </row>
    <row r="6" spans="1:14" x14ac:dyDescent="0.2">
      <c r="K6" s="2"/>
    </row>
    <row r="7" spans="1:14" ht="12" thickBot="1" x14ac:dyDescent="0.25">
      <c r="A7" s="6"/>
      <c r="B7" s="6"/>
      <c r="C7" s="6"/>
      <c r="D7" s="142"/>
      <c r="E7" s="6"/>
      <c r="F7" s="6"/>
      <c r="G7" s="6"/>
      <c r="K7" s="2"/>
    </row>
    <row r="8" spans="1:14" ht="12" thickTop="1" x14ac:dyDescent="0.2">
      <c r="K8" s="2"/>
    </row>
    <row r="9" spans="1:14" x14ac:dyDescent="0.2">
      <c r="A9" t="s">
        <v>37</v>
      </c>
      <c r="C9" s="133" t="s">
        <v>35</v>
      </c>
      <c r="E9" s="11" t="s">
        <v>405</v>
      </c>
      <c r="F9" s="11"/>
      <c r="G9" s="11"/>
      <c r="K9" s="2"/>
      <c r="L9" s="24"/>
    </row>
    <row r="10" spans="1:14" x14ac:dyDescent="0.2">
      <c r="A10" t="s">
        <v>38</v>
      </c>
      <c r="C10" s="11" t="s">
        <v>33</v>
      </c>
      <c r="D10" s="11" t="s">
        <v>402</v>
      </c>
      <c r="E10" s="11" t="s">
        <v>56</v>
      </c>
      <c r="F10" s="11" t="s">
        <v>406</v>
      </c>
      <c r="G10" s="11"/>
      <c r="K10" s="2"/>
    </row>
    <row r="11" spans="1:14" x14ac:dyDescent="0.2">
      <c r="A11" s="9" t="s">
        <v>25</v>
      </c>
      <c r="B11" s="9"/>
      <c r="C11" s="143" t="s">
        <v>34</v>
      </c>
      <c r="D11" s="143" t="s">
        <v>403</v>
      </c>
      <c r="E11" s="143" t="s">
        <v>48</v>
      </c>
      <c r="F11" s="143" t="s">
        <v>48</v>
      </c>
      <c r="G11" s="143"/>
      <c r="K11" s="2"/>
    </row>
    <row r="12" spans="1:14" x14ac:dyDescent="0.2">
      <c r="C12" s="13" t="str">
        <f>TEXT(COLUMN()-2,"(#)")</f>
        <v>(1)</v>
      </c>
      <c r="D12" s="11" t="str">
        <f>TEXT(COLUMN()-2,"(#)")</f>
        <v>(2)</v>
      </c>
      <c r="E12" s="11" t="str">
        <f>TEXT(COLUMN()-2,"(#)")</f>
        <v>(3)</v>
      </c>
      <c r="F12" s="11" t="str">
        <f>TEXT(COLUMN()-2,"(#)")</f>
        <v>(4)</v>
      </c>
      <c r="G12" s="11"/>
      <c r="K12" s="2"/>
    </row>
    <row r="13" spans="1:14" x14ac:dyDescent="0.2">
      <c r="C13" s="13"/>
      <c r="E13" s="7"/>
      <c r="F13" s="7"/>
      <c r="K13" s="2"/>
    </row>
    <row r="14" spans="1:14" x14ac:dyDescent="0.2">
      <c r="A14" s="60">
        <v>1970</v>
      </c>
      <c r="C14" s="26">
        <f>VLOOKUP($A14,'6.2'!$A$12:$G$68,5,0)</f>
        <v>53332058</v>
      </c>
      <c r="D14" s="11">
        <v>1</v>
      </c>
      <c r="E14" s="41">
        <f>VLOOKUP($A14,'6.2'!$A$12:$G$68,7,0)</f>
        <v>0.433</v>
      </c>
      <c r="F14" s="42">
        <f>MAX((E14-$E$31),0)/D14</f>
        <v>0.34599999999999997</v>
      </c>
      <c r="K14" s="2"/>
    </row>
    <row r="15" spans="1:14" x14ac:dyDescent="0.2">
      <c r="A15" s="60">
        <v>1971</v>
      </c>
      <c r="C15" s="26">
        <f>VLOOKUP($A15,'6.2'!$A$12:$G$68,5,0)</f>
        <v>57612751</v>
      </c>
      <c r="D15" s="11">
        <v>1</v>
      </c>
      <c r="E15" s="41">
        <f>VLOOKUP($A15,'6.2'!$A$12:$G$68,7,0)</f>
        <v>0.97</v>
      </c>
      <c r="F15" s="42">
        <f t="shared" ref="F15:F26" si="0">MAX((E15-$E$31),0)/D15</f>
        <v>0.88300000000000001</v>
      </c>
      <c r="K15" s="2"/>
    </row>
    <row r="16" spans="1:14" ht="9.9499999999999993" customHeight="1" x14ac:dyDescent="0.2">
      <c r="A16" s="60">
        <v>1980</v>
      </c>
      <c r="B16" s="22"/>
      <c r="C16" s="26">
        <f>VLOOKUP($A16,'6.2'!$A$12:$G$68,5,0)</f>
        <v>64012158</v>
      </c>
      <c r="D16" s="151">
        <v>1</v>
      </c>
      <c r="E16" s="41">
        <f>VLOOKUP($A16,'6.2'!$A$12:$G$68,7,0)</f>
        <v>0.6</v>
      </c>
      <c r="F16" s="42">
        <f t="shared" si="0"/>
        <v>0.51300000000000001</v>
      </c>
      <c r="K16" s="2"/>
    </row>
    <row r="17" spans="1:11" x14ac:dyDescent="0.2">
      <c r="A17" s="60">
        <v>1983</v>
      </c>
      <c r="B17" s="22"/>
      <c r="C17" s="26">
        <f>VLOOKUP($A17,'6.2'!$A$12:$G$68,5,0)</f>
        <v>37553181.514445186</v>
      </c>
      <c r="D17" s="151">
        <v>1</v>
      </c>
      <c r="E17" s="41">
        <f>VLOOKUP($A17,'6.2'!$A$12:$G$68,7,0)</f>
        <v>3.0609999999999999</v>
      </c>
      <c r="F17" s="42">
        <f t="shared" si="0"/>
        <v>2.9739999999999998</v>
      </c>
      <c r="K17" s="2"/>
    </row>
    <row r="18" spans="1:11" x14ac:dyDescent="0.2">
      <c r="A18" s="60">
        <v>1986</v>
      </c>
      <c r="B18" s="22"/>
      <c r="C18" s="26">
        <f>VLOOKUP($A18,'6.2'!$A$12:$G$68,5,0)</f>
        <v>48392652.539828144</v>
      </c>
      <c r="D18" s="151">
        <v>1</v>
      </c>
      <c r="E18" s="41">
        <f>VLOOKUP($A18,'6.2'!$A$12:$G$68,7,0)</f>
        <v>8.5999999999999993E-2</v>
      </c>
      <c r="F18" s="42">
        <f t="shared" si="0"/>
        <v>0</v>
      </c>
      <c r="K18" s="2"/>
    </row>
    <row r="19" spans="1:11" x14ac:dyDescent="0.2">
      <c r="A19" s="60">
        <v>1989</v>
      </c>
      <c r="C19" s="26">
        <f>VLOOKUP($A19,'6.2'!$A$12:$G$68,5,0)</f>
        <v>76691719.673919111</v>
      </c>
      <c r="D19" s="134">
        <v>2</v>
      </c>
      <c r="E19" s="41">
        <f>VLOOKUP($A19,'6.2'!$A$12:$G$68,7,0)</f>
        <v>5.8000000000000003E-2</v>
      </c>
      <c r="F19" s="42">
        <f t="shared" si="0"/>
        <v>0</v>
      </c>
      <c r="K19" s="2"/>
    </row>
    <row r="20" spans="1:11" x14ac:dyDescent="0.2">
      <c r="A20" s="60">
        <v>1999</v>
      </c>
      <c r="B20" s="22"/>
      <c r="C20" s="26">
        <f>VLOOKUP($A20,'6.2'!$A$12:$G$68,5,0)</f>
        <v>175855163.70733914</v>
      </c>
      <c r="D20" s="151">
        <v>1</v>
      </c>
      <c r="E20" s="41">
        <f>VLOOKUP($A20,'6.2'!$A$12:$G$68,7,0)</f>
        <v>8.7999999999999995E-2</v>
      </c>
      <c r="F20" s="42">
        <f t="shared" si="0"/>
        <v>1.0000000000000009E-3</v>
      </c>
      <c r="K20" s="2"/>
    </row>
    <row r="21" spans="1:11" x14ac:dyDescent="0.2">
      <c r="A21" s="60">
        <v>2003</v>
      </c>
      <c r="B21" s="22"/>
      <c r="C21" s="26">
        <f>VLOOKUP($A21,'6.2'!$A$12:$G$68,5,0)</f>
        <v>210743807.6222586</v>
      </c>
      <c r="D21" s="151">
        <v>1</v>
      </c>
      <c r="E21" s="41">
        <f>VLOOKUP($A21,'6.2'!$A$12:$G$68,7,0)</f>
        <v>0.22500000000000001</v>
      </c>
      <c r="F21" s="42">
        <f t="shared" si="0"/>
        <v>0.13800000000000001</v>
      </c>
      <c r="K21" s="2"/>
    </row>
    <row r="22" spans="1:11" x14ac:dyDescent="0.2">
      <c r="A22" s="60">
        <v>2005</v>
      </c>
      <c r="B22" s="22"/>
      <c r="C22" s="26">
        <f>VLOOKUP($A22,'6.2'!$A$12:$G$68,5,0)</f>
        <v>265866745.07309023</v>
      </c>
      <c r="D22" s="151">
        <v>1</v>
      </c>
      <c r="E22" s="41">
        <f>VLOOKUP($A22,'6.2'!$A$12:$G$68,7,0)</f>
        <v>1.6870000000000001</v>
      </c>
      <c r="F22" s="42">
        <f t="shared" si="0"/>
        <v>1.6</v>
      </c>
      <c r="K22" s="2"/>
    </row>
    <row r="23" spans="1:11" x14ac:dyDescent="0.2">
      <c r="A23" s="60">
        <v>2007</v>
      </c>
      <c r="C23" s="26">
        <f>VLOOKUP($A23,'6.2'!$A$12:$G$68,5,0)</f>
        <v>345796967.65694135</v>
      </c>
      <c r="D23" s="151">
        <v>1</v>
      </c>
      <c r="E23" s="41">
        <f>VLOOKUP($A23,'6.2'!$A$12:$G$68,7,0)</f>
        <v>0.17699999999999999</v>
      </c>
      <c r="F23" s="42">
        <f t="shared" si="0"/>
        <v>0.09</v>
      </c>
      <c r="K23" s="2"/>
    </row>
    <row r="24" spans="1:11" x14ac:dyDescent="0.2">
      <c r="A24" s="60">
        <v>2008</v>
      </c>
      <c r="C24" s="26">
        <f>VLOOKUP($A24,'6.2'!$A$12:$G$68,5,0)</f>
        <v>313442674.91535735</v>
      </c>
      <c r="D24" s="151">
        <v>2</v>
      </c>
      <c r="E24" s="41">
        <f>VLOOKUP($A24,'6.2'!$A$12:$G$68,7,0)</f>
        <v>4.03</v>
      </c>
      <c r="F24" s="42">
        <f t="shared" si="0"/>
        <v>1.9715</v>
      </c>
      <c r="K24" s="2"/>
    </row>
    <row r="25" spans="1:11" x14ac:dyDescent="0.2">
      <c r="A25" s="60">
        <v>2017</v>
      </c>
      <c r="B25" s="22"/>
      <c r="C25" s="26">
        <f>VLOOKUP($A25,'6.2'!$A$12:$G$68,5,0)</f>
        <v>197834311.19749951</v>
      </c>
      <c r="D25" s="151">
        <v>1</v>
      </c>
      <c r="E25" s="41">
        <f>VLOOKUP($A25,'6.2'!$A$12:$G$68,7,0)</f>
        <v>5.4379999999999997</v>
      </c>
      <c r="F25" s="42">
        <f t="shared" si="0"/>
        <v>5.351</v>
      </c>
      <c r="K25" s="2"/>
    </row>
    <row r="26" spans="1:11" x14ac:dyDescent="0.2">
      <c r="A26" s="60">
        <v>2020</v>
      </c>
      <c r="B26" s="22"/>
      <c r="C26" s="26">
        <f>VLOOKUP($A26,'6.2'!$A$12:$G$68,5,0)</f>
        <v>188501522.09999976</v>
      </c>
      <c r="D26" s="151">
        <v>3</v>
      </c>
      <c r="E26" s="41">
        <f>VLOOKUP($A26,'6.2'!$A$12:$G$68,7,0)</f>
        <v>0.10299999999999999</v>
      </c>
      <c r="F26" s="42">
        <f t="shared" si="0"/>
        <v>5.3333333333333332E-3</v>
      </c>
      <c r="K26" s="2"/>
    </row>
    <row r="27" spans="1:11" x14ac:dyDescent="0.2">
      <c r="A27" s="60">
        <v>2021</v>
      </c>
      <c r="B27" s="22"/>
      <c r="C27" s="26">
        <f>VLOOKUP($A27,'6.2'!$A$12:$G$68,5,0)</f>
        <v>193694601.49999949</v>
      </c>
      <c r="D27" s="151">
        <v>1</v>
      </c>
      <c r="E27" s="41">
        <f>VLOOKUP($A27,'6.2'!$A$12:$G$68,7,0)</f>
        <v>0.10100000000000001</v>
      </c>
      <c r="F27" s="42">
        <f>MAX((E27-$E$31),0)/D27</f>
        <v>1.4000000000000012E-2</v>
      </c>
      <c r="K27" s="2"/>
    </row>
    <row r="28" spans="1:11" x14ac:dyDescent="0.2">
      <c r="A28" s="141">
        <v>2024</v>
      </c>
      <c r="B28" s="23"/>
      <c r="C28" s="27">
        <f>VLOOKUP($A28,'6.2'!$A$12:$G$68,5,0)</f>
        <v>305321010</v>
      </c>
      <c r="D28" s="152">
        <v>1</v>
      </c>
      <c r="E28" s="45">
        <f>VLOOKUP($A28,'6.2'!$A$12:$G$68,7,0)</f>
        <v>0.36299999999999999</v>
      </c>
      <c r="F28" s="249">
        <f>MAX((E28-$E$31),0)/D28</f>
        <v>0.27600000000000002</v>
      </c>
      <c r="G28" s="9"/>
      <c r="K28" s="2"/>
    </row>
    <row r="29" spans="1:11" x14ac:dyDescent="0.2">
      <c r="A29" t="s">
        <v>407</v>
      </c>
      <c r="E29" s="19">
        <f>AVERAGE(E14:E28)</f>
        <v>1.1613333333333331</v>
      </c>
      <c r="F29" s="19">
        <f>AVERAGE(F14:F28)</f>
        <v>0.94418888888888874</v>
      </c>
      <c r="K29" s="2"/>
    </row>
    <row r="30" spans="1:11" x14ac:dyDescent="0.2">
      <c r="A30" s="43"/>
      <c r="C30" s="31"/>
      <c r="D30" s="154"/>
      <c r="E30" s="31"/>
      <c r="F30" s="31"/>
      <c r="K30" s="2"/>
    </row>
    <row r="31" spans="1:11" x14ac:dyDescent="0.2">
      <c r="A31" s="43" t="s">
        <v>70</v>
      </c>
      <c r="B31" t="s">
        <v>75</v>
      </c>
      <c r="C31" s="31"/>
      <c r="D31" s="154"/>
      <c r="E31" s="41">
        <f>'6.2'!$G$72</f>
        <v>8.6999999999999994E-2</v>
      </c>
      <c r="K31" s="2"/>
    </row>
    <row r="32" spans="1:11" x14ac:dyDescent="0.2">
      <c r="K32" s="2"/>
    </row>
    <row r="33" spans="1:12" x14ac:dyDescent="0.2">
      <c r="A33" s="43" t="s">
        <v>74</v>
      </c>
      <c r="B33" t="s">
        <v>404</v>
      </c>
      <c r="E33" s="19">
        <f>AVERAGE(F14:F28)</f>
        <v>0.94418888888888874</v>
      </c>
      <c r="K33" s="2"/>
    </row>
    <row r="34" spans="1:12" x14ac:dyDescent="0.2">
      <c r="K34" s="2"/>
      <c r="L34" s="66"/>
    </row>
    <row r="35" spans="1:12" x14ac:dyDescent="0.2">
      <c r="A35" s="43" t="s">
        <v>73</v>
      </c>
      <c r="B35" t="s">
        <v>278</v>
      </c>
      <c r="K35" s="2"/>
    </row>
    <row r="36" spans="1:12" x14ac:dyDescent="0.2">
      <c r="B36" t="str">
        <f>'8'!A53&amp;" ("&amp;'8'!C53&amp;")"</f>
        <v>174-Year (1/1/1851 - 12/31/2024)</v>
      </c>
      <c r="E36" s="29">
        <f>'8'!G53</f>
        <v>0.40200000000000002</v>
      </c>
      <c r="F36" t="str">
        <f>"(1 Hurricane Every "&amp;TEXT(1/E36,"0.0")&amp;" years)"</f>
        <v>(1 Hurricane Every 2.5 years)</v>
      </c>
      <c r="K36" s="2"/>
    </row>
    <row r="37" spans="1:12" x14ac:dyDescent="0.2">
      <c r="A37" s="43"/>
      <c r="E37" s="91"/>
      <c r="K37" s="2"/>
    </row>
    <row r="38" spans="1:12" x14ac:dyDescent="0.2">
      <c r="A38" s="43" t="s">
        <v>72</v>
      </c>
      <c r="B38" t="s">
        <v>97</v>
      </c>
      <c r="E38" s="19">
        <f>ROUND(E36*E33,3)</f>
        <v>0.38</v>
      </c>
      <c r="K38" s="2"/>
    </row>
    <row r="39" spans="1:12" x14ac:dyDescent="0.2">
      <c r="K39" s="2"/>
    </row>
    <row r="40" spans="1:12" x14ac:dyDescent="0.2">
      <c r="A40" t="s">
        <v>17</v>
      </c>
      <c r="E40" s="18"/>
      <c r="K40" s="2"/>
    </row>
    <row r="41" spans="1:12" x14ac:dyDescent="0.2">
      <c r="B41" s="12" t="str">
        <f>C12&amp;" "&amp;'6.2'!$J$1&amp;", "&amp;'6.2'!$J$2&amp;". 1999 year ending "&amp;TEXT('6.2'!$L$40,"m/d/""99""")&amp;"; all other accident years ending "&amp;TEXT('6.2'!$L$39,"m/d/xx")</f>
        <v>(1) Exhibit 6, Sheet 2. 1999 year ending 12/31/99; all other accident years ending 9/30/xx</v>
      </c>
      <c r="K41" s="2"/>
    </row>
    <row r="42" spans="1:12" x14ac:dyDescent="0.2">
      <c r="B42" s="12" t="str">
        <f>E12&amp;" "&amp;'6.2'!$J$1&amp;", "&amp;'6.2'!$J$2&amp;". 1999 year ending "&amp;TEXT('6.2'!$L$40,"m/d/""99""")&amp;"; all other accident years ending "&amp;TEXT('6.2'!$L$39,"m/d/xx")</f>
        <v>(3) Exhibit 6, Sheet 2. 1999 year ending 12/31/99; all other accident years ending 9/30/xx</v>
      </c>
      <c r="K42" s="2"/>
    </row>
    <row r="43" spans="1:12" x14ac:dyDescent="0.2">
      <c r="B43" t="s">
        <v>476</v>
      </c>
      <c r="K43" s="2"/>
    </row>
    <row r="44" spans="1:12" x14ac:dyDescent="0.2">
      <c r="B44" s="12" t="str">
        <f>A31&amp;" "&amp;'6.2'!$J$1&amp;", "&amp;'6.2'!$J$2</f>
        <v>(5) Exhibit 6, Sheet 2</v>
      </c>
      <c r="K44" s="2"/>
    </row>
    <row r="45" spans="1:12" x14ac:dyDescent="0.2">
      <c r="B45" s="12" t="str">
        <f>A33&amp;" = "&amp;"Average of "&amp;F12</f>
        <v>(6) = Average of (4)</v>
      </c>
      <c r="K45" s="2"/>
    </row>
    <row r="46" spans="1:12" x14ac:dyDescent="0.2">
      <c r="B46" s="12" t="str">
        <f>A35&amp;" "&amp;'8'!$J$1</f>
        <v>(7) Exhibit 8</v>
      </c>
      <c r="K46" s="2"/>
    </row>
    <row r="47" spans="1:12" x14ac:dyDescent="0.2">
      <c r="B47" s="12" t="str">
        <f>A38&amp;" = "&amp;A33&amp;" * "&amp;A35</f>
        <v>(8) = (6) * (7)</v>
      </c>
      <c r="K47" s="2"/>
    </row>
    <row r="48" spans="1:12" ht="12" thickBot="1" x14ac:dyDescent="0.25">
      <c r="K48" s="2"/>
    </row>
    <row r="49" spans="1:11" ht="12" thickBot="1" x14ac:dyDescent="0.25">
      <c r="A49" s="4"/>
      <c r="B49" s="5"/>
      <c r="C49" s="5"/>
      <c r="D49" s="146"/>
      <c r="E49" s="5"/>
      <c r="F49" s="5"/>
      <c r="G49" s="5"/>
      <c r="H49" s="5"/>
      <c r="I49" s="5"/>
      <c r="J49" s="5"/>
      <c r="K4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00B050"/>
    <pageSetUpPr fitToPage="1"/>
  </sheetPr>
  <dimension ref="A1:N8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10.8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65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55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500</v>
      </c>
      <c r="B4" s="12"/>
      <c r="K4" s="2"/>
    </row>
    <row r="5" spans="1:12" x14ac:dyDescent="0.2">
      <c r="A5" t="s">
        <v>468</v>
      </c>
      <c r="B5" s="12"/>
      <c r="K5" s="2"/>
    </row>
    <row r="6" spans="1:12" ht="7.5" customHeight="1" thickBot="1" x14ac:dyDescent="0.25">
      <c r="A6" s="6"/>
      <c r="B6" s="6"/>
      <c r="C6" s="6"/>
      <c r="D6" s="6"/>
      <c r="E6" s="6"/>
      <c r="F6" s="6"/>
      <c r="G6" s="6"/>
      <c r="H6" s="6"/>
      <c r="K6" s="2"/>
    </row>
    <row r="7" spans="1:12" ht="12" thickTop="1" x14ac:dyDescent="0.2">
      <c r="A7" t="s">
        <v>37</v>
      </c>
      <c r="C7" s="133"/>
      <c r="D7" s="11" t="s">
        <v>76</v>
      </c>
      <c r="E7" s="11" t="s">
        <v>76</v>
      </c>
      <c r="F7" s="11"/>
      <c r="G7" s="11"/>
      <c r="H7" s="11"/>
      <c r="K7" s="2"/>
      <c r="L7" s="24"/>
    </row>
    <row r="8" spans="1:12" x14ac:dyDescent="0.2">
      <c r="A8" t="s">
        <v>38</v>
      </c>
      <c r="C8" s="11" t="s">
        <v>76</v>
      </c>
      <c r="D8" s="11" t="s">
        <v>77</v>
      </c>
      <c r="E8" s="11" t="s">
        <v>204</v>
      </c>
      <c r="F8" s="11" t="s">
        <v>56</v>
      </c>
      <c r="G8" s="11" t="s">
        <v>56</v>
      </c>
      <c r="H8" s="11" t="s">
        <v>4</v>
      </c>
      <c r="K8" s="2"/>
      <c r="L8" s="12"/>
    </row>
    <row r="9" spans="1:12" x14ac:dyDescent="0.2">
      <c r="A9" s="9" t="s">
        <v>25</v>
      </c>
      <c r="B9" s="9"/>
      <c r="C9" s="143" t="s">
        <v>77</v>
      </c>
      <c r="D9" s="143" t="s">
        <v>213</v>
      </c>
      <c r="E9" s="143" t="s">
        <v>205</v>
      </c>
      <c r="F9" s="143" t="s">
        <v>69</v>
      </c>
      <c r="G9" s="143" t="s">
        <v>48</v>
      </c>
      <c r="H9" s="143" t="s">
        <v>49</v>
      </c>
      <c r="K9" s="2"/>
      <c r="L9" s="36"/>
    </row>
    <row r="10" spans="1:12" x14ac:dyDescent="0.2">
      <c r="A10" s="13" t="str">
        <f>TEXT(COLUMN(),"(#)")</f>
        <v>(1)</v>
      </c>
      <c r="B10" s="13"/>
      <c r="C10" s="11" t="str">
        <f t="shared" ref="C10:H10" si="0">TEXT(COLUMN()-1,"(#)")</f>
        <v>(2)</v>
      </c>
      <c r="D10" s="11" t="str">
        <f t="shared" si="0"/>
        <v>(3)</v>
      </c>
      <c r="E10" s="11" t="str">
        <f t="shared" si="0"/>
        <v>(4)</v>
      </c>
      <c r="F10" s="11" t="str">
        <f t="shared" si="0"/>
        <v>(5)</v>
      </c>
      <c r="G10" s="11" t="str">
        <f t="shared" si="0"/>
        <v>(6)</v>
      </c>
      <c r="H10" s="11" t="str">
        <f t="shared" si="0"/>
        <v>(7)</v>
      </c>
      <c r="I10" s="11"/>
      <c r="K10" s="2"/>
    </row>
    <row r="11" spans="1:12" ht="6" customHeight="1" x14ac:dyDescent="0.2">
      <c r="K11" s="2"/>
    </row>
    <row r="12" spans="1:12" x14ac:dyDescent="0.2">
      <c r="A12" s="60">
        <v>1970</v>
      </c>
      <c r="B12" s="22"/>
      <c r="C12" s="31">
        <v>10874210</v>
      </c>
      <c r="D12" s="31">
        <v>18835352</v>
      </c>
      <c r="E12" s="26">
        <f>ROUND(D12*'6.4'!$E$23,0)</f>
        <v>53332058</v>
      </c>
      <c r="F12" s="31">
        <v>23092142</v>
      </c>
      <c r="G12" s="21">
        <f>ROUND(F12/E12,3)</f>
        <v>0.433</v>
      </c>
      <c r="H12" s="154" t="s">
        <v>50</v>
      </c>
      <c r="I12" s="42"/>
      <c r="K12" s="2"/>
    </row>
    <row r="13" spans="1:12" x14ac:dyDescent="0.2">
      <c r="A13" s="22">
        <v>1971</v>
      </c>
      <c r="B13" s="22"/>
      <c r="C13" s="31">
        <v>13340143</v>
      </c>
      <c r="D13" s="31">
        <v>20347170</v>
      </c>
      <c r="E13" s="26">
        <f>ROUND(D13*'6.4'!$E$23,0)</f>
        <v>57612751</v>
      </c>
      <c r="F13" s="31">
        <v>55893676</v>
      </c>
      <c r="G13" s="21">
        <f t="shared" ref="G13:G21" si="1">ROUND(F13/E13,3)</f>
        <v>0.97</v>
      </c>
      <c r="H13" s="154" t="s">
        <v>50</v>
      </c>
      <c r="I13" s="42"/>
      <c r="K13" s="2"/>
    </row>
    <row r="14" spans="1:12" x14ac:dyDescent="0.2">
      <c r="A14" s="22">
        <v>1972</v>
      </c>
      <c r="B14" s="22"/>
      <c r="C14" s="31">
        <v>18906678</v>
      </c>
      <c r="D14" s="31">
        <v>24314307</v>
      </c>
      <c r="E14" s="26">
        <f>ROUND(D14*'6.4'!$E$23,0)</f>
        <v>68845649</v>
      </c>
      <c r="F14" s="31">
        <v>8704522</v>
      </c>
      <c r="G14" s="21">
        <f t="shared" si="1"/>
        <v>0.126</v>
      </c>
      <c r="H14" s="154"/>
      <c r="I14" s="42"/>
      <c r="K14" s="2"/>
    </row>
    <row r="15" spans="1:12" x14ac:dyDescent="0.2">
      <c r="A15" s="22">
        <v>1973</v>
      </c>
      <c r="B15" s="22"/>
      <c r="C15" s="31">
        <v>21737541</v>
      </c>
      <c r="D15" s="31">
        <v>23257532</v>
      </c>
      <c r="E15" s="26">
        <f>ROUND(D15*'6.4'!$E$23,0)</f>
        <v>65853404</v>
      </c>
      <c r="F15" s="31">
        <v>3837493</v>
      </c>
      <c r="G15" s="21">
        <f t="shared" si="1"/>
        <v>5.8000000000000003E-2</v>
      </c>
      <c r="H15" s="154"/>
      <c r="I15" s="42"/>
      <c r="K15" s="2"/>
    </row>
    <row r="16" spans="1:12" x14ac:dyDescent="0.2">
      <c r="A16" s="22">
        <v>1974</v>
      </c>
      <c r="B16" s="22"/>
      <c r="C16" s="31">
        <v>22348193</v>
      </c>
      <c r="D16" s="31">
        <v>22844661</v>
      </c>
      <c r="E16" s="26">
        <f>ROUND(D16*'6.4'!$E$23,0)</f>
        <v>64684365</v>
      </c>
      <c r="F16" s="31">
        <v>2193087</v>
      </c>
      <c r="G16" s="21">
        <f t="shared" si="1"/>
        <v>3.4000000000000002E-2</v>
      </c>
      <c r="H16" s="154"/>
      <c r="I16" s="42"/>
      <c r="K16" s="2"/>
    </row>
    <row r="17" spans="1:11" x14ac:dyDescent="0.2">
      <c r="A17" s="22">
        <v>1975</v>
      </c>
      <c r="B17" s="22"/>
      <c r="C17" s="31">
        <v>24396629</v>
      </c>
      <c r="D17" s="31">
        <v>24958305</v>
      </c>
      <c r="E17" s="26">
        <f>ROUND(D17*'6.4'!$E$23,0)</f>
        <v>70669121</v>
      </c>
      <c r="F17" s="31">
        <v>3943412</v>
      </c>
      <c r="G17" s="21">
        <f t="shared" si="1"/>
        <v>5.6000000000000001E-2</v>
      </c>
      <c r="H17" s="154"/>
      <c r="I17" s="42"/>
      <c r="K17" s="2"/>
    </row>
    <row r="18" spans="1:11" x14ac:dyDescent="0.2">
      <c r="A18" s="22">
        <v>1976</v>
      </c>
      <c r="B18" s="22"/>
      <c r="C18" s="31">
        <v>26795934</v>
      </c>
      <c r="D18" s="31">
        <v>24109943</v>
      </c>
      <c r="E18" s="26">
        <f>ROUND(D18*'6.4'!$E$23,0)</f>
        <v>68266995</v>
      </c>
      <c r="F18" s="31">
        <v>2218115</v>
      </c>
      <c r="G18" s="21">
        <f>ROUND(F18/E18,3)</f>
        <v>3.2000000000000001E-2</v>
      </c>
      <c r="H18" s="154"/>
      <c r="I18" s="42"/>
      <c r="K18" s="2"/>
    </row>
    <row r="19" spans="1:11" x14ac:dyDescent="0.2">
      <c r="A19" s="22">
        <v>1977</v>
      </c>
      <c r="B19" s="22"/>
      <c r="C19" s="31">
        <v>30910821</v>
      </c>
      <c r="D19" s="31">
        <v>27119226</v>
      </c>
      <c r="E19" s="26">
        <f>ROUND(D19*'6.4'!$E$23,0)</f>
        <v>76787741</v>
      </c>
      <c r="F19" s="31">
        <v>1898346</v>
      </c>
      <c r="G19" s="21">
        <f>ROUND(F19/E19,3)</f>
        <v>2.5000000000000001E-2</v>
      </c>
      <c r="H19" s="154"/>
      <c r="I19" s="42"/>
      <c r="K19" s="2"/>
    </row>
    <row r="20" spans="1:11" x14ac:dyDescent="0.2">
      <c r="A20" s="22">
        <v>1978</v>
      </c>
      <c r="B20" s="22"/>
      <c r="C20" s="31">
        <v>32709599</v>
      </c>
      <c r="D20" s="31">
        <v>26415338</v>
      </c>
      <c r="E20" s="26">
        <f>ROUND(D20*'6.4'!$E$23,0)</f>
        <v>74794691</v>
      </c>
      <c r="F20" s="31">
        <v>2535872</v>
      </c>
      <c r="G20" s="21">
        <f t="shared" si="1"/>
        <v>3.4000000000000002E-2</v>
      </c>
      <c r="H20" s="154"/>
      <c r="I20" s="42"/>
      <c r="K20" s="2"/>
    </row>
    <row r="21" spans="1:11" x14ac:dyDescent="0.2">
      <c r="A21" s="22">
        <v>1979</v>
      </c>
      <c r="C21" s="31">
        <v>31306685</v>
      </c>
      <c r="D21" s="31">
        <v>24514306</v>
      </c>
      <c r="E21" s="26">
        <f>ROUND(D21*'6.4'!$E$23,0)</f>
        <v>69411943</v>
      </c>
      <c r="F21" s="31">
        <v>4535147</v>
      </c>
      <c r="G21" s="37">
        <f t="shared" si="1"/>
        <v>6.5000000000000002E-2</v>
      </c>
      <c r="H21" s="154"/>
      <c r="I21" s="42"/>
      <c r="K21" s="2"/>
    </row>
    <row r="22" spans="1:11" x14ac:dyDescent="0.2">
      <c r="A22" s="22">
        <v>1980</v>
      </c>
      <c r="C22" s="31">
        <v>28751765</v>
      </c>
      <c r="D22" s="31">
        <v>22607257</v>
      </c>
      <c r="E22" s="26">
        <f>ROUND(D22*'6.4'!$E$23,0)</f>
        <v>64012158</v>
      </c>
      <c r="F22" s="31">
        <v>38431070.960000001</v>
      </c>
      <c r="G22" s="37">
        <f>ROUND(F22/E22,3)</f>
        <v>0.6</v>
      </c>
      <c r="H22" s="154" t="s">
        <v>50</v>
      </c>
      <c r="I22" s="42"/>
      <c r="K22" s="2"/>
    </row>
    <row r="23" spans="1:11" x14ac:dyDescent="0.2">
      <c r="A23" s="22">
        <v>1981</v>
      </c>
      <c r="C23" s="31">
        <v>24129384</v>
      </c>
      <c r="D23" s="31">
        <v>21398588</v>
      </c>
      <c r="E23" s="26">
        <f>ROUND(D23*'6.4'!$E$23,0)</f>
        <v>60589828</v>
      </c>
      <c r="F23" s="31">
        <v>4272728</v>
      </c>
      <c r="G23" s="37">
        <f>ROUND(F23/E23,3)</f>
        <v>7.0999999999999994E-2</v>
      </c>
      <c r="H23" s="154"/>
      <c r="I23" s="42"/>
      <c r="K23" s="2"/>
    </row>
    <row r="24" spans="1:11" x14ac:dyDescent="0.2">
      <c r="A24" s="23">
        <v>1982</v>
      </c>
      <c r="B24" s="9"/>
      <c r="C24" s="48">
        <v>18505004</v>
      </c>
      <c r="D24" s="48">
        <v>17523231</v>
      </c>
      <c r="E24" s="27">
        <f>ROUND(D24*'6.4'!$E$23,0)</f>
        <v>49616804</v>
      </c>
      <c r="F24" s="27"/>
      <c r="G24" s="136">
        <v>3.4000000000000002E-2</v>
      </c>
      <c r="H24" s="155"/>
      <c r="I24" s="42"/>
      <c r="K24" s="2"/>
    </row>
    <row r="25" spans="1:11" x14ac:dyDescent="0.2">
      <c r="A25" s="22">
        <v>1983</v>
      </c>
      <c r="C25" s="31">
        <v>12680397</v>
      </c>
      <c r="D25" s="31">
        <v>13262706</v>
      </c>
      <c r="E25" s="26">
        <f>'6.4'!F14+'6.5'!F14+'6.6'!F14+'6.7'!F14</f>
        <v>37553181.514445186</v>
      </c>
      <c r="F25" s="26"/>
      <c r="G25" s="37">
        <f>ROUND('6.3'!H13,3)</f>
        <v>3.0609999999999999</v>
      </c>
      <c r="H25" s="154" t="s">
        <v>50</v>
      </c>
      <c r="I25" s="42"/>
      <c r="K25" s="2"/>
    </row>
    <row r="26" spans="1:11" x14ac:dyDescent="0.2">
      <c r="A26" s="22">
        <v>1984</v>
      </c>
      <c r="C26" s="31">
        <v>12736031</v>
      </c>
      <c r="D26" s="31">
        <v>14992627</v>
      </c>
      <c r="E26" s="26">
        <f>'6.4'!F15+'6.5'!F15+'6.6'!F15+'6.7'!F15</f>
        <v>42451430.74114944</v>
      </c>
      <c r="F26" s="26"/>
      <c r="G26" s="37">
        <f>ROUND('6.3'!H14,3)</f>
        <v>8.2000000000000003E-2</v>
      </c>
      <c r="H26" s="154"/>
      <c r="I26" s="42"/>
      <c r="K26" s="2"/>
    </row>
    <row r="27" spans="1:11" x14ac:dyDescent="0.2">
      <c r="A27" s="22">
        <v>1985</v>
      </c>
      <c r="C27" s="31">
        <v>15169575</v>
      </c>
      <c r="D27" s="31">
        <v>16422895</v>
      </c>
      <c r="E27" s="26">
        <f>'6.4'!F16+'6.5'!F16+'6.6'!F16+'6.7'!F16</f>
        <v>46501216.294885054</v>
      </c>
      <c r="F27" s="26"/>
      <c r="G27" s="37">
        <f>ROUND('6.3'!H15,3)</f>
        <v>0.04</v>
      </c>
      <c r="H27" s="154"/>
      <c r="I27" s="42"/>
      <c r="K27" s="2"/>
    </row>
    <row r="28" spans="1:11" x14ac:dyDescent="0.2">
      <c r="A28" s="22">
        <v>1986</v>
      </c>
      <c r="C28" s="31">
        <v>21130682</v>
      </c>
      <c r="D28" s="31">
        <v>17090896</v>
      </c>
      <c r="E28" s="26">
        <f>'6.4'!F17+'6.5'!F17+'6.6'!F17+'6.7'!F17</f>
        <v>48392652.539828144</v>
      </c>
      <c r="F28" s="26"/>
      <c r="G28" s="37">
        <f>ROUND('6.3'!H16,3)</f>
        <v>8.5999999999999993E-2</v>
      </c>
      <c r="H28" s="154" t="s">
        <v>50</v>
      </c>
      <c r="I28" s="42"/>
      <c r="K28" s="2"/>
    </row>
    <row r="29" spans="1:11" x14ac:dyDescent="0.2">
      <c r="A29" s="22">
        <v>1987</v>
      </c>
      <c r="C29" s="31">
        <v>31114529</v>
      </c>
      <c r="D29" s="31">
        <v>26771157</v>
      </c>
      <c r="E29" s="26">
        <f>'6.4'!F18+'6.5'!F18+'6.6'!F18+'6.7'!F18</f>
        <v>75802188.164321676</v>
      </c>
      <c r="F29" s="26"/>
      <c r="G29" s="37">
        <f>ROUND('6.3'!H17,3)</f>
        <v>1.6E-2</v>
      </c>
      <c r="H29" s="154"/>
      <c r="I29" s="42"/>
      <c r="K29" s="2"/>
    </row>
    <row r="30" spans="1:11" x14ac:dyDescent="0.2">
      <c r="A30" s="22">
        <v>1988</v>
      </c>
      <c r="B30" s="12"/>
      <c r="C30" s="31">
        <v>25065531</v>
      </c>
      <c r="D30" s="31">
        <v>24117319</v>
      </c>
      <c r="E30" s="26">
        <f>'6.4'!F19+'6.5'!F19+'6.6'!F19+'6.7'!F19</f>
        <v>68287879.041659117</v>
      </c>
      <c r="F30" s="26"/>
      <c r="G30" s="37">
        <f>ROUND('6.3'!H18,3)</f>
        <v>8.5000000000000006E-2</v>
      </c>
      <c r="H30" s="154"/>
      <c r="I30" s="42"/>
      <c r="K30" s="2"/>
    </row>
    <row r="31" spans="1:11" x14ac:dyDescent="0.2">
      <c r="A31" s="22">
        <v>1989</v>
      </c>
      <c r="B31" s="12"/>
      <c r="C31" s="31">
        <v>24167085</v>
      </c>
      <c r="D31" s="31">
        <v>27085314</v>
      </c>
      <c r="E31" s="26">
        <f>'6.4'!F20+'6.5'!F20+'6.6'!F20+'6.7'!F20</f>
        <v>76691719.673919111</v>
      </c>
      <c r="F31" s="26"/>
      <c r="G31" s="37">
        <f>ROUND('6.3'!H19,3)</f>
        <v>5.8000000000000003E-2</v>
      </c>
      <c r="H31" s="154" t="s">
        <v>50</v>
      </c>
      <c r="I31" s="42"/>
      <c r="K31" s="2"/>
    </row>
    <row r="32" spans="1:11" x14ac:dyDescent="0.2">
      <c r="A32" s="22">
        <v>1990</v>
      </c>
      <c r="B32" s="12"/>
      <c r="C32" s="31">
        <v>19677404</v>
      </c>
      <c r="D32" s="31">
        <v>23041233</v>
      </c>
      <c r="E32" s="26">
        <f>'6.4'!F21+'6.5'!F21+'6.6'!F21+'6.7'!F21</f>
        <v>65240956.221764706</v>
      </c>
      <c r="F32" s="26"/>
      <c r="G32" s="37">
        <f>ROUND('6.3'!H20,3)</f>
        <v>0.81</v>
      </c>
      <c r="H32" s="154"/>
      <c r="I32" s="42"/>
      <c r="K32" s="2"/>
    </row>
    <row r="33" spans="1:14" x14ac:dyDescent="0.2">
      <c r="A33" s="22">
        <v>1991</v>
      </c>
      <c r="C33" s="31">
        <v>21794680</v>
      </c>
      <c r="D33" s="31">
        <v>25534881</v>
      </c>
      <c r="E33" s="26">
        <f>'6.4'!F22+'6.5'!F22+'6.6'!F22+'6.7'!F22</f>
        <v>72301687.51969257</v>
      </c>
      <c r="F33" s="26"/>
      <c r="G33" s="37">
        <f>ROUND('6.3'!H21,3)</f>
        <v>0.58499999999999996</v>
      </c>
      <c r="H33" s="154"/>
      <c r="I33" s="42"/>
      <c r="K33" s="2"/>
    </row>
    <row r="34" spans="1:14" x14ac:dyDescent="0.2">
      <c r="A34" s="22">
        <v>1992</v>
      </c>
      <c r="C34" s="31">
        <v>23737753</v>
      </c>
      <c r="D34" s="31">
        <v>26950473</v>
      </c>
      <c r="E34" s="26">
        <f>'6.4'!F23+'6.5'!F23+'6.6'!F23+'6.7'!F23</f>
        <v>76309918.990604445</v>
      </c>
      <c r="F34" s="26"/>
      <c r="G34" s="37">
        <f>ROUND('6.3'!H22,3)</f>
        <v>1.6E-2</v>
      </c>
      <c r="H34" s="154"/>
      <c r="I34" s="42"/>
      <c r="K34" s="2"/>
    </row>
    <row r="35" spans="1:14" x14ac:dyDescent="0.2">
      <c r="A35" s="22">
        <v>1993</v>
      </c>
      <c r="C35" s="31">
        <v>21990182</v>
      </c>
      <c r="D35" s="31"/>
      <c r="E35" s="26">
        <f>'6.4'!F24+'6.5'!F24+'6.6'!F24+'6.7'!F24</f>
        <v>71537275.906790525</v>
      </c>
      <c r="F35" s="26"/>
      <c r="G35" s="37">
        <f>ROUND('6.3'!H23,3)</f>
        <v>5.0999999999999997E-2</v>
      </c>
      <c r="H35" s="154"/>
      <c r="I35" s="42"/>
      <c r="K35" s="2"/>
    </row>
    <row r="36" spans="1:14" x14ac:dyDescent="0.2">
      <c r="A36" s="22">
        <v>1994</v>
      </c>
      <c r="C36" s="31">
        <v>16604950</v>
      </c>
      <c r="D36" s="31"/>
      <c r="E36" s="26">
        <f>'6.4'!F25+'6.5'!F25+'6.6'!F25+'6.7'!F25</f>
        <v>54018329.282033436</v>
      </c>
      <c r="F36" s="26"/>
      <c r="G36" s="37">
        <f>ROUND('6.3'!H24,3)</f>
        <v>8.8999999999999996E-2</v>
      </c>
      <c r="H36" s="140"/>
      <c r="I36" s="42"/>
      <c r="K36" s="2"/>
    </row>
    <row r="37" spans="1:14" x14ac:dyDescent="0.2">
      <c r="A37" s="22">
        <v>1995</v>
      </c>
      <c r="C37" s="31">
        <v>32374229</v>
      </c>
      <c r="D37" s="31"/>
      <c r="E37" s="26">
        <f>'6.4'!F26+'6.5'!F26+'6.6'!F26+'6.7'!F26</f>
        <v>105318098.02875242</v>
      </c>
      <c r="F37" s="26"/>
      <c r="G37" s="37">
        <f>ROUND('6.3'!H25,3)</f>
        <v>0.2</v>
      </c>
      <c r="H37" s="140"/>
      <c r="I37" s="42"/>
      <c r="K37" s="2"/>
    </row>
    <row r="38" spans="1:14" x14ac:dyDescent="0.2">
      <c r="A38" s="22">
        <v>1996</v>
      </c>
      <c r="C38" s="31">
        <v>55367089</v>
      </c>
      <c r="D38" s="31"/>
      <c r="E38" s="26">
        <f>'6.4'!F27+'6.5'!F27+'6.6'!F27+'6.7'!F27</f>
        <v>180117233.20103532</v>
      </c>
      <c r="F38" s="26"/>
      <c r="G38" s="37">
        <f>ROUND('6.3'!H26,3)</f>
        <v>2.5000000000000001E-2</v>
      </c>
      <c r="H38" s="140"/>
      <c r="I38" s="42"/>
      <c r="K38" s="2"/>
      <c r="L38" t="s">
        <v>209</v>
      </c>
      <c r="M38" t="s">
        <v>210</v>
      </c>
    </row>
    <row r="39" spans="1:14" x14ac:dyDescent="0.2">
      <c r="A39" s="22">
        <v>1997</v>
      </c>
      <c r="C39" s="31">
        <v>53196024</v>
      </c>
      <c r="D39" s="31"/>
      <c r="E39" s="26">
        <f>'6.4'!F28+'6.5'!F28+'6.6'!F28+'6.7'!F28</f>
        <v>173054440.76133877</v>
      </c>
      <c r="F39" s="26"/>
      <c r="G39" s="37">
        <f>ROUND('6.3'!H27,3)</f>
        <v>3.5000000000000003E-2</v>
      </c>
      <c r="H39" s="140"/>
      <c r="I39" s="42"/>
      <c r="K39" s="2"/>
      <c r="L39" s="64">
        <v>34607</v>
      </c>
      <c r="M39" s="64">
        <v>36525</v>
      </c>
      <c r="N39" t="s">
        <v>211</v>
      </c>
    </row>
    <row r="40" spans="1:14" x14ac:dyDescent="0.2">
      <c r="A40" s="22">
        <v>1998</v>
      </c>
      <c r="C40" s="31">
        <v>53986058</v>
      </c>
      <c r="D40" s="31"/>
      <c r="E40" s="26">
        <f>'6.4'!F29+'6.5'!F29+'6.6'!F29+'6.7'!F29</f>
        <v>178299022.04184353</v>
      </c>
      <c r="F40" s="26"/>
      <c r="G40" s="37">
        <f>ROUND('6.3'!H28,3)</f>
        <v>0.14099999999999999</v>
      </c>
      <c r="H40" s="140"/>
      <c r="I40" s="42"/>
      <c r="K40" s="2"/>
      <c r="L40" s="64">
        <v>45657</v>
      </c>
      <c r="M40" s="64">
        <v>45657</v>
      </c>
      <c r="N40" t="s">
        <v>212</v>
      </c>
    </row>
    <row r="41" spans="1:14" x14ac:dyDescent="0.2">
      <c r="A41" s="22">
        <v>1999</v>
      </c>
      <c r="C41" s="31">
        <v>52435243</v>
      </c>
      <c r="D41" s="31"/>
      <c r="E41" s="26">
        <f>'6.4'!F30+'6.5'!F30+'6.6'!F30+'6.7'!F30</f>
        <v>175855163.70733914</v>
      </c>
      <c r="F41" s="26"/>
      <c r="G41" s="37">
        <f>ROUND('6.3'!H29,3)</f>
        <v>8.7999999999999995E-2</v>
      </c>
      <c r="H41" s="154" t="s">
        <v>50</v>
      </c>
      <c r="I41" s="42"/>
      <c r="K41" s="2"/>
    </row>
    <row r="42" spans="1:14" x14ac:dyDescent="0.2">
      <c r="A42" s="22">
        <v>2000</v>
      </c>
      <c r="C42" s="31">
        <v>41739697</v>
      </c>
      <c r="E42" s="26">
        <f>'6.4'!F31+'6.5'!F31+'6.6'!F31+'6.7'!F31</f>
        <v>133956823.07838032</v>
      </c>
      <c r="G42" s="37">
        <f>ROUND('6.3'!H30,3)</f>
        <v>7.3999999999999996E-2</v>
      </c>
      <c r="H42" s="140"/>
      <c r="I42" s="42"/>
      <c r="K42" s="2"/>
    </row>
    <row r="43" spans="1:14" x14ac:dyDescent="0.2">
      <c r="A43" s="22">
        <v>2001</v>
      </c>
      <c r="C43" s="107">
        <v>42330042</v>
      </c>
      <c r="E43" s="26">
        <f>'6.4'!F32+'6.5'!F32+'6.6'!F32+'6.7'!F32</f>
        <v>127689113.02348927</v>
      </c>
      <c r="G43" s="37">
        <f>ROUND('6.3'!H31,3)</f>
        <v>5.3999999999999999E-2</v>
      </c>
      <c r="H43" s="11"/>
      <c r="I43" s="19"/>
      <c r="K43" s="2"/>
    </row>
    <row r="44" spans="1:14" x14ac:dyDescent="0.2">
      <c r="A44" s="22">
        <v>2002</v>
      </c>
      <c r="C44" s="107">
        <v>69156402</v>
      </c>
      <c r="D44" s="18"/>
      <c r="E44" s="26">
        <f>'6.4'!F33+'6.5'!F33+'6.6'!F33+'6.7'!F33</f>
        <v>199609188.23395401</v>
      </c>
      <c r="G44" s="37">
        <f>ROUND('6.3'!H32,3)</f>
        <v>0.14499999999999999</v>
      </c>
      <c r="H44" s="11"/>
      <c r="I44" s="19"/>
      <c r="K44" s="2"/>
    </row>
    <row r="45" spans="1:14" x14ac:dyDescent="0.2">
      <c r="A45" s="22">
        <v>2003</v>
      </c>
      <c r="C45" s="107">
        <v>78368305</v>
      </c>
      <c r="D45" s="18"/>
      <c r="E45" s="26">
        <f>'6.4'!F34+'6.5'!F34+'6.6'!F34+'6.7'!F34</f>
        <v>210743807.6222586</v>
      </c>
      <c r="G45" s="37">
        <f>ROUND('6.3'!H33,3)</f>
        <v>0.22500000000000001</v>
      </c>
      <c r="H45" s="154" t="s">
        <v>50</v>
      </c>
      <c r="I45" s="42"/>
      <c r="K45" s="2"/>
    </row>
    <row r="46" spans="1:14" x14ac:dyDescent="0.2">
      <c r="A46" s="22">
        <v>2004</v>
      </c>
      <c r="C46" s="107">
        <v>112957791</v>
      </c>
      <c r="D46" s="18"/>
      <c r="E46" s="26">
        <f>'6.4'!F35+'6.5'!F35+'6.6'!F35+'6.7'!F35</f>
        <v>276540371.25977808</v>
      </c>
      <c r="G46" s="37">
        <f>ROUND('6.3'!H34,3)</f>
        <v>1.7999999999999999E-2</v>
      </c>
      <c r="H46" s="154"/>
      <c r="I46" s="42"/>
      <c r="K46" s="2"/>
    </row>
    <row r="47" spans="1:14" x14ac:dyDescent="0.2">
      <c r="A47" s="22">
        <v>2005</v>
      </c>
      <c r="C47" s="107">
        <v>119598806</v>
      </c>
      <c r="D47" s="18"/>
      <c r="E47" s="26">
        <f>'6.4'!F36+'6.5'!F36+'6.6'!F36+'6.7'!F36</f>
        <v>265866745.07309023</v>
      </c>
      <c r="G47" s="37">
        <f>ROUND('6.3'!H35,3)</f>
        <v>1.6870000000000001</v>
      </c>
      <c r="H47" s="140" t="s">
        <v>50</v>
      </c>
      <c r="I47" s="19"/>
      <c r="K47" s="2"/>
    </row>
    <row r="48" spans="1:14" x14ac:dyDescent="0.2">
      <c r="A48" s="22">
        <v>2006</v>
      </c>
      <c r="C48" s="107">
        <v>148019940</v>
      </c>
      <c r="D48" s="18"/>
      <c r="E48" s="26">
        <f>'6.4'!F37+'6.5'!F37+'6.6'!F37+'6.7'!F37</f>
        <v>299356477.41137737</v>
      </c>
      <c r="G48" s="37">
        <f>ROUND('6.3'!H36,3)</f>
        <v>0.02</v>
      </c>
      <c r="H48" s="11"/>
      <c r="I48" s="19"/>
      <c r="K48" s="2"/>
    </row>
    <row r="49" spans="1:11" x14ac:dyDescent="0.2">
      <c r="A49" s="22">
        <v>2007</v>
      </c>
      <c r="C49" s="126">
        <f>'6.4'!C38+'6.5'!C38+'6.6'!C38+'6.7'!C38</f>
        <v>186207969</v>
      </c>
      <c r="D49" s="34"/>
      <c r="E49" s="26">
        <f>'6.4'!F38+'6.5'!F38+'6.6'!F38+'6.7'!F38</f>
        <v>345796967.65694135</v>
      </c>
      <c r="G49" s="37">
        <f>ROUND('6.3'!H37,3)</f>
        <v>0.17699999999999999</v>
      </c>
      <c r="H49" s="154" t="s">
        <v>50</v>
      </c>
      <c r="I49" s="19"/>
      <c r="K49" s="2"/>
    </row>
    <row r="50" spans="1:11" x14ac:dyDescent="0.2">
      <c r="A50" s="22">
        <v>2008</v>
      </c>
      <c r="C50" s="126">
        <f>'6.4'!C39+'6.5'!C39+'6.6'!C39+'6.7'!C39</f>
        <v>177673659</v>
      </c>
      <c r="D50" s="34"/>
      <c r="E50" s="26">
        <f>'6.4'!F39+'6.5'!F39+'6.6'!F39+'6.7'!F39</f>
        <v>313442674.91535735</v>
      </c>
      <c r="G50" s="37">
        <f>ROUND('6.3'!H38,3)</f>
        <v>4.03</v>
      </c>
      <c r="H50" s="154" t="s">
        <v>50</v>
      </c>
      <c r="I50" s="42"/>
      <c r="K50" s="2"/>
    </row>
    <row r="51" spans="1:11" x14ac:dyDescent="0.2">
      <c r="A51" s="22">
        <v>2009</v>
      </c>
      <c r="C51" s="126">
        <f>'6.4'!C40+'6.5'!C40+'6.6'!C40+'6.7'!C40</f>
        <v>185204697</v>
      </c>
      <c r="D51" s="34"/>
      <c r="E51" s="26">
        <f>'6.4'!F40+'6.5'!F40+'6.6'!F40+'6.7'!F40</f>
        <v>296283945.09458524</v>
      </c>
      <c r="G51" s="37">
        <f>ROUND('6.3'!H39,3)</f>
        <v>2.7E-2</v>
      </c>
      <c r="H51" s="154"/>
      <c r="I51" s="19"/>
      <c r="K51" s="2"/>
    </row>
    <row r="52" spans="1:11" x14ac:dyDescent="0.2">
      <c r="A52" s="22">
        <v>2010</v>
      </c>
      <c r="C52" s="126">
        <f>'6.4'!C41+'6.5'!C41+'6.6'!C41+'6.7'!C41</f>
        <v>193721394</v>
      </c>
      <c r="D52" s="34"/>
      <c r="E52" s="26">
        <f>'6.4'!F41+'6.5'!F41+'6.6'!F41+'6.7'!F41</f>
        <v>286320340.30286193</v>
      </c>
      <c r="G52" s="37">
        <f>ROUND('6.3'!H40,3)</f>
        <v>4.1000000000000002E-2</v>
      </c>
      <c r="H52" s="154"/>
      <c r="I52" s="19"/>
      <c r="K52" s="2"/>
    </row>
    <row r="53" spans="1:11" x14ac:dyDescent="0.2">
      <c r="A53" s="22">
        <v>2011</v>
      </c>
      <c r="C53" s="126">
        <f>'6.4'!C42+'6.5'!C42+'6.6'!C42+'6.7'!C42</f>
        <v>192278480</v>
      </c>
      <c r="D53" s="34"/>
      <c r="E53" s="26">
        <f>'6.4'!F42+'6.5'!F42+'6.6'!F42+'6.7'!F42</f>
        <v>277463924.17998827</v>
      </c>
      <c r="F53" s="29"/>
      <c r="G53" s="37">
        <f>ROUND('6.3'!H41,3)</f>
        <v>0.16600000000000001</v>
      </c>
      <c r="H53" s="154"/>
      <c r="I53" s="19"/>
      <c r="K53" s="2"/>
    </row>
    <row r="54" spans="1:11" x14ac:dyDescent="0.2">
      <c r="A54" s="22">
        <v>2012</v>
      </c>
      <c r="C54" s="126">
        <f>'6.4'!C43+'6.5'!C43+'6.6'!C43+'6.7'!C43</f>
        <v>209676871</v>
      </c>
      <c r="D54" s="34"/>
      <c r="E54" s="26">
        <f>'6.4'!F43+'6.5'!F43+'6.6'!F43+'6.7'!F43</f>
        <v>287748652.35734773</v>
      </c>
      <c r="F54" s="29"/>
      <c r="G54" s="37">
        <f>ROUND('6.3'!H42,3)</f>
        <v>0.17799999999999999</v>
      </c>
      <c r="H54" s="154"/>
      <c r="I54" s="19"/>
      <c r="K54" s="2"/>
    </row>
    <row r="55" spans="1:11" x14ac:dyDescent="0.2">
      <c r="A55" s="22">
        <v>2013</v>
      </c>
      <c r="C55" s="126">
        <f>'6.4'!C44+'6.5'!C44+'6.6'!C44+'6.7'!C44</f>
        <v>224380012</v>
      </c>
      <c r="D55" s="34"/>
      <c r="E55" s="26">
        <f>'6.4'!F44+'6.5'!F44+'6.6'!F44+'6.7'!F44</f>
        <v>293394750.82044667</v>
      </c>
      <c r="F55" s="29"/>
      <c r="G55" s="37">
        <f>ROUND('6.3'!H43,3)</f>
        <v>5.6000000000000001E-2</v>
      </c>
      <c r="H55" s="154"/>
      <c r="I55" s="19"/>
      <c r="K55" s="2"/>
    </row>
    <row r="56" spans="1:11" x14ac:dyDescent="0.2">
      <c r="A56" s="22">
        <v>2014</v>
      </c>
      <c r="C56" s="126">
        <f>'6.4'!C45+'6.5'!C45+'6.6'!C45+'6.7'!C45</f>
        <v>240932886</v>
      </c>
      <c r="D56" s="34"/>
      <c r="E56" s="26">
        <f>'6.4'!F45+'6.5'!F45+'6.6'!F45+'6.7'!F45</f>
        <v>300378437.4888069</v>
      </c>
      <c r="F56" s="29"/>
      <c r="G56" s="37">
        <f>ROUND('6.3'!H44,3)</f>
        <v>1.6E-2</v>
      </c>
      <c r="H56" s="154"/>
      <c r="I56" s="19"/>
      <c r="K56" s="2"/>
    </row>
    <row r="57" spans="1:11" x14ac:dyDescent="0.2">
      <c r="A57" s="22">
        <v>2015</v>
      </c>
      <c r="C57" s="126">
        <f>'6.4'!C46+'6.5'!C46+'6.6'!C46+'6.7'!C46</f>
        <v>222220855</v>
      </c>
      <c r="D57" s="34"/>
      <c r="E57" s="26">
        <f>'6.4'!F46+'6.5'!F46+'6.6'!F46+'6.7'!F46</f>
        <v>263626240.92130768</v>
      </c>
      <c r="F57" s="29"/>
      <c r="G57" s="37">
        <f>ROUND('6.3'!H45,3)</f>
        <v>0.13600000000000001</v>
      </c>
      <c r="H57" s="154"/>
      <c r="I57" s="19"/>
      <c r="K57" s="2"/>
    </row>
    <row r="58" spans="1:11" x14ac:dyDescent="0.2">
      <c r="A58" s="22">
        <v>2016</v>
      </c>
      <c r="C58" s="126">
        <f>'6.4'!C47+'6.5'!C47+'6.6'!C47+'6.7'!C47</f>
        <v>206424335</v>
      </c>
      <c r="D58" s="34"/>
      <c r="E58" s="26">
        <f>'6.4'!F47+'6.5'!F47+'6.6'!F47+'6.7'!F47</f>
        <v>233194746.99964157</v>
      </c>
      <c r="F58" s="29"/>
      <c r="G58" s="37">
        <f>ROUND('6.3'!H46,3)</f>
        <v>4.5999999999999999E-2</v>
      </c>
      <c r="H58" s="154"/>
      <c r="K58" s="2"/>
    </row>
    <row r="59" spans="1:11" x14ac:dyDescent="0.2">
      <c r="A59" s="22">
        <v>2017</v>
      </c>
      <c r="C59" s="126">
        <f>'6.4'!C48+'6.5'!C48+'6.6'!C48+'6.7'!C48</f>
        <v>179441552</v>
      </c>
      <c r="D59" s="34"/>
      <c r="E59" s="26">
        <f>'6.4'!F48+'6.5'!F48+'6.6'!F48+'6.7'!F48</f>
        <v>197834311.19749951</v>
      </c>
      <c r="F59" s="29"/>
      <c r="G59" s="37">
        <f>ROUND('6.3'!H47,3)</f>
        <v>5.4379999999999997</v>
      </c>
      <c r="H59" s="156" t="s">
        <v>50</v>
      </c>
      <c r="K59" s="2"/>
    </row>
    <row r="60" spans="1:11" x14ac:dyDescent="0.2">
      <c r="A60" s="22">
        <v>2018</v>
      </c>
      <c r="C60" s="126">
        <f>'6.4'!C49+'6.5'!C49+'6.6'!C49+'6.7'!C49</f>
        <v>177579591</v>
      </c>
      <c r="D60" s="34"/>
      <c r="E60" s="26">
        <f>'6.4'!F49+'6.5'!F49+'6.6'!F49+'6.7'!F49</f>
        <v>190995948.52696401</v>
      </c>
      <c r="F60" s="29"/>
      <c r="G60" s="37">
        <f>ROUND('6.3'!H48,3)</f>
        <v>1.6E-2</v>
      </c>
      <c r="H60" s="156"/>
      <c r="K60" s="2"/>
    </row>
    <row r="61" spans="1:11" x14ac:dyDescent="0.2">
      <c r="A61" s="22">
        <v>2019</v>
      </c>
      <c r="C61" s="126">
        <f>'6.4'!C50+'6.5'!C50+'6.6'!C50+'6.7'!C50</f>
        <v>175218413</v>
      </c>
      <c r="D61" s="34"/>
      <c r="E61" s="26">
        <f>'6.4'!F50+'6.5'!F50+'6.6'!F50+'6.7'!F50</f>
        <v>183979333.79999983</v>
      </c>
      <c r="F61" s="29"/>
      <c r="G61" s="37">
        <f>ROUND('6.3'!H49,3)</f>
        <v>3.2000000000000001E-2</v>
      </c>
      <c r="H61" s="156"/>
      <c r="K61" s="2"/>
    </row>
    <row r="62" spans="1:11" x14ac:dyDescent="0.2">
      <c r="A62" s="22">
        <v>2020</v>
      </c>
      <c r="C62" s="126">
        <f>'6.4'!C51+'6.5'!C51+'6.6'!C51+'6.7'!C51</f>
        <v>179525260</v>
      </c>
      <c r="E62" s="26">
        <f>'6.4'!F51+'6.5'!F51+'6.6'!F51+'6.7'!F51</f>
        <v>188501522.09999976</v>
      </c>
      <c r="G62" s="37">
        <f>ROUND('6.3'!H50,3)</f>
        <v>0.10299999999999999</v>
      </c>
      <c r="H62" s="156" t="s">
        <v>50</v>
      </c>
      <c r="K62" s="2"/>
    </row>
    <row r="63" spans="1:11" x14ac:dyDescent="0.2">
      <c r="A63" s="22">
        <v>2021</v>
      </c>
      <c r="C63" s="126">
        <f>'6.4'!C52+'6.5'!C52+'6.6'!C52+'6.7'!C52</f>
        <v>184471049</v>
      </c>
      <c r="E63" s="26">
        <f>'6.4'!F52+'6.5'!F52+'6.6'!F52+'6.7'!F52</f>
        <v>193694601.49999949</v>
      </c>
      <c r="G63" s="37">
        <f>ROUND('6.3'!H51,3)</f>
        <v>0.10100000000000001</v>
      </c>
      <c r="H63" s="156" t="s">
        <v>50</v>
      </c>
      <c r="K63" s="2"/>
    </row>
    <row r="64" spans="1:11" x14ac:dyDescent="0.2">
      <c r="A64" s="22">
        <v>2022</v>
      </c>
      <c r="C64" s="126">
        <f>'6.4'!C53+'6.5'!C53+'6.6'!C53+'6.7'!C53</f>
        <v>200628701</v>
      </c>
      <c r="E64" s="26">
        <f>'6.4'!F53+'6.5'!F53+'6.6'!F53+'6.7'!F53</f>
        <v>205132329.30276379</v>
      </c>
      <c r="G64" s="37">
        <f>ROUND('6.3'!H52,3)</f>
        <v>3.3000000000000002E-2</v>
      </c>
      <c r="H64" s="156"/>
      <c r="K64" s="2"/>
    </row>
    <row r="65" spans="1:12" x14ac:dyDescent="0.2">
      <c r="A65" s="22">
        <v>2023</v>
      </c>
      <c r="C65" s="126">
        <f>'6.4'!C54+'6.5'!C54+'6.6'!C54+'6.7'!C54</f>
        <v>265902191</v>
      </c>
      <c r="E65" s="26">
        <f>'6.4'!F54+'6.5'!F54+'6.6'!F54+'6.7'!F54</f>
        <v>265902191</v>
      </c>
      <c r="G65" s="37">
        <f>ROUND('6.3'!H53,3)</f>
        <v>6.4000000000000001E-2</v>
      </c>
      <c r="H65" s="156"/>
      <c r="K65" s="2"/>
    </row>
    <row r="66" spans="1:12" x14ac:dyDescent="0.2">
      <c r="A66" s="22">
        <v>2024</v>
      </c>
      <c r="C66" s="126">
        <f>'6.4'!C55+'6.5'!C55+'6.6'!C55+'6.7'!C55</f>
        <v>305321010</v>
      </c>
      <c r="E66" s="26">
        <f>'6.4'!F55+'6.5'!F55+'6.6'!F55+'6.7'!F55</f>
        <v>305321010</v>
      </c>
      <c r="G66" s="37">
        <f>ROUND('6.3'!H54,3)</f>
        <v>0.36299999999999999</v>
      </c>
      <c r="H66" s="156" t="s">
        <v>50</v>
      </c>
      <c r="K66" s="2"/>
    </row>
    <row r="67" spans="1:12" ht="6" customHeight="1" x14ac:dyDescent="0.2">
      <c r="K67" s="2"/>
    </row>
    <row r="68" spans="1:12" x14ac:dyDescent="0.2">
      <c r="A68" s="22" t="s">
        <v>24</v>
      </c>
      <c r="C68" s="26">
        <f>SUM(C12:C67)</f>
        <v>5116919936</v>
      </c>
      <c r="D68" s="26"/>
      <c r="E68" s="26">
        <f>SUM(E12:E67)</f>
        <v>8534984355.4982414</v>
      </c>
      <c r="G68" s="19">
        <f>ROUND(AVERAGE(G12:G67),3)</f>
        <v>0.38600000000000001</v>
      </c>
      <c r="K68" s="2"/>
    </row>
    <row r="69" spans="1:12" x14ac:dyDescent="0.2">
      <c r="K69" s="2"/>
    </row>
    <row r="70" spans="1:12" x14ac:dyDescent="0.2">
      <c r="A70" t="s">
        <v>78</v>
      </c>
      <c r="G70" s="19">
        <f>ROUND(SUMIF(H12:H67,"&lt;&gt;H",G12:G67)/COUNTIF(H12:H67,"&lt;&gt;H"),3)</f>
        <v>9.2999999999999999E-2</v>
      </c>
      <c r="K70" s="2"/>
    </row>
    <row r="71" spans="1:12" x14ac:dyDescent="0.2">
      <c r="A71" t="s">
        <v>79</v>
      </c>
      <c r="G71" s="19">
        <f>ROUND((SUMIF(H12:H67,"&lt;&gt;H",G12:G67)-VLOOKUP(1991,$A$12:$G$67,7,0))/(COUNTIF(H12:H67,"&lt;&gt;H")-1),3)</f>
        <v>8.1000000000000003E-2</v>
      </c>
      <c r="K71" s="2"/>
      <c r="L71" s="24"/>
    </row>
    <row r="72" spans="1:12" x14ac:dyDescent="0.2">
      <c r="A72" t="s">
        <v>44</v>
      </c>
      <c r="G72" s="44">
        <f>ROUND(AVERAGE(G70:G71),3)</f>
        <v>8.6999999999999994E-2</v>
      </c>
      <c r="K72" s="2"/>
    </row>
    <row r="73" spans="1:12" ht="4.5" customHeight="1" thickBot="1" x14ac:dyDescent="0.25">
      <c r="A73" s="6"/>
      <c r="B73" s="6"/>
      <c r="C73" s="6"/>
      <c r="D73" s="6"/>
      <c r="E73" s="6"/>
      <c r="F73" s="6"/>
      <c r="G73" s="6"/>
      <c r="H73" s="6"/>
      <c r="K73" s="2"/>
    </row>
    <row r="74" spans="1:12" ht="12" thickTop="1" x14ac:dyDescent="0.2">
      <c r="K74" s="2"/>
    </row>
    <row r="75" spans="1:12" x14ac:dyDescent="0.2">
      <c r="A75" t="s">
        <v>17</v>
      </c>
      <c r="B75" s="12" t="str">
        <f>C10&amp;" Provided by TDI. "&amp;A25&amp;" - "&amp;A37&amp;" are year ending "&amp;TEXT($L$39,"m/d/xx")&amp;" as of "&amp;TEXT($M$39,"m/d/yy")&amp;"; "&amp;A38&amp;" - "&amp;A66&amp;" are year ending "&amp;TEXT($L$40,"m/d/xx")&amp;" as of "&amp;TEXT($M$40,"m/d/yy")</f>
        <v>(2) Provided by TDI. 1983 - 1995 are year ending 9/30/xx as of 12/31/99; 1996 - 2024 are year ending 12/31/xx as of 12/31/24</v>
      </c>
      <c r="K75" s="2"/>
    </row>
    <row r="76" spans="1:12" x14ac:dyDescent="0.2">
      <c r="B76" s="12" t="str">
        <f>D10&amp;" Provided by TDI (1992 MR = 1992 manual rates)"</f>
        <v>(3) Provided by TDI (1992 MR = 1992 manual rates)</v>
      </c>
      <c r="D76" s="12"/>
      <c r="K76" s="2"/>
    </row>
    <row r="77" spans="1:12" x14ac:dyDescent="0.2">
      <c r="B77" s="12" t="str">
        <f>E10&amp;" "&amp;A35&amp;" - "&amp;YEAR(L40)&amp;": Sum of "&amp;'6.4'!$J$1&amp;", "&amp;'6.4'!$J$2&amp;" - 7"&amp;", "&amp;'6.4'!F12&amp;"; "&amp;A12&amp;" - "&amp;A34&amp;": "&amp;D10&amp;" * "&amp;TEXT('6.4'!$L$14,"2.831")&amp;",1992 on-level factor to bring industry premium to TWIA currrent rate level"</f>
        <v>(4) 1993 - 2024: Sum of Exhibit 6, Sheet 4 - 7, (5); 1970 - 1992: (3) * 2.831,1992 on-level factor to bring industry premium to TWIA currrent rate level</v>
      </c>
      <c r="K77" s="2"/>
    </row>
    <row r="78" spans="1:12" x14ac:dyDescent="0.2">
      <c r="B78" s="12" t="str">
        <f>F10&amp;" Provided by TDI. "&amp;A12&amp;" - "&amp;A24&amp;" are year ending "&amp;TEXT($L$39,"m/d/xx")&amp;" as of "&amp;TEXT($M$39,"m/d/yy")&amp;"; "&amp;A25&amp;" - "&amp;YEAR(L40)&amp;" are year ending "&amp;TEXT($L$40,"m/d/xx")&amp;" as of "&amp;TEXT($M$40,"m/d/yy")</f>
        <v>(5) Provided by TDI. 1970 - 1982 are year ending 9/30/xx as of 12/31/99; 1983 - 2024 are year ending 12/31/xx as of 12/31/24</v>
      </c>
      <c r="K78" s="2"/>
    </row>
    <row r="79" spans="1:12" x14ac:dyDescent="0.2">
      <c r="B79" s="12" t="str">
        <f>G10&amp;" "&amp;A25&amp;" - "&amp;YEAR(L40)&amp;": "&amp;'6.3'!$I$1&amp;", "&amp;'6.3'!$I$2&amp;"; "&amp;A12&amp;" - "&amp;A24&amp;": "&amp;F10&amp;" / "&amp;E10</f>
        <v>(6) 1983 - 2024: Exhibit 6, Sheet 3; 1970 - 1982: (5) / (4)</v>
      </c>
      <c r="K79" s="2"/>
    </row>
    <row r="80" spans="1:12" ht="12" thickBot="1" x14ac:dyDescent="0.25">
      <c r="B80" s="12" t="str">
        <f>H10&amp;" ""H"" indicates hurricane year"</f>
        <v>(7) "H" indicates hurricane year</v>
      </c>
      <c r="K80" s="2"/>
    </row>
    <row r="81" spans="1:11" ht="12" thickBot="1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3"/>
    </row>
  </sheetData>
  <phoneticPr fontId="0" type="noConversion"/>
  <pageMargins left="0.5" right="0.5" top="0.5" bottom="0.5" header="0.5" footer="0.5"/>
  <pageSetup scale="91" fitToWidth="0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B050"/>
  </sheetPr>
  <dimension ref="A1:N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8" bestFit="1" customWidth="1"/>
    <col min="9" max="9" width="7" customWidth="1"/>
  </cols>
  <sheetData>
    <row r="1" spans="1:11" x14ac:dyDescent="0.2">
      <c r="A1" s="8" t="str">
        <f>'1'!$A$1</f>
        <v>Texas Windstorm Insurance Association</v>
      </c>
      <c r="B1" s="12"/>
      <c r="I1" s="7" t="s">
        <v>65</v>
      </c>
      <c r="J1" s="1"/>
    </row>
    <row r="2" spans="1:11" x14ac:dyDescent="0.2">
      <c r="A2" s="8" t="str">
        <f>'1'!$A$2</f>
        <v>Commercial Property - Wind &amp; Hail</v>
      </c>
      <c r="B2" s="12"/>
      <c r="I2" s="7" t="s">
        <v>57</v>
      </c>
      <c r="J2" s="2"/>
    </row>
    <row r="3" spans="1:11" x14ac:dyDescent="0.2">
      <c r="A3" s="8" t="str">
        <f>'1'!$A$3</f>
        <v>Rate Level Review</v>
      </c>
      <c r="B3" s="12"/>
      <c r="J3" s="2"/>
    </row>
    <row r="4" spans="1:11" x14ac:dyDescent="0.2">
      <c r="A4" t="s">
        <v>500</v>
      </c>
      <c r="B4" s="12"/>
      <c r="J4" s="2"/>
    </row>
    <row r="5" spans="1:11" x14ac:dyDescent="0.2">
      <c r="A5" t="s">
        <v>469</v>
      </c>
      <c r="J5" s="2"/>
    </row>
    <row r="6" spans="1:11" ht="12" thickBot="1" x14ac:dyDescent="0.25">
      <c r="A6" s="6"/>
      <c r="B6" s="6"/>
      <c r="C6" s="6"/>
      <c r="D6" s="6"/>
      <c r="E6" s="6"/>
      <c r="F6" s="6"/>
      <c r="G6" s="6"/>
      <c r="H6" s="6"/>
      <c r="I6" s="6"/>
      <c r="J6" s="2"/>
    </row>
    <row r="7" spans="1:11" ht="12" thickTop="1" x14ac:dyDescent="0.2">
      <c r="J7" s="2"/>
    </row>
    <row r="8" spans="1:11" x14ac:dyDescent="0.2">
      <c r="A8" t="s">
        <v>37</v>
      </c>
      <c r="C8" s="171" t="s">
        <v>84</v>
      </c>
      <c r="D8" s="171"/>
      <c r="E8" s="171"/>
      <c r="F8" s="171"/>
      <c r="J8" s="2"/>
    </row>
    <row r="9" spans="1:11" x14ac:dyDescent="0.2">
      <c r="A9" t="s">
        <v>38</v>
      </c>
      <c r="C9" s="11"/>
      <c r="D9" s="11"/>
      <c r="E9" s="11"/>
      <c r="F9" s="11"/>
      <c r="G9" s="11" t="s">
        <v>83</v>
      </c>
      <c r="H9" s="11" t="s">
        <v>474</v>
      </c>
      <c r="J9" s="2"/>
      <c r="K9" s="24"/>
    </row>
    <row r="10" spans="1:11" x14ac:dyDescent="0.2">
      <c r="A10" s="9" t="s">
        <v>25</v>
      </c>
      <c r="B10" s="9"/>
      <c r="C10" s="143" t="s">
        <v>80</v>
      </c>
      <c r="D10" s="143" t="s">
        <v>81</v>
      </c>
      <c r="E10" s="143" t="s">
        <v>82</v>
      </c>
      <c r="F10" s="143" t="s">
        <v>21</v>
      </c>
      <c r="G10" s="143" t="s">
        <v>48</v>
      </c>
      <c r="H10" s="143" t="s">
        <v>48</v>
      </c>
      <c r="I10" s="9"/>
      <c r="J10" s="2"/>
      <c r="K10" s="12"/>
    </row>
    <row r="11" spans="1:11" x14ac:dyDescent="0.2">
      <c r="A11" s="11" t="str">
        <f>TEXT(COLUMN(),"(#)")</f>
        <v>(1)</v>
      </c>
      <c r="B11" s="11"/>
      <c r="C11" s="11" t="str">
        <f>TEXT(COLUMN()-1,"(#)")</f>
        <v>(2)</v>
      </c>
      <c r="D11" s="11" t="str">
        <f>TEXT(COLUMN()-1,"(#)")</f>
        <v>(3)</v>
      </c>
      <c r="E11" s="11" t="str">
        <f>TEXT(COLUMN()-1,"(#)")</f>
        <v>(4)</v>
      </c>
      <c r="F11" s="11" t="str">
        <f>TEXT(COLUMN()-1,"(#)")</f>
        <v>(5)</v>
      </c>
      <c r="G11" s="11" t="str">
        <f>TEXT(COLUMN()-1,"(#)")</f>
        <v>(6)</v>
      </c>
      <c r="H11" s="43" t="s">
        <v>73</v>
      </c>
      <c r="J11" s="2"/>
      <c r="K11" s="36"/>
    </row>
    <row r="12" spans="1:11" x14ac:dyDescent="0.2">
      <c r="J12" s="2"/>
    </row>
    <row r="13" spans="1:11" x14ac:dyDescent="0.2">
      <c r="A13" s="60">
        <v>1983</v>
      </c>
      <c r="C13" s="41">
        <f>'6.4'!H14</f>
        <v>9.6140000000000008</v>
      </c>
      <c r="D13" s="41">
        <f>'6.5'!H14</f>
        <v>4.1000000000000002E-2</v>
      </c>
      <c r="E13" s="41">
        <f>'6.6'!H14</f>
        <v>0.44700000000000001</v>
      </c>
      <c r="F13" s="41">
        <f>'6.7'!H14</f>
        <v>1.611</v>
      </c>
      <c r="G13" s="21">
        <f t="shared" ref="G13:G19" si="0">ROUND(SUMPRODUCT(C13:F13,$C$63:$F$63)/$G$63,3)</f>
        <v>3.0609999999999999</v>
      </c>
      <c r="H13" s="19">
        <f>G13</f>
        <v>3.0609999999999999</v>
      </c>
      <c r="J13" s="2"/>
    </row>
    <row r="14" spans="1:11" x14ac:dyDescent="0.2">
      <c r="A14" t="str">
        <f>TEXT(A13+1,"#")</f>
        <v>1984</v>
      </c>
      <c r="C14" s="41">
        <f>'6.4'!H15</f>
        <v>8.2000000000000003E-2</v>
      </c>
      <c r="D14" s="41">
        <f>'6.5'!H15</f>
        <v>4.1000000000000002E-2</v>
      </c>
      <c r="E14" s="41">
        <f>'6.6'!H15</f>
        <v>0.106</v>
      </c>
      <c r="F14" s="41">
        <f>'6.7'!H15</f>
        <v>0.154</v>
      </c>
      <c r="G14" s="21">
        <f t="shared" si="0"/>
        <v>8.2000000000000003E-2</v>
      </c>
      <c r="H14" s="19">
        <f t="shared" ref="H14:H38" si="1">G14</f>
        <v>8.2000000000000003E-2</v>
      </c>
      <c r="J14" s="2"/>
    </row>
    <row r="15" spans="1:11" x14ac:dyDescent="0.2">
      <c r="A15" t="str">
        <f t="shared" ref="A15:A45" si="2">TEXT(A14+1,"#")</f>
        <v>1985</v>
      </c>
      <c r="C15" s="41">
        <f>'6.4'!H16</f>
        <v>0.04</v>
      </c>
      <c r="D15" s="41">
        <f>'6.5'!H16</f>
        <v>2.7E-2</v>
      </c>
      <c r="E15" s="41">
        <f>'6.6'!H16</f>
        <v>4.7E-2</v>
      </c>
      <c r="F15" s="41">
        <f>'6.7'!H16</f>
        <v>8.5999999999999993E-2</v>
      </c>
      <c r="G15" s="21">
        <f t="shared" si="0"/>
        <v>0.04</v>
      </c>
      <c r="H15" s="19">
        <f t="shared" si="1"/>
        <v>0.04</v>
      </c>
      <c r="J15" s="2"/>
    </row>
    <row r="16" spans="1:11" x14ac:dyDescent="0.2">
      <c r="A16" t="str">
        <f t="shared" si="2"/>
        <v>1986</v>
      </c>
      <c r="C16" s="41">
        <f>'6.4'!H17</f>
        <v>3.2000000000000001E-2</v>
      </c>
      <c r="D16" s="41">
        <f>'6.5'!H17</f>
        <v>1.0999999999999999E-2</v>
      </c>
      <c r="E16" s="41">
        <f>'6.6'!H17</f>
        <v>0.17399999999999999</v>
      </c>
      <c r="F16" s="41">
        <f>'6.7'!H17</f>
        <v>0.13600000000000001</v>
      </c>
      <c r="G16" s="21">
        <f t="shared" si="0"/>
        <v>8.5999999999999993E-2</v>
      </c>
      <c r="H16" s="19">
        <f t="shared" si="1"/>
        <v>8.5999999999999993E-2</v>
      </c>
      <c r="J16" s="2"/>
    </row>
    <row r="17" spans="1:12" x14ac:dyDescent="0.2">
      <c r="A17" t="str">
        <f t="shared" si="2"/>
        <v>1987</v>
      </c>
      <c r="C17" s="41">
        <f>'6.4'!H18</f>
        <v>5.0000000000000001E-3</v>
      </c>
      <c r="D17" s="41">
        <f>'6.5'!H18</f>
        <v>1.7999999999999999E-2</v>
      </c>
      <c r="E17" s="41">
        <f>'6.6'!H18</f>
        <v>2.1999999999999999E-2</v>
      </c>
      <c r="F17" s="41">
        <f>'6.7'!H18</f>
        <v>3.3000000000000002E-2</v>
      </c>
      <c r="G17" s="21">
        <f t="shared" si="0"/>
        <v>1.6E-2</v>
      </c>
      <c r="H17" s="19">
        <f t="shared" si="1"/>
        <v>1.6E-2</v>
      </c>
      <c r="J17" s="2"/>
    </row>
    <row r="18" spans="1:12" ht="12.75" x14ac:dyDescent="0.2">
      <c r="A18" t="str">
        <f t="shared" si="2"/>
        <v>1988</v>
      </c>
      <c r="C18" s="41">
        <f>'6.4'!H19</f>
        <v>0.126</v>
      </c>
      <c r="D18" s="41">
        <f>'6.5'!H19</f>
        <v>3.6999999999999998E-2</v>
      </c>
      <c r="E18" s="41">
        <f>'6.6'!H19</f>
        <v>8.7999999999999995E-2</v>
      </c>
      <c r="F18" s="41">
        <f>'6.7'!H19</f>
        <v>5.1999999999999998E-2</v>
      </c>
      <c r="G18" s="21">
        <f t="shared" si="0"/>
        <v>8.5000000000000006E-2</v>
      </c>
      <c r="H18" s="19">
        <f t="shared" si="1"/>
        <v>8.5000000000000006E-2</v>
      </c>
      <c r="J18" s="2"/>
      <c r="L18" s="157"/>
    </row>
    <row r="19" spans="1:12" x14ac:dyDescent="0.2">
      <c r="A19" t="str">
        <f t="shared" si="2"/>
        <v>1989</v>
      </c>
      <c r="C19" s="41">
        <f>'6.4'!H20</f>
        <v>0.14599999999999999</v>
      </c>
      <c r="D19" s="41">
        <f>'6.5'!H20</f>
        <v>1.9E-2</v>
      </c>
      <c r="E19" s="41">
        <f>'6.6'!H20</f>
        <v>2.1000000000000001E-2</v>
      </c>
      <c r="F19" s="41">
        <f>'6.7'!H20</f>
        <v>5.8999999999999997E-2</v>
      </c>
      <c r="G19" s="21">
        <f t="shared" si="0"/>
        <v>5.8000000000000003E-2</v>
      </c>
      <c r="H19" s="19">
        <f t="shared" si="1"/>
        <v>5.8000000000000003E-2</v>
      </c>
      <c r="J19" s="2"/>
    </row>
    <row r="20" spans="1:12" x14ac:dyDescent="0.2">
      <c r="A20" t="str">
        <f t="shared" si="2"/>
        <v>1990</v>
      </c>
      <c r="C20" s="41">
        <f>'6.4'!H21</f>
        <v>2.577</v>
      </c>
      <c r="D20" s="41">
        <f>'6.5'!H21</f>
        <v>2.7E-2</v>
      </c>
      <c r="E20" s="41">
        <f>'6.6'!H21</f>
        <v>9.7000000000000003E-2</v>
      </c>
      <c r="F20" s="41">
        <f>'6.7'!H21</f>
        <v>7.3999999999999996E-2</v>
      </c>
      <c r="G20" s="21">
        <f t="shared" ref="G20" si="3">ROUND(SUMPRODUCT(C20:F20,$C$63:$F$63)/$G$63,3)</f>
        <v>0.81</v>
      </c>
      <c r="H20" s="19">
        <f t="shared" si="1"/>
        <v>0.81</v>
      </c>
      <c r="J20" s="2"/>
    </row>
    <row r="21" spans="1:12" x14ac:dyDescent="0.2">
      <c r="A21" t="str">
        <f>TEXT(A20+1,"#")</f>
        <v>1991</v>
      </c>
      <c r="C21" s="41">
        <f>'6.4'!H22</f>
        <v>0.23300000000000001</v>
      </c>
      <c r="D21" s="41">
        <f>'6.5'!H22</f>
        <v>0.23</v>
      </c>
      <c r="E21" s="41">
        <f>'6.6'!H22</f>
        <v>1.093</v>
      </c>
      <c r="F21" s="41">
        <f>'6.7'!H22</f>
        <v>0.05</v>
      </c>
      <c r="G21" s="21">
        <f t="shared" ref="G21:G54" si="4">ROUND(SUMPRODUCT(C21:F21,$C$63:$F$63)/$G$63,3)</f>
        <v>0.58499999999999996</v>
      </c>
      <c r="H21" s="19">
        <f t="shared" si="1"/>
        <v>0.58499999999999996</v>
      </c>
      <c r="J21" s="2"/>
    </row>
    <row r="22" spans="1:12" x14ac:dyDescent="0.2">
      <c r="A22" t="str">
        <f t="shared" si="2"/>
        <v>1992</v>
      </c>
      <c r="B22" s="12"/>
      <c r="C22" s="41">
        <f>'6.4'!H23</f>
        <v>8.0000000000000002E-3</v>
      </c>
      <c r="D22" s="41">
        <f>'6.5'!H23</f>
        <v>1.0999999999999999E-2</v>
      </c>
      <c r="E22" s="41">
        <f>'6.6'!H23</f>
        <v>2.3E-2</v>
      </c>
      <c r="F22" s="41">
        <f>'6.7'!H23</f>
        <v>4.1000000000000002E-2</v>
      </c>
      <c r="G22" s="21">
        <f t="shared" si="4"/>
        <v>1.6E-2</v>
      </c>
      <c r="H22" s="19">
        <f t="shared" si="1"/>
        <v>1.6E-2</v>
      </c>
      <c r="J22" s="2"/>
    </row>
    <row r="23" spans="1:12" x14ac:dyDescent="0.2">
      <c r="A23" t="str">
        <f t="shared" si="2"/>
        <v>1993</v>
      </c>
      <c r="B23" s="12"/>
      <c r="C23" s="41">
        <f>'6.4'!H24</f>
        <v>0.129</v>
      </c>
      <c r="D23" s="41">
        <f>'6.5'!H24</f>
        <v>1.7000000000000001E-2</v>
      </c>
      <c r="E23" s="41">
        <f>'6.6'!H24</f>
        <v>1.7000000000000001E-2</v>
      </c>
      <c r="F23" s="41">
        <f>'6.7'!H24</f>
        <v>5.3999999999999999E-2</v>
      </c>
      <c r="G23" s="21">
        <f t="shared" si="4"/>
        <v>5.0999999999999997E-2</v>
      </c>
      <c r="H23" s="19">
        <f t="shared" si="1"/>
        <v>5.0999999999999997E-2</v>
      </c>
      <c r="J23" s="2"/>
    </row>
    <row r="24" spans="1:12" x14ac:dyDescent="0.2">
      <c r="A24" t="str">
        <f t="shared" si="2"/>
        <v>1994</v>
      </c>
      <c r="B24" s="12"/>
      <c r="C24" s="41">
        <f>'6.4'!H25</f>
        <v>3.0000000000000001E-3</v>
      </c>
      <c r="D24" s="41">
        <f>'6.5'!H25</f>
        <v>3.5000000000000003E-2</v>
      </c>
      <c r="E24" s="41">
        <f>'6.6'!H25</f>
        <v>0.187</v>
      </c>
      <c r="F24" s="41">
        <f>'6.7'!H25</f>
        <v>7.4999999999999997E-2</v>
      </c>
      <c r="G24" s="21">
        <f t="shared" si="4"/>
        <v>8.8999999999999996E-2</v>
      </c>
      <c r="H24" s="19">
        <f t="shared" si="1"/>
        <v>8.8999999999999996E-2</v>
      </c>
      <c r="J24" s="2"/>
    </row>
    <row r="25" spans="1:12" x14ac:dyDescent="0.2">
      <c r="A25" t="str">
        <f t="shared" si="2"/>
        <v>1995</v>
      </c>
      <c r="C25" s="41">
        <f>'6.4'!H26</f>
        <v>7.3999999999999996E-2</v>
      </c>
      <c r="D25" s="41">
        <f>'6.5'!H26</f>
        <v>9.8000000000000004E-2</v>
      </c>
      <c r="E25" s="41">
        <f>'6.6'!H26</f>
        <v>0.35799999999999998</v>
      </c>
      <c r="F25" s="41">
        <f>'6.7'!H26</f>
        <v>0.19600000000000001</v>
      </c>
      <c r="G25" s="21">
        <f t="shared" si="4"/>
        <v>0.2</v>
      </c>
      <c r="H25" s="19">
        <f t="shared" si="1"/>
        <v>0.2</v>
      </c>
      <c r="J25" s="2"/>
    </row>
    <row r="26" spans="1:12" x14ac:dyDescent="0.2">
      <c r="A26" t="str">
        <f t="shared" si="2"/>
        <v>1996</v>
      </c>
      <c r="C26" s="41">
        <f>'6.4'!H27</f>
        <v>1.4E-2</v>
      </c>
      <c r="D26" s="41">
        <f>'6.5'!H27</f>
        <v>2.7E-2</v>
      </c>
      <c r="E26" s="41">
        <f>'6.6'!H27</f>
        <v>0.03</v>
      </c>
      <c r="F26" s="41">
        <f>'6.7'!H27</f>
        <v>6.3E-2</v>
      </c>
      <c r="G26" s="21">
        <f t="shared" si="4"/>
        <v>2.5000000000000001E-2</v>
      </c>
      <c r="H26" s="19">
        <f t="shared" si="1"/>
        <v>2.5000000000000001E-2</v>
      </c>
      <c r="J26" s="2"/>
    </row>
    <row r="27" spans="1:12" x14ac:dyDescent="0.2">
      <c r="A27" t="str">
        <f t="shared" si="2"/>
        <v>1997</v>
      </c>
      <c r="C27" s="41">
        <f>'6.4'!H28</f>
        <v>0.05</v>
      </c>
      <c r="D27" s="41">
        <f>'6.5'!H28</f>
        <v>1.9E-2</v>
      </c>
      <c r="E27" s="41">
        <f>'6.6'!H28</f>
        <v>3.4000000000000002E-2</v>
      </c>
      <c r="F27" s="41">
        <f>'6.7'!H28</f>
        <v>8.5999999999999993E-2</v>
      </c>
      <c r="G27" s="21">
        <f t="shared" si="4"/>
        <v>3.5000000000000003E-2</v>
      </c>
      <c r="H27" s="19">
        <f t="shared" si="1"/>
        <v>3.5000000000000003E-2</v>
      </c>
      <c r="J27" s="2"/>
    </row>
    <row r="28" spans="1:12" x14ac:dyDescent="0.2">
      <c r="A28" t="str">
        <f t="shared" si="2"/>
        <v>1998</v>
      </c>
      <c r="C28" s="41">
        <f>'6.4'!H29</f>
        <v>0.19700000000000001</v>
      </c>
      <c r="D28" s="41">
        <f>'6.5'!H29</f>
        <v>0.13100000000000001</v>
      </c>
      <c r="E28" s="41">
        <f>'6.6'!H29</f>
        <v>0.109</v>
      </c>
      <c r="F28" s="41">
        <f>'6.7'!H29</f>
        <v>8.5999999999999993E-2</v>
      </c>
      <c r="G28" s="21">
        <f t="shared" si="4"/>
        <v>0.14099999999999999</v>
      </c>
      <c r="H28" s="19">
        <f t="shared" si="1"/>
        <v>0.14099999999999999</v>
      </c>
      <c r="J28" s="2"/>
    </row>
    <row r="29" spans="1:12" x14ac:dyDescent="0.2">
      <c r="A29" t="str">
        <f t="shared" si="2"/>
        <v>1999</v>
      </c>
      <c r="C29" s="41">
        <f>'6.4'!H30</f>
        <v>2.5999999999999999E-2</v>
      </c>
      <c r="D29" s="41">
        <f>'6.5'!H30</f>
        <v>0.12</v>
      </c>
      <c r="E29" s="41">
        <f>'6.6'!H30</f>
        <v>0.111</v>
      </c>
      <c r="F29" s="41">
        <f>'6.7'!H30</f>
        <v>8.5000000000000006E-2</v>
      </c>
      <c r="G29" s="21">
        <f t="shared" si="4"/>
        <v>8.7999999999999995E-2</v>
      </c>
      <c r="H29" s="19">
        <f t="shared" si="1"/>
        <v>8.7999999999999995E-2</v>
      </c>
      <c r="J29" s="2"/>
    </row>
    <row r="30" spans="1:12" x14ac:dyDescent="0.2">
      <c r="A30" t="str">
        <f t="shared" si="2"/>
        <v>2000</v>
      </c>
      <c r="C30" s="41">
        <f>'6.4'!H31</f>
        <v>0.02</v>
      </c>
      <c r="D30" s="41">
        <f>'6.5'!H31</f>
        <v>1.9E-2</v>
      </c>
      <c r="E30" s="41">
        <f>'6.6'!H31</f>
        <v>0.13200000000000001</v>
      </c>
      <c r="F30" s="41">
        <f>'6.7'!H31</f>
        <v>0.56100000000000005</v>
      </c>
      <c r="G30" s="21">
        <f t="shared" si="4"/>
        <v>7.3999999999999996E-2</v>
      </c>
      <c r="H30" s="19">
        <f t="shared" si="1"/>
        <v>7.3999999999999996E-2</v>
      </c>
      <c r="J30" s="2"/>
    </row>
    <row r="31" spans="1:12" x14ac:dyDescent="0.2">
      <c r="A31" t="str">
        <f t="shared" si="2"/>
        <v>2001</v>
      </c>
      <c r="C31" s="41">
        <f>'6.4'!H32</f>
        <v>6.7000000000000004E-2</v>
      </c>
      <c r="D31" s="41">
        <f>'6.5'!H32</f>
        <v>0.03</v>
      </c>
      <c r="E31" s="41">
        <f>'6.6'!H32</f>
        <v>5.3999999999999999E-2</v>
      </c>
      <c r="F31" s="41">
        <f>'6.7'!H32</f>
        <v>0.27300000000000002</v>
      </c>
      <c r="G31" s="21">
        <f t="shared" si="4"/>
        <v>5.3999999999999999E-2</v>
      </c>
      <c r="H31" s="19">
        <f t="shared" si="1"/>
        <v>5.3999999999999999E-2</v>
      </c>
      <c r="J31" s="2"/>
    </row>
    <row r="32" spans="1:12" x14ac:dyDescent="0.2">
      <c r="A32" t="str">
        <f t="shared" si="2"/>
        <v>2002</v>
      </c>
      <c r="C32" s="41">
        <f>'6.4'!H33</f>
        <v>0.111</v>
      </c>
      <c r="D32" s="41">
        <f>'6.5'!H33</f>
        <v>0.29799999999999999</v>
      </c>
      <c r="E32" s="41">
        <f>'6.6'!H33</f>
        <v>6.8000000000000005E-2</v>
      </c>
      <c r="F32" s="41">
        <f>'6.7'!H33</f>
        <v>9.1999999999999998E-2</v>
      </c>
      <c r="G32" s="21">
        <f t="shared" si="4"/>
        <v>0.14499999999999999</v>
      </c>
      <c r="H32" s="19">
        <f t="shared" si="1"/>
        <v>0.14499999999999999</v>
      </c>
      <c r="J32" s="2"/>
    </row>
    <row r="33" spans="1:14" x14ac:dyDescent="0.2">
      <c r="A33" t="str">
        <f t="shared" si="2"/>
        <v>2003</v>
      </c>
      <c r="B33" s="22"/>
      <c r="C33" s="41">
        <f>'6.4'!H34</f>
        <v>2.1999999999999999E-2</v>
      </c>
      <c r="D33" s="41">
        <f>'6.5'!H34</f>
        <v>7.9000000000000001E-2</v>
      </c>
      <c r="E33" s="41">
        <f>'6.6'!H34</f>
        <v>0.46600000000000003</v>
      </c>
      <c r="F33" s="41">
        <f>'6.7'!H34</f>
        <v>0.29499999999999998</v>
      </c>
      <c r="G33" s="21">
        <f t="shared" si="4"/>
        <v>0.22500000000000001</v>
      </c>
      <c r="H33" s="19">
        <f t="shared" si="1"/>
        <v>0.22500000000000001</v>
      </c>
      <c r="J33" s="2"/>
      <c r="K33" t="s">
        <v>209</v>
      </c>
    </row>
    <row r="34" spans="1:14" x14ac:dyDescent="0.2">
      <c r="A34" t="str">
        <f t="shared" si="2"/>
        <v>2004</v>
      </c>
      <c r="B34" s="22"/>
      <c r="C34" s="41">
        <f>'6.4'!H35</f>
        <v>2.7E-2</v>
      </c>
      <c r="D34" s="41">
        <f>'6.5'!H35</f>
        <v>6.0000000000000001E-3</v>
      </c>
      <c r="E34" s="41">
        <f>'6.6'!H35</f>
        <v>1.9E-2</v>
      </c>
      <c r="F34" s="41">
        <f>'6.7'!H35</f>
        <v>0.03</v>
      </c>
      <c r="G34" s="21">
        <f t="shared" si="4"/>
        <v>1.7999999999999999E-2</v>
      </c>
      <c r="H34" s="19">
        <f t="shared" si="1"/>
        <v>1.7999999999999999E-2</v>
      </c>
      <c r="J34" s="2"/>
      <c r="K34" s="130">
        <f>'6.4'!L50</f>
        <v>45657</v>
      </c>
    </row>
    <row r="35" spans="1:14" x14ac:dyDescent="0.2">
      <c r="A35" t="str">
        <f t="shared" si="2"/>
        <v>2005</v>
      </c>
      <c r="B35" s="22"/>
      <c r="C35" s="41">
        <f>'6.4'!H36</f>
        <v>0.63400000000000001</v>
      </c>
      <c r="D35" s="41">
        <f>'6.5'!H36</f>
        <v>1.6E-2</v>
      </c>
      <c r="E35" s="41">
        <f>'6.6'!H36</f>
        <v>3.5990000000000002</v>
      </c>
      <c r="F35" s="41">
        <f>'6.7'!H36</f>
        <v>0.48399999999999999</v>
      </c>
      <c r="G35" s="21">
        <f t="shared" si="4"/>
        <v>1.6870000000000001</v>
      </c>
      <c r="H35" s="19">
        <f t="shared" si="1"/>
        <v>1.6870000000000001</v>
      </c>
      <c r="J35" s="2"/>
    </row>
    <row r="36" spans="1:14" x14ac:dyDescent="0.2">
      <c r="A36" t="str">
        <f t="shared" si="2"/>
        <v>2006</v>
      </c>
      <c r="B36" s="22"/>
      <c r="C36" s="41">
        <f>'6.4'!H37</f>
        <v>2.1999999999999999E-2</v>
      </c>
      <c r="D36" s="41">
        <f>'6.5'!H37</f>
        <v>0.01</v>
      </c>
      <c r="E36" s="41">
        <f>'6.6'!H37</f>
        <v>2.5000000000000001E-2</v>
      </c>
      <c r="F36" s="41">
        <f>'6.7'!H37</f>
        <v>5.6000000000000001E-2</v>
      </c>
      <c r="G36" s="21">
        <f t="shared" si="4"/>
        <v>0.02</v>
      </c>
      <c r="H36" s="19">
        <f t="shared" si="1"/>
        <v>0.02</v>
      </c>
      <c r="J36" s="2"/>
    </row>
    <row r="37" spans="1:14" x14ac:dyDescent="0.2">
      <c r="A37" t="str">
        <f t="shared" si="2"/>
        <v>2007</v>
      </c>
      <c r="B37" s="22"/>
      <c r="C37" s="41">
        <f>'6.4'!H38</f>
        <v>1.4999999999999999E-2</v>
      </c>
      <c r="D37" s="41">
        <f>'6.5'!H38</f>
        <v>0.53800000000000003</v>
      </c>
      <c r="E37" s="41">
        <f>'6.6'!H38</f>
        <v>5.6000000000000001E-2</v>
      </c>
      <c r="F37" s="41">
        <f>'6.7'!H38</f>
        <v>9.4E-2</v>
      </c>
      <c r="G37" s="21">
        <f t="shared" si="4"/>
        <v>0.17699999999999999</v>
      </c>
      <c r="H37" s="19">
        <f t="shared" si="1"/>
        <v>0.17699999999999999</v>
      </c>
      <c r="J37" s="2"/>
    </row>
    <row r="38" spans="1:14" x14ac:dyDescent="0.2">
      <c r="A38" t="str">
        <f t="shared" si="2"/>
        <v>2008</v>
      </c>
      <c r="B38" s="22"/>
      <c r="C38" s="41">
        <f>'6.4'!H39</f>
        <v>6.6580000000000004</v>
      </c>
      <c r="D38" s="41">
        <f>'6.5'!H39</f>
        <v>0.34599999999999997</v>
      </c>
      <c r="E38" s="41">
        <f>'6.6'!H39</f>
        <v>4.5880000000000001</v>
      </c>
      <c r="F38" s="41">
        <f>'6.7'!H39</f>
        <v>4.657</v>
      </c>
      <c r="G38" s="21">
        <f t="shared" si="4"/>
        <v>4.03</v>
      </c>
      <c r="H38" s="19">
        <f t="shared" si="1"/>
        <v>4.03</v>
      </c>
      <c r="J38" s="2"/>
    </row>
    <row r="39" spans="1:14" x14ac:dyDescent="0.2">
      <c r="A39" t="str">
        <f t="shared" si="2"/>
        <v>2009</v>
      </c>
      <c r="C39" s="41">
        <f>'6.4'!H40</f>
        <v>2.4E-2</v>
      </c>
      <c r="D39" s="41">
        <f>'6.5'!H40</f>
        <v>4.4999999999999998E-2</v>
      </c>
      <c r="E39" s="41">
        <f>'6.6'!H40</f>
        <v>1.4999999999999999E-2</v>
      </c>
      <c r="F39" s="41">
        <f>'6.7'!H40</f>
        <v>9.1999999999999998E-2</v>
      </c>
      <c r="G39" s="21">
        <f t="shared" si="4"/>
        <v>2.7E-2</v>
      </c>
      <c r="H39" s="19">
        <f t="shared" ref="H39:H44" si="5">G39</f>
        <v>2.7E-2</v>
      </c>
      <c r="J39" s="2"/>
    </row>
    <row r="40" spans="1:14" x14ac:dyDescent="0.2">
      <c r="A40" t="str">
        <f t="shared" si="2"/>
        <v>2010</v>
      </c>
      <c r="C40" s="41">
        <f>'6.4'!H41</f>
        <v>1.4E-2</v>
      </c>
      <c r="D40" s="41">
        <f>'6.5'!H41</f>
        <v>4.3999999999999997E-2</v>
      </c>
      <c r="E40" s="41">
        <f>'6.6'!H41</f>
        <v>5.8000000000000003E-2</v>
      </c>
      <c r="F40" s="41">
        <f>'6.7'!H41</f>
        <v>3.2000000000000001E-2</v>
      </c>
      <c r="G40" s="21">
        <f t="shared" si="4"/>
        <v>4.1000000000000002E-2</v>
      </c>
      <c r="H40" s="19">
        <f t="shared" si="5"/>
        <v>4.1000000000000002E-2</v>
      </c>
      <c r="J40" s="2"/>
    </row>
    <row r="41" spans="1:14" x14ac:dyDescent="0.2">
      <c r="A41" t="str">
        <f t="shared" si="2"/>
        <v>2011</v>
      </c>
      <c r="C41" s="41">
        <f>'6.4'!H42</f>
        <v>3.6999999999999998E-2</v>
      </c>
      <c r="D41" s="41">
        <f>'6.5'!H42</f>
        <v>0.28799999999999998</v>
      </c>
      <c r="E41" s="41">
        <f>'6.6'!H42</f>
        <v>0.17699999999999999</v>
      </c>
      <c r="F41" s="41">
        <f>'6.7'!H42</f>
        <v>0.184</v>
      </c>
      <c r="G41" s="21">
        <f t="shared" si="4"/>
        <v>0.16600000000000001</v>
      </c>
      <c r="H41" s="19">
        <f t="shared" si="5"/>
        <v>0.16600000000000001</v>
      </c>
      <c r="J41" s="2"/>
    </row>
    <row r="42" spans="1:14" x14ac:dyDescent="0.2">
      <c r="A42" t="str">
        <f t="shared" si="2"/>
        <v>2012</v>
      </c>
      <c r="C42" s="41">
        <f>'6.4'!H43</f>
        <v>0.18</v>
      </c>
      <c r="D42" s="41">
        <f>'6.5'!H43</f>
        <v>0.22900000000000001</v>
      </c>
      <c r="E42" s="41">
        <f>'6.6'!H43</f>
        <v>0.14499999999999999</v>
      </c>
      <c r="F42" s="41">
        <f>'6.7'!H43</f>
        <v>0.1</v>
      </c>
      <c r="G42" s="21">
        <f t="shared" si="4"/>
        <v>0.17799999999999999</v>
      </c>
      <c r="H42" s="19">
        <f t="shared" si="5"/>
        <v>0.17799999999999999</v>
      </c>
      <c r="J42" s="2"/>
    </row>
    <row r="43" spans="1:14" x14ac:dyDescent="0.2">
      <c r="A43" t="str">
        <f t="shared" si="2"/>
        <v>2013</v>
      </c>
      <c r="C43" s="41">
        <f>'6.4'!H44</f>
        <v>0.13600000000000001</v>
      </c>
      <c r="D43" s="41">
        <f>'6.5'!H44</f>
        <v>0.04</v>
      </c>
      <c r="E43" s="41">
        <f>'6.6'!H44</f>
        <v>8.9999999999999993E-3</v>
      </c>
      <c r="F43" s="41">
        <f>'6.7'!H44</f>
        <v>6.8000000000000005E-2</v>
      </c>
      <c r="G43" s="21">
        <f t="shared" si="4"/>
        <v>5.6000000000000001E-2</v>
      </c>
      <c r="H43" s="19">
        <f t="shared" si="5"/>
        <v>5.6000000000000001E-2</v>
      </c>
      <c r="J43" s="2"/>
      <c r="K43" t="s">
        <v>208</v>
      </c>
    </row>
    <row r="44" spans="1:14" x14ac:dyDescent="0.2">
      <c r="A44" t="str">
        <f t="shared" si="2"/>
        <v>2014</v>
      </c>
      <c r="C44" s="41">
        <f>'6.4'!H45</f>
        <v>5.0000000000000001E-3</v>
      </c>
      <c r="D44" s="41">
        <f>'6.5'!H45</f>
        <v>3.2000000000000001E-2</v>
      </c>
      <c r="E44" s="41">
        <f>'6.6'!H45</f>
        <v>1.2E-2</v>
      </c>
      <c r="F44" s="41">
        <f>'6.7'!H45</f>
        <v>4.2999999999999997E-2</v>
      </c>
      <c r="G44" s="37">
        <f t="shared" si="4"/>
        <v>1.6E-2</v>
      </c>
      <c r="H44" s="19">
        <f t="shared" si="5"/>
        <v>1.6E-2</v>
      </c>
      <c r="J44" s="2"/>
      <c r="K44" s="61">
        <f>'6.4'!L50</f>
        <v>45657</v>
      </c>
      <c r="N44" s="11" t="s">
        <v>453</v>
      </c>
    </row>
    <row r="45" spans="1:14" x14ac:dyDescent="0.2">
      <c r="A45" t="str">
        <f t="shared" si="2"/>
        <v>2015</v>
      </c>
      <c r="C45" s="41">
        <f>'6.4'!H46</f>
        <v>0.115</v>
      </c>
      <c r="D45" s="41">
        <f>'6.5'!H46</f>
        <v>0.04</v>
      </c>
      <c r="E45" s="41">
        <f>'6.6'!H46</f>
        <v>0.215</v>
      </c>
      <c r="F45" s="41">
        <f>'6.7'!H46</f>
        <v>0.14199999999999999</v>
      </c>
      <c r="G45" s="37">
        <f t="shared" si="4"/>
        <v>0.13600000000000001</v>
      </c>
      <c r="H45" s="240">
        <f>G45*N45</f>
        <v>0.13612648882480174</v>
      </c>
      <c r="J45" s="2"/>
      <c r="K45" s="64"/>
      <c r="N45" s="242">
        <f>'4'!S28</f>
        <v>1.000930064888248</v>
      </c>
    </row>
    <row r="46" spans="1:14" x14ac:dyDescent="0.2">
      <c r="A46" s="22">
        <v>2016</v>
      </c>
      <c r="C46" s="41">
        <f>'6.4'!H47</f>
        <v>8.0000000000000002E-3</v>
      </c>
      <c r="D46" s="41">
        <f>'6.5'!H47</f>
        <v>8.4000000000000005E-2</v>
      </c>
      <c r="E46" s="41">
        <f>'6.6'!H47</f>
        <v>3.6999999999999998E-2</v>
      </c>
      <c r="F46" s="41">
        <f>'6.7'!H47</f>
        <v>0.33300000000000002</v>
      </c>
      <c r="G46" s="37">
        <f t="shared" si="4"/>
        <v>4.5999999999999999E-2</v>
      </c>
      <c r="H46" s="240">
        <f t="shared" ref="H46:H54" si="6">G46*N46</f>
        <v>4.5999999999999999E-2</v>
      </c>
      <c r="J46" s="2"/>
      <c r="K46" s="64"/>
      <c r="N46" s="242">
        <f>'4'!S29</f>
        <v>1</v>
      </c>
    </row>
    <row r="47" spans="1:14" x14ac:dyDescent="0.2">
      <c r="A47" s="22">
        <v>2017</v>
      </c>
      <c r="C47" s="41">
        <f>'6.4'!H48</f>
        <v>0.76900000000000002</v>
      </c>
      <c r="D47" s="41">
        <f>'6.5'!H48</f>
        <v>11.993</v>
      </c>
      <c r="E47" s="41">
        <f>'6.6'!H48</f>
        <v>4.5170000000000003</v>
      </c>
      <c r="F47" s="41">
        <f>'6.7'!H48</f>
        <v>1.3480000000000001</v>
      </c>
      <c r="G47" s="37">
        <f t="shared" si="4"/>
        <v>5.4249999999999998</v>
      </c>
      <c r="H47" s="240">
        <f t="shared" si="6"/>
        <v>5.4384474332408024</v>
      </c>
      <c r="J47" s="2"/>
      <c r="N47" s="242">
        <f>'4'!S30</f>
        <v>1.0024787895374752</v>
      </c>
    </row>
    <row r="48" spans="1:14" x14ac:dyDescent="0.2">
      <c r="A48" s="22">
        <v>2018</v>
      </c>
      <c r="C48" s="41">
        <f>'6.4'!H49</f>
        <v>3.0000000000000001E-3</v>
      </c>
      <c r="D48" s="41">
        <f>'6.5'!H49</f>
        <v>0.02</v>
      </c>
      <c r="E48" s="41">
        <f>'6.6'!H49</f>
        <v>1.7999999999999999E-2</v>
      </c>
      <c r="F48" s="41">
        <f>'6.7'!H49</f>
        <v>0.14899999999999999</v>
      </c>
      <c r="G48" s="37">
        <f t="shared" si="4"/>
        <v>1.6E-2</v>
      </c>
      <c r="H48" s="240">
        <f t="shared" si="6"/>
        <v>1.6011903777796151E-2</v>
      </c>
      <c r="J48" s="2"/>
      <c r="N48" s="242">
        <f>'4'!S31</f>
        <v>1.0007439861122593</v>
      </c>
    </row>
    <row r="49" spans="1:14" x14ac:dyDescent="0.2">
      <c r="A49" s="22">
        <v>2019</v>
      </c>
      <c r="C49" s="41">
        <f>'6.4'!H50</f>
        <v>1.0999999999999999E-2</v>
      </c>
      <c r="D49" s="41">
        <f>'6.5'!H50</f>
        <v>3.0000000000000001E-3</v>
      </c>
      <c r="E49" s="41">
        <f>'6.6'!H50</f>
        <v>0.06</v>
      </c>
      <c r="F49" s="41">
        <f>'6.7'!H50</f>
        <v>0.17799999999999999</v>
      </c>
      <c r="G49" s="37">
        <f t="shared" si="4"/>
        <v>3.2000000000000001E-2</v>
      </c>
      <c r="H49" s="240">
        <f t="shared" si="6"/>
        <v>3.2010896089892743E-2</v>
      </c>
      <c r="J49" s="2"/>
      <c r="N49" s="242">
        <f>'4'!S32</f>
        <v>1.0003405028091481</v>
      </c>
    </row>
    <row r="50" spans="1:14" x14ac:dyDescent="0.2">
      <c r="A50" s="22">
        <v>2020</v>
      </c>
      <c r="C50" s="41">
        <f>'6.4'!H51</f>
        <v>2.5999999999999999E-2</v>
      </c>
      <c r="D50" s="41">
        <f>'6.5'!H51</f>
        <v>8.6999999999999994E-2</v>
      </c>
      <c r="E50" s="41">
        <f>'6.6'!H51</f>
        <v>0.161</v>
      </c>
      <c r="F50" s="41">
        <f>'6.7'!H51</f>
        <v>0.26700000000000002</v>
      </c>
      <c r="G50" s="37">
        <f t="shared" si="4"/>
        <v>0.10199999999999999</v>
      </c>
      <c r="H50" s="240">
        <f t="shared" si="6"/>
        <v>0.10266348173853503</v>
      </c>
      <c r="J50" s="2"/>
      <c r="N50" s="242">
        <f>'4'!S33</f>
        <v>1.006504722926814</v>
      </c>
    </row>
    <row r="51" spans="1:14" x14ac:dyDescent="0.2">
      <c r="A51" s="22">
        <v>2021</v>
      </c>
      <c r="C51" s="41">
        <f>'6.4'!H52</f>
        <v>0.20300000000000001</v>
      </c>
      <c r="D51" s="41">
        <f>'6.5'!H52</f>
        <v>3.0000000000000001E-3</v>
      </c>
      <c r="E51" s="41">
        <f>'6.6'!H52</f>
        <v>8.5999999999999993E-2</v>
      </c>
      <c r="F51" s="41">
        <f>'6.7'!H52</f>
        <v>0.219</v>
      </c>
      <c r="G51" s="37">
        <f t="shared" si="4"/>
        <v>0.1</v>
      </c>
      <c r="H51" s="240">
        <f t="shared" si="6"/>
        <v>0.10132238599861908</v>
      </c>
      <c r="J51" s="2"/>
      <c r="N51" s="242">
        <f>'4'!S34</f>
        <v>1.0132238599861907</v>
      </c>
    </row>
    <row r="52" spans="1:14" x14ac:dyDescent="0.2">
      <c r="A52" s="22">
        <v>2022</v>
      </c>
      <c r="C52" s="41">
        <f>'6.4'!H53</f>
        <v>2.5999999999999999E-2</v>
      </c>
      <c r="D52" s="41">
        <f>'6.5'!H53</f>
        <v>1.0999999999999999E-2</v>
      </c>
      <c r="E52" s="41">
        <f>'6.6'!H53</f>
        <v>5.0999999999999997E-2</v>
      </c>
      <c r="F52" s="41">
        <f>'6.7'!H53</f>
        <v>0.112</v>
      </c>
      <c r="G52" s="37">
        <f t="shared" si="4"/>
        <v>3.3000000000000002E-2</v>
      </c>
      <c r="H52" s="240">
        <f t="shared" si="6"/>
        <v>3.3236624379481522E-2</v>
      </c>
      <c r="J52" s="2"/>
      <c r="N52" s="242">
        <f>'4'!S35</f>
        <v>1.0071704357418643</v>
      </c>
    </row>
    <row r="53" spans="1:14" x14ac:dyDescent="0.2">
      <c r="A53" s="22">
        <v>2023</v>
      </c>
      <c r="C53" s="41">
        <f>'6.4'!H54</f>
        <v>1.6E-2</v>
      </c>
      <c r="D53" s="41">
        <f>'6.5'!H54</f>
        <v>0.02</v>
      </c>
      <c r="E53" s="41">
        <f>'6.6'!H54</f>
        <v>0.12</v>
      </c>
      <c r="F53" s="41">
        <f>'6.7'!H54</f>
        <v>0.122</v>
      </c>
      <c r="G53" s="37">
        <f t="shared" si="4"/>
        <v>6.2E-2</v>
      </c>
      <c r="H53" s="240">
        <f t="shared" si="6"/>
        <v>6.3693800702570191E-2</v>
      </c>
      <c r="J53" s="2"/>
      <c r="N53" s="242">
        <f>'4'!S36</f>
        <v>1.0273193661704869</v>
      </c>
    </row>
    <row r="54" spans="1:14" x14ac:dyDescent="0.2">
      <c r="A54" s="22">
        <v>2024</v>
      </c>
      <c r="C54" s="41">
        <f>'6.4'!H55</f>
        <v>0.80400000000000005</v>
      </c>
      <c r="D54" s="41">
        <f>'6.5'!H55</f>
        <v>3.0000000000000001E-3</v>
      </c>
      <c r="E54" s="41">
        <f>'6.6'!H55</f>
        <v>0.221</v>
      </c>
      <c r="F54" s="41">
        <f>'6.7'!H55</f>
        <v>0.47</v>
      </c>
      <c r="G54" s="37">
        <f t="shared" si="4"/>
        <v>0.33700000000000002</v>
      </c>
      <c r="H54" s="240">
        <f t="shared" si="6"/>
        <v>0.36275791698925902</v>
      </c>
      <c r="J54" s="2"/>
      <c r="N54" s="242">
        <f>'4'!S37</f>
        <v>1.0764329880986914</v>
      </c>
    </row>
    <row r="55" spans="1:14" x14ac:dyDescent="0.2">
      <c r="A55" s="22"/>
      <c r="C55" s="41"/>
      <c r="D55" s="41"/>
      <c r="E55" s="41"/>
      <c r="F55" s="41"/>
      <c r="G55" s="37"/>
      <c r="H55" s="240"/>
      <c r="J55" s="2"/>
    </row>
    <row r="56" spans="1:14" x14ac:dyDescent="0.2">
      <c r="A56" t="s">
        <v>43</v>
      </c>
      <c r="C56" s="21">
        <f t="shared" ref="C56:H56" si="7">ROUND(AVERAGE(C13:C55),3)</f>
        <v>0.55500000000000005</v>
      </c>
      <c r="D56" s="21">
        <f t="shared" si="7"/>
        <v>0.36199999999999999</v>
      </c>
      <c r="E56" s="21">
        <f t="shared" si="7"/>
        <v>0.42599999999999999</v>
      </c>
      <c r="F56" s="21">
        <f t="shared" si="7"/>
        <v>0.318</v>
      </c>
      <c r="G56" s="21">
        <f t="shared" si="7"/>
        <v>0.44500000000000001</v>
      </c>
      <c r="H56" s="21">
        <f t="shared" si="7"/>
        <v>0.44600000000000001</v>
      </c>
      <c r="J56" s="2"/>
    </row>
    <row r="57" spans="1:14" x14ac:dyDescent="0.2">
      <c r="C57" s="21"/>
      <c r="D57" s="21"/>
      <c r="E57" s="21"/>
      <c r="F57" s="21"/>
      <c r="G57" s="21"/>
      <c r="J57" s="2"/>
    </row>
    <row r="58" spans="1:14" x14ac:dyDescent="0.2">
      <c r="C58" s="171" t="str">
        <f>"TWIA "&amp;YEAR($K$44)&amp;" Written Premium by Territory / Tier"</f>
        <v>TWIA 2024 Written Premium by Territory / Tier</v>
      </c>
      <c r="D58" s="171"/>
      <c r="E58" s="171"/>
      <c r="F58" s="171"/>
      <c r="J58" s="2"/>
    </row>
    <row r="59" spans="1:14" x14ac:dyDescent="0.2">
      <c r="J59" s="2"/>
    </row>
    <row r="60" spans="1:14" x14ac:dyDescent="0.2">
      <c r="A60" s="9"/>
      <c r="B60" s="9"/>
      <c r="C60" s="143" t="s">
        <v>80</v>
      </c>
      <c r="D60" s="143" t="s">
        <v>81</v>
      </c>
      <c r="E60" s="143" t="s">
        <v>82</v>
      </c>
      <c r="F60" s="143" t="s">
        <v>21</v>
      </c>
      <c r="G60" s="143" t="s">
        <v>7</v>
      </c>
      <c r="J60" s="2"/>
    </row>
    <row r="61" spans="1:14" x14ac:dyDescent="0.2">
      <c r="J61" s="2"/>
    </row>
    <row r="62" spans="1:14" x14ac:dyDescent="0.2">
      <c r="A62" s="40" t="s">
        <v>72</v>
      </c>
      <c r="B62" t="s">
        <v>22</v>
      </c>
      <c r="C62" s="224">
        <f>'[1]TWIA 5'!$X$24</f>
        <v>38547308</v>
      </c>
      <c r="D62" s="224">
        <f>'[1]TWIA 5'!$X$25</f>
        <v>35998023</v>
      </c>
      <c r="E62" s="224">
        <f>'[1]TWIA 5'!$X$26</f>
        <v>53946319</v>
      </c>
      <c r="F62" s="224">
        <f>'[1]TWIA 5'!$X$27</f>
        <v>1943077</v>
      </c>
      <c r="G62" s="26">
        <f>SUM(C62:F62)</f>
        <v>130434727</v>
      </c>
      <c r="J62" s="2"/>
    </row>
    <row r="63" spans="1:14" x14ac:dyDescent="0.2">
      <c r="A63" s="40" t="s">
        <v>71</v>
      </c>
      <c r="B63" t="s">
        <v>85</v>
      </c>
      <c r="C63" s="76">
        <f>C62/$G62</f>
        <v>0.29552948732740475</v>
      </c>
      <c r="D63" s="76">
        <f>D62/$G62</f>
        <v>0.27598496066158823</v>
      </c>
      <c r="E63" s="76">
        <f>E62/$G62</f>
        <v>0.4135886219932825</v>
      </c>
      <c r="F63" s="76">
        <f>F62/$G62</f>
        <v>1.4896930017724498E-2</v>
      </c>
      <c r="G63" s="76">
        <f>SUM(C63:F63)</f>
        <v>1</v>
      </c>
      <c r="J63" s="2"/>
    </row>
    <row r="64" spans="1:14" ht="12" thickBot="1" x14ac:dyDescent="0.25">
      <c r="A64" s="6"/>
      <c r="B64" s="6"/>
      <c r="C64" s="6"/>
      <c r="D64" s="6"/>
      <c r="E64" s="6"/>
      <c r="F64" s="6"/>
      <c r="G64" s="6"/>
      <c r="J64" s="2"/>
    </row>
    <row r="65" spans="1:10" ht="12" thickTop="1" x14ac:dyDescent="0.2">
      <c r="J65" s="2"/>
    </row>
    <row r="66" spans="1:10" x14ac:dyDescent="0.2">
      <c r="A66" t="s">
        <v>17</v>
      </c>
      <c r="J66" s="2"/>
    </row>
    <row r="67" spans="1:10" x14ac:dyDescent="0.2">
      <c r="B67" s="12" t="str">
        <f>C11&amp;" "&amp;'6.4'!$J$1&amp;", "&amp;'6.4'!$J$2</f>
        <v>(2) Exhibit 6, Sheet 4</v>
      </c>
      <c r="E67" s="12" t="str">
        <f>G11&amp;" = Weighted average of "&amp;C11&amp;" to "&amp;F11&amp;", using "&amp;A63</f>
        <v>(6) = Weighted average of (2) to (5), using (9)</v>
      </c>
      <c r="J67" s="2"/>
    </row>
    <row r="68" spans="1:10" x14ac:dyDescent="0.2">
      <c r="B68" s="12" t="str">
        <f>D11&amp;" "&amp;'6.5'!$J$1&amp;", "&amp;'6.5'!$J$2</f>
        <v>(3) Exhibit 6, Sheet 5</v>
      </c>
      <c r="E68" t="s">
        <v>454</v>
      </c>
      <c r="J68" s="2"/>
    </row>
    <row r="69" spans="1:10" x14ac:dyDescent="0.2">
      <c r="B69" s="12" t="str">
        <f>E11&amp;" "&amp;'6.6'!$J$1&amp;", "&amp;'6.6'!$J$2</f>
        <v>(4) Exhibit 6, Sheet 6</v>
      </c>
      <c r="E69" s="22" t="str">
        <f>A62&amp;" Provided by TWIA"</f>
        <v>(8) Provided by TWIA</v>
      </c>
      <c r="J69" s="2"/>
    </row>
    <row r="70" spans="1:10" ht="12" thickBot="1" x14ac:dyDescent="0.25">
      <c r="B70" s="12" t="str">
        <f>F11&amp;" "&amp;'6.7'!$J$1&amp;", "&amp;'6.7'!$J$2</f>
        <v>(5) Exhibit 6, Sheet 7</v>
      </c>
      <c r="E70" s="22" t="str">
        <f>A63&amp;" = "&amp;A62&amp;" / "&amp;A62&amp;" Total"</f>
        <v>(9) = (8) / (8) Total</v>
      </c>
      <c r="J70" s="2"/>
    </row>
    <row r="71" spans="1:10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B050"/>
  </sheetPr>
  <dimension ref="A1:IO95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1" max="19" width="11.33203125" customWidth="1"/>
    <col min="20" max="59" width="5.5" bestFit="1" customWidth="1"/>
    <col min="60" max="62" width="5.6640625" bestFit="1" customWidth="1"/>
    <col min="63" max="65" width="5.6640625" customWidth="1"/>
    <col min="66" max="249" width="2.5" customWidth="1"/>
  </cols>
  <sheetData>
    <row r="1" spans="1:64" x14ac:dyDescent="0.2">
      <c r="A1" s="8" t="str">
        <f>'1'!$A$1</f>
        <v>Texas Windstorm Insurance Association</v>
      </c>
      <c r="B1" s="12"/>
      <c r="J1" s="7" t="s">
        <v>65</v>
      </c>
      <c r="K1" s="1"/>
      <c r="L1" s="49">
        <v>45473</v>
      </c>
    </row>
    <row r="2" spans="1:64" x14ac:dyDescent="0.2">
      <c r="A2" s="8" t="str">
        <f>'1'!$A$2</f>
        <v>Commercial Property - Wind &amp; Hail</v>
      </c>
      <c r="B2" s="12"/>
      <c r="J2" s="7" t="s">
        <v>58</v>
      </c>
      <c r="K2" s="2"/>
    </row>
    <row r="3" spans="1:64" x14ac:dyDescent="0.2">
      <c r="A3" s="8" t="str">
        <f>'1'!$A$3</f>
        <v>Rate Level Review</v>
      </c>
      <c r="B3" s="12"/>
      <c r="K3" s="2"/>
    </row>
    <row r="4" spans="1:64" x14ac:dyDescent="0.2">
      <c r="A4" t="s">
        <v>500</v>
      </c>
      <c r="B4" s="12"/>
      <c r="K4" s="2"/>
    </row>
    <row r="5" spans="1:64" x14ac:dyDescent="0.2">
      <c r="A5" t="s">
        <v>497</v>
      </c>
      <c r="B5" s="12"/>
      <c r="E5" s="270"/>
      <c r="F5" s="270"/>
      <c r="G5" s="270"/>
      <c r="H5" s="270"/>
      <c r="K5" s="2"/>
      <c r="P5" s="10" t="s">
        <v>215</v>
      </c>
    </row>
    <row r="6" spans="1:64" x14ac:dyDescent="0.2">
      <c r="K6" s="2"/>
      <c r="P6" t="s">
        <v>169</v>
      </c>
      <c r="Q6" t="s">
        <v>216</v>
      </c>
      <c r="R6" s="11" t="s">
        <v>217</v>
      </c>
      <c r="S6" t="s">
        <v>45</v>
      </c>
      <c r="T6">
        <v>1980</v>
      </c>
      <c r="U6">
        <f>T6+1</f>
        <v>1981</v>
      </c>
      <c r="V6">
        <f t="shared" ref="V6:BB6" si="0">U6+1</f>
        <v>1982</v>
      </c>
      <c r="W6">
        <f t="shared" si="0"/>
        <v>1983</v>
      </c>
      <c r="X6">
        <f t="shared" si="0"/>
        <v>1984</v>
      </c>
      <c r="Y6">
        <f t="shared" si="0"/>
        <v>1985</v>
      </c>
      <c r="Z6">
        <f t="shared" si="0"/>
        <v>1986</v>
      </c>
      <c r="AA6">
        <f t="shared" si="0"/>
        <v>1987</v>
      </c>
      <c r="AB6">
        <f t="shared" si="0"/>
        <v>1988</v>
      </c>
      <c r="AC6">
        <f t="shared" si="0"/>
        <v>1989</v>
      </c>
      <c r="AD6">
        <f t="shared" si="0"/>
        <v>1990</v>
      </c>
      <c r="AE6">
        <f t="shared" si="0"/>
        <v>1991</v>
      </c>
      <c r="AF6">
        <f t="shared" si="0"/>
        <v>1992</v>
      </c>
      <c r="AG6">
        <f t="shared" si="0"/>
        <v>1993</v>
      </c>
      <c r="AH6">
        <f t="shared" si="0"/>
        <v>1994</v>
      </c>
      <c r="AI6">
        <f t="shared" si="0"/>
        <v>1995</v>
      </c>
      <c r="AJ6">
        <f t="shared" si="0"/>
        <v>1996</v>
      </c>
      <c r="AK6">
        <f t="shared" si="0"/>
        <v>1997</v>
      </c>
      <c r="AL6">
        <f t="shared" si="0"/>
        <v>1998</v>
      </c>
      <c r="AM6">
        <f t="shared" si="0"/>
        <v>1999</v>
      </c>
      <c r="AN6">
        <f t="shared" si="0"/>
        <v>2000</v>
      </c>
      <c r="AO6">
        <f t="shared" si="0"/>
        <v>2001</v>
      </c>
      <c r="AP6">
        <f t="shared" si="0"/>
        <v>2002</v>
      </c>
      <c r="AQ6">
        <f t="shared" si="0"/>
        <v>2003</v>
      </c>
      <c r="AR6">
        <f t="shared" si="0"/>
        <v>2004</v>
      </c>
      <c r="AS6">
        <f t="shared" si="0"/>
        <v>2005</v>
      </c>
      <c r="AT6">
        <f t="shared" si="0"/>
        <v>2006</v>
      </c>
      <c r="AU6">
        <f t="shared" si="0"/>
        <v>2007</v>
      </c>
      <c r="AV6">
        <f t="shared" si="0"/>
        <v>2008</v>
      </c>
      <c r="AW6">
        <f t="shared" si="0"/>
        <v>2009</v>
      </c>
      <c r="AX6">
        <f t="shared" si="0"/>
        <v>2010</v>
      </c>
      <c r="AY6">
        <f t="shared" si="0"/>
        <v>2011</v>
      </c>
      <c r="AZ6">
        <f t="shared" si="0"/>
        <v>2012</v>
      </c>
      <c r="BA6">
        <f t="shared" si="0"/>
        <v>2013</v>
      </c>
      <c r="BB6">
        <f t="shared" si="0"/>
        <v>2014</v>
      </c>
      <c r="BC6">
        <f t="shared" ref="BC6" si="1">BB6+1</f>
        <v>2015</v>
      </c>
      <c r="BD6">
        <f t="shared" ref="BD6" si="2">BC6+1</f>
        <v>2016</v>
      </c>
      <c r="BE6">
        <f t="shared" ref="BE6" si="3">BD6+1</f>
        <v>2017</v>
      </c>
      <c r="BF6">
        <f t="shared" ref="BF6" si="4">BE6+1</f>
        <v>2018</v>
      </c>
      <c r="BG6">
        <f t="shared" ref="BG6" si="5">BF6+1</f>
        <v>2019</v>
      </c>
      <c r="BH6">
        <v>2020</v>
      </c>
      <c r="BI6">
        <v>2021</v>
      </c>
      <c r="BJ6">
        <v>2022</v>
      </c>
      <c r="BK6">
        <v>2023</v>
      </c>
      <c r="BL6">
        <v>2024</v>
      </c>
    </row>
    <row r="7" spans="1:64" ht="12" thickBot="1" x14ac:dyDescent="0.25">
      <c r="A7" s="6"/>
      <c r="B7" s="6"/>
      <c r="C7" s="6"/>
      <c r="D7" s="6"/>
      <c r="E7" s="6"/>
      <c r="F7" s="6"/>
      <c r="G7" s="6"/>
      <c r="H7" s="6"/>
      <c r="K7" s="2"/>
      <c r="O7" t="s">
        <v>14</v>
      </c>
      <c r="P7" t="str">
        <f>'9.3'!A14</f>
        <v>Prior</v>
      </c>
      <c r="R7" s="242">
        <v>1</v>
      </c>
      <c r="S7" s="66">
        <f>'9.3'!D14</f>
        <v>1</v>
      </c>
      <c r="T7" s="66">
        <f>1-T8</f>
        <v>0.91319444444444442</v>
      </c>
      <c r="U7" s="66">
        <f>0.5*(7/12)^2</f>
        <v>0.17013888888888892</v>
      </c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64" ht="12" thickTop="1" x14ac:dyDescent="0.2">
      <c r="K8" s="2"/>
      <c r="O8" t="s">
        <v>15</v>
      </c>
      <c r="P8" t="str">
        <f>'9.3'!A15</f>
        <v>8/1/80</v>
      </c>
      <c r="Q8" s="163">
        <f>'9.3'!C15</f>
        <v>0.17499999999999999</v>
      </c>
      <c r="R8" s="242">
        <f>R7+Q8</f>
        <v>1.175</v>
      </c>
      <c r="S8" s="66">
        <f>'9.3'!D15</f>
        <v>1.175</v>
      </c>
      <c r="T8" s="66">
        <f>0.5*(5/12)^2</f>
        <v>8.6805555555555566E-2</v>
      </c>
      <c r="U8" s="66">
        <f>1-U7-U9</f>
        <v>0.77430555555555547</v>
      </c>
      <c r="V8" s="66">
        <f>0.5*(8/12)^2</f>
        <v>0.22222222222222221</v>
      </c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64" x14ac:dyDescent="0.2">
      <c r="A9" t="s">
        <v>37</v>
      </c>
      <c r="C9" s="133"/>
      <c r="D9" s="11" t="s">
        <v>76</v>
      </c>
      <c r="E9" s="11" t="s">
        <v>202</v>
      </c>
      <c r="F9" s="11" t="s">
        <v>76</v>
      </c>
      <c r="G9" s="11"/>
      <c r="H9" s="11"/>
      <c r="K9" s="2"/>
      <c r="L9" s="24"/>
      <c r="O9" t="s">
        <v>297</v>
      </c>
      <c r="P9" t="str">
        <f>'9.3'!A16</f>
        <v>9/1/81</v>
      </c>
      <c r="Q9" s="163">
        <f>'9.3'!C16</f>
        <v>-3.6999999999999998E-2</v>
      </c>
      <c r="R9" s="242">
        <f>1+Q9</f>
        <v>0.96299999999999997</v>
      </c>
      <c r="S9" s="66">
        <f>'9.3'!D16</f>
        <v>1.1315250000000001</v>
      </c>
      <c r="T9" s="66"/>
      <c r="U9" s="66">
        <f>0.5*(4/12)^2</f>
        <v>5.5555555555555552E-2</v>
      </c>
      <c r="V9" s="66">
        <f>1-V8-V10</f>
        <v>0.72222222222222221</v>
      </c>
      <c r="W9" s="66">
        <f>0.5*(8/12)^2</f>
        <v>0.22222222222222221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64" x14ac:dyDescent="0.2">
      <c r="A10" t="s">
        <v>38</v>
      </c>
      <c r="C10" s="11" t="s">
        <v>76</v>
      </c>
      <c r="D10" s="11" t="s">
        <v>77</v>
      </c>
      <c r="E10" s="11" t="s">
        <v>203</v>
      </c>
      <c r="F10" s="11" t="s">
        <v>204</v>
      </c>
      <c r="G10" s="11" t="s">
        <v>56</v>
      </c>
      <c r="H10" s="11" t="s">
        <v>56</v>
      </c>
      <c r="K10" s="2"/>
      <c r="L10" s="12"/>
      <c r="O10" t="s">
        <v>298</v>
      </c>
      <c r="P10" t="str">
        <f>'9.3'!A17</f>
        <v>9/1/82</v>
      </c>
      <c r="Q10" s="239">
        <f>'9.3'!C17</f>
        <v>0.26200000000000001</v>
      </c>
      <c r="R10" s="242">
        <f t="shared" ref="R10:R47" si="6">1+Q10</f>
        <v>1.262</v>
      </c>
      <c r="S10" s="66">
        <f>'9.3'!D17</f>
        <v>1.4279845500000001</v>
      </c>
      <c r="T10" s="66"/>
      <c r="U10" s="66"/>
      <c r="V10" s="66">
        <f>0.5*(4/12)^2</f>
        <v>5.5555555555555552E-2</v>
      </c>
      <c r="W10" s="66">
        <f>1-W9-W11</f>
        <v>0.75288689443866341</v>
      </c>
      <c r="X10" s="66">
        <f>0.5*((9/12)+(10/(31*12)))^2</f>
        <v>0.30177260376922188</v>
      </c>
      <c r="Y10" s="66"/>
      <c r="Z10" s="66"/>
      <c r="AA10" s="66"/>
      <c r="AB10" s="66"/>
      <c r="AC10" s="66"/>
      <c r="AD10" s="66"/>
      <c r="AE10" s="66"/>
      <c r="AF10" s="66"/>
      <c r="AG10" s="66"/>
      <c r="AH10" s="66"/>
    </row>
    <row r="11" spans="1:64" x14ac:dyDescent="0.2">
      <c r="A11" s="9" t="s">
        <v>25</v>
      </c>
      <c r="B11" s="9"/>
      <c r="C11" s="143" t="s">
        <v>77</v>
      </c>
      <c r="D11" s="143" t="s">
        <v>201</v>
      </c>
      <c r="E11" s="143" t="s">
        <v>86</v>
      </c>
      <c r="F11" s="143" t="s">
        <v>205</v>
      </c>
      <c r="G11" s="143" t="s">
        <v>32</v>
      </c>
      <c r="H11" s="143" t="s">
        <v>48</v>
      </c>
      <c r="K11" s="2"/>
      <c r="L11" s="36"/>
      <c r="O11" t="s">
        <v>299</v>
      </c>
      <c r="P11" t="str">
        <f>'9.3'!A18</f>
        <v>10/10/83</v>
      </c>
      <c r="Q11" s="239">
        <f>'9.3'!C18</f>
        <v>0.06</v>
      </c>
      <c r="R11" s="242">
        <f t="shared" si="6"/>
        <v>1.06</v>
      </c>
      <c r="S11" s="66">
        <f>'9.3'!D18</f>
        <v>1.5136636230000002</v>
      </c>
      <c r="T11" s="66"/>
      <c r="U11" s="66"/>
      <c r="V11" s="66"/>
      <c r="W11" s="66">
        <f>0.5*((21/31)/12+(2/12))^2</f>
        <v>2.4890883339114347E-2</v>
      </c>
      <c r="X11" s="66">
        <f>1-X10</f>
        <v>0.69822739623077812</v>
      </c>
      <c r="Y11" s="66">
        <f>1-SUM(Y12:Y14)</f>
        <v>0.65277777777777768</v>
      </c>
      <c r="Z11" s="66">
        <f>0.5*(2/12)^2</f>
        <v>1.3888888888888888E-2</v>
      </c>
      <c r="AA11" s="66"/>
      <c r="AB11" s="66"/>
      <c r="AC11" s="66"/>
      <c r="AD11" s="66"/>
      <c r="AE11" s="66"/>
      <c r="AF11" s="66"/>
      <c r="AG11" s="66"/>
      <c r="AH11" s="66"/>
    </row>
    <row r="12" spans="1:64" x14ac:dyDescent="0.2">
      <c r="A12" s="13" t="str">
        <f>TEXT(COLUMN(),"(#)")</f>
        <v>(1)</v>
      </c>
      <c r="B12" s="13"/>
      <c r="C12" s="11" t="str">
        <f t="shared" ref="C12:H12" si="7">TEXT(COLUMN()-1,"(#)")</f>
        <v>(2)</v>
      </c>
      <c r="D12" s="11" t="str">
        <f t="shared" si="7"/>
        <v>(3)</v>
      </c>
      <c r="E12" s="11" t="str">
        <f t="shared" si="7"/>
        <v>(4)</v>
      </c>
      <c r="F12" s="11" t="str">
        <f t="shared" si="7"/>
        <v>(5)</v>
      </c>
      <c r="G12" s="11" t="str">
        <f t="shared" si="7"/>
        <v>(6)</v>
      </c>
      <c r="H12" s="11" t="str">
        <f t="shared" si="7"/>
        <v>(7)</v>
      </c>
      <c r="I12" s="11"/>
      <c r="K12" s="2"/>
      <c r="O12" t="s">
        <v>300</v>
      </c>
      <c r="P12" t="str">
        <f>'9.3'!A19</f>
        <v>3/1/85</v>
      </c>
      <c r="Q12" s="239">
        <f>'9.3'!C19</f>
        <v>0.25</v>
      </c>
      <c r="R12" s="242">
        <f t="shared" si="6"/>
        <v>1.25</v>
      </c>
      <c r="S12" s="66">
        <f>'9.3'!D19</f>
        <v>1.8920795287500003</v>
      </c>
      <c r="T12" s="66"/>
      <c r="U12" s="66"/>
      <c r="V12" s="66"/>
      <c r="W12" s="66"/>
      <c r="X12" s="66"/>
      <c r="Y12" s="66">
        <f>0.5*((10/12)^2)-Y13-Y14</f>
        <v>3.3854166666666741E-2</v>
      </c>
      <c r="Z12" s="66">
        <f>0.5*((2.5/12)^2)-Z11</f>
        <v>7.8125000000000035E-3</v>
      </c>
      <c r="AA12" s="66"/>
      <c r="AB12" s="66"/>
      <c r="AC12" s="66"/>
      <c r="AD12" s="66"/>
      <c r="AE12" s="66"/>
      <c r="AF12" s="66"/>
      <c r="AG12" s="66"/>
      <c r="AH12" s="66"/>
    </row>
    <row r="13" spans="1:64" x14ac:dyDescent="0.2">
      <c r="K13" s="2"/>
      <c r="O13" t="s">
        <v>301</v>
      </c>
      <c r="P13" t="str">
        <f>'9.3'!A20</f>
        <v>3/15/85</v>
      </c>
      <c r="Q13" s="239">
        <f>'9.3'!C20</f>
        <v>0.28299999999999997</v>
      </c>
      <c r="R13" s="242">
        <f t="shared" si="6"/>
        <v>1.2829999999999999</v>
      </c>
      <c r="S13" s="66">
        <f>'9.3'!D20</f>
        <v>2.4275380353862501</v>
      </c>
      <c r="T13" s="66"/>
      <c r="U13" s="66"/>
      <c r="V13" s="66"/>
      <c r="W13" s="66"/>
      <c r="X13" s="66"/>
      <c r="Y13" s="66">
        <f>(0.5*(9.5/12)^2)-Y14</f>
        <v>0.30555555555555552</v>
      </c>
      <c r="Z13" s="66">
        <f>0.5*((10.5/12)^2)-Z12-Z11</f>
        <v>0.3611111111111111</v>
      </c>
      <c r="AA13" s="66"/>
      <c r="AB13" s="66"/>
      <c r="AC13" s="66"/>
      <c r="AD13" s="66"/>
      <c r="AE13" s="66"/>
      <c r="AF13" s="66"/>
      <c r="AG13" s="66"/>
      <c r="AH13" s="66"/>
    </row>
    <row r="14" spans="1:64" x14ac:dyDescent="0.2">
      <c r="A14" s="60" t="s">
        <v>374</v>
      </c>
      <c r="C14" s="31">
        <v>913865</v>
      </c>
      <c r="D14" s="31">
        <v>968224</v>
      </c>
      <c r="E14" s="98">
        <f t="shared" ref="E14:E33" si="8">Q53</f>
        <v>3.8293316891072973</v>
      </c>
      <c r="F14" s="26">
        <f>D14*$E$23</f>
        <v>2741513.8488982213</v>
      </c>
      <c r="G14" s="31">
        <v>26357425</v>
      </c>
      <c r="H14" s="21">
        <f>ROUND(G14/F14,3)</f>
        <v>9.6140000000000008</v>
      </c>
      <c r="I14" s="37"/>
      <c r="K14" s="2"/>
      <c r="L14" s="28"/>
      <c r="O14" t="s">
        <v>50</v>
      </c>
      <c r="P14" t="str">
        <f>'9.3'!A21</f>
        <v>11/15/85</v>
      </c>
      <c r="Q14" s="239">
        <f>'9.3'!C21</f>
        <v>9.1999999999999998E-2</v>
      </c>
      <c r="R14" s="242">
        <f t="shared" si="6"/>
        <v>1.0920000000000001</v>
      </c>
      <c r="S14" s="66">
        <f>'9.3'!D21</f>
        <v>2.6508715346417855</v>
      </c>
      <c r="T14" s="66"/>
      <c r="U14" s="66"/>
      <c r="V14" s="66"/>
      <c r="W14" s="66"/>
      <c r="X14" s="66"/>
      <c r="Y14" s="66">
        <f>0.5*(1.5/12)^2</f>
        <v>7.8125E-3</v>
      </c>
      <c r="Z14" s="66">
        <f>1-SUM(Z11:Z13)</f>
        <v>0.6171875</v>
      </c>
      <c r="AA14" s="66">
        <f>1-AA15</f>
        <v>0.875</v>
      </c>
      <c r="AB14" s="66">
        <v>0.125</v>
      </c>
      <c r="AC14" s="66"/>
      <c r="AD14" s="66"/>
      <c r="AE14" s="66"/>
      <c r="AF14" s="66"/>
      <c r="AG14" s="66"/>
      <c r="AH14" s="66"/>
    </row>
    <row r="15" spans="1:64" x14ac:dyDescent="0.2">
      <c r="A15" s="22" t="s">
        <v>375</v>
      </c>
      <c r="C15" s="31">
        <v>1195339</v>
      </c>
      <c r="D15" s="31">
        <v>1366667</v>
      </c>
      <c r="E15" s="98">
        <f t="shared" si="8"/>
        <v>3.5112843511426886</v>
      </c>
      <c r="F15" s="26">
        <f>D15*$E$23</f>
        <v>3869700.0976346233</v>
      </c>
      <c r="G15" s="31">
        <v>318455</v>
      </c>
      <c r="H15" s="21">
        <f t="shared" ref="H15:H47" si="9">ROUND(G15/F15,3)</f>
        <v>8.2000000000000003E-2</v>
      </c>
      <c r="I15" s="37"/>
      <c r="K15" s="2"/>
      <c r="O15" t="s">
        <v>302</v>
      </c>
      <c r="P15" t="str">
        <f>'9.3'!A22</f>
        <v>7/1/87</v>
      </c>
      <c r="Q15" s="239">
        <f>'9.3'!C22</f>
        <v>-9.1999999999999998E-2</v>
      </c>
      <c r="R15" s="242">
        <f t="shared" si="6"/>
        <v>0.90800000000000003</v>
      </c>
      <c r="S15" s="66">
        <f>'9.3'!D22</f>
        <v>2.4069913534547411</v>
      </c>
      <c r="T15" s="66"/>
      <c r="U15" s="66"/>
      <c r="V15" s="66"/>
      <c r="W15" s="66"/>
      <c r="X15" s="66"/>
      <c r="Y15" s="66"/>
      <c r="Z15" s="66"/>
      <c r="AA15" s="66">
        <v>0.125</v>
      </c>
      <c r="AB15" s="66">
        <f>1-AB14-AB16</f>
        <v>0.86111111111111116</v>
      </c>
      <c r="AC15" s="66">
        <f>0.5*(10/12)^2</f>
        <v>0.34722222222222227</v>
      </c>
      <c r="AD15" s="66"/>
      <c r="AE15" s="66"/>
      <c r="AF15" s="66"/>
      <c r="AG15" s="66"/>
      <c r="AH15" s="66"/>
    </row>
    <row r="16" spans="1:64" x14ac:dyDescent="0.2">
      <c r="A16" s="22" t="s">
        <v>376</v>
      </c>
      <c r="C16" s="31">
        <v>2581481</v>
      </c>
      <c r="D16" s="31">
        <v>2777593</v>
      </c>
      <c r="E16" s="98">
        <f t="shared" si="8"/>
        <v>2.8789383840739684</v>
      </c>
      <c r="F16" s="26">
        <f>D16*$E$23</f>
        <v>7864718.9866216471</v>
      </c>
      <c r="G16" s="31">
        <v>314878</v>
      </c>
      <c r="H16" s="21">
        <f t="shared" si="9"/>
        <v>0.04</v>
      </c>
      <c r="I16" s="37"/>
      <c r="K16" s="2"/>
      <c r="O16" t="s">
        <v>303</v>
      </c>
      <c r="P16" t="str">
        <f>'9.3'!A23</f>
        <v>11/1/88</v>
      </c>
      <c r="Q16" s="163">
        <f>'9.3'!C23</f>
        <v>-0.13800000000000001</v>
      </c>
      <c r="R16" s="242">
        <f t="shared" si="6"/>
        <v>0.86199999999999999</v>
      </c>
      <c r="S16" s="66">
        <f>'9.3'!D23</f>
        <v>2.0748265466779867</v>
      </c>
      <c r="T16" s="66"/>
      <c r="U16" s="66"/>
      <c r="V16" s="66"/>
      <c r="W16" s="66"/>
      <c r="X16" s="66"/>
      <c r="Y16" s="66"/>
      <c r="Z16" s="66"/>
      <c r="AA16" s="66"/>
      <c r="AB16" s="66">
        <f>0.5*(2/12)^2</f>
        <v>1.3888888888888888E-2</v>
      </c>
      <c r="AC16" s="66">
        <f>1-AC15</f>
        <v>0.65277777777777768</v>
      </c>
      <c r="AD16" s="66">
        <f>1-AD17</f>
        <v>0.65277777777777768</v>
      </c>
      <c r="AE16" s="66">
        <f>0.5*(2/12)^2</f>
        <v>1.3888888888888888E-2</v>
      </c>
      <c r="AF16" s="66"/>
      <c r="AG16" s="66"/>
      <c r="AH16" s="66"/>
    </row>
    <row r="17" spans="1:51" x14ac:dyDescent="0.2">
      <c r="A17" s="22" t="s">
        <v>377</v>
      </c>
      <c r="C17" s="31">
        <v>3013362</v>
      </c>
      <c r="D17" s="31">
        <v>2349181</v>
      </c>
      <c r="E17" s="98">
        <f t="shared" si="8"/>
        <v>2.0498785892003166</v>
      </c>
      <c r="F17" s="26">
        <f t="shared" ref="F17:F21" si="10">D17*$E$23</f>
        <v>6651675.8984166607</v>
      </c>
      <c r="G17" s="31">
        <v>211282</v>
      </c>
      <c r="H17" s="21">
        <f t="shared" si="9"/>
        <v>3.2000000000000001E-2</v>
      </c>
      <c r="I17" s="37"/>
      <c r="K17" s="2"/>
      <c r="O17" t="s">
        <v>304</v>
      </c>
      <c r="P17" t="str">
        <f>'9.3'!A24</f>
        <v>3/1/90</v>
      </c>
      <c r="Q17" s="163">
        <f>'9.3'!C24</f>
        <v>1.4E-2</v>
      </c>
      <c r="R17" s="242">
        <f t="shared" si="6"/>
        <v>1.014</v>
      </c>
      <c r="S17" s="66">
        <f>'9.3'!D24</f>
        <v>2.1038741183314786</v>
      </c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>
        <f>0.5*(10/12)^2</f>
        <v>0.34722222222222227</v>
      </c>
      <c r="AE17" s="66">
        <f>1-AE18-AE16</f>
        <v>0.70486111111111116</v>
      </c>
      <c r="AF17" s="66">
        <v>3.125E-2</v>
      </c>
      <c r="AG17" s="66"/>
      <c r="AH17" s="66"/>
    </row>
    <row r="18" spans="1:51" x14ac:dyDescent="0.2">
      <c r="A18" s="22" t="s">
        <v>378</v>
      </c>
      <c r="C18" s="31">
        <v>3004153</v>
      </c>
      <c r="D18" s="31">
        <v>2585122</v>
      </c>
      <c r="E18" s="98">
        <f t="shared" si="8"/>
        <v>1.9936436916734259</v>
      </c>
      <c r="F18" s="26">
        <f t="shared" si="10"/>
        <v>7319739.8165005902</v>
      </c>
      <c r="G18" s="31">
        <v>37480</v>
      </c>
      <c r="H18" s="21">
        <f t="shared" si="9"/>
        <v>5.0000000000000001E-3</v>
      </c>
      <c r="I18" s="37"/>
      <c r="K18" s="2"/>
      <c r="O18" t="s">
        <v>330</v>
      </c>
      <c r="P18" t="str">
        <f>'9.3'!A25</f>
        <v>4/1/91</v>
      </c>
      <c r="Q18" s="163">
        <f>'9.3'!C25</f>
        <v>-0.01</v>
      </c>
      <c r="R18" s="242">
        <f t="shared" si="6"/>
        <v>0.99</v>
      </c>
      <c r="S18" s="66">
        <f>'9.3'!D25</f>
        <v>2.082835377148164</v>
      </c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>
        <v>0.28125</v>
      </c>
      <c r="AF18" s="66">
        <f>1-AF17-AF19</f>
        <v>0.46875</v>
      </c>
      <c r="AG18" s="66"/>
      <c r="AH18" s="66"/>
    </row>
    <row r="19" spans="1:51" x14ac:dyDescent="0.2">
      <c r="A19" s="22" t="s">
        <v>379</v>
      </c>
      <c r="C19" s="31">
        <v>2905355</v>
      </c>
      <c r="D19" s="31">
        <v>2728206</v>
      </c>
      <c r="E19" s="98">
        <f t="shared" si="8"/>
        <v>2.1473124836449715</v>
      </c>
      <c r="F19" s="26">
        <f t="shared" si="10"/>
        <v>7724880.328980919</v>
      </c>
      <c r="G19" s="31">
        <v>969836</v>
      </c>
      <c r="H19" s="21">
        <f t="shared" si="9"/>
        <v>0.126</v>
      </c>
      <c r="I19" s="37"/>
      <c r="K19" s="2"/>
      <c r="O19" t="s">
        <v>335</v>
      </c>
      <c r="P19" t="str">
        <f>'9.3'!A26</f>
        <v>1/1/92</v>
      </c>
      <c r="Q19" s="163">
        <f>'9.3'!C26</f>
        <v>-0.22900000000000001</v>
      </c>
      <c r="R19" s="242">
        <f t="shared" si="6"/>
        <v>0.77100000000000002</v>
      </c>
      <c r="S19" s="66">
        <f>'9.3'!D26</f>
        <v>1.6058660757812344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>
        <v>0.5</v>
      </c>
      <c r="AG19" s="66">
        <f>1-AG20</f>
        <v>0.96875</v>
      </c>
      <c r="AH19" s="66">
        <v>0.28125</v>
      </c>
    </row>
    <row r="20" spans="1:51" x14ac:dyDescent="0.2">
      <c r="A20" s="22" t="s">
        <v>380</v>
      </c>
      <c r="C20" s="31">
        <v>2825114</v>
      </c>
      <c r="D20" s="31">
        <v>3015974</v>
      </c>
      <c r="E20" s="98">
        <f t="shared" si="8"/>
        <v>2.385265617366465</v>
      </c>
      <c r="F20" s="26">
        <f t="shared" si="10"/>
        <v>8539691.7334387135</v>
      </c>
      <c r="G20" s="31">
        <v>1244199</v>
      </c>
      <c r="H20" s="21">
        <f t="shared" si="9"/>
        <v>0.14599999999999999</v>
      </c>
      <c r="I20" s="37"/>
      <c r="K20" s="2"/>
      <c r="O20" t="s">
        <v>346</v>
      </c>
      <c r="P20" t="str">
        <f>'9.3'!A27</f>
        <v>10/1/93</v>
      </c>
      <c r="Q20" s="163">
        <f>'9.3'!C27</f>
        <v>0</v>
      </c>
      <c r="R20" s="242">
        <f t="shared" si="6"/>
        <v>1</v>
      </c>
      <c r="S20" s="66">
        <f>'9.3'!D27</f>
        <v>1.6058660757812344</v>
      </c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>
        <v>3.125E-2</v>
      </c>
      <c r="AH20" s="66">
        <f>1-AH19</f>
        <v>0.71875</v>
      </c>
      <c r="AI20">
        <v>1</v>
      </c>
      <c r="AJ20">
        <v>1</v>
      </c>
      <c r="AK20">
        <v>1</v>
      </c>
      <c r="AL20">
        <v>0.5</v>
      </c>
    </row>
    <row r="21" spans="1:51" x14ac:dyDescent="0.2">
      <c r="A21" s="22" t="s">
        <v>381</v>
      </c>
      <c r="C21" s="31">
        <v>2303321</v>
      </c>
      <c r="D21" s="31">
        <v>2474141</v>
      </c>
      <c r="E21" s="98">
        <f t="shared" si="8"/>
        <v>2.5056768649457406</v>
      </c>
      <c r="F21" s="26">
        <f t="shared" si="10"/>
        <v>7005498.537143155</v>
      </c>
      <c r="G21" s="31">
        <v>18053460</v>
      </c>
      <c r="H21" s="21">
        <f t="shared" si="9"/>
        <v>2.577</v>
      </c>
      <c r="I21" s="37"/>
      <c r="K21" s="2"/>
      <c r="O21" t="s">
        <v>352</v>
      </c>
      <c r="P21" t="str">
        <f>'9.3'!A28</f>
        <v>1/1/98</v>
      </c>
      <c r="Q21" s="163">
        <f>'9.3'!C28</f>
        <v>-0.03</v>
      </c>
      <c r="R21" s="242">
        <f t="shared" si="6"/>
        <v>0.97</v>
      </c>
      <c r="S21" s="66">
        <f>'9.3'!D28</f>
        <v>1.5576900935077973</v>
      </c>
      <c r="AL21">
        <v>0.5</v>
      </c>
      <c r="AM21">
        <v>1</v>
      </c>
      <c r="AN21">
        <v>0.5</v>
      </c>
    </row>
    <row r="22" spans="1:51" x14ac:dyDescent="0.2">
      <c r="A22" s="22" t="s">
        <v>382</v>
      </c>
      <c r="C22" s="31">
        <v>2203500</v>
      </c>
      <c r="D22" s="31">
        <v>2080579</v>
      </c>
      <c r="E22" s="98">
        <f t="shared" si="8"/>
        <v>2.4905762618235174</v>
      </c>
      <c r="F22" s="26">
        <f>D22*$E$23</f>
        <v>5891132.7773602102</v>
      </c>
      <c r="G22" s="31">
        <v>1371244</v>
      </c>
      <c r="H22" s="21">
        <f t="shared" si="9"/>
        <v>0.23300000000000001</v>
      </c>
      <c r="I22" s="37"/>
      <c r="K22" s="2"/>
      <c r="O22" t="s">
        <v>353</v>
      </c>
      <c r="P22" t="str">
        <f>'9.3'!A29</f>
        <v>1/1/00</v>
      </c>
      <c r="Q22" s="163">
        <f>'9.3'!C29</f>
        <v>0.09</v>
      </c>
      <c r="R22" s="242">
        <f t="shared" si="6"/>
        <v>1.0900000000000001</v>
      </c>
      <c r="S22" s="66">
        <f>'9.3'!D29</f>
        <v>1.6978822019234991</v>
      </c>
      <c r="AN22">
        <v>0.5</v>
      </c>
      <c r="AO22">
        <v>0.5</v>
      </c>
    </row>
    <row r="23" spans="1:51" x14ac:dyDescent="0.2">
      <c r="A23" s="22" t="s">
        <v>383</v>
      </c>
      <c r="B23" s="12"/>
      <c r="C23" s="31">
        <v>2352391</v>
      </c>
      <c r="D23" s="31">
        <v>2012473</v>
      </c>
      <c r="E23" s="98">
        <f t="shared" si="8"/>
        <v>2.8314871857113864</v>
      </c>
      <c r="F23" s="26">
        <f>ROUND(D23*E23,0)</f>
        <v>5698292</v>
      </c>
      <c r="G23" s="31">
        <v>46331</v>
      </c>
      <c r="H23" s="21">
        <f t="shared" si="9"/>
        <v>8.0000000000000002E-3</v>
      </c>
      <c r="I23" s="37"/>
      <c r="K23" s="2"/>
      <c r="O23" t="s">
        <v>356</v>
      </c>
      <c r="P23" t="str">
        <f>'9.3'!A30</f>
        <v>1/1/01</v>
      </c>
      <c r="Q23" s="163">
        <f>'9.3'!C30</f>
        <v>0.04</v>
      </c>
      <c r="R23" s="242">
        <f t="shared" si="6"/>
        <v>1.04</v>
      </c>
      <c r="S23" s="66">
        <f>'9.3'!D30</f>
        <v>1.7657974900004392</v>
      </c>
      <c r="AO23">
        <v>0.5</v>
      </c>
      <c r="AP23">
        <v>0.5</v>
      </c>
    </row>
    <row r="24" spans="1:51" x14ac:dyDescent="0.2">
      <c r="A24" s="22" t="s">
        <v>360</v>
      </c>
      <c r="B24" s="12"/>
      <c r="C24" s="31">
        <v>2406016</v>
      </c>
      <c r="D24" s="31"/>
      <c r="E24" s="98">
        <f t="shared" si="8"/>
        <v>3.2531461484671529</v>
      </c>
      <c r="F24" s="26">
        <f>ROUND(C24*E24,0)</f>
        <v>7827122</v>
      </c>
      <c r="G24" s="31">
        <v>1005945</v>
      </c>
      <c r="H24" s="21">
        <f t="shared" si="9"/>
        <v>0.129</v>
      </c>
      <c r="I24" s="37"/>
      <c r="K24" s="2"/>
      <c r="O24" t="s">
        <v>357</v>
      </c>
      <c r="P24" t="str">
        <f>'9.3'!A31</f>
        <v>1/1/02</v>
      </c>
      <c r="Q24" s="163">
        <f>'9.3'!C31</f>
        <v>0.05</v>
      </c>
      <c r="R24" s="242">
        <f t="shared" si="6"/>
        <v>1.05</v>
      </c>
      <c r="S24" s="66">
        <f>'9.3'!D31</f>
        <v>1.8540873645004612</v>
      </c>
      <c r="AP24">
        <v>0.5</v>
      </c>
      <c r="AQ24">
        <v>0.5</v>
      </c>
    </row>
    <row r="25" spans="1:51" x14ac:dyDescent="0.2">
      <c r="A25" s="22" t="s">
        <v>361</v>
      </c>
      <c r="B25" s="12"/>
      <c r="C25" s="31">
        <v>2807090</v>
      </c>
      <c r="D25" s="31"/>
      <c r="E25" s="98">
        <f t="shared" si="8"/>
        <v>3.2531461484671529</v>
      </c>
      <c r="F25" s="26">
        <f>ROUND(C25*E25,0)</f>
        <v>9131874</v>
      </c>
      <c r="G25" s="31">
        <v>28034</v>
      </c>
      <c r="H25" s="21">
        <f t="shared" si="9"/>
        <v>3.0000000000000001E-3</v>
      </c>
      <c r="I25" s="37"/>
      <c r="K25" s="2"/>
      <c r="O25" t="s">
        <v>385</v>
      </c>
      <c r="P25" t="str">
        <f>'9.3'!A32</f>
        <v>1/1/03</v>
      </c>
      <c r="Q25" s="163">
        <f>'9.3'!C32</f>
        <v>0.1</v>
      </c>
      <c r="R25" s="242">
        <f t="shared" si="6"/>
        <v>1.1000000000000001</v>
      </c>
      <c r="S25" s="66">
        <f>'9.3'!D32</f>
        <v>2.0394961009505073</v>
      </c>
      <c r="AQ25">
        <v>0.5</v>
      </c>
      <c r="AR25">
        <v>0.5</v>
      </c>
    </row>
    <row r="26" spans="1:51" x14ac:dyDescent="0.2">
      <c r="A26" s="22" t="s">
        <v>362</v>
      </c>
      <c r="C26" s="31">
        <v>2645757</v>
      </c>
      <c r="D26" s="31"/>
      <c r="E26" s="98">
        <f t="shared" si="8"/>
        <v>3.2531461484671529</v>
      </c>
      <c r="F26" s="26">
        <f t="shared" ref="F26:F45" si="11">ROUND(C26*E26,0)</f>
        <v>8607034</v>
      </c>
      <c r="G26" s="31">
        <v>635625</v>
      </c>
      <c r="H26" s="21">
        <f t="shared" si="9"/>
        <v>7.3999999999999996E-2</v>
      </c>
      <c r="I26" s="37"/>
      <c r="K26" s="2"/>
      <c r="O26" t="s">
        <v>391</v>
      </c>
      <c r="P26" t="str">
        <f>'9.3'!A33</f>
        <v>1/1/04</v>
      </c>
      <c r="Q26" s="163">
        <f>'9.3'!C33</f>
        <v>0.1</v>
      </c>
      <c r="R26" s="242">
        <f t="shared" si="6"/>
        <v>1.1000000000000001</v>
      </c>
      <c r="S26" s="66">
        <f>'9.3'!D33</f>
        <v>2.2434457110455583</v>
      </c>
      <c r="AR26">
        <v>0.5</v>
      </c>
      <c r="AS26">
        <v>0.5</v>
      </c>
    </row>
    <row r="27" spans="1:51" x14ac:dyDescent="0.2">
      <c r="A27" s="22" t="s">
        <v>363</v>
      </c>
      <c r="C27" s="31">
        <v>5519716</v>
      </c>
      <c r="D27" s="31"/>
      <c r="E27" s="98">
        <f t="shared" si="8"/>
        <v>3.2531461484671529</v>
      </c>
      <c r="F27" s="26">
        <f>ROUND(C27*E27,0)</f>
        <v>17956443</v>
      </c>
      <c r="G27" s="31">
        <v>249644</v>
      </c>
      <c r="H27" s="21">
        <f>ROUND(G27/F27,3)</f>
        <v>1.4E-2</v>
      </c>
      <c r="I27" s="37"/>
      <c r="K27" s="2"/>
      <c r="O27" t="s">
        <v>409</v>
      </c>
      <c r="P27" t="str">
        <f>'9.3'!A34</f>
        <v>1/1/05</v>
      </c>
      <c r="Q27" s="163">
        <f>'9.3'!C34</f>
        <v>0.1</v>
      </c>
      <c r="R27" s="242">
        <f t="shared" si="6"/>
        <v>1.1000000000000001</v>
      </c>
      <c r="S27" s="66">
        <f>'9.3'!D34</f>
        <v>2.4677902821501143</v>
      </c>
      <c r="AS27">
        <v>0.5</v>
      </c>
      <c r="AT27" s="66">
        <v>0.5</v>
      </c>
      <c r="AU27" s="66"/>
      <c r="AV27" s="66"/>
      <c r="AW27" s="66"/>
      <c r="AX27" s="66"/>
    </row>
    <row r="28" spans="1:51" x14ac:dyDescent="0.2">
      <c r="A28" s="22" t="s">
        <v>364</v>
      </c>
      <c r="C28" s="31">
        <v>5461636</v>
      </c>
      <c r="E28" s="98">
        <f t="shared" si="8"/>
        <v>3.2531461484671529</v>
      </c>
      <c r="F28" s="26">
        <f t="shared" si="11"/>
        <v>17767500</v>
      </c>
      <c r="G28" s="31">
        <v>886485</v>
      </c>
      <c r="H28" s="21">
        <f t="shared" si="9"/>
        <v>0.05</v>
      </c>
      <c r="I28" s="37"/>
      <c r="K28" s="2"/>
      <c r="O28" t="s">
        <v>410</v>
      </c>
      <c r="P28" t="str">
        <f>'9.3'!A35</f>
        <v>1/1/06</v>
      </c>
      <c r="Q28" s="163">
        <f>'9.3'!C35</f>
        <v>0.05</v>
      </c>
      <c r="R28" s="242">
        <f t="shared" si="6"/>
        <v>1.05</v>
      </c>
      <c r="S28" s="66">
        <f>'9.3'!D35</f>
        <v>2.5911797962576202</v>
      </c>
      <c r="AT28" s="66">
        <f>0.5-AT29</f>
        <v>0.44444444444444442</v>
      </c>
      <c r="AU28" s="66">
        <f>0.5*(8/12)^2</f>
        <v>0.22222222222222221</v>
      </c>
      <c r="AV28" s="66"/>
      <c r="AW28" s="66"/>
      <c r="AX28" s="66"/>
    </row>
    <row r="29" spans="1:51" x14ac:dyDescent="0.2">
      <c r="A29" s="22" t="s">
        <v>365</v>
      </c>
      <c r="C29" s="31">
        <v>6133105</v>
      </c>
      <c r="D29" s="31"/>
      <c r="E29" s="98">
        <f t="shared" si="8"/>
        <v>3.3026864451443179</v>
      </c>
      <c r="F29" s="26">
        <f>ROUND(C29*E29,0)</f>
        <v>20255723</v>
      </c>
      <c r="G29" s="31">
        <v>3994564</v>
      </c>
      <c r="H29" s="21">
        <f>ROUND(G29/F29,3)</f>
        <v>0.19700000000000001</v>
      </c>
      <c r="I29" s="37"/>
      <c r="K29" s="2"/>
      <c r="N29" s="65"/>
      <c r="O29" t="s">
        <v>411</v>
      </c>
      <c r="P29" t="str">
        <f>'9.3'!A36</f>
        <v>9/1/06</v>
      </c>
      <c r="Q29" s="163">
        <f>'9.3'!C36</f>
        <v>0.08</v>
      </c>
      <c r="R29" s="242">
        <f t="shared" si="6"/>
        <v>1.08</v>
      </c>
      <c r="S29" s="66">
        <f>'9.3'!D36</f>
        <v>2.7984741799582298</v>
      </c>
      <c r="AT29" s="66">
        <f>0.5*(4/12)^2</f>
        <v>5.5555555555555552E-2</v>
      </c>
      <c r="AU29" s="66">
        <f>0.5-AU28</f>
        <v>0.27777777777777779</v>
      </c>
      <c r="AV29" s="66"/>
      <c r="AW29" s="66"/>
      <c r="AX29" s="66"/>
    </row>
    <row r="30" spans="1:51" x14ac:dyDescent="0.2">
      <c r="A30" s="22" t="s">
        <v>366</v>
      </c>
      <c r="C30" s="31">
        <v>6706028</v>
      </c>
      <c r="D30" s="31"/>
      <c r="E30" s="98">
        <f t="shared" si="8"/>
        <v>3.3537589159455186</v>
      </c>
      <c r="F30" s="26">
        <f t="shared" si="11"/>
        <v>22490401</v>
      </c>
      <c r="G30" s="31">
        <v>575316</v>
      </c>
      <c r="H30" s="21">
        <f t="shared" si="9"/>
        <v>2.5999999999999999E-2</v>
      </c>
      <c r="I30" s="37"/>
      <c r="K30" s="2"/>
      <c r="O30" t="s">
        <v>412</v>
      </c>
      <c r="P30" t="str">
        <f>'9.3'!A37</f>
        <v>1/1/07</v>
      </c>
      <c r="Q30" s="163">
        <f>'9.3'!C37</f>
        <v>3.7000000000000005E-2</v>
      </c>
      <c r="R30" s="242">
        <f t="shared" si="6"/>
        <v>1.0369999999999999</v>
      </c>
      <c r="S30" s="66">
        <f>'9.3'!D37</f>
        <v>2.9020177246166843</v>
      </c>
      <c r="AT30" s="66"/>
      <c r="AU30" s="66">
        <f>0.5</f>
        <v>0.5</v>
      </c>
      <c r="AV30" s="66">
        <f>1-AV31</f>
        <v>0.57986111111111116</v>
      </c>
      <c r="AW30" s="66">
        <f>0.5*(1/12)^2</f>
        <v>3.472222222222222E-3</v>
      </c>
      <c r="AX30" s="66"/>
    </row>
    <row r="31" spans="1:51" x14ac:dyDescent="0.2">
      <c r="A31" s="22" t="s">
        <v>367</v>
      </c>
      <c r="C31" s="31">
        <v>4997201</v>
      </c>
      <c r="D31" s="72"/>
      <c r="E31" s="98">
        <f t="shared" si="8"/>
        <v>3.209338675545951</v>
      </c>
      <c r="F31" s="26">
        <f t="shared" si="11"/>
        <v>16037710</v>
      </c>
      <c r="G31" s="31">
        <v>320131</v>
      </c>
      <c r="H31" s="21">
        <f t="shared" si="9"/>
        <v>0.02</v>
      </c>
      <c r="I31" s="37"/>
      <c r="K31" s="2"/>
      <c r="L31" t="s">
        <v>206</v>
      </c>
      <c r="O31" t="s">
        <v>413</v>
      </c>
      <c r="P31" t="str">
        <f>'9.3'!A38</f>
        <v>2/1/08</v>
      </c>
      <c r="Q31" s="163">
        <f>'9.3'!C38</f>
        <v>5.3999999999999999E-2</v>
      </c>
      <c r="R31" s="242">
        <f t="shared" si="6"/>
        <v>1.054</v>
      </c>
      <c r="S31" s="66">
        <f>'9.3'!D38</f>
        <v>3.0587266817459855</v>
      </c>
      <c r="AT31" s="66"/>
      <c r="AU31" s="66"/>
      <c r="AV31" s="66">
        <f>0.5*(11/12)^2</f>
        <v>0.42013888888888884</v>
      </c>
      <c r="AW31" s="66">
        <f>1-AW30-AW32</f>
        <v>0.57638888888888895</v>
      </c>
      <c r="AX31" s="66">
        <f>0.5*(1/12)^2</f>
        <v>3.472222222222222E-3</v>
      </c>
    </row>
    <row r="32" spans="1:51" x14ac:dyDescent="0.2">
      <c r="A32" s="22" t="s">
        <v>368</v>
      </c>
      <c r="C32" s="31">
        <v>4785262</v>
      </c>
      <c r="D32" s="72"/>
      <c r="E32" s="98">
        <f t="shared" si="8"/>
        <v>3.0165127864233838</v>
      </c>
      <c r="F32" s="26">
        <f>ROUND(C32*E32,0)</f>
        <v>14434804</v>
      </c>
      <c r="G32" s="31">
        <v>962576</v>
      </c>
      <c r="H32" s="21">
        <f t="shared" si="9"/>
        <v>6.7000000000000004E-2</v>
      </c>
      <c r="I32" s="37"/>
      <c r="K32" s="2"/>
      <c r="L32" s="67">
        <f>[1]ISO!$O$49</f>
        <v>0.81842942974156996</v>
      </c>
      <c r="O32" t="s">
        <v>414</v>
      </c>
      <c r="P32" t="str">
        <f>'9.3'!A39</f>
        <v>2/1/09</v>
      </c>
      <c r="Q32" s="163">
        <f>'9.3'!C39</f>
        <v>0.156</v>
      </c>
      <c r="R32" s="242">
        <f t="shared" si="6"/>
        <v>1.1559999999999999</v>
      </c>
      <c r="S32" s="66">
        <f>'9.3'!D39</f>
        <v>3.5358880440983591</v>
      </c>
      <c r="AT32" s="66"/>
      <c r="AU32" s="66"/>
      <c r="AV32" s="66"/>
      <c r="AW32" s="66">
        <f>0.5*(11/12)^2</f>
        <v>0.42013888888888884</v>
      </c>
      <c r="AX32" s="66">
        <f>1-AX31</f>
        <v>0.99652777777777779</v>
      </c>
      <c r="AY32">
        <v>0.5</v>
      </c>
    </row>
    <row r="33" spans="1:249" x14ac:dyDescent="0.2">
      <c r="A33" s="22" t="s">
        <v>369</v>
      </c>
      <c r="C33" s="31">
        <v>8206069</v>
      </c>
      <c r="D33" s="72"/>
      <c r="E33" s="98">
        <f t="shared" si="8"/>
        <v>2.8863443172156207</v>
      </c>
      <c r="F33" s="26">
        <f t="shared" si="11"/>
        <v>23685541</v>
      </c>
      <c r="G33" s="31">
        <v>2632325</v>
      </c>
      <c r="H33" s="21">
        <f t="shared" si="9"/>
        <v>0.111</v>
      </c>
      <c r="I33" s="37"/>
      <c r="K33" s="2"/>
      <c r="O33" t="s">
        <v>415</v>
      </c>
      <c r="P33" t="str">
        <f>'9.3'!A40</f>
        <v>1/1/11</v>
      </c>
      <c r="Q33" s="163">
        <f>'9.3'!C40</f>
        <v>0.05</v>
      </c>
      <c r="R33" s="242">
        <f t="shared" si="6"/>
        <v>1.05</v>
      </c>
      <c r="S33" s="66">
        <f>'9.3'!D40</f>
        <v>3.712682446303277</v>
      </c>
      <c r="AY33">
        <v>0.5</v>
      </c>
      <c r="AZ33">
        <v>0.5</v>
      </c>
    </row>
    <row r="34" spans="1:249" x14ac:dyDescent="0.2">
      <c r="A34" s="22" t="s">
        <v>370</v>
      </c>
      <c r="C34" s="107">
        <v>8793047</v>
      </c>
      <c r="D34" s="72"/>
      <c r="E34" s="223">
        <f>'[1]TWIA 5'!I308</f>
        <v>2.6891459199349992</v>
      </c>
      <c r="F34" s="26">
        <f t="shared" si="11"/>
        <v>23645786</v>
      </c>
      <c r="G34" s="107">
        <v>529845</v>
      </c>
      <c r="H34" s="21">
        <f t="shared" si="9"/>
        <v>2.1999999999999999E-2</v>
      </c>
      <c r="I34" s="37"/>
      <c r="K34" s="2"/>
      <c r="O34" t="s">
        <v>416</v>
      </c>
      <c r="P34" t="str">
        <f>'9.3'!A41</f>
        <v>1/1/12</v>
      </c>
      <c r="Q34" s="163">
        <f>'9.3'!C41</f>
        <v>0.05</v>
      </c>
      <c r="R34" s="242">
        <f t="shared" si="6"/>
        <v>1.05</v>
      </c>
      <c r="S34" s="66">
        <f>'9.3'!D41</f>
        <v>3.8983165686184411</v>
      </c>
      <c r="AZ34">
        <v>0.5</v>
      </c>
      <c r="BA34">
        <v>0.5</v>
      </c>
    </row>
    <row r="35" spans="1:249" x14ac:dyDescent="0.2">
      <c r="A35" s="22" t="s">
        <v>371</v>
      </c>
      <c r="B35" s="22"/>
      <c r="C35" s="107">
        <v>12425339</v>
      </c>
      <c r="D35" s="73"/>
      <c r="E35" s="223">
        <f>'[1]TWIA 5'!I309</f>
        <v>2.448174392695059</v>
      </c>
      <c r="F35" s="26">
        <f t="shared" si="11"/>
        <v>30419397</v>
      </c>
      <c r="G35" s="107">
        <v>830387</v>
      </c>
      <c r="H35" s="21">
        <f t="shared" si="9"/>
        <v>2.7E-2</v>
      </c>
      <c r="I35" s="37"/>
      <c r="K35" s="2"/>
      <c r="O35" t="s">
        <v>417</v>
      </c>
      <c r="P35" t="str">
        <f>'9.3'!A42</f>
        <v>1/1/13</v>
      </c>
      <c r="Q35" s="163">
        <f>'9.3'!C42</f>
        <v>0.05</v>
      </c>
      <c r="R35" s="242">
        <f t="shared" si="6"/>
        <v>1.05</v>
      </c>
      <c r="S35" s="66">
        <f>'9.3'!D42</f>
        <v>4.0932323970493636</v>
      </c>
      <c r="BA35">
        <v>0.5</v>
      </c>
      <c r="BB35">
        <v>0.5</v>
      </c>
    </row>
    <row r="36" spans="1:249" x14ac:dyDescent="0.2">
      <c r="A36" s="22" t="s">
        <v>287</v>
      </c>
      <c r="C36" s="107">
        <v>13839253</v>
      </c>
      <c r="D36" s="66"/>
      <c r="E36" s="223">
        <f>'[1]TWIA 5'!I310</f>
        <v>2.2196457159722458</v>
      </c>
      <c r="F36" s="26">
        <f t="shared" si="11"/>
        <v>30718239</v>
      </c>
      <c r="G36" s="107">
        <v>19469845</v>
      </c>
      <c r="H36" s="21">
        <f t="shared" si="9"/>
        <v>0.63400000000000001</v>
      </c>
      <c r="I36" s="37"/>
      <c r="K36" s="2"/>
      <c r="O36" t="s">
        <v>418</v>
      </c>
      <c r="P36" t="str">
        <f>'9.3'!A43</f>
        <v>1/1/14</v>
      </c>
      <c r="Q36" s="163">
        <f>'9.3'!C43</f>
        <v>0.05</v>
      </c>
      <c r="R36" s="242">
        <f t="shared" si="6"/>
        <v>1.05</v>
      </c>
      <c r="S36" s="66">
        <f>'9.3'!D43</f>
        <v>4.2978940169018323</v>
      </c>
      <c r="BB36">
        <v>0.5</v>
      </c>
      <c r="BC36">
        <v>0.5</v>
      </c>
    </row>
    <row r="37" spans="1:249" x14ac:dyDescent="0.2">
      <c r="A37" s="22" t="s">
        <v>349</v>
      </c>
      <c r="C37" s="107">
        <v>18414310</v>
      </c>
      <c r="D37" s="66"/>
      <c r="E37" s="223">
        <f>'[1]TWIA 5'!I311</f>
        <v>2.0368887779518374</v>
      </c>
      <c r="F37" s="26">
        <f t="shared" si="11"/>
        <v>37507901</v>
      </c>
      <c r="G37" s="107">
        <v>812370</v>
      </c>
      <c r="H37" s="21">
        <f t="shared" si="9"/>
        <v>2.1999999999999999E-2</v>
      </c>
      <c r="I37" s="37"/>
      <c r="K37" s="2"/>
      <c r="O37" t="s">
        <v>419</v>
      </c>
      <c r="P37" t="str">
        <f>'9.3'!A44</f>
        <v>1/1/15</v>
      </c>
      <c r="Q37" s="163">
        <f>'9.3'!C44</f>
        <v>0.05</v>
      </c>
      <c r="R37" s="242">
        <f t="shared" si="6"/>
        <v>1.05</v>
      </c>
      <c r="S37" s="66">
        <f>'9.3'!D44</f>
        <v>4.5127887177469237</v>
      </c>
      <c r="BC37">
        <v>0.5</v>
      </c>
      <c r="BD37">
        <v>0.5</v>
      </c>
    </row>
    <row r="38" spans="1:249" x14ac:dyDescent="0.2">
      <c r="A38" s="22" t="s">
        <v>331</v>
      </c>
      <c r="C38" s="107">
        <v>24924710</v>
      </c>
      <c r="D38" s="66"/>
      <c r="E38" s="223">
        <f>'[1]TWIA 5'!I312</f>
        <v>1.8570470989540067</v>
      </c>
      <c r="F38" s="26">
        <f t="shared" si="11"/>
        <v>46286360</v>
      </c>
      <c r="G38" s="107">
        <v>710669</v>
      </c>
      <c r="H38" s="21">
        <f t="shared" si="9"/>
        <v>1.4999999999999999E-2</v>
      </c>
      <c r="I38" s="37"/>
      <c r="K38" s="2"/>
      <c r="O38" t="s">
        <v>420</v>
      </c>
      <c r="P38" t="str">
        <f>'9.3'!A45</f>
        <v>1/1/16</v>
      </c>
      <c r="Q38" s="163">
        <f>'9.3'!C45</f>
        <v>0.05</v>
      </c>
      <c r="R38" s="242">
        <f t="shared" si="6"/>
        <v>1.05</v>
      </c>
      <c r="S38" s="66">
        <f>'9.3'!D45</f>
        <v>4.7384281536342705</v>
      </c>
      <c r="BD38">
        <v>0.5</v>
      </c>
      <c r="BE38">
        <v>0.5</v>
      </c>
    </row>
    <row r="39" spans="1:249" x14ac:dyDescent="0.2">
      <c r="A39" s="22" t="s">
        <v>336</v>
      </c>
      <c r="C39" s="107">
        <v>24970117</v>
      </c>
      <c r="D39" s="66"/>
      <c r="E39" s="223">
        <f>'[1]TWIA 5'!I313</f>
        <v>1.7641482522914038</v>
      </c>
      <c r="F39" s="26">
        <f t="shared" si="11"/>
        <v>44050988</v>
      </c>
      <c r="G39" s="107">
        <v>293310706.44950092</v>
      </c>
      <c r="H39" s="21">
        <f>ROUND(G39/F39,3)</f>
        <v>6.6580000000000004</v>
      </c>
      <c r="I39" s="37"/>
      <c r="K39" s="2"/>
      <c r="O39" t="s">
        <v>421</v>
      </c>
      <c r="P39" t="str">
        <f>'9.3'!A46</f>
        <v>1/1/17</v>
      </c>
      <c r="Q39" s="163">
        <f>'9.3'!C46</f>
        <v>0</v>
      </c>
      <c r="R39" s="242">
        <f t="shared" si="6"/>
        <v>1</v>
      </c>
      <c r="S39" s="66">
        <f>'9.3'!D46</f>
        <v>4.7384281536342705</v>
      </c>
      <c r="BE39">
        <v>0.5</v>
      </c>
      <c r="BF39">
        <v>0.5</v>
      </c>
    </row>
    <row r="40" spans="1:249" x14ac:dyDescent="0.2">
      <c r="A40" s="22" t="s">
        <v>350</v>
      </c>
      <c r="C40" s="107">
        <v>29363002</v>
      </c>
      <c r="D40" s="66"/>
      <c r="E40" s="223">
        <f>'[1]TWIA 5'!I314</f>
        <v>1.5997647448930246</v>
      </c>
      <c r="F40" s="26">
        <f t="shared" si="11"/>
        <v>46973895</v>
      </c>
      <c r="G40" s="107">
        <v>1140669</v>
      </c>
      <c r="H40" s="21">
        <f>ROUND(G40/F40,3)</f>
        <v>2.4E-2</v>
      </c>
      <c r="I40" s="37"/>
      <c r="K40" s="2"/>
      <c r="O40" t="s">
        <v>422</v>
      </c>
      <c r="P40" t="str">
        <f>'9.3'!A47</f>
        <v>1/1/18</v>
      </c>
      <c r="Q40" s="163">
        <f>'9.3'!C47</f>
        <v>0.05</v>
      </c>
      <c r="R40" s="242">
        <f t="shared" si="6"/>
        <v>1.05</v>
      </c>
      <c r="S40" s="66">
        <f>'9.3'!D47</f>
        <v>4.9753495613159844</v>
      </c>
      <c r="BF40">
        <v>0.5</v>
      </c>
      <c r="BG40">
        <v>0.5</v>
      </c>
    </row>
    <row r="41" spans="1:249" x14ac:dyDescent="0.2">
      <c r="A41" s="22" t="s">
        <v>351</v>
      </c>
      <c r="C41" s="107">
        <v>31708901</v>
      </c>
      <c r="D41" s="66"/>
      <c r="E41" s="223">
        <f>'[1]TWIA 5'!I315</f>
        <v>1.4780006228698483</v>
      </c>
      <c r="F41" s="26">
        <f>ROUND(C41*E41,0)</f>
        <v>46865775</v>
      </c>
      <c r="G41" s="107">
        <v>669882</v>
      </c>
      <c r="H41" s="21">
        <f t="shared" si="9"/>
        <v>1.4E-2</v>
      </c>
      <c r="I41" s="37"/>
      <c r="K41" s="2"/>
      <c r="O41" t="s">
        <v>423</v>
      </c>
      <c r="P41" s="213">
        <v>43466</v>
      </c>
      <c r="Q41" s="214">
        <f>'9.3'!C48</f>
        <v>0</v>
      </c>
      <c r="R41" s="242">
        <f t="shared" si="6"/>
        <v>1</v>
      </c>
      <c r="S41" s="66">
        <f>'9.3'!D48</f>
        <v>4.9753495613159844</v>
      </c>
      <c r="BG41">
        <v>0.5</v>
      </c>
      <c r="BH41">
        <v>0.5</v>
      </c>
    </row>
    <row r="42" spans="1:249" x14ac:dyDescent="0.2">
      <c r="A42" s="22" t="s">
        <v>354</v>
      </c>
      <c r="C42" s="107">
        <v>31323614</v>
      </c>
      <c r="D42" s="66"/>
      <c r="E42" s="223">
        <f>'[1]TWIA 5'!I316</f>
        <v>1.4430316100910405</v>
      </c>
      <c r="F42" s="26">
        <f>ROUND(C42*E42,0)</f>
        <v>45200965</v>
      </c>
      <c r="G42" s="107">
        <v>1675264</v>
      </c>
      <c r="H42" s="21">
        <f t="shared" si="9"/>
        <v>3.6999999999999998E-2</v>
      </c>
      <c r="I42" s="37"/>
      <c r="K42" s="2"/>
      <c r="L42" t="s">
        <v>358</v>
      </c>
      <c r="M42" s="18"/>
      <c r="O42" t="s">
        <v>434</v>
      </c>
      <c r="P42" s="213">
        <v>43831</v>
      </c>
      <c r="Q42" s="214">
        <f>'9.3'!C49</f>
        <v>0</v>
      </c>
      <c r="R42" s="242">
        <f t="shared" si="6"/>
        <v>1</v>
      </c>
      <c r="S42" s="66">
        <f>'9.3'!D49</f>
        <v>4.9753495613159844</v>
      </c>
      <c r="BH42">
        <v>0.5</v>
      </c>
      <c r="BI42">
        <v>0.5</v>
      </c>
    </row>
    <row r="43" spans="1:249" x14ac:dyDescent="0.2">
      <c r="A43" s="22" t="s">
        <v>372</v>
      </c>
      <c r="B43" s="22"/>
      <c r="C43" s="107">
        <v>35165008</v>
      </c>
      <c r="D43" s="72"/>
      <c r="E43" s="223">
        <f>'[1]TWIA 5'!I317</f>
        <v>1.3723433115836108</v>
      </c>
      <c r="F43" s="26">
        <f t="shared" si="11"/>
        <v>48258464</v>
      </c>
      <c r="G43" s="107">
        <v>8709842</v>
      </c>
      <c r="H43" s="37">
        <f>ROUND(G43/F43,3)</f>
        <v>0.18</v>
      </c>
      <c r="I43" s="37"/>
      <c r="K43" s="2"/>
      <c r="L43" s="77">
        <v>99433916.550499082</v>
      </c>
      <c r="O43" t="s">
        <v>441</v>
      </c>
      <c r="P43" s="213">
        <v>44197</v>
      </c>
      <c r="Q43" s="214">
        <v>0</v>
      </c>
      <c r="R43" s="242">
        <f t="shared" si="6"/>
        <v>1</v>
      </c>
      <c r="S43" s="66">
        <f>'9.3'!D50</f>
        <v>4.9753495613159844</v>
      </c>
      <c r="BI43">
        <v>0.5</v>
      </c>
      <c r="BJ43">
        <v>0.5</v>
      </c>
    </row>
    <row r="44" spans="1:249" x14ac:dyDescent="0.2">
      <c r="A44" s="22" t="s">
        <v>373</v>
      </c>
      <c r="B44" s="22"/>
      <c r="C44" s="107">
        <v>37582814</v>
      </c>
      <c r="D44" s="72"/>
      <c r="E44" s="223">
        <f>'[1]TWIA 5'!I318</f>
        <v>1.3075797103216005</v>
      </c>
      <c r="F44" s="26">
        <f t="shared" si="11"/>
        <v>49142525</v>
      </c>
      <c r="G44" s="107">
        <v>6670061</v>
      </c>
      <c r="H44" s="37">
        <f>ROUND(G44/F44,3)</f>
        <v>0.13600000000000001</v>
      </c>
      <c r="I44" s="37"/>
      <c r="K44" s="2"/>
      <c r="L44" s="36"/>
      <c r="M44" s="36"/>
      <c r="O44" t="s">
        <v>448</v>
      </c>
      <c r="P44" s="213">
        <v>44562</v>
      </c>
      <c r="Q44" s="214">
        <v>0.05</v>
      </c>
      <c r="R44" s="242">
        <f t="shared" si="6"/>
        <v>1.05</v>
      </c>
      <c r="S44" s="66">
        <f>'9.3'!D51</f>
        <v>5.2241170393817837</v>
      </c>
      <c r="BJ44">
        <v>0.5</v>
      </c>
      <c r="BK44">
        <v>0.5</v>
      </c>
    </row>
    <row r="45" spans="1:249" x14ac:dyDescent="0.2">
      <c r="A45" s="22">
        <v>2014</v>
      </c>
      <c r="B45" s="22"/>
      <c r="C45" s="107">
        <v>38347378</v>
      </c>
      <c r="D45" s="72"/>
      <c r="E45" s="223">
        <f>'[1]TWIA 5'!I319</f>
        <v>1.2467307484438648</v>
      </c>
      <c r="F45" s="26">
        <f t="shared" si="11"/>
        <v>47808855</v>
      </c>
      <c r="G45" s="107">
        <v>258179</v>
      </c>
      <c r="H45" s="37">
        <f t="shared" si="9"/>
        <v>5.0000000000000001E-3</v>
      </c>
      <c r="I45" s="37"/>
      <c r="K45" s="2"/>
      <c r="O45" t="s">
        <v>449</v>
      </c>
      <c r="P45" s="213">
        <v>44927</v>
      </c>
      <c r="Q45" s="214">
        <v>0</v>
      </c>
      <c r="R45" s="242">
        <f t="shared" si="6"/>
        <v>1</v>
      </c>
      <c r="S45" s="66">
        <f>'9.3'!D52</f>
        <v>5.2241170393817837</v>
      </c>
      <c r="BK45">
        <v>0.5</v>
      </c>
      <c r="BL45">
        <v>0.5</v>
      </c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269"/>
      <c r="HL45" s="269"/>
      <c r="HM45" s="269"/>
      <c r="HN45" s="269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</row>
    <row r="46" spans="1:249" x14ac:dyDescent="0.2">
      <c r="A46" s="22">
        <v>2015</v>
      </c>
      <c r="B46" s="22"/>
      <c r="C46" s="224">
        <f>[1]ISO!O36</f>
        <v>36723071</v>
      </c>
      <c r="D46" s="72"/>
      <c r="E46" s="223">
        <f>'[1]TWIA 5'!I320</f>
        <v>1.1863253854339271</v>
      </c>
      <c r="F46" s="26">
        <f t="shared" ref="F46:F55" si="12">ROUND(C46*E46,0)</f>
        <v>43565511</v>
      </c>
      <c r="G46" s="224">
        <f>[1]ISO!T36</f>
        <v>5023267</v>
      </c>
      <c r="H46" s="37">
        <f t="shared" si="9"/>
        <v>0.115</v>
      </c>
      <c r="I46" s="37"/>
      <c r="K46" s="2"/>
      <c r="O46" t="s">
        <v>450</v>
      </c>
      <c r="P46" s="213">
        <v>45292</v>
      </c>
      <c r="Q46" s="214">
        <v>0</v>
      </c>
      <c r="R46" s="242">
        <f t="shared" si="6"/>
        <v>1</v>
      </c>
      <c r="S46" s="66">
        <f>'9.3'!D53</f>
        <v>5.2241170393817837</v>
      </c>
      <c r="BL46">
        <v>0.5</v>
      </c>
      <c r="BM46">
        <v>0.5</v>
      </c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1"/>
      <c r="HL46" s="11"/>
      <c r="HM46" s="11"/>
      <c r="HN46" s="11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</row>
    <row r="47" spans="1:249" x14ac:dyDescent="0.2">
      <c r="A47" s="22">
        <v>2016</v>
      </c>
      <c r="B47" s="22"/>
      <c r="C47" s="224">
        <f>[1]ISO!O37</f>
        <v>36137859</v>
      </c>
      <c r="D47" s="72"/>
      <c r="E47" s="223">
        <f>'[1]TWIA 5'!I321</f>
        <v>1.1296863217775721</v>
      </c>
      <c r="F47" s="26">
        <f t="shared" si="12"/>
        <v>40824445</v>
      </c>
      <c r="G47" s="224">
        <f>[1]ISO!T37</f>
        <v>331694</v>
      </c>
      <c r="H47" s="37">
        <f t="shared" si="9"/>
        <v>8.0000000000000002E-3</v>
      </c>
      <c r="I47" s="37"/>
      <c r="K47" s="2"/>
      <c r="L47" t="s">
        <v>209</v>
      </c>
      <c r="M47" t="s">
        <v>210</v>
      </c>
      <c r="O47" t="s">
        <v>496</v>
      </c>
      <c r="P47" s="213">
        <v>45658</v>
      </c>
      <c r="Q47" s="214">
        <v>0</v>
      </c>
      <c r="R47" s="242">
        <f t="shared" si="6"/>
        <v>1</v>
      </c>
      <c r="S47" s="66">
        <f>'9.3'!D54</f>
        <v>5.2241170393817837</v>
      </c>
      <c r="BM47" s="9">
        <v>0.5</v>
      </c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1"/>
      <c r="HL47" s="11"/>
      <c r="HM47" s="11"/>
      <c r="HN47" s="11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</row>
    <row r="48" spans="1:249" x14ac:dyDescent="0.2">
      <c r="A48" s="22">
        <v>2017</v>
      </c>
      <c r="C48" s="224">
        <f>[1]ISO!O38</f>
        <v>32259473</v>
      </c>
      <c r="E48" s="223">
        <f>'[1]TWIA 5'!I322</f>
        <v>1.102499999999994</v>
      </c>
      <c r="F48" s="26">
        <f t="shared" si="12"/>
        <v>35566069</v>
      </c>
      <c r="G48" s="224">
        <f>[1]ISO!T38</f>
        <v>27347012</v>
      </c>
      <c r="H48" s="37">
        <f t="shared" ref="H48:H55" si="13">ROUND(G48/F48,3)</f>
        <v>0.76900000000000002</v>
      </c>
      <c r="I48" s="37"/>
      <c r="K48" s="2"/>
      <c r="L48" s="64">
        <v>34607</v>
      </c>
      <c r="M48" s="64">
        <v>36525</v>
      </c>
      <c r="O48" s="204" t="s">
        <v>38</v>
      </c>
      <c r="P48" s="215" t="s">
        <v>305</v>
      </c>
      <c r="Q48" s="215" t="s">
        <v>218</v>
      </c>
      <c r="R48" s="204"/>
      <c r="S48" s="204"/>
      <c r="T48" s="216">
        <f>SUMPRODUCT($S$7:$S$47,T7:T47)</f>
        <v>1.0151909722222223</v>
      </c>
      <c r="U48" s="216">
        <f t="shared" ref="U48:BM48" si="14">SUMPRODUCT($S$7:$S$47,U7:U47)</f>
        <v>1.1428104166666666</v>
      </c>
      <c r="V48" s="216">
        <f t="shared" si="14"/>
        <v>1.1576560861111111</v>
      </c>
      <c r="W48" s="216">
        <f t="shared" si="14"/>
        <v>1.3642372778106464</v>
      </c>
      <c r="X48" s="216">
        <f t="shared" si="14"/>
        <v>1.487808026052257</v>
      </c>
      <c r="Y48" s="216">
        <f t="shared" si="14"/>
        <v>1.8145984187369675</v>
      </c>
      <c r="Z48" s="216">
        <f t="shared" si="14"/>
        <v>2.5485007097028989</v>
      </c>
      <c r="AA48" s="216">
        <f t="shared" si="14"/>
        <v>2.6203865119934049</v>
      </c>
      <c r="AB48" s="216">
        <f t="shared" si="14"/>
        <v>2.4328629760090004</v>
      </c>
      <c r="AC48" s="216">
        <f t="shared" si="14"/>
        <v>2.1901615490310262</v>
      </c>
      <c r="AD48" s="216">
        <f t="shared" si="14"/>
        <v>2.0849125090576712</v>
      </c>
      <c r="AE48" s="216">
        <f t="shared" si="14"/>
        <v>2.0975535338784841</v>
      </c>
      <c r="AF48" s="216">
        <f t="shared" si="14"/>
        <v>1.8450081871266777</v>
      </c>
      <c r="AG48" s="216">
        <f t="shared" si="14"/>
        <v>1.6058660757812344</v>
      </c>
      <c r="AH48" s="216">
        <f t="shared" si="14"/>
        <v>1.6058660757812344</v>
      </c>
      <c r="AI48" s="216">
        <f t="shared" si="14"/>
        <v>1.6058660757812344</v>
      </c>
      <c r="AJ48" s="216">
        <f t="shared" si="14"/>
        <v>1.6058660757812344</v>
      </c>
      <c r="AK48" s="216">
        <f t="shared" si="14"/>
        <v>1.6058660757812344</v>
      </c>
      <c r="AL48" s="216">
        <f t="shared" si="14"/>
        <v>1.5817780846445157</v>
      </c>
      <c r="AM48" s="216">
        <f t="shared" si="14"/>
        <v>1.5576900935077973</v>
      </c>
      <c r="AN48" s="216">
        <f t="shared" si="14"/>
        <v>1.6277861477156481</v>
      </c>
      <c r="AO48" s="216">
        <f t="shared" si="14"/>
        <v>1.7318398459619693</v>
      </c>
      <c r="AP48" s="216">
        <f t="shared" si="14"/>
        <v>1.8099424272504501</v>
      </c>
      <c r="AQ48" s="216">
        <f t="shared" si="14"/>
        <v>1.9467917327254842</v>
      </c>
      <c r="AR48" s="216">
        <f t="shared" si="14"/>
        <v>2.141470905998033</v>
      </c>
      <c r="AS48" s="216">
        <f t="shared" si="14"/>
        <v>2.3556179965978363</v>
      </c>
      <c r="AT48" s="216">
        <f t="shared" si="14"/>
        <v>2.5410013938539007</v>
      </c>
      <c r="AU48" s="216">
        <f t="shared" si="14"/>
        <v>2.8041805336873216</v>
      </c>
      <c r="AV48" s="216">
        <f t="shared" si="14"/>
        <v>2.9678572517439257</v>
      </c>
      <c r="AW48" s="216">
        <f t="shared" si="14"/>
        <v>3.2586565980220548</v>
      </c>
      <c r="AX48" s="216">
        <f t="shared" si="14"/>
        <v>3.5342312338124136</v>
      </c>
      <c r="AY48" s="216">
        <f t="shared" si="14"/>
        <v>3.6242852452008183</v>
      </c>
      <c r="AZ48" s="216">
        <f t="shared" si="14"/>
        <v>3.8054995074608593</v>
      </c>
      <c r="BA48" s="216">
        <f t="shared" si="14"/>
        <v>3.9957744828339026</v>
      </c>
      <c r="BB48" s="216">
        <f t="shared" si="14"/>
        <v>4.1955632069755975</v>
      </c>
      <c r="BC48" s="216">
        <f t="shared" si="14"/>
        <v>4.405341367324378</v>
      </c>
      <c r="BD48" s="216">
        <f t="shared" si="14"/>
        <v>4.6256084356905971</v>
      </c>
      <c r="BE48" s="216">
        <f t="shared" si="14"/>
        <v>4.7384281536342705</v>
      </c>
      <c r="BF48" s="216">
        <f t="shared" si="14"/>
        <v>4.856888857475127</v>
      </c>
      <c r="BG48" s="216">
        <f t="shared" si="14"/>
        <v>4.9753495613159844</v>
      </c>
      <c r="BH48" s="216">
        <f t="shared" si="14"/>
        <v>4.9753495613159844</v>
      </c>
      <c r="BI48" s="216">
        <f t="shared" si="14"/>
        <v>4.9753495613159844</v>
      </c>
      <c r="BJ48" s="216">
        <f t="shared" si="14"/>
        <v>5.0997333003488841</v>
      </c>
      <c r="BK48" s="216">
        <f t="shared" si="14"/>
        <v>5.2241170393817837</v>
      </c>
      <c r="BL48" s="216">
        <f t="shared" si="14"/>
        <v>5.2241170393817837</v>
      </c>
      <c r="BM48" s="216">
        <f t="shared" si="14"/>
        <v>5.2241170393817837</v>
      </c>
      <c r="IB48" s="164"/>
      <c r="IC48" s="164"/>
      <c r="ID48" s="164"/>
      <c r="IE48" s="164"/>
      <c r="IF48" s="165"/>
      <c r="IG48" s="164"/>
      <c r="IH48" s="164"/>
      <c r="II48" s="164"/>
      <c r="IJ48" s="165"/>
      <c r="IK48" s="164"/>
      <c r="IL48" s="164"/>
      <c r="IM48" s="164"/>
      <c r="IN48" s="165"/>
      <c r="IO48" s="164"/>
    </row>
    <row r="49" spans="1:249" x14ac:dyDescent="0.2">
      <c r="A49" s="22">
        <v>2018</v>
      </c>
      <c r="C49" s="224">
        <f>[1]ISO!O39</f>
        <v>32049111</v>
      </c>
      <c r="E49" s="223">
        <f>'[1]TWIA 5'!I323</f>
        <v>1.0755512293710299</v>
      </c>
      <c r="F49" s="26">
        <f t="shared" si="12"/>
        <v>34470461</v>
      </c>
      <c r="G49" s="224">
        <f>[1]ISO!T39</f>
        <v>110422</v>
      </c>
      <c r="H49" s="37">
        <f t="shared" si="13"/>
        <v>3.0000000000000001E-3</v>
      </c>
      <c r="I49" s="37"/>
      <c r="K49" s="2"/>
      <c r="M49" s="63">
        <v>43830</v>
      </c>
      <c r="N49" t="s">
        <v>211</v>
      </c>
      <c r="O49" t="s">
        <v>170</v>
      </c>
      <c r="P49" s="29">
        <v>1</v>
      </c>
      <c r="Q49" s="29">
        <f>'9.3'!$D$54/P49</f>
        <v>5.2241170393817837</v>
      </c>
      <c r="T49" s="29">
        <f>$S$47/T48</f>
        <v>5.1459451298570453</v>
      </c>
      <c r="U49" s="29">
        <f t="shared" ref="U49:BM49" si="15">$S$47/U48</f>
        <v>4.5712893085271444</v>
      </c>
      <c r="V49" s="29">
        <f t="shared" si="15"/>
        <v>4.5126675374990217</v>
      </c>
      <c r="W49" s="29">
        <f t="shared" si="15"/>
        <v>3.8293316891072973</v>
      </c>
      <c r="X49" s="29">
        <f t="shared" si="15"/>
        <v>3.5112843511426886</v>
      </c>
      <c r="Y49" s="29">
        <f t="shared" si="15"/>
        <v>2.8789383840739684</v>
      </c>
      <c r="Z49" s="29">
        <f t="shared" si="15"/>
        <v>2.0498785892003166</v>
      </c>
      <c r="AA49" s="29">
        <f t="shared" si="15"/>
        <v>1.9936436916734259</v>
      </c>
      <c r="AB49" s="29">
        <f t="shared" si="15"/>
        <v>2.1473124836449715</v>
      </c>
      <c r="AC49" s="29">
        <f t="shared" si="15"/>
        <v>2.385265617366465</v>
      </c>
      <c r="AD49" s="29">
        <f t="shared" si="15"/>
        <v>2.5056768649457406</v>
      </c>
      <c r="AE49" s="29">
        <f t="shared" si="15"/>
        <v>2.4905762618235174</v>
      </c>
      <c r="AF49" s="29">
        <f t="shared" si="15"/>
        <v>2.8314871857113864</v>
      </c>
      <c r="AG49" s="29">
        <f t="shared" si="15"/>
        <v>3.2531461484671529</v>
      </c>
      <c r="AH49" s="29">
        <f t="shared" si="15"/>
        <v>3.2531461484671529</v>
      </c>
      <c r="AI49" s="29">
        <f t="shared" si="15"/>
        <v>3.2531461484671529</v>
      </c>
      <c r="AJ49" s="29">
        <f t="shared" si="15"/>
        <v>3.2531461484671529</v>
      </c>
      <c r="AK49" s="29">
        <f t="shared" si="15"/>
        <v>3.2531461484671529</v>
      </c>
      <c r="AL49" s="29">
        <f t="shared" si="15"/>
        <v>3.3026864451443179</v>
      </c>
      <c r="AM49" s="29">
        <f t="shared" si="15"/>
        <v>3.3537589159455186</v>
      </c>
      <c r="AN49" s="29">
        <f t="shared" si="15"/>
        <v>3.209338675545951</v>
      </c>
      <c r="AO49" s="29">
        <f t="shared" si="15"/>
        <v>3.0165127864233838</v>
      </c>
      <c r="AP49" s="29">
        <f t="shared" si="15"/>
        <v>2.8863443172156207</v>
      </c>
      <c r="AQ49" s="29">
        <f t="shared" si="15"/>
        <v>2.6834493652118017</v>
      </c>
      <c r="AR49" s="29">
        <f t="shared" si="15"/>
        <v>2.4394994229198192</v>
      </c>
      <c r="AS49" s="29">
        <f t="shared" si="15"/>
        <v>2.2177267481089267</v>
      </c>
      <c r="AT49" s="29">
        <f t="shared" si="15"/>
        <v>2.0559284430216072</v>
      </c>
      <c r="AU49" s="29">
        <f t="shared" si="15"/>
        <v>1.8629745755036669</v>
      </c>
      <c r="AV49" s="29">
        <f t="shared" si="15"/>
        <v>1.7602319101810135</v>
      </c>
      <c r="AW49" s="29">
        <f t="shared" si="15"/>
        <v>1.6031505260642462</v>
      </c>
      <c r="AX49" s="29">
        <f t="shared" si="15"/>
        <v>1.478148059301279</v>
      </c>
      <c r="AY49" s="29">
        <f t="shared" si="15"/>
        <v>1.4414199451600616</v>
      </c>
      <c r="AZ49" s="29">
        <f t="shared" si="15"/>
        <v>1.3727809001524396</v>
      </c>
      <c r="BA49" s="29">
        <f t="shared" si="15"/>
        <v>1.3074103810975615</v>
      </c>
      <c r="BB49" s="29">
        <f t="shared" si="15"/>
        <v>1.2451527439024395</v>
      </c>
      <c r="BC49" s="29">
        <f t="shared" si="15"/>
        <v>1.1858597560975612</v>
      </c>
      <c r="BD49" s="29">
        <f t="shared" si="15"/>
        <v>1.1293902439024393</v>
      </c>
      <c r="BE49" s="29">
        <f t="shared" si="15"/>
        <v>1.1025</v>
      </c>
      <c r="BF49" s="29">
        <f t="shared" si="15"/>
        <v>1.075609756097561</v>
      </c>
      <c r="BG49" s="29">
        <f t="shared" si="15"/>
        <v>1.05</v>
      </c>
      <c r="BH49" s="29">
        <f t="shared" si="15"/>
        <v>1.05</v>
      </c>
      <c r="BI49" s="29">
        <f t="shared" si="15"/>
        <v>1.05</v>
      </c>
      <c r="BJ49" s="29">
        <f t="shared" si="15"/>
        <v>1.024390243902439</v>
      </c>
      <c r="BK49" s="29">
        <f t="shared" si="15"/>
        <v>1</v>
      </c>
      <c r="BL49" s="29">
        <f t="shared" si="15"/>
        <v>1</v>
      </c>
      <c r="BM49" s="29">
        <f t="shared" si="15"/>
        <v>1</v>
      </c>
      <c r="IA49" s="164"/>
      <c r="IB49" s="165"/>
      <c r="IC49" s="165"/>
      <c r="ID49" s="165"/>
      <c r="IE49" s="165"/>
      <c r="IF49" s="165"/>
      <c r="IG49" s="165"/>
      <c r="IH49" s="165"/>
      <c r="II49" s="165"/>
      <c r="IJ49" s="165"/>
      <c r="IK49" s="165"/>
      <c r="IL49" s="165"/>
      <c r="IM49" s="165"/>
      <c r="IN49" s="165"/>
      <c r="IO49" s="165"/>
    </row>
    <row r="50" spans="1:249" x14ac:dyDescent="0.2">
      <c r="A50" s="22">
        <v>2019</v>
      </c>
      <c r="C50" s="224">
        <f>[1]ISO!O40</f>
        <v>31291500</v>
      </c>
      <c r="E50" s="223">
        <f>'[1]TWIA 5'!I324</f>
        <v>1.049999999999998</v>
      </c>
      <c r="F50" s="26">
        <f t="shared" si="12"/>
        <v>32856075</v>
      </c>
      <c r="G50" s="224">
        <f>[1]ISO!T40</f>
        <v>369052</v>
      </c>
      <c r="H50" s="37">
        <f t="shared" si="13"/>
        <v>1.0999999999999999E-2</v>
      </c>
      <c r="I50" s="37"/>
      <c r="K50" s="2"/>
      <c r="L50" s="63">
        <f>[1]ISO!$E$1</f>
        <v>45657</v>
      </c>
      <c r="M50" s="63">
        <f>[1]ISO!$E$2</f>
        <v>45657</v>
      </c>
      <c r="O50" s="22">
        <v>1980</v>
      </c>
      <c r="P50" s="29">
        <f>T48</f>
        <v>1.0151909722222223</v>
      </c>
      <c r="Q50" s="29">
        <f>'9.3'!$D$54/P50</f>
        <v>5.1459451298570453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5"/>
      <c r="CW50" s="164"/>
      <c r="CX50" s="164"/>
      <c r="CY50" s="164"/>
      <c r="CZ50" s="165"/>
      <c r="DA50" s="164"/>
      <c r="DB50" s="164"/>
      <c r="DC50" s="164"/>
      <c r="DD50" s="165"/>
      <c r="DE50" s="164"/>
      <c r="DF50" s="164"/>
      <c r="DG50" s="164"/>
      <c r="DH50" s="164"/>
      <c r="DI50" s="164"/>
      <c r="DJ50" s="164"/>
      <c r="DK50" s="164"/>
      <c r="DL50" s="165"/>
      <c r="DM50" s="164"/>
      <c r="DN50" s="164"/>
      <c r="DO50" s="164"/>
      <c r="DP50" s="165"/>
      <c r="DQ50" s="164"/>
      <c r="DR50" s="164"/>
      <c r="DS50" s="164"/>
      <c r="DT50" s="165"/>
      <c r="DU50" s="164"/>
      <c r="DV50" s="164"/>
      <c r="DW50" s="164"/>
      <c r="DX50" s="165"/>
      <c r="DY50" s="164"/>
      <c r="DZ50" s="164"/>
      <c r="EA50" s="164"/>
      <c r="EB50" s="165"/>
      <c r="EC50" s="164"/>
      <c r="ED50" s="164"/>
      <c r="EE50" s="164"/>
      <c r="EF50" s="165"/>
      <c r="EG50" s="164"/>
      <c r="EH50" s="164"/>
      <c r="EI50" s="164"/>
      <c r="EJ50" s="164"/>
      <c r="EK50" s="164"/>
      <c r="EL50" s="164"/>
      <c r="EM50" s="164"/>
      <c r="EN50" s="165"/>
      <c r="EO50" s="164"/>
      <c r="EP50" s="164"/>
      <c r="ER50" s="166"/>
      <c r="EU50" s="164"/>
      <c r="EV50" s="164"/>
      <c r="EW50" s="164"/>
      <c r="EX50" s="164"/>
      <c r="EY50" s="164"/>
      <c r="EZ50" s="165"/>
      <c r="FA50" s="164"/>
      <c r="FB50" s="164"/>
      <c r="FD50" s="166"/>
      <c r="FG50" s="164"/>
      <c r="FH50" s="164"/>
      <c r="FI50" s="164"/>
      <c r="FJ50" s="164"/>
      <c r="FK50" s="164"/>
      <c r="FL50" s="165"/>
      <c r="FM50" s="164"/>
      <c r="FN50" s="164"/>
      <c r="FP50" s="166"/>
      <c r="FS50" s="164"/>
      <c r="FT50" s="164"/>
      <c r="FU50" s="164"/>
      <c r="FV50" s="164"/>
      <c r="FW50" s="164"/>
      <c r="FX50" s="165"/>
      <c r="FY50" s="164"/>
      <c r="FZ50" s="164"/>
      <c r="GB50" s="166"/>
      <c r="GE50" s="164"/>
      <c r="GF50" s="164"/>
      <c r="GG50" s="164"/>
      <c r="GH50" s="164"/>
      <c r="GI50" s="164"/>
      <c r="GJ50" s="165"/>
      <c r="GK50" s="164"/>
      <c r="GL50" s="164"/>
      <c r="GN50" s="166"/>
      <c r="GR50" s="166"/>
      <c r="GU50" s="164"/>
      <c r="GV50" s="164"/>
      <c r="GW50" s="164"/>
      <c r="GX50" s="164"/>
      <c r="GY50" s="164"/>
      <c r="GZ50" s="165"/>
      <c r="HA50" s="164"/>
      <c r="HB50" s="164"/>
      <c r="HD50" s="166"/>
      <c r="HH50" s="166"/>
      <c r="HK50" s="164"/>
      <c r="HL50" s="164"/>
      <c r="HM50" s="164"/>
      <c r="HN50" s="164"/>
      <c r="HO50" s="164"/>
      <c r="HP50" s="165"/>
      <c r="HQ50" s="164"/>
      <c r="HR50" s="164"/>
      <c r="HT50" s="166"/>
      <c r="HX50" s="166"/>
      <c r="IA50" s="165"/>
    </row>
    <row r="51" spans="1:249" x14ac:dyDescent="0.2">
      <c r="A51" s="22">
        <v>2020</v>
      </c>
      <c r="C51" s="224">
        <f>[1]ISO!O41</f>
        <v>32462250</v>
      </c>
      <c r="E51" s="223">
        <f>'[1]TWIA 5'!I325</f>
        <v>1.0499999999999974</v>
      </c>
      <c r="F51" s="26">
        <f>ROUND(C51*E51,0)</f>
        <v>34085362</v>
      </c>
      <c r="G51" s="224">
        <f>[1]ISO!T41</f>
        <v>870161</v>
      </c>
      <c r="H51" s="37">
        <f t="shared" si="13"/>
        <v>2.5999999999999999E-2</v>
      </c>
      <c r="I51" s="37"/>
      <c r="K51" s="2"/>
      <c r="N51" t="s">
        <v>212</v>
      </c>
      <c r="O51" s="22">
        <v>1981</v>
      </c>
      <c r="P51" s="29">
        <f>U48</f>
        <v>1.1428104166666666</v>
      </c>
      <c r="Q51" s="29">
        <f>'9.3'!$D$54/P51</f>
        <v>4.5712893085271444</v>
      </c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5"/>
      <c r="DJ51" s="165"/>
      <c r="DK51" s="165"/>
      <c r="DL51" s="165"/>
      <c r="DM51" s="165"/>
      <c r="DN51" s="165"/>
      <c r="DO51" s="165"/>
      <c r="DP51" s="165"/>
      <c r="DQ51" s="165"/>
      <c r="DR51" s="165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U51" s="165"/>
      <c r="EV51" s="165"/>
      <c r="EW51" s="165"/>
      <c r="EX51" s="165"/>
      <c r="EY51" s="165"/>
      <c r="EZ51" s="165"/>
      <c r="FA51" s="165"/>
      <c r="FB51" s="165"/>
      <c r="FG51" s="165"/>
      <c r="FH51" s="165"/>
      <c r="FI51" s="165"/>
      <c r="FJ51" s="165"/>
      <c r="FK51" s="165"/>
      <c r="FL51" s="165"/>
      <c r="FM51" s="165"/>
      <c r="FN51" s="165"/>
      <c r="FS51" s="165"/>
      <c r="FT51" s="165"/>
      <c r="FU51" s="165"/>
      <c r="FV51" s="165"/>
      <c r="FW51" s="165"/>
      <c r="FX51" s="165"/>
      <c r="FY51" s="165"/>
      <c r="FZ51" s="165"/>
      <c r="GE51" s="165"/>
      <c r="GF51" s="165"/>
      <c r="GG51" s="165"/>
      <c r="GH51" s="165"/>
      <c r="GI51" s="165"/>
      <c r="GJ51" s="165"/>
      <c r="GK51" s="165"/>
      <c r="GL51" s="165"/>
      <c r="GU51" s="165"/>
      <c r="GV51" s="165"/>
      <c r="GW51" s="165"/>
      <c r="GX51" s="165"/>
      <c r="GY51" s="165"/>
      <c r="GZ51" s="165"/>
      <c r="HA51" s="165"/>
      <c r="HB51" s="165"/>
      <c r="HK51" s="165"/>
      <c r="HL51" s="165"/>
      <c r="HM51" s="165"/>
      <c r="HN51" s="165"/>
      <c r="HO51" s="165"/>
      <c r="HP51" s="165"/>
      <c r="HQ51" s="165"/>
      <c r="HR51" s="165"/>
    </row>
    <row r="52" spans="1:249" x14ac:dyDescent="0.2">
      <c r="A52" s="22">
        <v>2021</v>
      </c>
      <c r="C52" s="224">
        <f>[1]ISO!O42</f>
        <v>32974545</v>
      </c>
      <c r="E52" s="223">
        <f>'[1]TWIA 5'!I326</f>
        <v>1.0499999999999947</v>
      </c>
      <c r="F52" s="26">
        <f t="shared" si="12"/>
        <v>34623272</v>
      </c>
      <c r="G52" s="224">
        <f>[1]ISO!T42</f>
        <v>7027156</v>
      </c>
      <c r="H52" s="37">
        <f t="shared" si="13"/>
        <v>0.20300000000000001</v>
      </c>
      <c r="I52" s="37"/>
      <c r="K52" s="2"/>
      <c r="O52" s="22">
        <v>1982</v>
      </c>
      <c r="P52" s="29">
        <f>V48</f>
        <v>1.1576560861111111</v>
      </c>
      <c r="Q52" s="29">
        <f>'9.3'!$D$54/P52</f>
        <v>4.5126675374990217</v>
      </c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CU52" s="165"/>
    </row>
    <row r="53" spans="1:249" x14ac:dyDescent="0.2">
      <c r="A53" s="22">
        <v>2022</v>
      </c>
      <c r="C53" s="224">
        <f>[1]ISO!O43</f>
        <v>37415148</v>
      </c>
      <c r="E53" s="223">
        <f>'[1]TWIA 5'!I327</f>
        <v>1.0224475776595738</v>
      </c>
      <c r="F53" s="26">
        <f t="shared" si="12"/>
        <v>38255027</v>
      </c>
      <c r="G53" s="224">
        <f>[1]ISO!T43</f>
        <v>998145</v>
      </c>
      <c r="H53" s="37">
        <f t="shared" si="13"/>
        <v>2.5999999999999999E-2</v>
      </c>
      <c r="I53" s="37"/>
      <c r="K53" s="2"/>
      <c r="O53" s="22">
        <v>1983</v>
      </c>
      <c r="P53" s="29">
        <f>W48</f>
        <v>1.3642372778106464</v>
      </c>
      <c r="Q53" s="29">
        <f>'9.3'!$D$54/P53</f>
        <v>3.8293316891072973</v>
      </c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</row>
    <row r="54" spans="1:249" x14ac:dyDescent="0.2">
      <c r="A54" s="22">
        <v>2023</v>
      </c>
      <c r="C54" s="224">
        <f>[1]ISO!O44</f>
        <v>46240441</v>
      </c>
      <c r="E54" s="223">
        <f>'[1]TWIA 5'!I328</f>
        <v>1</v>
      </c>
      <c r="F54" s="26">
        <f t="shared" si="12"/>
        <v>46240441</v>
      </c>
      <c r="G54" s="224">
        <f>[1]ISO!T44</f>
        <v>758071</v>
      </c>
      <c r="H54" s="37">
        <f t="shared" si="13"/>
        <v>1.6E-2</v>
      </c>
      <c r="I54" s="37"/>
      <c r="K54" s="2"/>
      <c r="O54" s="22">
        <v>1984</v>
      </c>
      <c r="P54" s="29">
        <f>X48</f>
        <v>1.487808026052257</v>
      </c>
      <c r="Q54" s="29">
        <f>'9.3'!$D$54/P54</f>
        <v>3.5112843511426886</v>
      </c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13">
        <v>1980</v>
      </c>
      <c r="BO54" s="171"/>
      <c r="BP54" s="171"/>
      <c r="BQ54" s="171"/>
      <c r="BR54" s="168">
        <f>BN54+1</f>
        <v>1981</v>
      </c>
      <c r="BS54" s="13"/>
      <c r="BT54" s="13"/>
      <c r="BU54" s="13"/>
      <c r="BV54" s="13">
        <f>BR54+1</f>
        <v>1982</v>
      </c>
      <c r="BW54" s="13"/>
      <c r="BX54" s="13"/>
      <c r="BY54" s="13"/>
      <c r="BZ54" s="13">
        <f>BV54+1</f>
        <v>1983</v>
      </c>
      <c r="CA54" s="13"/>
      <c r="CB54" s="13"/>
      <c r="CC54" s="13"/>
      <c r="CD54" s="13">
        <f>BZ54+1</f>
        <v>1984</v>
      </c>
      <c r="CE54" s="13"/>
      <c r="CF54" s="13"/>
      <c r="CG54" s="13"/>
      <c r="CH54" s="13">
        <f>CD54+1</f>
        <v>1985</v>
      </c>
      <c r="CI54" s="13"/>
      <c r="CJ54" s="13"/>
      <c r="CK54" s="13"/>
      <c r="CL54" s="13">
        <f>CH54+1</f>
        <v>1986</v>
      </c>
      <c r="CM54" s="13"/>
      <c r="CN54" s="13"/>
      <c r="CO54" s="13"/>
      <c r="CP54" s="13">
        <f>CL54+1</f>
        <v>1987</v>
      </c>
      <c r="CQ54" s="13"/>
      <c r="CR54" s="13"/>
      <c r="CS54" s="13"/>
      <c r="CT54" s="13">
        <f>CP54+1</f>
        <v>1988</v>
      </c>
      <c r="CU54" s="13"/>
      <c r="CV54" s="13"/>
      <c r="CW54" s="13"/>
      <c r="CX54" s="13">
        <f>CT54+1</f>
        <v>1989</v>
      </c>
      <c r="CY54" s="13"/>
      <c r="CZ54" s="13"/>
      <c r="DA54" s="13"/>
      <c r="DB54" s="13">
        <f>CX54+1</f>
        <v>1990</v>
      </c>
      <c r="DC54" s="13"/>
      <c r="DD54" s="13"/>
      <c r="DE54" s="13"/>
      <c r="DF54" s="13">
        <f>DB54+1</f>
        <v>1991</v>
      </c>
      <c r="DG54" s="13"/>
      <c r="DH54" s="13"/>
      <c r="DI54" s="13"/>
      <c r="DJ54" s="13">
        <f>DF54+1</f>
        <v>1992</v>
      </c>
      <c r="DK54" s="13"/>
      <c r="DL54" s="13"/>
      <c r="DM54" s="13"/>
      <c r="DN54" s="13">
        <f>DJ54+1</f>
        <v>1993</v>
      </c>
      <c r="DO54" s="13"/>
      <c r="DP54" s="13"/>
      <c r="DQ54" s="13"/>
      <c r="DR54" s="13">
        <f>DN54+1</f>
        <v>1994</v>
      </c>
      <c r="DS54" s="13"/>
      <c r="DT54" s="13"/>
      <c r="DU54" s="13"/>
      <c r="DV54" s="13">
        <f>DR54+1</f>
        <v>1995</v>
      </c>
      <c r="DW54" s="13"/>
      <c r="DX54" s="13"/>
      <c r="DY54" s="13"/>
      <c r="DZ54" s="13">
        <f>DV54+1</f>
        <v>1996</v>
      </c>
      <c r="EA54" s="13"/>
      <c r="EB54" s="13"/>
      <c r="EC54" s="13"/>
      <c r="ED54" s="13">
        <f>DZ54+1</f>
        <v>1997</v>
      </c>
      <c r="EE54" s="13"/>
      <c r="EF54" s="13"/>
      <c r="EG54" s="13"/>
      <c r="EH54" s="13">
        <f>ED54+1</f>
        <v>1998</v>
      </c>
      <c r="EI54" s="13"/>
      <c r="EJ54" s="13"/>
      <c r="EK54" s="13"/>
      <c r="EL54" s="13">
        <f>EH54+1</f>
        <v>1999</v>
      </c>
      <c r="EM54" s="13"/>
      <c r="EN54" s="13"/>
      <c r="EO54" s="13"/>
      <c r="EP54" s="13">
        <f>EL54+1</f>
        <v>2000</v>
      </c>
      <c r="EQ54" s="13"/>
      <c r="ER54" s="13"/>
      <c r="ES54" s="13"/>
      <c r="ET54" s="13">
        <f>EP54+1</f>
        <v>2001</v>
      </c>
      <c r="EU54" s="13"/>
      <c r="EV54" s="13"/>
      <c r="EW54" s="13"/>
      <c r="EX54" s="13">
        <f>ET54+1</f>
        <v>2002</v>
      </c>
      <c r="EY54" s="13"/>
      <c r="EZ54" s="13"/>
      <c r="FA54" s="13"/>
      <c r="FB54" s="13">
        <f>EX54+1</f>
        <v>2003</v>
      </c>
      <c r="FC54" s="13"/>
      <c r="FD54" s="13"/>
      <c r="FE54" s="13"/>
      <c r="FF54" s="13">
        <f>FB54+1</f>
        <v>2004</v>
      </c>
      <c r="FG54" s="13"/>
      <c r="FH54" s="13"/>
      <c r="FI54" s="13"/>
      <c r="FJ54" s="13">
        <f>FF54+1</f>
        <v>2005</v>
      </c>
      <c r="FK54" s="13"/>
      <c r="FL54" s="13"/>
      <c r="FM54" s="13"/>
      <c r="FN54" s="13">
        <f>FJ54+1</f>
        <v>2006</v>
      </c>
      <c r="FO54" s="13"/>
      <c r="FP54" s="13"/>
      <c r="FQ54" s="13"/>
      <c r="FR54" s="13">
        <f>FN54+1</f>
        <v>2007</v>
      </c>
      <c r="FS54" s="13"/>
      <c r="FT54" s="13"/>
      <c r="FU54" s="13"/>
      <c r="FV54" s="13">
        <f>FR54+1</f>
        <v>2008</v>
      </c>
      <c r="FW54" s="13"/>
      <c r="FX54" s="13"/>
      <c r="FY54" s="13"/>
      <c r="FZ54" s="13">
        <f>FV54+1</f>
        <v>2009</v>
      </c>
      <c r="GA54" s="13"/>
      <c r="GB54" s="13"/>
      <c r="GC54" s="13"/>
      <c r="GD54" s="13">
        <f>FZ54+1</f>
        <v>2010</v>
      </c>
      <c r="GE54" s="13"/>
      <c r="GF54" s="13"/>
      <c r="GG54" s="13"/>
      <c r="GH54" s="13">
        <f>GD54+1</f>
        <v>2011</v>
      </c>
      <c r="GI54" s="13"/>
      <c r="GJ54" s="13"/>
      <c r="GK54" s="13"/>
      <c r="GL54" s="13">
        <f>GH54+1</f>
        <v>2012</v>
      </c>
      <c r="GM54" s="13"/>
      <c r="GN54" s="13"/>
      <c r="GO54" s="13"/>
      <c r="GP54" s="13">
        <f>GL54+1</f>
        <v>2013</v>
      </c>
      <c r="GQ54" s="13"/>
      <c r="GR54" s="13"/>
      <c r="GS54" s="13"/>
      <c r="GT54" s="13">
        <f>GP54+1</f>
        <v>2014</v>
      </c>
      <c r="GU54" s="13"/>
      <c r="GV54" s="13"/>
      <c r="GW54" s="13"/>
      <c r="GX54" s="13">
        <f>GT54+1</f>
        <v>2015</v>
      </c>
      <c r="GY54" s="13"/>
      <c r="GZ54" s="13"/>
      <c r="HA54" s="13"/>
      <c r="HB54" s="13">
        <f>GX54+1</f>
        <v>2016</v>
      </c>
      <c r="HC54" s="13"/>
      <c r="HD54" s="13"/>
      <c r="HE54" s="13"/>
      <c r="HF54" s="13">
        <f>HB54+1</f>
        <v>2017</v>
      </c>
      <c r="HG54" s="13"/>
      <c r="HH54" s="13"/>
      <c r="HI54" s="13"/>
      <c r="HJ54" s="13">
        <f>HF54+1</f>
        <v>2018</v>
      </c>
      <c r="HK54" s="13"/>
      <c r="HL54" s="13"/>
      <c r="HM54" s="13"/>
      <c r="HN54" s="269">
        <f>HJ54+1</f>
        <v>2019</v>
      </c>
      <c r="HO54" s="269"/>
      <c r="HP54" s="269"/>
      <c r="HQ54" s="269"/>
      <c r="HR54" s="269">
        <v>2020</v>
      </c>
      <c r="HS54" s="269"/>
      <c r="HT54" s="269"/>
      <c r="HU54" s="269"/>
      <c r="HV54" s="269">
        <v>2021</v>
      </c>
      <c r="HW54" s="269"/>
      <c r="HX54" s="269"/>
      <c r="HY54" s="269"/>
      <c r="HZ54" s="269">
        <v>2022</v>
      </c>
      <c r="IA54" s="269"/>
      <c r="IB54" s="269"/>
      <c r="IC54" s="269"/>
      <c r="ID54" s="269">
        <v>2023</v>
      </c>
      <c r="IE54" s="269"/>
      <c r="IF54" s="269"/>
      <c r="IG54" s="269"/>
      <c r="IH54" s="269">
        <v>2024</v>
      </c>
      <c r="II54" s="269"/>
      <c r="IJ54" s="269"/>
      <c r="IK54" s="269"/>
      <c r="IL54" s="269">
        <v>2025</v>
      </c>
      <c r="IM54" s="269"/>
      <c r="IN54" s="269"/>
      <c r="IO54" s="269"/>
    </row>
    <row r="55" spans="1:249" x14ac:dyDescent="0.2">
      <c r="A55" s="22">
        <v>2024</v>
      </c>
      <c r="C55" s="224">
        <f>[1]ISO!O45</f>
        <v>49610030</v>
      </c>
      <c r="E55" s="223">
        <f>'[1]TWIA 5'!I329</f>
        <v>1</v>
      </c>
      <c r="F55" s="26">
        <f t="shared" si="12"/>
        <v>49610030</v>
      </c>
      <c r="G55" s="224">
        <f>[1]ISO!T45</f>
        <v>39881481</v>
      </c>
      <c r="H55" s="37">
        <f t="shared" si="13"/>
        <v>0.80400000000000005</v>
      </c>
      <c r="I55" s="37"/>
      <c r="K55" s="2"/>
      <c r="O55" s="22">
        <v>1985</v>
      </c>
      <c r="P55" s="29">
        <f>Y48</f>
        <v>1.8145984187369675</v>
      </c>
      <c r="Q55" s="29">
        <f>'9.3'!$D$54/P55</f>
        <v>2.8789383840739684</v>
      </c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172"/>
      <c r="BO55" s="169"/>
      <c r="BP55" s="169"/>
      <c r="BQ55" s="173"/>
      <c r="BR55" s="172"/>
      <c r="BS55" s="169"/>
      <c r="BT55" s="169"/>
      <c r="BU55" s="173"/>
      <c r="BV55" s="172"/>
      <c r="BW55" s="169"/>
      <c r="BX55" s="169"/>
      <c r="BY55" s="173"/>
      <c r="BZ55" s="172"/>
      <c r="CA55" s="169"/>
      <c r="CB55" s="169"/>
      <c r="CC55" s="173"/>
      <c r="CD55" s="172"/>
      <c r="CE55" s="169"/>
      <c r="CF55" s="169"/>
      <c r="CG55" s="173"/>
      <c r="CH55" s="172"/>
      <c r="CI55" s="169"/>
      <c r="CJ55" s="169"/>
      <c r="CK55" s="173"/>
      <c r="CL55" s="172"/>
      <c r="CM55" s="169"/>
      <c r="CN55" s="169"/>
      <c r="CO55" s="173"/>
      <c r="CP55" s="172"/>
      <c r="CQ55" s="169"/>
      <c r="CR55" s="169"/>
      <c r="CS55" s="173"/>
      <c r="CT55" s="172"/>
      <c r="CU55" s="169"/>
      <c r="CV55" s="169"/>
      <c r="CW55" s="173"/>
      <c r="CX55" s="172"/>
      <c r="CY55" s="169"/>
      <c r="CZ55" s="169"/>
      <c r="DA55" s="173"/>
      <c r="DB55" s="172"/>
      <c r="DC55" s="169"/>
      <c r="DD55" s="169"/>
      <c r="DE55" s="173"/>
      <c r="DF55" s="172"/>
      <c r="DG55" s="169"/>
      <c r="DH55" s="169"/>
      <c r="DI55" s="173"/>
      <c r="DJ55" s="172"/>
      <c r="DK55" s="169"/>
      <c r="DL55" s="169"/>
      <c r="DM55" s="173"/>
      <c r="DN55" s="172"/>
      <c r="DO55" s="169"/>
      <c r="DP55" s="169"/>
      <c r="DQ55" s="173"/>
      <c r="DR55" s="172"/>
      <c r="DS55" s="169"/>
      <c r="DT55" s="169"/>
      <c r="DU55" s="173"/>
      <c r="DV55" s="172"/>
      <c r="DW55" s="169"/>
      <c r="DX55" s="169"/>
      <c r="DY55" s="173"/>
      <c r="DZ55" s="172"/>
      <c r="EA55" s="169"/>
      <c r="EB55" s="169"/>
      <c r="EC55" s="173"/>
      <c r="ED55" s="172"/>
      <c r="EE55" s="169"/>
      <c r="EF55" s="169"/>
      <c r="EG55" s="173"/>
      <c r="EH55" s="172"/>
      <c r="EI55" s="169"/>
      <c r="EJ55" s="169"/>
      <c r="EK55" s="173"/>
      <c r="EL55" s="172"/>
      <c r="EM55" s="169"/>
      <c r="EN55" s="169"/>
      <c r="EO55" s="173"/>
      <c r="EP55" s="172"/>
      <c r="EQ55" s="169"/>
      <c r="ER55" s="169"/>
      <c r="ES55" s="173"/>
      <c r="ET55" s="172"/>
      <c r="EU55" s="169"/>
      <c r="EV55" s="169"/>
      <c r="EW55" s="173"/>
      <c r="EX55" s="172"/>
      <c r="EY55" s="169"/>
      <c r="EZ55" s="169"/>
      <c r="FA55" s="173"/>
      <c r="FB55" s="172"/>
      <c r="FC55" s="169"/>
      <c r="FD55" s="169"/>
      <c r="FE55" s="173"/>
      <c r="FF55" s="172"/>
      <c r="FG55" s="169"/>
      <c r="FH55" s="169"/>
      <c r="FI55" s="173"/>
      <c r="FJ55" s="172"/>
      <c r="FK55" s="169"/>
      <c r="FL55" s="169"/>
      <c r="FM55" s="173"/>
      <c r="FN55" s="172"/>
      <c r="FO55" s="169"/>
      <c r="FP55" s="169"/>
      <c r="FQ55" s="173"/>
      <c r="FR55" s="172"/>
      <c r="FS55" s="169"/>
      <c r="FT55" s="169"/>
      <c r="FU55" s="173"/>
      <c r="FV55" s="172"/>
      <c r="FW55" s="169"/>
      <c r="FX55" s="169"/>
      <c r="FY55" s="173"/>
      <c r="FZ55" s="172"/>
      <c r="GA55" s="169"/>
      <c r="GB55" s="169"/>
      <c r="GC55" s="173"/>
      <c r="GD55" s="172"/>
      <c r="GE55" s="169"/>
      <c r="GF55" s="169"/>
      <c r="GG55" s="173"/>
      <c r="GH55" s="172"/>
      <c r="GI55" s="169"/>
      <c r="GJ55" s="169"/>
      <c r="GK55" s="173"/>
      <c r="GL55" s="172"/>
      <c r="GM55" s="169"/>
      <c r="GN55" s="169"/>
      <c r="GO55" s="173"/>
      <c r="GP55" s="172"/>
      <c r="GQ55" s="169"/>
      <c r="GR55" s="169"/>
      <c r="GS55" s="173"/>
      <c r="GT55" s="172"/>
      <c r="GU55" s="169"/>
      <c r="GV55" s="169"/>
      <c r="GW55" s="173"/>
      <c r="GX55" s="172"/>
      <c r="GY55" s="169"/>
      <c r="GZ55" s="169"/>
      <c r="HA55" s="173"/>
      <c r="HB55" s="172"/>
      <c r="HC55" s="169"/>
      <c r="HD55" s="169"/>
      <c r="HE55" s="173"/>
      <c r="HF55" s="172"/>
      <c r="HG55" s="169"/>
      <c r="HH55" s="169"/>
      <c r="HI55" s="173"/>
      <c r="HJ55" s="172"/>
      <c r="HK55" s="169"/>
      <c r="HL55" s="169"/>
      <c r="HM55" s="173"/>
      <c r="HN55" s="172"/>
      <c r="HO55" s="169"/>
      <c r="HP55" s="169"/>
      <c r="HQ55" s="173"/>
      <c r="HR55" s="172"/>
      <c r="HS55" s="169"/>
      <c r="HT55" s="169"/>
      <c r="HU55" s="173"/>
      <c r="HV55" s="172"/>
      <c r="HW55" s="169"/>
      <c r="HX55" s="169"/>
      <c r="HY55" s="173"/>
      <c r="HZ55" s="172"/>
      <c r="IA55" s="169"/>
      <c r="IB55" s="169"/>
      <c r="IC55" s="173"/>
      <c r="ID55" s="172"/>
      <c r="IE55" s="169"/>
      <c r="IF55" s="169"/>
      <c r="IG55" s="173"/>
      <c r="IH55" s="172"/>
      <c r="II55" s="169"/>
      <c r="IJ55" s="169"/>
      <c r="IK55" s="173"/>
      <c r="IL55" s="172"/>
      <c r="IM55" s="169"/>
      <c r="IN55" s="169"/>
      <c r="IO55" s="173"/>
    </row>
    <row r="56" spans="1:249" x14ac:dyDescent="0.2">
      <c r="A56" s="204"/>
      <c r="B56" s="204"/>
      <c r="C56" s="210"/>
      <c r="D56" s="210"/>
      <c r="E56" s="211"/>
      <c r="F56" s="210"/>
      <c r="G56" s="208"/>
      <c r="H56" s="212"/>
      <c r="K56" s="2"/>
      <c r="O56" s="22">
        <v>1986</v>
      </c>
      <c r="P56" s="29">
        <f>Z48</f>
        <v>2.5485007097028989</v>
      </c>
      <c r="Q56" s="29">
        <f>'9.3'!$D$54/P56</f>
        <v>2.0498785892003166</v>
      </c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174"/>
      <c r="BO56" s="175"/>
      <c r="BP56" s="160"/>
      <c r="BQ56" s="159"/>
      <c r="BR56" s="174"/>
      <c r="BS56" s="167"/>
      <c r="BT56" s="176"/>
      <c r="BU56" s="159"/>
      <c r="BV56" s="177"/>
      <c r="BW56" s="175"/>
      <c r="BX56" s="176"/>
      <c r="BY56" s="178"/>
      <c r="BZ56" s="177"/>
      <c r="CA56" s="175"/>
      <c r="CB56" s="176"/>
      <c r="CC56" s="178"/>
      <c r="CD56" s="177"/>
      <c r="CE56" s="175"/>
      <c r="CF56" s="176"/>
      <c r="CG56" s="178"/>
      <c r="CH56" s="177"/>
      <c r="CI56" s="175"/>
      <c r="CJ56" s="176"/>
      <c r="CK56" s="178"/>
      <c r="CL56" s="177"/>
      <c r="CM56" s="175"/>
      <c r="CN56" s="176"/>
      <c r="CO56" s="178"/>
      <c r="CP56" s="177"/>
      <c r="CQ56" s="175"/>
      <c r="CR56" s="176"/>
      <c r="CS56" s="178"/>
      <c r="CT56" s="177"/>
      <c r="CU56" s="175"/>
      <c r="CV56" s="176"/>
      <c r="CW56" s="178"/>
      <c r="CX56" s="177"/>
      <c r="CY56" s="175"/>
      <c r="CZ56" s="176"/>
      <c r="DA56" s="178"/>
      <c r="DB56" s="177"/>
      <c r="DC56" s="175"/>
      <c r="DD56" s="176"/>
      <c r="DE56" s="178"/>
      <c r="DF56" s="177"/>
      <c r="DG56" s="175"/>
      <c r="DH56" s="176"/>
      <c r="DI56" s="178"/>
      <c r="DJ56" s="177"/>
      <c r="DK56" s="175"/>
      <c r="DL56" s="176"/>
      <c r="DM56" s="178"/>
      <c r="DN56" s="177"/>
      <c r="DO56" s="175"/>
      <c r="DP56" s="176"/>
      <c r="DQ56" s="178"/>
      <c r="DR56" s="177"/>
      <c r="DS56" s="175"/>
      <c r="DT56" s="176"/>
      <c r="DU56" s="178"/>
      <c r="DV56" s="177"/>
      <c r="DW56" s="175"/>
      <c r="DX56" s="176"/>
      <c r="DY56" s="178"/>
      <c r="DZ56" s="177"/>
      <c r="EA56" s="175"/>
      <c r="EB56" s="176"/>
      <c r="EC56" s="178"/>
      <c r="ED56" s="177"/>
      <c r="EE56" s="175"/>
      <c r="EF56" s="176"/>
      <c r="EG56" s="178"/>
      <c r="EH56" s="177"/>
      <c r="EI56" s="175"/>
      <c r="EJ56" s="176"/>
      <c r="EK56" s="178"/>
      <c r="EL56" s="177"/>
      <c r="EM56" s="175"/>
      <c r="EN56" s="176"/>
      <c r="EO56" s="178"/>
      <c r="EP56" s="177"/>
      <c r="EQ56" s="175"/>
      <c r="ER56" s="176"/>
      <c r="ES56" s="178"/>
      <c r="ET56" s="177"/>
      <c r="EU56" s="175"/>
      <c r="EV56" s="176"/>
      <c r="EW56" s="178"/>
      <c r="EX56" s="177"/>
      <c r="EY56" s="175"/>
      <c r="EZ56" s="176"/>
      <c r="FA56" s="178"/>
      <c r="FB56" s="177"/>
      <c r="FC56" s="175"/>
      <c r="FD56" s="176"/>
      <c r="FE56" s="178"/>
      <c r="FF56" s="177"/>
      <c r="FG56" s="175"/>
      <c r="FH56" s="176"/>
      <c r="FI56" s="178"/>
      <c r="FJ56" s="177"/>
      <c r="FK56" s="175"/>
      <c r="FL56" s="176"/>
      <c r="FM56" s="178"/>
      <c r="FN56" s="177"/>
      <c r="FO56" s="175"/>
      <c r="FP56" s="176"/>
      <c r="FQ56" s="178"/>
      <c r="FR56" s="177"/>
      <c r="FS56" s="175"/>
      <c r="FT56" s="176"/>
      <c r="FU56" s="178"/>
      <c r="FV56" s="177"/>
      <c r="FW56" s="175"/>
      <c r="FX56" s="176"/>
      <c r="FY56" s="178"/>
      <c r="FZ56" s="177"/>
      <c r="GA56" s="175"/>
      <c r="GB56" s="176"/>
      <c r="GC56" s="178"/>
      <c r="GD56" s="177"/>
      <c r="GE56" s="175"/>
      <c r="GF56" s="176"/>
      <c r="GG56" s="178"/>
      <c r="GH56" s="177"/>
      <c r="GI56" s="175"/>
      <c r="GJ56" s="176"/>
      <c r="GK56" s="178"/>
      <c r="GL56" s="177"/>
      <c r="GM56" s="175"/>
      <c r="GN56" s="176"/>
      <c r="GO56" s="178"/>
      <c r="GP56" s="177"/>
      <c r="GQ56" s="175"/>
      <c r="GR56" s="176"/>
      <c r="GS56" s="178"/>
      <c r="GT56" s="177"/>
      <c r="GU56" s="175"/>
      <c r="GV56" s="176"/>
      <c r="GW56" s="178"/>
      <c r="GX56" s="177"/>
      <c r="GY56" s="175"/>
      <c r="GZ56" s="176"/>
      <c r="HA56" s="178"/>
      <c r="HB56" s="177"/>
      <c r="HC56" s="175"/>
      <c r="HD56" s="176"/>
      <c r="HE56" s="178"/>
      <c r="HF56" s="177"/>
      <c r="HG56" s="175"/>
      <c r="HH56" s="176"/>
      <c r="HI56" s="178"/>
      <c r="HJ56" s="177"/>
      <c r="HK56" s="175"/>
      <c r="HL56" s="176"/>
      <c r="HM56" s="178"/>
      <c r="HN56" s="177"/>
      <c r="HO56" s="175"/>
      <c r="HP56" s="176"/>
      <c r="HQ56" s="159"/>
      <c r="HR56" s="177"/>
      <c r="HS56" s="175"/>
      <c r="HT56" s="176"/>
      <c r="HU56" s="159"/>
      <c r="HV56" s="177"/>
      <c r="HW56" s="175"/>
      <c r="HX56" s="176"/>
      <c r="HY56" s="159"/>
      <c r="HZ56" s="177"/>
      <c r="IA56" s="175"/>
      <c r="IB56" s="176"/>
      <c r="IC56" s="159"/>
      <c r="ID56" s="177"/>
      <c r="IE56" s="175"/>
      <c r="IF56" s="176"/>
      <c r="IG56" s="159"/>
      <c r="IH56" s="177"/>
      <c r="II56" s="175"/>
      <c r="IJ56" s="176"/>
      <c r="IK56" s="159"/>
      <c r="IL56" s="177"/>
      <c r="IM56" s="175"/>
      <c r="IN56" s="176"/>
      <c r="IO56" s="159"/>
    </row>
    <row r="57" spans="1:249" x14ac:dyDescent="0.2">
      <c r="A57" t="s">
        <v>7</v>
      </c>
      <c r="C57" s="209">
        <f>SUM(C14:C56)</f>
        <v>746986682</v>
      </c>
      <c r="D57" s="209"/>
      <c r="E57" s="209"/>
      <c r="F57" s="209">
        <f>SUM(F14:F56)</f>
        <v>1108476839.0249949</v>
      </c>
      <c r="G57" s="209">
        <f>SUM(G14:G56)</f>
        <v>477719415.44950092</v>
      </c>
      <c r="H57" s="37">
        <f>ROUND(G57/F57,3)</f>
        <v>0.43099999999999999</v>
      </c>
      <c r="K57" s="2"/>
      <c r="O57" s="22">
        <v>1987</v>
      </c>
      <c r="P57" s="29">
        <f>AA48</f>
        <v>2.6203865119934049</v>
      </c>
      <c r="Q57" s="29">
        <f>'9.3'!$D$54/P57</f>
        <v>1.9936436916734259</v>
      </c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174"/>
      <c r="BO57" s="167"/>
      <c r="BP57" s="160"/>
      <c r="BQ57" s="159"/>
      <c r="BR57" s="174"/>
      <c r="BS57" s="167"/>
      <c r="BT57" s="160"/>
      <c r="BU57" s="159"/>
      <c r="BV57" s="177"/>
      <c r="BW57" s="175"/>
      <c r="BX57" s="176"/>
      <c r="BY57" s="178"/>
      <c r="BZ57" s="177"/>
      <c r="CA57" s="175"/>
      <c r="CB57" s="176"/>
      <c r="CC57" s="178"/>
      <c r="CD57" s="177"/>
      <c r="CE57" s="175"/>
      <c r="CF57" s="176"/>
      <c r="CG57" s="178"/>
      <c r="CH57" s="177"/>
      <c r="CI57" s="175"/>
      <c r="CJ57" s="176"/>
      <c r="CK57" s="178"/>
      <c r="CL57" s="177"/>
      <c r="CM57" s="175"/>
      <c r="CN57" s="176"/>
      <c r="CO57" s="178"/>
      <c r="CP57" s="177"/>
      <c r="CQ57" s="175"/>
      <c r="CR57" s="176"/>
      <c r="CS57" s="178"/>
      <c r="CT57" s="177"/>
      <c r="CU57" s="175"/>
      <c r="CV57" s="176"/>
      <c r="CW57" s="178"/>
      <c r="CX57" s="177"/>
      <c r="CY57" s="175"/>
      <c r="CZ57" s="176"/>
      <c r="DA57" s="178"/>
      <c r="DB57" s="177"/>
      <c r="DC57" s="175"/>
      <c r="DD57" s="176"/>
      <c r="DE57" s="178"/>
      <c r="DF57" s="177"/>
      <c r="DG57" s="175"/>
      <c r="DH57" s="176"/>
      <c r="DI57" s="178"/>
      <c r="DJ57" s="177"/>
      <c r="DK57" s="175"/>
      <c r="DL57" s="176"/>
      <c r="DM57" s="178"/>
      <c r="DN57" s="177"/>
      <c r="DO57" s="175"/>
      <c r="DP57" s="176"/>
      <c r="DQ57" s="178"/>
      <c r="DR57" s="177"/>
      <c r="DS57" s="175"/>
      <c r="DT57" s="176"/>
      <c r="DU57" s="178"/>
      <c r="DV57" s="177"/>
      <c r="DW57" s="175"/>
      <c r="DX57" s="176"/>
      <c r="DY57" s="178"/>
      <c r="DZ57" s="177"/>
      <c r="EA57" s="175"/>
      <c r="EB57" s="176"/>
      <c r="EC57" s="178"/>
      <c r="ED57" s="177"/>
      <c r="EE57" s="175"/>
      <c r="EF57" s="176"/>
      <c r="EG57" s="178"/>
      <c r="EH57" s="177"/>
      <c r="EI57" s="175"/>
      <c r="EJ57" s="176"/>
      <c r="EK57" s="178"/>
      <c r="EL57" s="177"/>
      <c r="EM57" s="175"/>
      <c r="EN57" s="176"/>
      <c r="EO57" s="178"/>
      <c r="EP57" s="177"/>
      <c r="EQ57" s="175"/>
      <c r="ER57" s="176"/>
      <c r="ES57" s="178"/>
      <c r="ET57" s="177"/>
      <c r="EU57" s="175"/>
      <c r="EV57" s="176"/>
      <c r="EW57" s="178"/>
      <c r="EX57" s="177"/>
      <c r="EY57" s="175"/>
      <c r="EZ57" s="176"/>
      <c r="FA57" s="178"/>
      <c r="FB57" s="177"/>
      <c r="FC57" s="175"/>
      <c r="FD57" s="176"/>
      <c r="FE57" s="178"/>
      <c r="FF57" s="177"/>
      <c r="FG57" s="175"/>
      <c r="FH57" s="176"/>
      <c r="FI57" s="178"/>
      <c r="FJ57" s="177"/>
      <c r="FK57" s="175"/>
      <c r="FL57" s="176"/>
      <c r="FM57" s="178"/>
      <c r="FN57" s="177"/>
      <c r="FO57" s="175"/>
      <c r="FP57" s="176"/>
      <c r="FQ57" s="178"/>
      <c r="FR57" s="177"/>
      <c r="FS57" s="175"/>
      <c r="FT57" s="176"/>
      <c r="FU57" s="178"/>
      <c r="FV57" s="177"/>
      <c r="FW57" s="175"/>
      <c r="FX57" s="176"/>
      <c r="FY57" s="178"/>
      <c r="FZ57" s="177"/>
      <c r="GA57" s="175"/>
      <c r="GB57" s="176"/>
      <c r="GC57" s="178"/>
      <c r="GD57" s="177"/>
      <c r="GE57" s="175"/>
      <c r="GF57" s="176"/>
      <c r="GG57" s="178"/>
      <c r="GH57" s="177"/>
      <c r="GI57" s="175"/>
      <c r="GJ57" s="176"/>
      <c r="GK57" s="178"/>
      <c r="GL57" s="177"/>
      <c r="GM57" s="175"/>
      <c r="GN57" s="176"/>
      <c r="GO57" s="178"/>
      <c r="GP57" s="177"/>
      <c r="GQ57" s="175"/>
      <c r="GR57" s="176"/>
      <c r="GS57" s="178"/>
      <c r="GT57" s="177"/>
      <c r="GU57" s="175"/>
      <c r="GV57" s="176"/>
      <c r="GW57" s="178"/>
      <c r="GX57" s="177"/>
      <c r="GY57" s="175"/>
      <c r="GZ57" s="176"/>
      <c r="HA57" s="178"/>
      <c r="HB57" s="177"/>
      <c r="HC57" s="175"/>
      <c r="HD57" s="176"/>
      <c r="HE57" s="178"/>
      <c r="HF57" s="177"/>
      <c r="HG57" s="175"/>
      <c r="HH57" s="176"/>
      <c r="HI57" s="178"/>
      <c r="HJ57" s="177"/>
      <c r="HK57" s="175"/>
      <c r="HL57" s="176"/>
      <c r="HM57" s="178"/>
      <c r="HN57" s="177"/>
      <c r="HO57" s="175"/>
      <c r="HP57" s="176"/>
      <c r="HQ57" s="159"/>
      <c r="HR57" s="177"/>
      <c r="HS57" s="175"/>
      <c r="HT57" s="176"/>
      <c r="HU57" s="159"/>
      <c r="HV57" s="177"/>
      <c r="HW57" s="175"/>
      <c r="HX57" s="176"/>
      <c r="HY57" s="159"/>
      <c r="HZ57" s="177"/>
      <c r="IA57" s="175"/>
      <c r="IB57" s="176"/>
      <c r="IC57" s="159"/>
      <c r="ID57" s="177"/>
      <c r="IE57" s="175"/>
      <c r="IF57" s="176"/>
      <c r="IG57" s="159"/>
      <c r="IH57" s="177"/>
      <c r="II57" s="175"/>
      <c r="IJ57" s="176"/>
      <c r="IK57" s="159"/>
      <c r="IL57" s="177"/>
      <c r="IM57" s="175"/>
      <c r="IN57" s="176"/>
      <c r="IO57" s="159"/>
    </row>
    <row r="58" spans="1:249" ht="12" thickBot="1" x14ac:dyDescent="0.25">
      <c r="A58" s="6"/>
      <c r="B58" s="6"/>
      <c r="C58" s="6"/>
      <c r="D58" s="6"/>
      <c r="E58" s="6"/>
      <c r="F58" s="6"/>
      <c r="G58" s="6"/>
      <c r="H58" s="6"/>
      <c r="K58" s="2"/>
      <c r="O58" s="22">
        <v>1988</v>
      </c>
      <c r="P58" s="29">
        <f>AB48</f>
        <v>2.4328629760090004</v>
      </c>
      <c r="Q58" s="29">
        <f>'9.3'!$D$54/P58</f>
        <v>2.1473124836449715</v>
      </c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170"/>
      <c r="BO58" s="161"/>
      <c r="BP58" s="161"/>
      <c r="BQ58" s="162"/>
      <c r="BR58" s="170"/>
      <c r="BS58" s="161"/>
      <c r="BT58" s="161"/>
      <c r="BU58" s="162"/>
      <c r="BV58" s="170"/>
      <c r="BW58" s="161"/>
      <c r="BX58" s="161"/>
      <c r="BY58" s="162"/>
      <c r="BZ58" s="170"/>
      <c r="CA58" s="161"/>
      <c r="CB58" s="161"/>
      <c r="CC58" s="162"/>
      <c r="CD58" s="170"/>
      <c r="CE58" s="161"/>
      <c r="CF58" s="161"/>
      <c r="CG58" s="162"/>
      <c r="CH58" s="170"/>
      <c r="CI58" s="161"/>
      <c r="CJ58" s="161"/>
      <c r="CK58" s="162"/>
      <c r="CL58" s="170"/>
      <c r="CM58" s="161"/>
      <c r="CN58" s="161"/>
      <c r="CO58" s="162"/>
      <c r="CP58" s="170"/>
      <c r="CQ58" s="161"/>
      <c r="CR58" s="161"/>
      <c r="CS58" s="162"/>
      <c r="CT58" s="170"/>
      <c r="CU58" s="161"/>
      <c r="CV58" s="161"/>
      <c r="CW58" s="162"/>
      <c r="CX58" s="170"/>
      <c r="CY58" s="161"/>
      <c r="CZ58" s="161"/>
      <c r="DA58" s="162"/>
      <c r="DB58" s="170"/>
      <c r="DC58" s="161"/>
      <c r="DD58" s="161"/>
      <c r="DE58" s="162"/>
      <c r="DF58" s="170"/>
      <c r="DG58" s="161"/>
      <c r="DH58" s="161"/>
      <c r="DI58" s="162"/>
      <c r="DJ58" s="170"/>
      <c r="DK58" s="161"/>
      <c r="DL58" s="161"/>
      <c r="DM58" s="162"/>
      <c r="DN58" s="170"/>
      <c r="DO58" s="161"/>
      <c r="DP58" s="161"/>
      <c r="DQ58" s="162"/>
      <c r="DR58" s="170"/>
      <c r="DS58" s="161"/>
      <c r="DT58" s="161"/>
      <c r="DU58" s="162"/>
      <c r="DV58" s="170"/>
      <c r="DW58" s="161"/>
      <c r="DX58" s="161"/>
      <c r="DY58" s="162"/>
      <c r="DZ58" s="170"/>
      <c r="EA58" s="161"/>
      <c r="EB58" s="161"/>
      <c r="EC58" s="162"/>
      <c r="ED58" s="170"/>
      <c r="EE58" s="161"/>
      <c r="EF58" s="161"/>
      <c r="EG58" s="162"/>
      <c r="EH58" s="170"/>
      <c r="EI58" s="161"/>
      <c r="EJ58" s="161"/>
      <c r="EK58" s="162"/>
      <c r="EL58" s="170"/>
      <c r="EM58" s="161"/>
      <c r="EN58" s="161"/>
      <c r="EO58" s="162"/>
      <c r="EP58" s="170"/>
      <c r="EQ58" s="161"/>
      <c r="ER58" s="161"/>
      <c r="ES58" s="162"/>
      <c r="ET58" s="170"/>
      <c r="EU58" s="161"/>
      <c r="EV58" s="161"/>
      <c r="EW58" s="162"/>
      <c r="EX58" s="170"/>
      <c r="EY58" s="161"/>
      <c r="EZ58" s="161"/>
      <c r="FA58" s="162"/>
      <c r="FB58" s="170"/>
      <c r="FC58" s="161"/>
      <c r="FD58" s="161"/>
      <c r="FE58" s="162"/>
      <c r="FF58" s="170"/>
      <c r="FG58" s="161"/>
      <c r="FH58" s="161"/>
      <c r="FI58" s="162"/>
      <c r="FJ58" s="170"/>
      <c r="FK58" s="161"/>
      <c r="FL58" s="161"/>
      <c r="FM58" s="162"/>
      <c r="FN58" s="170"/>
      <c r="FO58" s="161"/>
      <c r="FP58" s="161"/>
      <c r="FQ58" s="162"/>
      <c r="FR58" s="170"/>
      <c r="FS58" s="161"/>
      <c r="FT58" s="161"/>
      <c r="FU58" s="162"/>
      <c r="FV58" s="170"/>
      <c r="FW58" s="161"/>
      <c r="FX58" s="161"/>
      <c r="FY58" s="162"/>
      <c r="FZ58" s="170"/>
      <c r="GA58" s="161"/>
      <c r="GB58" s="161"/>
      <c r="GC58" s="162"/>
      <c r="GD58" s="170"/>
      <c r="GE58" s="161"/>
      <c r="GF58" s="161"/>
      <c r="GG58" s="162"/>
      <c r="GH58" s="170"/>
      <c r="GI58" s="161"/>
      <c r="GJ58" s="161"/>
      <c r="GK58" s="162"/>
      <c r="GL58" s="170"/>
      <c r="GM58" s="161"/>
      <c r="GN58" s="161"/>
      <c r="GO58" s="162"/>
      <c r="GP58" s="170"/>
      <c r="GQ58" s="161"/>
      <c r="GR58" s="161"/>
      <c r="GS58" s="162"/>
      <c r="GT58" s="170"/>
      <c r="GU58" s="161"/>
      <c r="GV58" s="161"/>
      <c r="GW58" s="162"/>
      <c r="GX58" s="170"/>
      <c r="GY58" s="161"/>
      <c r="GZ58" s="161"/>
      <c r="HA58" s="162"/>
      <c r="HB58" s="170"/>
      <c r="HC58" s="161"/>
      <c r="HD58" s="161"/>
      <c r="HE58" s="162"/>
      <c r="HF58" s="170"/>
      <c r="HG58" s="161"/>
      <c r="HH58" s="161"/>
      <c r="HI58" s="162"/>
      <c r="HJ58" s="170"/>
      <c r="HK58" s="161"/>
      <c r="HL58" s="161"/>
      <c r="HM58" s="162"/>
      <c r="HN58" s="170"/>
      <c r="HO58" s="161"/>
      <c r="HP58" s="161"/>
      <c r="HQ58" s="162"/>
      <c r="HR58" s="170"/>
      <c r="HS58" s="161"/>
      <c r="HT58" s="161"/>
      <c r="HU58" s="162"/>
      <c r="HV58" s="170"/>
      <c r="HW58" s="161"/>
      <c r="HX58" s="161"/>
      <c r="HY58" s="162"/>
      <c r="HZ58" s="170"/>
      <c r="IA58" s="161"/>
      <c r="IB58" s="161"/>
      <c r="IC58" s="162"/>
      <c r="ID58" s="170"/>
      <c r="IE58" s="161"/>
      <c r="IF58" s="161"/>
      <c r="IG58" s="162"/>
      <c r="IH58" s="170"/>
      <c r="II58" s="161"/>
      <c r="IJ58" s="161"/>
      <c r="IK58" s="162"/>
      <c r="IL58" s="170"/>
      <c r="IM58" s="161"/>
      <c r="IN58" s="161"/>
      <c r="IO58" s="162"/>
    </row>
    <row r="59" spans="1:249" ht="12" thickTop="1" x14ac:dyDescent="0.2">
      <c r="K59" s="2"/>
      <c r="L59" s="29"/>
      <c r="O59" s="22">
        <v>1989</v>
      </c>
      <c r="P59" s="29">
        <f>AC48</f>
        <v>2.1901615490310262</v>
      </c>
      <c r="Q59" s="29">
        <f>'9.3'!$D$54/P59</f>
        <v>2.385265617366465</v>
      </c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P59" s="259"/>
    </row>
    <row r="60" spans="1:249" x14ac:dyDescent="0.2">
      <c r="A60" t="s">
        <v>17</v>
      </c>
      <c r="K60" s="2"/>
      <c r="O60" s="22">
        <v>1990</v>
      </c>
      <c r="P60" s="29">
        <f>AD48</f>
        <v>2.0849125090576712</v>
      </c>
      <c r="Q60" s="29">
        <f>'9.3'!$D$54/P60</f>
        <v>2.5056768649457406</v>
      </c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</row>
    <row r="61" spans="1:249" x14ac:dyDescent="0.2">
      <c r="B61" s="12" t="str">
        <f>C12&amp;" Provided by TDI. "&amp;A14&amp;" - "&amp;A26&amp;" are year ending "&amp;TEXT($L$48,"m/d/xx")&amp;" as of "&amp;TEXT($M$48,"m/d/yy")&amp;"; "&amp;A27&amp;" - "&amp;YEAR(L50)&amp;" are year ending "&amp;TEXT($L$50,"m/d/xx")&amp;" as of "&amp;TEXT($M$50,"m/d/yy")</f>
        <v>(2) Provided by TDI. 1983 - 1995 are year ending 9/30/xx as of 12/31/99; 1996 - 2024 are year ending 12/31/xx as of 12/31/24</v>
      </c>
      <c r="K61" s="2"/>
      <c r="O61" s="22">
        <v>1991</v>
      </c>
      <c r="P61" s="29">
        <f>AE48</f>
        <v>2.0975535338784841</v>
      </c>
      <c r="Q61" s="29">
        <f>'9.3'!$D$54/P61</f>
        <v>2.4905762618235174</v>
      </c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</row>
    <row r="62" spans="1:249" x14ac:dyDescent="0.2">
      <c r="B62" s="12" t="str">
        <f>D12&amp;" Provided by TDI (1992 MR = 1992 manual rates)"</f>
        <v>(3) Provided by TDI (1992 MR = 1992 manual rates)</v>
      </c>
      <c r="C62" s="12"/>
      <c r="K62" s="2"/>
      <c r="O62" s="22">
        <v>1992</v>
      </c>
      <c r="P62" s="29">
        <f>AF48</f>
        <v>1.8450081871266777</v>
      </c>
      <c r="Q62" s="29">
        <f>'9.3'!$D$54/P62</f>
        <v>2.8314871857113864</v>
      </c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</row>
    <row r="63" spans="1:249" x14ac:dyDescent="0.2">
      <c r="B63" s="12" t="str">
        <f>E12&amp;" Represents "&amp;$P$8&amp;" through "&amp;TEXT($L$1,"m/d/yy")&amp;" rate changes for TWIA; factors assume uniform earning of written premium"</f>
        <v>(4) Represents 8/1/80 through 6/30/24 rate changes for TWIA; factors assume uniform earning of written premium</v>
      </c>
      <c r="K63" s="2"/>
      <c r="O63" s="22">
        <v>1993</v>
      </c>
      <c r="P63" s="29">
        <f>AG48</f>
        <v>1.6058660757812344</v>
      </c>
      <c r="Q63" s="29">
        <f>'9.3'!$D$54/P63</f>
        <v>3.2531461484671529</v>
      </c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</row>
    <row r="64" spans="1:249" x14ac:dyDescent="0.2">
      <c r="B64" s="12" t="str">
        <f>"      and that TWIA premium represents "&amp;TEXT(L32,"0.0%")&amp;" of industry data in "&amp;LEFT(A5,FIND("(",A5)-2)</f>
        <v xml:space="preserve">      and that TWIA premium represents 81.8% of industry data in Tier 1 - Territory 8</v>
      </c>
      <c r="K64" s="2"/>
      <c r="O64" s="22">
        <v>1994</v>
      </c>
      <c r="P64" s="29">
        <f>AH48</f>
        <v>1.6058660757812344</v>
      </c>
      <c r="Q64" s="29">
        <f>'9.3'!$D$54/P64</f>
        <v>3.2531461484671529</v>
      </c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</row>
    <row r="65" spans="1:60" x14ac:dyDescent="0.2">
      <c r="B65" s="12" t="str">
        <f>F12&amp;" = "&amp;D12&amp;" x "&amp;ROUND(E23,3)&amp;" for "&amp;A14&amp;" - "&amp;A23&amp;"; "&amp;C12&amp;" x "&amp;E12&amp;" for "&amp;A24&amp;" - "&amp;YEAR(L50)</f>
        <v>(5) = (3) x 2.831 for 1983 - 1992; (2) x (4) for 1993 - 2024</v>
      </c>
      <c r="K65" s="2"/>
      <c r="O65" s="22">
        <v>1995</v>
      </c>
      <c r="P65" s="29">
        <f>AI48</f>
        <v>1.6058660757812344</v>
      </c>
      <c r="Q65" s="29">
        <f>'9.3'!$D$54/P65</f>
        <v>3.2531461484671529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</row>
    <row r="66" spans="1:60" x14ac:dyDescent="0.2">
      <c r="B66" s="12" t="str">
        <f>G12&amp;" Provided by TDI. "&amp;A14&amp;" - "&amp;A26&amp;" are year ending "&amp;TEXT($L$48,"m/d/xx")&amp;" as of "&amp;TEXT($M$48,"m/d/yy")&amp;"; "&amp;A27&amp;" - "&amp;A42&amp;" are year ending "&amp;TEXT($L$50,"m/d/xx")&amp;" as of "&amp;TEXT($M$49,"m/d/yy")</f>
        <v>(6) Provided by TDI. 1983 - 1995 are year ending 9/30/xx as of 12/31/99; 1996 - 2011 are year ending 12/31/xx as of 12/31/19</v>
      </c>
      <c r="D66" s="41"/>
      <c r="E66" s="41"/>
      <c r="F66" s="41"/>
      <c r="G66" s="21"/>
      <c r="K66" s="2"/>
      <c r="O66" s="22">
        <v>1996</v>
      </c>
      <c r="P66" s="29">
        <f>AJ48</f>
        <v>1.6058660757812344</v>
      </c>
      <c r="Q66" s="29">
        <f>'9.3'!$D$54/P66</f>
        <v>3.2531461484671529</v>
      </c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</row>
    <row r="67" spans="1:60" x14ac:dyDescent="0.2">
      <c r="B67" t="str">
        <f>"    2011 - "&amp;YEAR(M50)&amp;" are year ending 12/31/xx as of "&amp;TEXT(M50,"m/d/yy")&amp;"; "&amp;" 2008 IKE incurred loss was adjusted down by $99,433,917"</f>
        <v xml:space="preserve">    2011 - 2024 are year ending 12/31/xx as of 12/31/24;  2008 IKE incurred loss was adjusted down by $99,433,917</v>
      </c>
      <c r="K67" s="2"/>
      <c r="O67" s="22">
        <v>1997</v>
      </c>
      <c r="P67" s="29">
        <f>AK48</f>
        <v>1.6058660757812344</v>
      </c>
      <c r="Q67" s="29">
        <f>'9.3'!$D$54/P67</f>
        <v>3.2531461484671529</v>
      </c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</row>
    <row r="68" spans="1:60" x14ac:dyDescent="0.2">
      <c r="B68" s="12" t="str">
        <f>H12&amp;" = "&amp;G12&amp;" / "&amp;F12</f>
        <v>(7) = (6) / (5)</v>
      </c>
      <c r="I68" s="18"/>
      <c r="K68" s="2"/>
      <c r="O68" s="22">
        <v>1998</v>
      </c>
      <c r="P68" s="29">
        <f>AL48</f>
        <v>1.5817780846445157</v>
      </c>
      <c r="Q68" s="29">
        <f>'9.3'!$D$54/P68</f>
        <v>3.3026864451443179</v>
      </c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</row>
    <row r="69" spans="1:60" x14ac:dyDescent="0.2">
      <c r="A69" s="40"/>
      <c r="D69" s="31"/>
      <c r="E69" s="31"/>
      <c r="F69" s="31"/>
      <c r="G69" s="18"/>
      <c r="H69" s="18"/>
      <c r="I69" s="18"/>
      <c r="K69" s="2"/>
      <c r="O69" s="22">
        <v>1999</v>
      </c>
      <c r="P69" s="29">
        <f>AM48</f>
        <v>1.5576900935077973</v>
      </c>
      <c r="Q69" s="29">
        <f>'9.3'!$D$54/P69</f>
        <v>3.3537589159455186</v>
      </c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</row>
    <row r="70" spans="1:60" ht="12" thickBot="1" x14ac:dyDescent="0.25">
      <c r="A70" s="40"/>
      <c r="C70" s="31"/>
      <c r="D70" s="31"/>
      <c r="E70" s="31"/>
      <c r="F70" s="31"/>
      <c r="G70" s="18"/>
      <c r="H70" s="18"/>
      <c r="I70" s="18"/>
      <c r="K70" s="2"/>
      <c r="O70" s="22">
        <v>2000</v>
      </c>
      <c r="P70" s="29">
        <f>AN48</f>
        <v>1.6277861477156481</v>
      </c>
      <c r="Q70" s="29">
        <f>'9.3'!$D$54/P70</f>
        <v>3.209338675545951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</row>
    <row r="71" spans="1:60" ht="12" customHeight="1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  <c r="O71" s="22">
        <v>2001</v>
      </c>
      <c r="P71" s="29">
        <f>AO48</f>
        <v>1.7318398459619693</v>
      </c>
      <c r="Q71" s="29">
        <f>'9.3'!$D$54/P71</f>
        <v>3.0165127864233838</v>
      </c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</row>
    <row r="72" spans="1:60" x14ac:dyDescent="0.2">
      <c r="O72" s="22">
        <v>2002</v>
      </c>
      <c r="P72" s="29">
        <f>AP48</f>
        <v>1.8099424272504501</v>
      </c>
      <c r="Q72" s="29">
        <f>'9.3'!$D$54/P72</f>
        <v>2.8863443172156207</v>
      </c>
    </row>
    <row r="73" spans="1:60" x14ac:dyDescent="0.2">
      <c r="O73" s="22">
        <v>2003</v>
      </c>
      <c r="P73" s="29">
        <f>AQ48</f>
        <v>1.9467917327254842</v>
      </c>
      <c r="Q73" s="29">
        <f>'9.3'!$D$54/P73</f>
        <v>2.6834493652118017</v>
      </c>
    </row>
    <row r="74" spans="1:60" x14ac:dyDescent="0.2">
      <c r="O74" s="22">
        <v>2004</v>
      </c>
      <c r="P74" s="29">
        <f>AR48</f>
        <v>2.141470905998033</v>
      </c>
      <c r="Q74" s="29">
        <f>'9.3'!$D$54/P74</f>
        <v>2.4394994229198192</v>
      </c>
    </row>
    <row r="75" spans="1:60" x14ac:dyDescent="0.2">
      <c r="O75" s="22">
        <v>2005</v>
      </c>
      <c r="P75" s="29">
        <f>AS48</f>
        <v>2.3556179965978363</v>
      </c>
      <c r="Q75" s="29">
        <f>'9.3'!$D$54/P75</f>
        <v>2.2177267481089267</v>
      </c>
    </row>
    <row r="76" spans="1:60" x14ac:dyDescent="0.2">
      <c r="O76" s="22">
        <v>2006</v>
      </c>
      <c r="P76" s="29">
        <f>AT48</f>
        <v>2.5410013938539007</v>
      </c>
      <c r="Q76" s="29">
        <f>'9.3'!$D$54/P76</f>
        <v>2.0559284430216072</v>
      </c>
    </row>
    <row r="77" spans="1:60" x14ac:dyDescent="0.2">
      <c r="O77" s="22">
        <v>2007</v>
      </c>
      <c r="P77" s="29">
        <f>AU48</f>
        <v>2.8041805336873216</v>
      </c>
      <c r="Q77" s="29">
        <f>'9.3'!$D$54/P77</f>
        <v>1.8629745755036669</v>
      </c>
    </row>
    <row r="78" spans="1:60" x14ac:dyDescent="0.2">
      <c r="O78" s="22">
        <v>2008</v>
      </c>
      <c r="P78" s="29">
        <f>AV48</f>
        <v>2.9678572517439257</v>
      </c>
      <c r="Q78" s="29">
        <f>'9.3'!$D$54/P78</f>
        <v>1.7602319101810135</v>
      </c>
    </row>
    <row r="79" spans="1:60" x14ac:dyDescent="0.2">
      <c r="O79" s="22">
        <v>2009</v>
      </c>
      <c r="P79" s="29">
        <f>AW48</f>
        <v>3.2586565980220548</v>
      </c>
      <c r="Q79" s="29">
        <f>'9.3'!$D$54/P79</f>
        <v>1.6031505260642462</v>
      </c>
    </row>
    <row r="80" spans="1:60" x14ac:dyDescent="0.2">
      <c r="O80" s="22">
        <v>2010</v>
      </c>
      <c r="P80" s="29">
        <f>AX48</f>
        <v>3.5342312338124136</v>
      </c>
      <c r="Q80" s="29">
        <f>'9.3'!$D$54/P80</f>
        <v>1.478148059301279</v>
      </c>
    </row>
    <row r="81" spans="15:17" x14ac:dyDescent="0.2">
      <c r="O81" s="22">
        <v>2011</v>
      </c>
      <c r="P81" s="29">
        <f>AY48</f>
        <v>3.6242852452008183</v>
      </c>
      <c r="Q81" s="29">
        <f>'9.3'!$D$54/P81</f>
        <v>1.4414199451600616</v>
      </c>
    </row>
    <row r="82" spans="15:17" x14ac:dyDescent="0.2">
      <c r="O82" s="22">
        <v>2012</v>
      </c>
      <c r="P82" s="29">
        <f>AZ48</f>
        <v>3.8054995074608593</v>
      </c>
      <c r="Q82" s="29">
        <f>'9.3'!$D$54/P82</f>
        <v>1.3727809001524396</v>
      </c>
    </row>
    <row r="83" spans="15:17" x14ac:dyDescent="0.2">
      <c r="O83" s="22">
        <v>2013</v>
      </c>
      <c r="P83" s="29">
        <f>BA48</f>
        <v>3.9957744828339026</v>
      </c>
      <c r="Q83" s="29">
        <f>'9.3'!$D$54/P83</f>
        <v>1.3074103810975615</v>
      </c>
    </row>
    <row r="84" spans="15:17" x14ac:dyDescent="0.2">
      <c r="O84" s="22">
        <v>2014</v>
      </c>
      <c r="P84" s="29">
        <f>BB48</f>
        <v>4.1955632069755975</v>
      </c>
      <c r="Q84" s="29">
        <f>'9.3'!$D$54/P84</f>
        <v>1.2451527439024395</v>
      </c>
    </row>
    <row r="85" spans="15:17" x14ac:dyDescent="0.2">
      <c r="O85" s="22">
        <v>2015</v>
      </c>
      <c r="P85" s="29">
        <f>BC48</f>
        <v>4.405341367324378</v>
      </c>
      <c r="Q85" s="29">
        <f>'9.3'!$D$54/P85</f>
        <v>1.1858597560975612</v>
      </c>
    </row>
    <row r="86" spans="15:17" x14ac:dyDescent="0.2">
      <c r="O86" s="22">
        <v>2016</v>
      </c>
      <c r="P86" s="29">
        <f>BD48</f>
        <v>4.6256084356905971</v>
      </c>
      <c r="Q86" s="29">
        <f>'9.3'!$D$54/P86</f>
        <v>1.1293902439024393</v>
      </c>
    </row>
    <row r="87" spans="15:17" x14ac:dyDescent="0.2">
      <c r="O87" s="22">
        <v>2017</v>
      </c>
      <c r="P87" s="29">
        <f>BE48</f>
        <v>4.7384281536342705</v>
      </c>
      <c r="Q87" s="29">
        <f>'9.3'!$D$54/P87</f>
        <v>1.1025</v>
      </c>
    </row>
    <row r="88" spans="15:17" x14ac:dyDescent="0.2">
      <c r="O88" s="22">
        <v>2018</v>
      </c>
      <c r="P88" s="29">
        <f>BF48</f>
        <v>4.856888857475127</v>
      </c>
      <c r="Q88" s="29">
        <f>'9.3'!$D$54/P88</f>
        <v>1.075609756097561</v>
      </c>
    </row>
    <row r="89" spans="15:17" x14ac:dyDescent="0.2">
      <c r="O89" s="22">
        <v>2019</v>
      </c>
      <c r="P89" s="29">
        <f>BG48</f>
        <v>4.9753495613159844</v>
      </c>
      <c r="Q89" s="29">
        <f>'9.3'!$D$54/P89</f>
        <v>1.05</v>
      </c>
    </row>
    <row r="90" spans="15:17" x14ac:dyDescent="0.2">
      <c r="O90" s="22">
        <v>2020</v>
      </c>
      <c r="P90" s="29">
        <f>BH48</f>
        <v>4.9753495613159844</v>
      </c>
      <c r="Q90" s="29">
        <f>'9.3'!$D$54/P90</f>
        <v>1.05</v>
      </c>
    </row>
    <row r="91" spans="15:17" x14ac:dyDescent="0.2">
      <c r="O91" s="22">
        <v>2021</v>
      </c>
      <c r="P91" s="29">
        <f>BI48</f>
        <v>4.9753495613159844</v>
      </c>
      <c r="Q91" s="29">
        <f>'9.3'!$D$54/P91</f>
        <v>1.05</v>
      </c>
    </row>
    <row r="92" spans="15:17" x14ac:dyDescent="0.2">
      <c r="O92" s="22">
        <v>2022</v>
      </c>
      <c r="P92" s="29">
        <f>BJ48</f>
        <v>5.0997333003488841</v>
      </c>
      <c r="Q92" s="29">
        <f>'9.3'!$D$54/P92</f>
        <v>1.024390243902439</v>
      </c>
    </row>
    <row r="93" spans="15:17" x14ac:dyDescent="0.2">
      <c r="O93" s="22">
        <v>2023</v>
      </c>
      <c r="P93" s="29">
        <f>BK48</f>
        <v>5.2241170393817837</v>
      </c>
      <c r="Q93" s="29">
        <f>'9.3'!$D$54/P93</f>
        <v>1</v>
      </c>
    </row>
    <row r="94" spans="15:17" x14ac:dyDescent="0.2">
      <c r="O94" s="22">
        <v>2024</v>
      </c>
      <c r="P94" s="29">
        <f>BL48</f>
        <v>5.2241170393817837</v>
      </c>
      <c r="Q94" s="29">
        <f>'9.3'!$D$54/P94</f>
        <v>1</v>
      </c>
    </row>
    <row r="95" spans="15:17" x14ac:dyDescent="0.2">
      <c r="O95" s="22">
        <v>2025</v>
      </c>
      <c r="P95" s="29">
        <f>BM48</f>
        <v>5.2241170393817837</v>
      </c>
      <c r="Q95" s="29">
        <f>'9.3'!$D$54/P95</f>
        <v>1</v>
      </c>
    </row>
  </sheetData>
  <mergeCells count="9">
    <mergeCell ref="IL54:IO54"/>
    <mergeCell ref="IH54:IK54"/>
    <mergeCell ref="HZ54:IC54"/>
    <mergeCell ref="ID54:IG54"/>
    <mergeCell ref="E5:H5"/>
    <mergeCell ref="HK45:HN45"/>
    <mergeCell ref="HN54:HQ54"/>
    <mergeCell ref="HR54:HU54"/>
    <mergeCell ref="HV54:HY54"/>
  </mergeCells>
  <phoneticPr fontId="0" type="noConversion"/>
  <pageMargins left="0.5" right="0.5" top="0.5" bottom="0.5" header="0.5" footer="0.5"/>
  <pageSetup orientation="portrait" blackAndWhite="1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rgb="FF00B050"/>
  </sheetPr>
  <dimension ref="A1:P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6" x14ac:dyDescent="0.2">
      <c r="A1" s="8" t="str">
        <f>'1'!$A$1</f>
        <v>Texas Windstorm Insurance Association</v>
      </c>
      <c r="B1" s="12"/>
      <c r="J1" s="7" t="s">
        <v>65</v>
      </c>
      <c r="K1" s="1"/>
    </row>
    <row r="2" spans="1:16" x14ac:dyDescent="0.2">
      <c r="A2" s="8" t="str">
        <f>'1'!$A$2</f>
        <v>Commercial Property - Wind &amp; Hail</v>
      </c>
      <c r="B2" s="12"/>
      <c r="J2" s="7" t="s">
        <v>59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500</v>
      </c>
      <c r="B4" s="12"/>
      <c r="K4" s="2"/>
    </row>
    <row r="5" spans="1:16" x14ac:dyDescent="0.2">
      <c r="A5" t="s">
        <v>498</v>
      </c>
      <c r="B5" s="12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6" ht="12" thickTop="1" x14ac:dyDescent="0.2">
      <c r="K8" s="2"/>
    </row>
    <row r="9" spans="1:16" x14ac:dyDescent="0.2">
      <c r="A9" t="s">
        <v>37</v>
      </c>
      <c r="C9" s="133"/>
      <c r="D9" s="11" t="s">
        <v>76</v>
      </c>
      <c r="E9" s="11" t="s">
        <v>202</v>
      </c>
      <c r="F9" s="11" t="s">
        <v>76</v>
      </c>
      <c r="G9" s="11"/>
      <c r="H9" s="11"/>
      <c r="K9" s="2"/>
      <c r="L9" s="24"/>
    </row>
    <row r="10" spans="1:16" x14ac:dyDescent="0.2">
      <c r="A10" t="s">
        <v>38</v>
      </c>
      <c r="C10" s="11" t="s">
        <v>76</v>
      </c>
      <c r="D10" s="11" t="s">
        <v>77</v>
      </c>
      <c r="E10" s="11" t="s">
        <v>203</v>
      </c>
      <c r="F10" s="11" t="s">
        <v>204</v>
      </c>
      <c r="G10" s="11" t="s">
        <v>56</v>
      </c>
      <c r="H10" s="11" t="s">
        <v>56</v>
      </c>
      <c r="K10" s="2"/>
      <c r="L10" s="12"/>
    </row>
    <row r="11" spans="1:16" x14ac:dyDescent="0.2">
      <c r="A11" s="9" t="s">
        <v>25</v>
      </c>
      <c r="B11" s="9"/>
      <c r="C11" s="143" t="s">
        <v>77</v>
      </c>
      <c r="D11" s="143" t="s">
        <v>201</v>
      </c>
      <c r="E11" s="143" t="s">
        <v>86</v>
      </c>
      <c r="F11" s="143" t="s">
        <v>205</v>
      </c>
      <c r="G11" s="143" t="s">
        <v>32</v>
      </c>
      <c r="H11" s="143" t="s">
        <v>48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</row>
    <row r="14" spans="1:16" x14ac:dyDescent="0.2">
      <c r="A14" s="24" t="s">
        <v>374</v>
      </c>
      <c r="C14" s="31">
        <v>745985</v>
      </c>
      <c r="D14" s="31">
        <v>820826</v>
      </c>
      <c r="E14" s="29">
        <f>'6.4'!E14</f>
        <v>3.8293316891072973</v>
      </c>
      <c r="F14" s="26">
        <f>ROUND(D14*$E$23,0)</f>
        <v>2324158</v>
      </c>
      <c r="G14" s="31">
        <v>96051</v>
      </c>
      <c r="H14" s="21">
        <f>ROUND(G14/F14,3)</f>
        <v>4.1000000000000002E-2</v>
      </c>
      <c r="I14" s="37"/>
      <c r="K14" s="2"/>
      <c r="L14" s="29"/>
      <c r="O14" t="s">
        <v>38</v>
      </c>
      <c r="P14" t="s">
        <v>219</v>
      </c>
    </row>
    <row r="15" spans="1:16" x14ac:dyDescent="0.2">
      <c r="A15" t="s">
        <v>375</v>
      </c>
      <c r="C15" s="31">
        <v>558639</v>
      </c>
      <c r="D15" s="31">
        <v>652809</v>
      </c>
      <c r="E15" s="29">
        <f>'6.4'!E15</f>
        <v>3.5112843511426886</v>
      </c>
      <c r="F15" s="26">
        <f t="shared" ref="F15:F21" si="1">ROUND(D15*$E$23,0)</f>
        <v>1848420</v>
      </c>
      <c r="G15" s="31">
        <v>76481</v>
      </c>
      <c r="H15" s="21">
        <f t="shared" ref="H15:H45" si="2">ROUND(G15/F15,3)</f>
        <v>4.1000000000000002E-2</v>
      </c>
      <c r="I15" s="37"/>
      <c r="K15" s="2"/>
    </row>
    <row r="16" spans="1:16" x14ac:dyDescent="0.2">
      <c r="A16" t="s">
        <v>376</v>
      </c>
      <c r="C16" s="31">
        <v>1235059</v>
      </c>
      <c r="D16" s="31">
        <v>1383103</v>
      </c>
      <c r="E16" s="29">
        <f>'6.4'!E16</f>
        <v>2.8789383840739684</v>
      </c>
      <c r="F16" s="26">
        <f t="shared" si="1"/>
        <v>3916238</v>
      </c>
      <c r="G16" s="31">
        <v>106148</v>
      </c>
      <c r="H16" s="21">
        <f t="shared" si="2"/>
        <v>2.7E-2</v>
      </c>
      <c r="I16" s="37"/>
      <c r="K16" s="2"/>
    </row>
    <row r="17" spans="1:16" x14ac:dyDescent="0.2">
      <c r="A17" t="s">
        <v>377</v>
      </c>
      <c r="C17" s="31">
        <v>2228911</v>
      </c>
      <c r="D17" s="31">
        <v>1849840</v>
      </c>
      <c r="E17" s="29">
        <f>'6.4'!E17</f>
        <v>2.0498785892003166</v>
      </c>
      <c r="F17" s="26">
        <f t="shared" si="1"/>
        <v>5237798</v>
      </c>
      <c r="G17" s="31">
        <v>56387</v>
      </c>
      <c r="H17" s="21">
        <f t="shared" si="2"/>
        <v>1.0999999999999999E-2</v>
      </c>
      <c r="I17" s="37"/>
      <c r="K17" s="2"/>
      <c r="O17" s="22">
        <f>'6.4'!O53</f>
        <v>1983</v>
      </c>
      <c r="P17" s="29">
        <f>'6.4'!Q53</f>
        <v>3.8293316891072973</v>
      </c>
    </row>
    <row r="18" spans="1:16" x14ac:dyDescent="0.2">
      <c r="A18" t="s">
        <v>378</v>
      </c>
      <c r="C18" s="31">
        <v>2381538</v>
      </c>
      <c r="D18" s="31">
        <v>2086940</v>
      </c>
      <c r="E18" s="29">
        <f>'6.4'!E18</f>
        <v>1.9936436916734259</v>
      </c>
      <c r="F18" s="26">
        <f t="shared" si="1"/>
        <v>5909144</v>
      </c>
      <c r="G18" s="31">
        <v>105275</v>
      </c>
      <c r="H18" s="21">
        <f t="shared" si="2"/>
        <v>1.7999999999999999E-2</v>
      </c>
      <c r="I18" s="37"/>
      <c r="K18" s="2"/>
      <c r="O18" s="22">
        <f>'6.4'!O54</f>
        <v>1984</v>
      </c>
      <c r="P18" s="29">
        <f>'6.4'!Q54</f>
        <v>3.5112843511426886</v>
      </c>
    </row>
    <row r="19" spans="1:16" x14ac:dyDescent="0.2">
      <c r="A19" t="s">
        <v>379</v>
      </c>
      <c r="C19" s="31">
        <v>1796653</v>
      </c>
      <c r="D19" s="31">
        <v>1719227</v>
      </c>
      <c r="E19" s="29">
        <f>'6.4'!E19</f>
        <v>2.1473124836449715</v>
      </c>
      <c r="F19" s="26">
        <f t="shared" si="1"/>
        <v>4867969</v>
      </c>
      <c r="G19" s="31">
        <v>181414</v>
      </c>
      <c r="H19" s="21">
        <f t="shared" si="2"/>
        <v>3.6999999999999998E-2</v>
      </c>
      <c r="I19" s="37"/>
      <c r="K19" s="2"/>
      <c r="O19" s="22">
        <f>'6.4'!O55</f>
        <v>1985</v>
      </c>
      <c r="P19" s="29">
        <f>'6.4'!Q55</f>
        <v>2.8789383840739684</v>
      </c>
    </row>
    <row r="20" spans="1:16" x14ac:dyDescent="0.2">
      <c r="A20" t="s">
        <v>380</v>
      </c>
      <c r="C20" s="31">
        <v>1632453</v>
      </c>
      <c r="D20" s="31">
        <v>1826430</v>
      </c>
      <c r="E20" s="29">
        <f>'6.4'!E20</f>
        <v>2.385265617366465</v>
      </c>
      <c r="F20" s="26">
        <f t="shared" si="1"/>
        <v>5171513</v>
      </c>
      <c r="G20" s="31">
        <v>98116</v>
      </c>
      <c r="H20" s="21">
        <f t="shared" si="2"/>
        <v>1.9E-2</v>
      </c>
      <c r="I20" s="37"/>
      <c r="K20" s="2"/>
      <c r="O20" s="22">
        <f>'6.4'!O56</f>
        <v>1986</v>
      </c>
      <c r="P20" s="29">
        <f>'6.4'!Q56</f>
        <v>2.0498785892003166</v>
      </c>
    </row>
    <row r="21" spans="1:16" x14ac:dyDescent="0.2">
      <c r="A21" t="s">
        <v>381</v>
      </c>
      <c r="C21" s="31">
        <v>1429526</v>
      </c>
      <c r="D21" s="31">
        <v>1769972</v>
      </c>
      <c r="E21" s="29">
        <f>'6.4'!E21</f>
        <v>2.5056768649457406</v>
      </c>
      <c r="F21" s="26">
        <f t="shared" si="1"/>
        <v>5011653</v>
      </c>
      <c r="G21" s="31">
        <v>135678</v>
      </c>
      <c r="H21" s="21">
        <f t="shared" si="2"/>
        <v>2.7E-2</v>
      </c>
      <c r="I21" s="37"/>
      <c r="K21" s="2"/>
      <c r="O21" s="22">
        <f>'6.4'!O57</f>
        <v>1987</v>
      </c>
      <c r="P21" s="29">
        <f>'6.4'!Q57</f>
        <v>1.9936436916734259</v>
      </c>
    </row>
    <row r="22" spans="1:16" x14ac:dyDescent="0.2">
      <c r="A22" t="s">
        <v>382</v>
      </c>
      <c r="C22" s="31">
        <v>1390109</v>
      </c>
      <c r="D22" s="31">
        <v>1555310</v>
      </c>
      <c r="E22" s="29">
        <f>'6.4'!E22</f>
        <v>2.4905762618235174</v>
      </c>
      <c r="F22" s="26">
        <f>ROUND(D22*$E$23,0)</f>
        <v>4403840</v>
      </c>
      <c r="G22" s="31">
        <v>1013636</v>
      </c>
      <c r="H22" s="21">
        <f t="shared" si="2"/>
        <v>0.23</v>
      </c>
      <c r="I22" s="37"/>
      <c r="K22" s="2"/>
      <c r="O22" s="22">
        <f>'6.4'!O58</f>
        <v>1988</v>
      </c>
      <c r="P22" s="29">
        <f>'6.4'!Q58</f>
        <v>2.1473124836449715</v>
      </c>
    </row>
    <row r="23" spans="1:16" x14ac:dyDescent="0.2">
      <c r="A23" t="s">
        <v>383</v>
      </c>
      <c r="B23" s="12"/>
      <c r="C23" s="31">
        <v>1571433</v>
      </c>
      <c r="D23" s="31">
        <v>1629721</v>
      </c>
      <c r="E23" s="29">
        <f>'6.4'!E23</f>
        <v>2.8314871857113864</v>
      </c>
      <c r="F23" s="26">
        <f>ROUND(D23*E23,0)</f>
        <v>4614534</v>
      </c>
      <c r="G23" s="31">
        <v>49512</v>
      </c>
      <c r="H23" s="21">
        <f t="shared" si="2"/>
        <v>1.0999999999999999E-2</v>
      </c>
      <c r="I23" s="37"/>
      <c r="K23" s="2"/>
      <c r="O23" s="22">
        <f>'6.4'!O59</f>
        <v>1989</v>
      </c>
      <c r="P23" s="29">
        <f>'6.4'!Q59</f>
        <v>2.385265617366465</v>
      </c>
    </row>
    <row r="24" spans="1:16" x14ac:dyDescent="0.2">
      <c r="A24" t="s">
        <v>360</v>
      </c>
      <c r="B24" s="12"/>
      <c r="C24" s="31">
        <v>1587772</v>
      </c>
      <c r="D24" s="31"/>
      <c r="E24" s="29">
        <f>'6.4'!E24</f>
        <v>3.2531461484671529</v>
      </c>
      <c r="F24" s="26">
        <f>ROUND(C24*E24,0)</f>
        <v>5165254</v>
      </c>
      <c r="G24" s="31">
        <v>86000</v>
      </c>
      <c r="H24" s="21">
        <f t="shared" si="2"/>
        <v>1.7000000000000001E-2</v>
      </c>
      <c r="I24" s="37"/>
      <c r="K24" s="2"/>
      <c r="O24" s="22">
        <f>'6.4'!O60</f>
        <v>1990</v>
      </c>
      <c r="P24" s="29">
        <f>'6.4'!Q60</f>
        <v>2.5056768649457406</v>
      </c>
    </row>
    <row r="25" spans="1:16" x14ac:dyDescent="0.2">
      <c r="A25" t="s">
        <v>361</v>
      </c>
      <c r="B25" s="12"/>
      <c r="C25" s="31">
        <v>2203514</v>
      </c>
      <c r="D25" s="31"/>
      <c r="E25" s="29">
        <f>'6.4'!E25</f>
        <v>3.2531461484671529</v>
      </c>
      <c r="F25" s="26">
        <f>ROUND(C25*E25,0)</f>
        <v>7168353</v>
      </c>
      <c r="G25" s="31">
        <v>254088</v>
      </c>
      <c r="H25" s="21">
        <f t="shared" si="2"/>
        <v>3.5000000000000003E-2</v>
      </c>
      <c r="I25" s="37"/>
      <c r="K25" s="2"/>
      <c r="O25" s="22">
        <f>'6.4'!O61</f>
        <v>1991</v>
      </c>
      <c r="P25" s="29">
        <f>'6.4'!Q61</f>
        <v>2.4905762618235174</v>
      </c>
    </row>
    <row r="26" spans="1:16" x14ac:dyDescent="0.2">
      <c r="A26" t="s">
        <v>362</v>
      </c>
      <c r="C26" s="31">
        <v>2669951</v>
      </c>
      <c r="D26" s="31"/>
      <c r="E26" s="29">
        <f>'6.4'!E26</f>
        <v>3.2531461484671529</v>
      </c>
      <c r="F26" s="26">
        <f>ROUND(C26*E26,0)</f>
        <v>8685741</v>
      </c>
      <c r="G26" s="31">
        <v>854753</v>
      </c>
      <c r="H26" s="21">
        <f t="shared" si="2"/>
        <v>9.8000000000000004E-2</v>
      </c>
      <c r="I26" s="37"/>
      <c r="K26" s="2"/>
      <c r="O26" s="22">
        <f>'6.4'!O62</f>
        <v>1992</v>
      </c>
      <c r="P26" s="29">
        <f>'6.4'!Q62</f>
        <v>2.8314871857113864</v>
      </c>
    </row>
    <row r="27" spans="1:16" x14ac:dyDescent="0.2">
      <c r="A27" t="s">
        <v>363</v>
      </c>
      <c r="C27" s="31">
        <v>5639923</v>
      </c>
      <c r="D27" s="31"/>
      <c r="E27" s="29">
        <f>'6.4'!E27</f>
        <v>3.2531461484671529</v>
      </c>
      <c r="F27" s="26">
        <f t="shared" ref="F27:F49" si="3">ROUND(C27*E27,0)</f>
        <v>18347494</v>
      </c>
      <c r="G27" s="31">
        <v>502177</v>
      </c>
      <c r="H27" s="21">
        <f t="shared" si="2"/>
        <v>2.7E-2</v>
      </c>
      <c r="I27" s="37"/>
      <c r="K27" s="2"/>
      <c r="O27" s="22">
        <f>'6.4'!O63</f>
        <v>1993</v>
      </c>
      <c r="P27" s="29">
        <f>'6.4'!Q63</f>
        <v>3.2531461484671529</v>
      </c>
    </row>
    <row r="28" spans="1:16" x14ac:dyDescent="0.2">
      <c r="A28" t="s">
        <v>364</v>
      </c>
      <c r="C28" s="31">
        <v>3183758</v>
      </c>
      <c r="E28" s="29">
        <f>'6.4'!E28</f>
        <v>3.2531461484671529</v>
      </c>
      <c r="F28" s="26">
        <f t="shared" si="3"/>
        <v>10357230</v>
      </c>
      <c r="G28" s="31">
        <v>199390</v>
      </c>
      <c r="H28" s="21">
        <f t="shared" si="2"/>
        <v>1.9E-2</v>
      </c>
      <c r="I28" s="37"/>
      <c r="K28" s="2"/>
      <c r="O28" s="22">
        <f>'6.4'!O64</f>
        <v>1994</v>
      </c>
      <c r="P28" s="29">
        <f>'6.4'!Q64</f>
        <v>3.2531461484671529</v>
      </c>
    </row>
    <row r="29" spans="1:16" x14ac:dyDescent="0.2">
      <c r="A29" t="s">
        <v>365</v>
      </c>
      <c r="C29" s="31">
        <v>3613310</v>
      </c>
      <c r="D29" s="31"/>
      <c r="E29" s="29">
        <f>'6.4'!E29</f>
        <v>3.3026864451443179</v>
      </c>
      <c r="F29" s="26">
        <f t="shared" si="3"/>
        <v>11933630</v>
      </c>
      <c r="G29" s="31">
        <v>1561275</v>
      </c>
      <c r="H29" s="21">
        <f t="shared" si="2"/>
        <v>0.13100000000000001</v>
      </c>
      <c r="I29" s="37"/>
      <c r="K29" s="2"/>
      <c r="O29" s="22">
        <f>'6.4'!O65</f>
        <v>1995</v>
      </c>
      <c r="P29" s="29">
        <f>'6.4'!Q65</f>
        <v>3.2531461484671529</v>
      </c>
    </row>
    <row r="30" spans="1:16" x14ac:dyDescent="0.2">
      <c r="A30" t="s">
        <v>366</v>
      </c>
      <c r="C30" s="31">
        <v>6808428</v>
      </c>
      <c r="D30" s="31"/>
      <c r="E30" s="29">
        <f>'6.4'!E30</f>
        <v>3.3537589159455186</v>
      </c>
      <c r="F30" s="26">
        <f t="shared" si="3"/>
        <v>22833826</v>
      </c>
      <c r="G30" s="31">
        <v>2735082</v>
      </c>
      <c r="H30" s="21">
        <f t="shared" si="2"/>
        <v>0.12</v>
      </c>
      <c r="I30" s="37"/>
      <c r="K30" s="2"/>
      <c r="O30" s="22">
        <f>'6.4'!O66</f>
        <v>1996</v>
      </c>
      <c r="P30" s="29">
        <f>'6.4'!Q66</f>
        <v>3.2531461484671529</v>
      </c>
    </row>
    <row r="31" spans="1:16" x14ac:dyDescent="0.2">
      <c r="A31" t="s">
        <v>367</v>
      </c>
      <c r="C31" s="31">
        <v>5167158</v>
      </c>
      <c r="D31" s="31"/>
      <c r="E31" s="29">
        <f>'6.4'!E31</f>
        <v>3.209338675545951</v>
      </c>
      <c r="F31" s="26">
        <f t="shared" si="3"/>
        <v>16583160</v>
      </c>
      <c r="G31" s="31">
        <v>317804</v>
      </c>
      <c r="H31" s="21">
        <f t="shared" si="2"/>
        <v>1.9E-2</v>
      </c>
      <c r="I31" s="37"/>
      <c r="K31" s="2"/>
      <c r="L31" t="s">
        <v>206</v>
      </c>
      <c r="O31" s="22">
        <f>'6.4'!O67</f>
        <v>1997</v>
      </c>
      <c r="P31" s="29">
        <f>'6.4'!Q67</f>
        <v>3.2531461484671529</v>
      </c>
    </row>
    <row r="32" spans="1:16" x14ac:dyDescent="0.2">
      <c r="A32" t="s">
        <v>368</v>
      </c>
      <c r="C32" s="31">
        <v>4763324</v>
      </c>
      <c r="D32" s="31"/>
      <c r="E32" s="29">
        <f>'6.4'!E32</f>
        <v>3.0165127864233838</v>
      </c>
      <c r="F32" s="26">
        <f t="shared" si="3"/>
        <v>14368628</v>
      </c>
      <c r="G32" s="31">
        <v>431244</v>
      </c>
      <c r="H32" s="21">
        <f t="shared" si="2"/>
        <v>0.03</v>
      </c>
      <c r="I32" s="37"/>
      <c r="K32" s="2"/>
      <c r="L32" s="67">
        <f>[1]ISO!$P$49</f>
        <v>0.8483616045942346</v>
      </c>
      <c r="O32" s="22">
        <f>'6.4'!O68</f>
        <v>1998</v>
      </c>
      <c r="P32" s="29">
        <f>'6.4'!Q68</f>
        <v>3.3026864451443179</v>
      </c>
    </row>
    <row r="33" spans="1:16" x14ac:dyDescent="0.2">
      <c r="A33" t="s">
        <v>369</v>
      </c>
      <c r="C33" s="31">
        <v>8479915</v>
      </c>
      <c r="D33" s="31"/>
      <c r="E33" s="29">
        <f>'6.4'!E33</f>
        <v>2.8863443172156207</v>
      </c>
      <c r="F33" s="26">
        <f t="shared" si="3"/>
        <v>24475954</v>
      </c>
      <c r="G33" s="31">
        <v>7300265</v>
      </c>
      <c r="H33" s="21">
        <f t="shared" si="2"/>
        <v>0.29799999999999999</v>
      </c>
      <c r="I33" s="37"/>
      <c r="K33" s="2"/>
      <c r="O33" s="22">
        <f>'6.4'!O69</f>
        <v>1999</v>
      </c>
      <c r="P33" s="29">
        <f>'6.4'!Q69</f>
        <v>3.3537589159455186</v>
      </c>
    </row>
    <row r="34" spans="1:16" x14ac:dyDescent="0.2">
      <c r="A34" t="s">
        <v>370</v>
      </c>
      <c r="C34" s="107">
        <v>9934549</v>
      </c>
      <c r="D34" s="31"/>
      <c r="E34" s="29">
        <f>'6.4'!E34</f>
        <v>2.6891459199349992</v>
      </c>
      <c r="F34" s="26">
        <f t="shared" si="3"/>
        <v>26715452</v>
      </c>
      <c r="G34" s="107">
        <v>2122879</v>
      </c>
      <c r="H34" s="21">
        <f t="shared" si="2"/>
        <v>7.9000000000000001E-2</v>
      </c>
      <c r="I34" s="37"/>
      <c r="K34" s="2"/>
      <c r="O34" s="22">
        <f>'6.4'!O70</f>
        <v>2000</v>
      </c>
      <c r="P34" s="29">
        <f>'6.4'!Q70</f>
        <v>3.209338675545951</v>
      </c>
    </row>
    <row r="35" spans="1:16" x14ac:dyDescent="0.2">
      <c r="A35" t="s">
        <v>371</v>
      </c>
      <c r="B35" s="22"/>
      <c r="C35" s="107">
        <v>14597450</v>
      </c>
      <c r="D35" s="41"/>
      <c r="E35" s="29">
        <f>'6.4'!E35</f>
        <v>2.448174392695059</v>
      </c>
      <c r="F35" s="26">
        <f t="shared" si="3"/>
        <v>35737103</v>
      </c>
      <c r="G35" s="107">
        <v>212644</v>
      </c>
      <c r="H35" s="21">
        <f t="shared" si="2"/>
        <v>6.0000000000000001E-3</v>
      </c>
      <c r="I35" s="37"/>
      <c r="K35" s="2"/>
      <c r="O35" s="22">
        <f>'6.4'!O71</f>
        <v>2001</v>
      </c>
      <c r="P35" s="29">
        <f>'6.4'!Q71</f>
        <v>3.0165127864233838</v>
      </c>
    </row>
    <row r="36" spans="1:16" x14ac:dyDescent="0.2">
      <c r="A36" t="s">
        <v>287</v>
      </c>
      <c r="C36" s="107">
        <v>16137249</v>
      </c>
      <c r="E36" s="29">
        <f>'6.4'!E36</f>
        <v>2.2196457159722458</v>
      </c>
      <c r="F36" s="26">
        <f t="shared" si="3"/>
        <v>35818976</v>
      </c>
      <c r="G36" s="107">
        <v>566758</v>
      </c>
      <c r="H36" s="21">
        <f t="shared" si="2"/>
        <v>1.6E-2</v>
      </c>
      <c r="I36" s="37"/>
      <c r="K36" s="2"/>
      <c r="O36" s="22">
        <f>'6.4'!O72</f>
        <v>2002</v>
      </c>
      <c r="P36" s="29">
        <f>'6.4'!Q72</f>
        <v>2.8863443172156207</v>
      </c>
    </row>
    <row r="37" spans="1:16" x14ac:dyDescent="0.2">
      <c r="A37" t="s">
        <v>349</v>
      </c>
      <c r="C37" s="107">
        <v>21249313</v>
      </c>
      <c r="E37" s="29">
        <f>'6.4'!E37</f>
        <v>2.0368887779518374</v>
      </c>
      <c r="F37" s="26">
        <f t="shared" si="3"/>
        <v>43282487</v>
      </c>
      <c r="G37" s="107">
        <v>434362</v>
      </c>
      <c r="H37" s="21">
        <f t="shared" si="2"/>
        <v>0.01</v>
      </c>
      <c r="I37" s="37"/>
      <c r="K37" s="2"/>
      <c r="O37" s="22">
        <f>'6.4'!O73</f>
        <v>2003</v>
      </c>
      <c r="P37" s="29">
        <f>'6.4'!Q73</f>
        <v>2.6834493652118017</v>
      </c>
    </row>
    <row r="38" spans="1:16" x14ac:dyDescent="0.2">
      <c r="A38" t="s">
        <v>331</v>
      </c>
      <c r="C38" s="107">
        <v>27752523</v>
      </c>
      <c r="E38" s="29">
        <f>'6.4'!E38</f>
        <v>1.8570470989540067</v>
      </c>
      <c r="F38" s="26">
        <f t="shared" si="3"/>
        <v>51537742</v>
      </c>
      <c r="G38" s="107">
        <v>27752523</v>
      </c>
      <c r="H38" s="21">
        <f t="shared" si="2"/>
        <v>0.53800000000000003</v>
      </c>
      <c r="I38" s="37"/>
      <c r="K38" s="2"/>
      <c r="O38" s="22">
        <f>'6.4'!O74</f>
        <v>2004</v>
      </c>
      <c r="P38" s="29">
        <f>'6.4'!Q74</f>
        <v>2.4394994229198192</v>
      </c>
    </row>
    <row r="39" spans="1:16" x14ac:dyDescent="0.2">
      <c r="A39" t="s">
        <v>336</v>
      </c>
      <c r="C39" s="107">
        <v>27990909</v>
      </c>
      <c r="E39" s="29">
        <f>'6.4'!E39</f>
        <v>1.7641482522914038</v>
      </c>
      <c r="F39" s="26">
        <f t="shared" si="3"/>
        <v>49380113</v>
      </c>
      <c r="G39" s="107">
        <v>17103924</v>
      </c>
      <c r="H39" s="21">
        <f>ROUND(G39/F39,3)</f>
        <v>0.34599999999999997</v>
      </c>
      <c r="I39" s="37"/>
      <c r="K39" s="2"/>
      <c r="O39" s="22">
        <f>'6.4'!O75</f>
        <v>2005</v>
      </c>
      <c r="P39" s="29">
        <f>'6.4'!Q75</f>
        <v>2.2177267481089267</v>
      </c>
    </row>
    <row r="40" spans="1:16" x14ac:dyDescent="0.2">
      <c r="A40" t="s">
        <v>350</v>
      </c>
      <c r="C40" s="107">
        <v>29085395</v>
      </c>
      <c r="E40" s="29">
        <f>'6.4'!E40</f>
        <v>1.5997647448930246</v>
      </c>
      <c r="F40" s="26">
        <f t="shared" si="3"/>
        <v>46529790</v>
      </c>
      <c r="G40" s="107">
        <v>2074340</v>
      </c>
      <c r="H40" s="21">
        <f t="shared" si="2"/>
        <v>4.4999999999999998E-2</v>
      </c>
      <c r="I40" s="37"/>
      <c r="K40" s="2"/>
      <c r="O40" s="22">
        <f>'6.4'!O76</f>
        <v>2006</v>
      </c>
      <c r="P40" s="29">
        <f>'6.4'!Q76</f>
        <v>2.0559284430216072</v>
      </c>
    </row>
    <row r="41" spans="1:16" x14ac:dyDescent="0.2">
      <c r="A41" t="s">
        <v>351</v>
      </c>
      <c r="C41" s="107">
        <v>27439364</v>
      </c>
      <c r="E41" s="29">
        <f>'6.4'!E41</f>
        <v>1.4780006228698483</v>
      </c>
      <c r="F41" s="26">
        <f t="shared" si="3"/>
        <v>40555397</v>
      </c>
      <c r="G41" s="107">
        <v>1768194</v>
      </c>
      <c r="H41" s="21">
        <f t="shared" si="2"/>
        <v>4.3999999999999997E-2</v>
      </c>
      <c r="I41" s="37"/>
      <c r="K41" s="2"/>
      <c r="O41" s="22">
        <f>'6.4'!O77</f>
        <v>2007</v>
      </c>
      <c r="P41" s="29">
        <f>'6.4'!Q77</f>
        <v>1.8629745755036669</v>
      </c>
    </row>
    <row r="42" spans="1:16" x14ac:dyDescent="0.2">
      <c r="A42" t="s">
        <v>354</v>
      </c>
      <c r="C42" s="107">
        <v>25580489</v>
      </c>
      <c r="E42" s="29">
        <f>'6.4'!E42</f>
        <v>1.4430316100910405</v>
      </c>
      <c r="F42" s="26">
        <f t="shared" si="3"/>
        <v>36913454</v>
      </c>
      <c r="G42" s="107">
        <v>10619019</v>
      </c>
      <c r="H42" s="21">
        <f t="shared" si="2"/>
        <v>0.28799999999999998</v>
      </c>
      <c r="I42" s="37"/>
      <c r="K42" s="2"/>
      <c r="O42" s="22">
        <f>'6.4'!O78</f>
        <v>2008</v>
      </c>
      <c r="P42" s="29">
        <f>'6.4'!Q78</f>
        <v>1.7602319101810135</v>
      </c>
    </row>
    <row r="43" spans="1:16" x14ac:dyDescent="0.2">
      <c r="A43" t="s">
        <v>372</v>
      </c>
      <c r="C43" s="107">
        <v>26761300</v>
      </c>
      <c r="E43" s="29">
        <f>'6.4'!E43</f>
        <v>1.3723433115836108</v>
      </c>
      <c r="F43" s="26">
        <f t="shared" si="3"/>
        <v>36725691</v>
      </c>
      <c r="G43" s="107">
        <v>8409391</v>
      </c>
      <c r="H43" s="37">
        <f t="shared" si="2"/>
        <v>0.22900000000000001</v>
      </c>
      <c r="I43" s="37"/>
      <c r="K43" s="2"/>
      <c r="O43" s="22">
        <f>'6.4'!O79</f>
        <v>2009</v>
      </c>
      <c r="P43" s="29">
        <f>'6.4'!Q79</f>
        <v>1.6031505260642462</v>
      </c>
    </row>
    <row r="44" spans="1:16" x14ac:dyDescent="0.2">
      <c r="A44" t="s">
        <v>373</v>
      </c>
      <c r="C44" s="107">
        <v>27964798</v>
      </c>
      <c r="E44" s="29">
        <f>'6.4'!E44</f>
        <v>1.3075797103216005</v>
      </c>
      <c r="F44" s="26">
        <f t="shared" si="3"/>
        <v>36566202</v>
      </c>
      <c r="G44" s="107">
        <v>1468876</v>
      </c>
      <c r="H44" s="37">
        <f t="shared" si="2"/>
        <v>0.04</v>
      </c>
      <c r="I44" s="37"/>
      <c r="K44" s="2"/>
      <c r="O44" s="22">
        <f>'6.4'!O80</f>
        <v>2010</v>
      </c>
      <c r="P44" s="29">
        <f>'6.4'!Q80</f>
        <v>1.478148059301279</v>
      </c>
    </row>
    <row r="45" spans="1:16" x14ac:dyDescent="0.2">
      <c r="A45" t="s">
        <v>394</v>
      </c>
      <c r="C45" s="107">
        <v>28148014</v>
      </c>
      <c r="E45" s="29">
        <f>'6.4'!E45</f>
        <v>1.2467307484438648</v>
      </c>
      <c r="F45" s="26">
        <f t="shared" si="3"/>
        <v>35092995</v>
      </c>
      <c r="G45" s="107">
        <v>1110819</v>
      </c>
      <c r="H45" s="37">
        <f t="shared" si="2"/>
        <v>3.2000000000000001E-2</v>
      </c>
      <c r="I45" s="37"/>
      <c r="K45" s="2"/>
      <c r="L45" t="s">
        <v>209</v>
      </c>
      <c r="M45" t="s">
        <v>210</v>
      </c>
      <c r="O45" s="22">
        <f>'6.4'!O81</f>
        <v>2011</v>
      </c>
      <c r="P45" s="29">
        <f>'6.4'!Q81</f>
        <v>1.4414199451600616</v>
      </c>
    </row>
    <row r="46" spans="1:16" x14ac:dyDescent="0.2">
      <c r="A46" t="s">
        <v>395</v>
      </c>
      <c r="C46" s="59">
        <f>[1]ISO!P36</f>
        <v>26637417</v>
      </c>
      <c r="E46" s="29">
        <f>'6.4'!E46</f>
        <v>1.1863253854339271</v>
      </c>
      <c r="F46" s="26">
        <f t="shared" si="3"/>
        <v>31600644</v>
      </c>
      <c r="G46" s="59">
        <f>[1]ISO!U36</f>
        <v>1279267</v>
      </c>
      <c r="H46" s="37">
        <f t="shared" ref="H46:H55" si="4">ROUND(G46/F46,3)</f>
        <v>0.04</v>
      </c>
      <c r="I46" s="37"/>
      <c r="K46" s="2"/>
      <c r="L46" s="36">
        <f>'6.4'!L48</f>
        <v>34607</v>
      </c>
      <c r="M46" s="36">
        <f>'6.4'!M48</f>
        <v>36525</v>
      </c>
      <c r="N46" t="s">
        <v>211</v>
      </c>
      <c r="O46" s="22">
        <f>'6.4'!O82</f>
        <v>2012</v>
      </c>
      <c r="P46" s="29">
        <f>'6.4'!Q82</f>
        <v>1.3727809001524396</v>
      </c>
    </row>
    <row r="47" spans="1:16" x14ac:dyDescent="0.2">
      <c r="A47" t="s">
        <v>396</v>
      </c>
      <c r="C47" s="59">
        <f>[1]ISO!P37</f>
        <v>22757345</v>
      </c>
      <c r="E47" s="29">
        <f>'6.4'!E47</f>
        <v>1.1296863217775721</v>
      </c>
      <c r="F47" s="26">
        <f t="shared" si="3"/>
        <v>25708661</v>
      </c>
      <c r="G47" s="59">
        <f>[1]ISO!U37</f>
        <v>2164326</v>
      </c>
      <c r="H47" s="37">
        <f t="shared" si="4"/>
        <v>8.4000000000000005E-2</v>
      </c>
      <c r="I47" s="37"/>
      <c r="K47" s="2"/>
      <c r="L47" s="36"/>
      <c r="M47" s="36">
        <f>'6.4'!M49</f>
        <v>43830</v>
      </c>
      <c r="N47" t="s">
        <v>212</v>
      </c>
      <c r="O47" s="22">
        <f>'6.4'!O83</f>
        <v>2013</v>
      </c>
      <c r="P47" s="29">
        <f>'6.4'!Q83</f>
        <v>1.3074103810975615</v>
      </c>
    </row>
    <row r="48" spans="1:16" x14ac:dyDescent="0.2">
      <c r="A48" t="s">
        <v>397</v>
      </c>
      <c r="C48" s="59">
        <f>[1]ISO!P38</f>
        <v>19093506</v>
      </c>
      <c r="D48" s="18"/>
      <c r="E48" s="29">
        <f>'6.4'!E48</f>
        <v>1.102499999999994</v>
      </c>
      <c r="F48" s="26">
        <f t="shared" si="3"/>
        <v>21050590</v>
      </c>
      <c r="G48" s="59">
        <f>[1]ISO!U38</f>
        <v>252459645</v>
      </c>
      <c r="H48" s="37">
        <f t="shared" si="4"/>
        <v>11.993</v>
      </c>
      <c r="I48" s="37"/>
      <c r="K48" s="2"/>
      <c r="L48" s="36">
        <f>'6.4'!L50</f>
        <v>45657</v>
      </c>
      <c r="M48" s="36">
        <f>'6.4'!M50</f>
        <v>45657</v>
      </c>
      <c r="N48" t="s">
        <v>212</v>
      </c>
      <c r="O48" s="22">
        <f>'6.4'!O84</f>
        <v>2014</v>
      </c>
      <c r="P48" s="29">
        <f>'6.4'!Q84</f>
        <v>1.2451527439024395</v>
      </c>
    </row>
    <row r="49" spans="1:16" x14ac:dyDescent="0.2">
      <c r="A49" s="22">
        <v>2018</v>
      </c>
      <c r="C49" s="59">
        <f>[1]ISO!P39</f>
        <v>18172856</v>
      </c>
      <c r="E49" s="29">
        <f>'6.4'!E49</f>
        <v>1.0755512293710299</v>
      </c>
      <c r="F49" s="26">
        <f t="shared" si="3"/>
        <v>19545838</v>
      </c>
      <c r="G49" s="59">
        <f>[1]ISO!U39</f>
        <v>387950</v>
      </c>
      <c r="H49" s="37">
        <f t="shared" si="4"/>
        <v>0.02</v>
      </c>
      <c r="I49" s="37"/>
      <c r="K49" s="2"/>
      <c r="O49" s="22">
        <f>'6.4'!O85</f>
        <v>2015</v>
      </c>
      <c r="P49" s="29">
        <f>'6.4'!Q85</f>
        <v>1.1858597560975612</v>
      </c>
    </row>
    <row r="50" spans="1:16" x14ac:dyDescent="0.2">
      <c r="A50" s="22">
        <v>2019</v>
      </c>
      <c r="C50" s="59">
        <f>[1]ISO!P40</f>
        <v>16254020</v>
      </c>
      <c r="E50" s="29">
        <f>'6.4'!E50</f>
        <v>1.049999999999998</v>
      </c>
      <c r="F50" s="26">
        <f t="shared" ref="F50:F51" si="5">ROUND(C50*E50,0)</f>
        <v>17066721</v>
      </c>
      <c r="G50" s="59">
        <f>[1]ISO!U40</f>
        <v>47300</v>
      </c>
      <c r="H50" s="37">
        <f t="shared" si="4"/>
        <v>3.0000000000000001E-3</v>
      </c>
      <c r="I50" s="37"/>
      <c r="K50" s="2"/>
      <c r="O50" s="22">
        <f>'6.4'!O86</f>
        <v>2016</v>
      </c>
      <c r="P50" s="29">
        <f>'6.4'!Q86</f>
        <v>1.1293902439024393</v>
      </c>
    </row>
    <row r="51" spans="1:16" x14ac:dyDescent="0.2">
      <c r="A51" s="22">
        <v>2020</v>
      </c>
      <c r="C51" s="59">
        <f>[1]ISO!P41</f>
        <v>15741802</v>
      </c>
      <c r="E51" s="29">
        <f>'6.4'!E51</f>
        <v>1.0499999999999974</v>
      </c>
      <c r="F51" s="26">
        <f t="shared" si="5"/>
        <v>16528892</v>
      </c>
      <c r="G51" s="59">
        <f>[1]ISO!U41</f>
        <v>1435530</v>
      </c>
      <c r="H51" s="37">
        <f t="shared" si="4"/>
        <v>8.6999999999999994E-2</v>
      </c>
      <c r="I51" s="37"/>
      <c r="K51" s="2"/>
      <c r="O51" s="22">
        <f>'6.4'!O87</f>
        <v>2017</v>
      </c>
      <c r="P51" s="29">
        <f>'6.4'!Q87</f>
        <v>1.1025</v>
      </c>
    </row>
    <row r="52" spans="1:16" x14ac:dyDescent="0.2">
      <c r="A52" s="22">
        <v>2021</v>
      </c>
      <c r="C52" s="59">
        <f>[1]ISO!P42</f>
        <v>16704751</v>
      </c>
      <c r="E52" s="29">
        <f>'6.4'!E52</f>
        <v>1.0499999999999947</v>
      </c>
      <c r="F52" s="26">
        <f t="shared" ref="F52:F55" si="6">ROUND(C52*E52,0)</f>
        <v>17539989</v>
      </c>
      <c r="G52" s="59">
        <f>[1]ISO!U42</f>
        <v>53835</v>
      </c>
      <c r="H52" s="37">
        <f t="shared" si="4"/>
        <v>3.0000000000000001E-3</v>
      </c>
      <c r="I52" s="37"/>
      <c r="K52" s="2"/>
      <c r="O52" s="22">
        <f>'6.4'!O88</f>
        <v>2018</v>
      </c>
      <c r="P52" s="29">
        <f>'6.4'!Q88</f>
        <v>1.075609756097561</v>
      </c>
    </row>
    <row r="53" spans="1:16" x14ac:dyDescent="0.2">
      <c r="A53" s="22">
        <v>2022</v>
      </c>
      <c r="C53" s="59">
        <f>[1]ISO!P43</f>
        <v>21881155</v>
      </c>
      <c r="E53" s="29">
        <f>'6.4'!E53</f>
        <v>1.0224475776595738</v>
      </c>
      <c r="F53" s="26">
        <f t="shared" si="6"/>
        <v>22372334</v>
      </c>
      <c r="G53" s="59">
        <f>[1]ISO!U43</f>
        <v>237342</v>
      </c>
      <c r="H53" s="37">
        <f t="shared" si="4"/>
        <v>1.0999999999999999E-2</v>
      </c>
      <c r="I53" s="37"/>
      <c r="K53" s="2"/>
      <c r="O53" s="22">
        <f>'6.4'!O89</f>
        <v>2019</v>
      </c>
      <c r="P53" s="29">
        <f>'6.4'!Q89</f>
        <v>1.05</v>
      </c>
    </row>
    <row r="54" spans="1:16" x14ac:dyDescent="0.2">
      <c r="A54" s="22">
        <v>2023</v>
      </c>
      <c r="C54" s="59">
        <f>[1]ISO!P44</f>
        <v>33756337</v>
      </c>
      <c r="E54" s="29">
        <f>'6.4'!E54</f>
        <v>1</v>
      </c>
      <c r="F54" s="26">
        <f t="shared" si="6"/>
        <v>33756337</v>
      </c>
      <c r="G54" s="59">
        <f>[1]ISO!U44</f>
        <v>671907</v>
      </c>
      <c r="H54" s="37">
        <f t="shared" si="4"/>
        <v>0.02</v>
      </c>
      <c r="I54" s="37"/>
      <c r="K54" s="2"/>
      <c r="O54" s="22">
        <f>'6.4'!O90</f>
        <v>2020</v>
      </c>
      <c r="P54" s="29">
        <f>'6.4'!Q90</f>
        <v>1.05</v>
      </c>
    </row>
    <row r="55" spans="1:16" x14ac:dyDescent="0.2">
      <c r="A55" s="22">
        <v>2024</v>
      </c>
      <c r="C55" s="59">
        <f>[1]ISO!P45</f>
        <v>41714049</v>
      </c>
      <c r="E55" s="29">
        <f>'6.4'!E55</f>
        <v>1</v>
      </c>
      <c r="F55" s="26">
        <f t="shared" si="6"/>
        <v>41714049</v>
      </c>
      <c r="G55" s="59">
        <f>[1]ISO!U45</f>
        <v>145026</v>
      </c>
      <c r="H55" s="37">
        <f t="shared" si="4"/>
        <v>3.0000000000000001E-3</v>
      </c>
      <c r="I55" s="37"/>
      <c r="K55" s="2"/>
      <c r="O55" s="22">
        <f>'6.4'!O91</f>
        <v>2021</v>
      </c>
      <c r="P55" s="29">
        <f>'6.4'!Q91</f>
        <v>1.05</v>
      </c>
    </row>
    <row r="56" spans="1:16" x14ac:dyDescent="0.2">
      <c r="A56" s="204"/>
      <c r="B56" s="204"/>
      <c r="C56" s="204"/>
      <c r="D56" s="204"/>
      <c r="E56" s="204"/>
      <c r="F56" s="204"/>
      <c r="G56" s="204"/>
      <c r="H56" s="204"/>
      <c r="K56" s="2"/>
      <c r="O56" s="22">
        <f>'6.4'!O92</f>
        <v>2022</v>
      </c>
      <c r="P56" s="29">
        <f>'6.4'!Q92</f>
        <v>1.024390243902439</v>
      </c>
    </row>
    <row r="57" spans="1:16" x14ac:dyDescent="0.2">
      <c r="A57" t="s">
        <v>7</v>
      </c>
      <c r="C57" s="209">
        <f>SUM(C14:C56)</f>
        <v>574441950</v>
      </c>
      <c r="D57" s="209"/>
      <c r="E57" s="209"/>
      <c r="F57" s="209">
        <f>SUM(F14:F56)</f>
        <v>904963994</v>
      </c>
      <c r="G57" s="209">
        <f>SUM(G14:G56)</f>
        <v>348686633</v>
      </c>
      <c r="H57" s="37">
        <f>ROUND(G57/F57,3)</f>
        <v>0.38500000000000001</v>
      </c>
      <c r="K57" s="2"/>
      <c r="O57" s="22">
        <f>'6.4'!O93</f>
        <v>2023</v>
      </c>
      <c r="P57" s="29">
        <f>'6.4'!Q93</f>
        <v>1</v>
      </c>
    </row>
    <row r="58" spans="1:16" ht="12" thickBot="1" x14ac:dyDescent="0.25">
      <c r="A58" s="6"/>
      <c r="B58" s="6"/>
      <c r="C58" s="6"/>
      <c r="D58" s="6"/>
      <c r="E58" s="6"/>
      <c r="F58" s="6"/>
      <c r="G58" s="6"/>
      <c r="H58" s="6"/>
      <c r="K58" s="2"/>
      <c r="O58" s="22">
        <f>'6.4'!O94</f>
        <v>2024</v>
      </c>
      <c r="P58" s="29">
        <f>'6.4'!Q94</f>
        <v>1</v>
      </c>
    </row>
    <row r="59" spans="1:16" ht="12" thickTop="1" x14ac:dyDescent="0.2">
      <c r="K59" s="2"/>
    </row>
    <row r="60" spans="1:16" x14ac:dyDescent="0.2">
      <c r="A60" t="s">
        <v>17</v>
      </c>
      <c r="K60" s="2"/>
    </row>
    <row r="61" spans="1:16" x14ac:dyDescent="0.2">
      <c r="B61" s="12" t="str">
        <f>C12&amp;" Provided by TDI. "&amp;A14&amp;" - "&amp;A26&amp;" are year ending "&amp;TEXT($L$46,"m/d/xx")&amp;" as of "&amp;TEXT($M$46,"m/d/yy")&amp;"; "&amp;A27&amp;" - "&amp;YEAR(L48)&amp;" are year ending "&amp;TEXT($L$48,"m/d/xx")&amp;" as of "&amp;TEXT($M$48,"m/d/yy")</f>
        <v>(2) Provided by TDI. 1983 - 1995 are year ending 9/30/xx as of 12/31/99; 1996 - 2024 are year ending 12/31/xx as of 12/31/24</v>
      </c>
      <c r="K61" s="2"/>
    </row>
    <row r="62" spans="1:16" x14ac:dyDescent="0.2">
      <c r="B62" s="12" t="str">
        <f>D12&amp;" Provided by TDI (1992 MR = 1992 manual rates)"</f>
        <v>(3) Provided by TDI (1992 MR = 1992 manual rates)</v>
      </c>
      <c r="C62" s="12"/>
      <c r="K62" s="2"/>
    </row>
    <row r="63" spans="1:16" x14ac:dyDescent="0.2">
      <c r="B63" s="12" t="str">
        <f>'6.4'!B63</f>
        <v>(4) Represents 8/1/80 through 6/30/24 rate changes for TWIA; factors assume uniform earning of written premium</v>
      </c>
      <c r="K63" s="2"/>
    </row>
    <row r="64" spans="1:16" x14ac:dyDescent="0.2">
      <c r="B64" s="12" t="str">
        <f>"      and that TWIA premium represents "&amp;TEXT(L32,"0.0%")&amp;" of industry data in "&amp;LEFT(A5,FIND("(",A5)-2)</f>
        <v xml:space="preserve">      and that TWIA premium represents 84.8% of industry data in Tier 1 - Territory 9</v>
      </c>
      <c r="K64" s="2"/>
    </row>
    <row r="65" spans="1:11" x14ac:dyDescent="0.2">
      <c r="B65" s="12" t="str">
        <f>F12&amp;" = "&amp;D12&amp;" x "&amp;E12&amp;" for "&amp;A14&amp;" - "&amp;A23&amp;"; "&amp;C12&amp;" x "&amp;E12&amp;" for "&amp;A24&amp;" - "&amp;YEAR(L48)</f>
        <v>(5) = (3) x (4) for 1983 - 1992; (2) x (4) for 1993 - 2024</v>
      </c>
      <c r="K65" s="2"/>
    </row>
    <row r="66" spans="1:11" x14ac:dyDescent="0.2">
      <c r="B66" s="12" t="str">
        <f>G12&amp;" Provided by TDI. "&amp;A14&amp;" - "&amp;A26&amp;" are year ending "&amp;TEXT($L$46,"m/d/xx")&amp;" as of "&amp;TEXT($M$46,"m/d/yy")&amp;"; "&amp;A27&amp;" - "&amp;A42&amp;" are year ending "&amp;TEXT($L$48,"m/d/xx")&amp;" as of "&amp;TEXT($M$47,"m/d/yy")</f>
        <v>(6) Provided by TDI. 1983 - 1995 are year ending 9/30/xx as of 12/31/99; 1996 - 2011 are year ending 12/31/xx as of 12/31/19</v>
      </c>
      <c r="D66" s="41"/>
      <c r="E66" s="41"/>
      <c r="F66" s="41"/>
      <c r="G66" s="21"/>
      <c r="K66" s="2"/>
    </row>
    <row r="67" spans="1:11" x14ac:dyDescent="0.2">
      <c r="B67" t="str">
        <f>"    2012 - "&amp;YEAR(M48)&amp;" are year ending 12/31/xx as of "&amp;TEXT(M48,"m/d/yy")</f>
        <v xml:space="preserve">    2012 - 2024 are year ending 12/31/xx as of 12/31/24</v>
      </c>
      <c r="K67" s="2"/>
    </row>
    <row r="68" spans="1:11" x14ac:dyDescent="0.2">
      <c r="B68" s="12" t="str">
        <f>H12&amp;" = "&amp;G12&amp;" / "&amp;F12</f>
        <v>(7) = (6) / (5)</v>
      </c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0FC5C-1C50-4FF6-B781-81D5BE9493CF}">
  <sheetPr>
    <pageSetUpPr fitToPage="1"/>
  </sheetPr>
  <dimension ref="A1:I40"/>
  <sheetViews>
    <sheetView showGridLines="0" workbookViewId="0"/>
  </sheetViews>
  <sheetFormatPr defaultRowHeight="11.25" x14ac:dyDescent="0.2"/>
  <cols>
    <col min="1" max="1" width="15" style="11" customWidth="1"/>
    <col min="2" max="2" width="62.83203125" customWidth="1"/>
    <col min="3" max="3" width="1.83203125" customWidth="1"/>
    <col min="4" max="4" width="115.33203125" bestFit="1" customWidth="1"/>
    <col min="5" max="5" width="2.6640625" customWidth="1"/>
    <col min="7" max="7" width="1.1640625" customWidth="1"/>
    <col min="8" max="8" width="8.33203125" bestFit="1" customWidth="1"/>
    <col min="9" max="9" width="15.6640625" style="22" bestFit="1" customWidth="1"/>
  </cols>
  <sheetData>
    <row r="1" spans="1:9" ht="12" thickBot="1" x14ac:dyDescent="0.25"/>
    <row r="2" spans="1:9" x14ac:dyDescent="0.2">
      <c r="A2" s="182" t="s">
        <v>0</v>
      </c>
      <c r="B2" s="183"/>
      <c r="C2" s="183"/>
      <c r="D2" s="183"/>
      <c r="E2" s="183"/>
      <c r="F2" s="183"/>
      <c r="G2" s="183"/>
      <c r="H2" s="184"/>
    </row>
    <row r="3" spans="1:9" x14ac:dyDescent="0.2">
      <c r="A3" s="185" t="s">
        <v>162</v>
      </c>
      <c r="H3" s="186"/>
    </row>
    <row r="4" spans="1:9" x14ac:dyDescent="0.2">
      <c r="A4" s="185" t="s">
        <v>1</v>
      </c>
      <c r="H4" s="186"/>
    </row>
    <row r="5" spans="1:9" x14ac:dyDescent="0.2">
      <c r="A5" s="187"/>
      <c r="H5" s="186"/>
    </row>
    <row r="6" spans="1:9" x14ac:dyDescent="0.2">
      <c r="A6" s="266" t="s">
        <v>426</v>
      </c>
      <c r="B6" s="267"/>
      <c r="C6" s="267"/>
      <c r="D6" s="267"/>
      <c r="E6" s="267"/>
      <c r="F6" s="267"/>
      <c r="G6" s="267"/>
      <c r="H6" s="268"/>
      <c r="I6" s="8"/>
    </row>
    <row r="7" spans="1:9" x14ac:dyDescent="0.2">
      <c r="A7" s="187"/>
      <c r="H7" s="186"/>
    </row>
    <row r="8" spans="1:9" x14ac:dyDescent="0.2">
      <c r="A8" s="188"/>
      <c r="H8" s="186"/>
    </row>
    <row r="9" spans="1:9" x14ac:dyDescent="0.2">
      <c r="A9" s="189" t="s">
        <v>471</v>
      </c>
      <c r="B9" s="180" t="s">
        <v>427</v>
      </c>
      <c r="D9" s="180" t="s">
        <v>467</v>
      </c>
      <c r="F9" s="180" t="s">
        <v>428</v>
      </c>
      <c r="G9" s="8"/>
      <c r="H9" s="190" t="s">
        <v>429</v>
      </c>
      <c r="I9" s="8"/>
    </row>
    <row r="10" spans="1:9" x14ac:dyDescent="0.2">
      <c r="A10" s="191">
        <v>1</v>
      </c>
      <c r="B10" t="str">
        <f>'1'!A4</f>
        <v>Summary of Indicated Rate Change</v>
      </c>
      <c r="D10" t="str">
        <f>'1'!A5</f>
        <v>By Method for Projecting Hurricane Loss &amp; LAE</v>
      </c>
      <c r="F10" t="str">
        <f>'1'!K1</f>
        <v>Exhibit 1</v>
      </c>
      <c r="H10" s="192"/>
      <c r="I10" s="181"/>
    </row>
    <row r="11" spans="1:9" x14ac:dyDescent="0.2">
      <c r="A11" s="191">
        <v>2.1</v>
      </c>
      <c r="B11" t="str">
        <f>'2.1'!A4</f>
        <v>Projected Ultimate Non-Hurricane Loss &amp; LAE Ratio</v>
      </c>
      <c r="F11" t="str">
        <f>'2.1'!J1</f>
        <v>Exhibit 2</v>
      </c>
      <c r="H11" s="186" t="str">
        <f>'2.1'!J2</f>
        <v>Sheet 1</v>
      </c>
      <c r="I11"/>
    </row>
    <row r="12" spans="1:9" x14ac:dyDescent="0.2">
      <c r="A12" s="191">
        <v>2.2000000000000002</v>
      </c>
      <c r="B12" t="str">
        <f>'2.2'!A4</f>
        <v>Projected Ultimate Non-Hurricane Loss</v>
      </c>
      <c r="F12" t="str">
        <f>'2.2'!M1</f>
        <v>Exhibit 2</v>
      </c>
      <c r="H12" s="186" t="str">
        <f>'2.2'!M2</f>
        <v>Sheet 2</v>
      </c>
      <c r="I12"/>
    </row>
    <row r="13" spans="1:9" x14ac:dyDescent="0.2">
      <c r="A13" s="191">
        <v>2.2999999999999998</v>
      </c>
      <c r="B13" t="str">
        <f>'2.3'!A4</f>
        <v>Summary of TWIA Historical Paid Loss as of 12/31/24</v>
      </c>
      <c r="F13" t="str">
        <f>'2.3'!K1</f>
        <v>Exhibit 2</v>
      </c>
      <c r="H13" s="186" t="str">
        <f>'2.3'!K2</f>
        <v>Sheet 3</v>
      </c>
      <c r="I13"/>
    </row>
    <row r="14" spans="1:9" x14ac:dyDescent="0.2">
      <c r="A14" s="191">
        <v>2.4</v>
      </c>
      <c r="B14" t="str">
        <f>'2.4'!A4</f>
        <v>Calculation of Net Trend Factors</v>
      </c>
      <c r="F14" t="str">
        <f>'2.4'!L1</f>
        <v>Exhibit 2</v>
      </c>
      <c r="H14" s="186" t="str">
        <f>'2.4'!L2</f>
        <v>Sheet 4</v>
      </c>
      <c r="I14"/>
    </row>
    <row r="15" spans="1:9" x14ac:dyDescent="0.2">
      <c r="A15" s="191">
        <v>3.1</v>
      </c>
      <c r="B15" t="str">
        <f>'3.1'!A4</f>
        <v>Premium Trend Analysis</v>
      </c>
      <c r="D15" t="str">
        <f>'3.1'!A5</f>
        <v>TWIA Commercial Written Premium at Present Rates (WPPR)</v>
      </c>
      <c r="F15" t="str">
        <f>'3.1'!L1</f>
        <v>Exhibit 3</v>
      </c>
      <c r="H15" s="193" t="str">
        <f>'3.1'!L2</f>
        <v>Sheet 1</v>
      </c>
      <c r="I15"/>
    </row>
    <row r="16" spans="1:9" x14ac:dyDescent="0.2">
      <c r="A16" s="191" t="s">
        <v>463</v>
      </c>
      <c r="B16" t="str">
        <f>'3.2a'!A4</f>
        <v>Loss Trend Analysis</v>
      </c>
      <c r="D16" t="str">
        <f>'3.2a'!A5</f>
        <v>Summary of Indices and Calculation of Prospective Loss Costs</v>
      </c>
      <c r="F16" t="str">
        <f>'3.2a'!L1</f>
        <v>Exhibit 3</v>
      </c>
      <c r="H16" s="186" t="str">
        <f>'3.2a'!L2</f>
        <v>Sheet 2a</v>
      </c>
      <c r="I16"/>
    </row>
    <row r="17" spans="1:9" x14ac:dyDescent="0.2">
      <c r="A17" s="191" t="s">
        <v>464</v>
      </c>
      <c r="B17" t="str">
        <f>'3.2b'!A4</f>
        <v>Loss Trend Analysis</v>
      </c>
      <c r="D17" t="str">
        <f>'3.2b'!A5</f>
        <v>Boeckh Commercial Construction Index Trend (Statewide)</v>
      </c>
      <c r="F17" t="str">
        <f>'3.2b'!L1</f>
        <v>Exhibit 3</v>
      </c>
      <c r="H17" s="186" t="str">
        <f>'3.2b'!L2</f>
        <v>Sheet 2b</v>
      </c>
      <c r="I17"/>
    </row>
    <row r="18" spans="1:9" x14ac:dyDescent="0.2">
      <c r="A18" s="191" t="s">
        <v>465</v>
      </c>
      <c r="B18" t="str">
        <f>'3.2c'!A4</f>
        <v>Loss Trend Analysis</v>
      </c>
      <c r="D18" t="str">
        <f>'3.2c'!A5</f>
        <v>Boeckh Commercial Construction Index Trend (Coastal)</v>
      </c>
      <c r="F18" t="str">
        <f>'3.2c'!L1</f>
        <v>Exhibit 3</v>
      </c>
      <c r="H18" s="186" t="str">
        <f>'3.2c'!L2</f>
        <v>Sheet 2c</v>
      </c>
      <c r="I18"/>
    </row>
    <row r="19" spans="1:9" x14ac:dyDescent="0.2">
      <c r="A19" s="191" t="s">
        <v>466</v>
      </c>
      <c r="B19" t="str">
        <f>'3.2d'!A4</f>
        <v>Loss Trend Analysis</v>
      </c>
      <c r="D19" t="str">
        <f>'3.2d'!A5</f>
        <v>Modified Consumer Price Index - External Trend</v>
      </c>
      <c r="F19" t="str">
        <f>'3.2d'!L1</f>
        <v>Exhibit 3</v>
      </c>
      <c r="H19" s="186" t="str">
        <f>'3.2d'!L2</f>
        <v>Sheet 2d</v>
      </c>
      <c r="I19"/>
    </row>
    <row r="20" spans="1:9" x14ac:dyDescent="0.2">
      <c r="A20" s="191">
        <v>4</v>
      </c>
      <c r="B20" t="str">
        <f>'4'!A4</f>
        <v>Development of LAE Factor Using TWIA Commercial + Residential Experience</v>
      </c>
      <c r="D20" s="194"/>
      <c r="F20" t="str">
        <f>'4'!J1</f>
        <v>Exhibit 4</v>
      </c>
      <c r="H20" s="186"/>
      <c r="I20"/>
    </row>
    <row r="21" spans="1:9" x14ac:dyDescent="0.2">
      <c r="A21" s="191">
        <v>5</v>
      </c>
      <c r="B21" t="str">
        <f>'5'!A4</f>
        <v>Summary of Indicated Hurricane Loss &amp; LAE Ratios</v>
      </c>
      <c r="D21" s="194"/>
      <c r="F21" t="str">
        <f>'5'!H1</f>
        <v>Exhibit 5</v>
      </c>
      <c r="H21" s="192"/>
      <c r="I21" s="181"/>
    </row>
    <row r="22" spans="1:9" x14ac:dyDescent="0.2">
      <c r="A22" s="191">
        <v>6.1</v>
      </c>
      <c r="B22" t="str">
        <f>'6.1'!A4</f>
        <v>Industry Experience - Commercial Extended Coverage</v>
      </c>
      <c r="D22" t="str">
        <f>'6.1'!A5</f>
        <v>Hurricane Years Only</v>
      </c>
      <c r="F22" t="str">
        <f>'6.1'!J1</f>
        <v>Exhibit 6</v>
      </c>
      <c r="H22" s="186" t="str">
        <f>'6.1'!J2</f>
        <v>Sheet 1</v>
      </c>
      <c r="I22"/>
    </row>
    <row r="23" spans="1:9" x14ac:dyDescent="0.2">
      <c r="A23" s="191">
        <v>6.2</v>
      </c>
      <c r="B23" t="str">
        <f>'6.2'!A4</f>
        <v>Industry Experience - Commercial Extended Coverage</v>
      </c>
      <c r="D23" t="str">
        <f>'6.2'!A5</f>
        <v>Non-Hurricane Loss Ratio</v>
      </c>
      <c r="F23" t="str">
        <f>'6.2'!J1</f>
        <v>Exhibit 6</v>
      </c>
      <c r="H23" s="186" t="str">
        <f>'6.2'!J2</f>
        <v>Sheet 2</v>
      </c>
      <c r="I23"/>
    </row>
    <row r="24" spans="1:9" x14ac:dyDescent="0.2">
      <c r="A24" s="191">
        <v>6.3</v>
      </c>
      <c r="B24" t="str">
        <f>'6.3'!A4</f>
        <v>Industry Experience - Commercial Extended Coverage</v>
      </c>
      <c r="D24" t="str">
        <f>'6.3'!A5</f>
        <v>Summary by Territory</v>
      </c>
      <c r="F24" t="str">
        <f>'6.3'!I1</f>
        <v>Exhibit 6</v>
      </c>
      <c r="H24" s="186" t="str">
        <f>'6.3'!I2</f>
        <v>Sheet 3</v>
      </c>
      <c r="I24"/>
    </row>
    <row r="25" spans="1:9" x14ac:dyDescent="0.2">
      <c r="A25" s="191">
        <v>6.4</v>
      </c>
      <c r="B25" t="str">
        <f>'6.4'!A4</f>
        <v>Industry Experience - Commercial Extended Coverage</v>
      </c>
      <c r="D25" t="str">
        <f>'6.4'!A5</f>
        <v>Tier 1 - Territory 8 (Galveston County)</v>
      </c>
      <c r="F25" t="str">
        <f>'6.4'!J1</f>
        <v>Exhibit 6</v>
      </c>
      <c r="H25" s="186" t="str">
        <f>'6.4'!J2</f>
        <v>Sheet 4</v>
      </c>
      <c r="I25"/>
    </row>
    <row r="26" spans="1:9" x14ac:dyDescent="0.2">
      <c r="A26" s="191">
        <v>6.5</v>
      </c>
      <c r="B26" t="str">
        <f>'6.5'!A4</f>
        <v>Industry Experience - Commercial Extended Coverage</v>
      </c>
      <c r="D26" t="str">
        <f>'6.5'!A5</f>
        <v>Tier 1 - Territory 9 (Nueces County)</v>
      </c>
      <c r="F26" t="str">
        <f>'6.5'!J1</f>
        <v>Exhibit 6</v>
      </c>
      <c r="H26" s="186" t="str">
        <f>'6.5'!J2</f>
        <v>Sheet 5</v>
      </c>
      <c r="I26"/>
    </row>
    <row r="27" spans="1:9" x14ac:dyDescent="0.2">
      <c r="A27" s="191">
        <v>6.6</v>
      </c>
      <c r="B27" t="str">
        <f>'6.6'!A4</f>
        <v>Industry Experience - Commercial Extended Coverage</v>
      </c>
      <c r="D27" t="str">
        <f>'6.6'!A5</f>
        <v>Tier 1 - Territory 10 (Other Tier 1)</v>
      </c>
      <c r="F27" t="str">
        <f>'6.6'!J1</f>
        <v>Exhibit 6</v>
      </c>
      <c r="H27" s="186" t="str">
        <f>'6.6'!J2</f>
        <v>Sheet 6</v>
      </c>
      <c r="I27"/>
    </row>
    <row r="28" spans="1:9" x14ac:dyDescent="0.2">
      <c r="A28" s="191">
        <v>6.7</v>
      </c>
      <c r="B28" t="str">
        <f>'6.7'!A4</f>
        <v>Industry Experience - Commercial Extended Coverage</v>
      </c>
      <c r="D28" t="str">
        <f>'6.7'!A5</f>
        <v>Tier 2 (Territories 1 and 11)</v>
      </c>
      <c r="F28" t="str">
        <f>'6.7'!J1</f>
        <v>Exhibit 6</v>
      </c>
      <c r="H28" s="186" t="str">
        <f>'6.7'!J2</f>
        <v>Sheet 7</v>
      </c>
      <c r="I28"/>
    </row>
    <row r="29" spans="1:9" x14ac:dyDescent="0.2">
      <c r="A29" s="191">
        <v>7.1</v>
      </c>
      <c r="B29" t="str">
        <f>'7.1'!A4</f>
        <v>Hurricane Loss Ratio - Verisk (AIR) Model</v>
      </c>
      <c r="D29" t="str">
        <f>'7.1'!A5</f>
        <v>Model Version: Verisk Touchstone 12.0 Tropical Cyclone (TC) and Severe Thunderstorm (ST)</v>
      </c>
      <c r="F29" t="str">
        <f>'7.1'!J1</f>
        <v>Exhibit 7</v>
      </c>
      <c r="H29" s="186" t="str">
        <f>'7.1'!J2</f>
        <v>Sheet 1</v>
      </c>
      <c r="I29"/>
    </row>
    <row r="30" spans="1:9" x14ac:dyDescent="0.2">
      <c r="A30" s="191">
        <v>7.2</v>
      </c>
      <c r="B30" t="str">
        <f>'7.2'!A4</f>
        <v>Hurricane Loss Ratio - RMS Model</v>
      </c>
      <c r="D30" t="str">
        <f>'7.2'!A5</f>
        <v>Model Version: RMS RiskLink 23.0 Windstorm/Hurricane and Convective Storm (WS/CS)</v>
      </c>
      <c r="F30" t="str">
        <f>'7.2'!J1</f>
        <v>Exhibit 7</v>
      </c>
      <c r="H30" s="186" t="str">
        <f>'7.2'!J2</f>
        <v>Sheet 2</v>
      </c>
      <c r="I30"/>
    </row>
    <row r="31" spans="1:9" x14ac:dyDescent="0.2">
      <c r="A31" s="191">
        <v>7.3</v>
      </c>
      <c r="B31" t="str">
        <f>'7.3'!A4</f>
        <v>Hurricane Loss Ratio - Impact Forecasting Model</v>
      </c>
      <c r="D31" t="str">
        <f>'7.3'!A5</f>
        <v>Model Version: Impact Forecasting ELEMENTS 18.0 Atlantic Tropical Cyclone and Severe Convective Storm</v>
      </c>
      <c r="F31" t="str">
        <f>'7.3'!J1</f>
        <v>Exhibit 7</v>
      </c>
      <c r="H31" s="186" t="str">
        <f>'7.3'!J2</f>
        <v>Sheet 3</v>
      </c>
      <c r="I31"/>
    </row>
    <row r="32" spans="1:9" x14ac:dyDescent="0.2">
      <c r="A32" s="191">
        <v>7.4</v>
      </c>
      <c r="B32" t="str">
        <f>'7.4'!A4</f>
        <v>Hurricane Loss Ratio - CoreLogic RQE Model</v>
      </c>
      <c r="D32" t="str">
        <f>'7.4'!A5</f>
        <v>Model Version: CoreLogic Risk Quantification &amp; Engineering (RQE) v23 North Atlantic Hurricane (HU) and Severe Convective Storm (SCS)</v>
      </c>
      <c r="F32" t="str">
        <f>'7.4'!J1</f>
        <v>Exhibit 7</v>
      </c>
      <c r="H32" s="186" t="str">
        <f>'7.4'!J2</f>
        <v>Sheet 4</v>
      </c>
      <c r="I32"/>
    </row>
    <row r="33" spans="1:9" x14ac:dyDescent="0.2">
      <c r="A33" s="191">
        <v>8</v>
      </c>
      <c r="B33" t="str">
        <f>'8'!A4</f>
        <v>Texas Hurricanes 1851 - 2024</v>
      </c>
      <c r="F33" t="str">
        <f>'8'!J1</f>
        <v>Exhibit 8</v>
      </c>
      <c r="H33" s="192"/>
      <c r="I33" s="181"/>
    </row>
    <row r="34" spans="1:9" x14ac:dyDescent="0.2">
      <c r="A34" s="191">
        <v>9.1</v>
      </c>
      <c r="B34" t="str">
        <f>'9.1'!A4</f>
        <v>Calculation of Earned Premium at Present Rate Level</v>
      </c>
      <c r="F34" t="str">
        <f>'9.1'!J1</f>
        <v>Exhibit 9</v>
      </c>
      <c r="H34" s="186" t="str">
        <f>'9.1'!J2</f>
        <v>Sheet 1</v>
      </c>
      <c r="I34"/>
    </row>
    <row r="35" spans="1:9" x14ac:dyDescent="0.2">
      <c r="A35" s="191">
        <v>9.1999999999999993</v>
      </c>
      <c r="B35" t="str">
        <f>'9.2'!A4</f>
        <v>Calculation of On-Level Premium Factors</v>
      </c>
      <c r="F35" t="str">
        <f>'9.2'!O1</f>
        <v>Exhibit 9</v>
      </c>
      <c r="H35" s="186" t="str">
        <f>'9.2'!O2</f>
        <v>Sheet 2</v>
      </c>
      <c r="I35"/>
    </row>
    <row r="36" spans="1:9" x14ac:dyDescent="0.2">
      <c r="A36" s="191">
        <v>9.3000000000000007</v>
      </c>
      <c r="B36" t="str">
        <f>'9.3'!A4</f>
        <v>History of Rate Level Changes</v>
      </c>
      <c r="F36" t="str">
        <f>'9.3'!K1</f>
        <v>Exhibit 9</v>
      </c>
      <c r="H36" s="186" t="str">
        <f>'9.3'!K2</f>
        <v>Sheet 3</v>
      </c>
      <c r="I36"/>
    </row>
    <row r="37" spans="1:9" x14ac:dyDescent="0.2">
      <c r="A37" s="191">
        <v>10.1</v>
      </c>
      <c r="B37" t="str">
        <f>'10.1'!A4</f>
        <v>Expenses and Permissible Loss &amp; LAE Ratios</v>
      </c>
      <c r="F37" t="str">
        <f>'10.1'!K1</f>
        <v>Exhibit 10</v>
      </c>
      <c r="H37" s="186" t="str">
        <f>'10.1'!K2</f>
        <v>Sheet 1</v>
      </c>
      <c r="I37"/>
    </row>
    <row r="38" spans="1:9" x14ac:dyDescent="0.2">
      <c r="A38" s="191">
        <v>10.199999999999999</v>
      </c>
      <c r="B38" t="str">
        <f>'10.2'!A4</f>
        <v>Development of Reinsurance Provision</v>
      </c>
      <c r="D38" t="str">
        <f>'10.2'!A5</f>
        <v>Using Average of Verisk and RMS Hurricane Models</v>
      </c>
      <c r="F38" t="str">
        <f>'10.2'!H1</f>
        <v>Exhibit 10</v>
      </c>
      <c r="H38" s="186" t="str">
        <f>'10.2'!H2</f>
        <v>Sheet 2</v>
      </c>
      <c r="I38"/>
    </row>
    <row r="39" spans="1:9" x14ac:dyDescent="0.2">
      <c r="A39" s="191">
        <v>11.1</v>
      </c>
      <c r="B39" t="str">
        <f>'11.1'!A4</f>
        <v>Reconciliation of Paid Loss Data to Schedule P</v>
      </c>
      <c r="F39" t="str">
        <f>'11.1'!I1</f>
        <v>Exhibit 11</v>
      </c>
      <c r="H39" s="186" t="str">
        <f>'11.1'!I2</f>
        <v>Sheet 1</v>
      </c>
      <c r="I39" s="181"/>
    </row>
    <row r="40" spans="1:9" ht="12" thickBot="1" x14ac:dyDescent="0.25">
      <c r="A40" s="195">
        <v>11.2</v>
      </c>
      <c r="B40" s="196" t="str">
        <f>'11.2'!A4</f>
        <v>Reconciliation of Premium Data to Annual Statement</v>
      </c>
      <c r="C40" s="196"/>
      <c r="D40" s="196"/>
      <c r="E40" s="196"/>
      <c r="F40" s="196" t="str">
        <f>'11.2'!J1</f>
        <v>Exhibit 11</v>
      </c>
      <c r="G40" s="196"/>
      <c r="H40" s="200" t="str">
        <f>'11.2'!J2</f>
        <v>Sheet 2</v>
      </c>
    </row>
  </sheetData>
  <mergeCells count="1">
    <mergeCell ref="A6:H6"/>
  </mergeCells>
  <phoneticPr fontId="0" type="noConversion"/>
  <pageMargins left="0.5" right="0.5" top="0.5" bottom="0.5" header="0.5" footer="0.5"/>
  <pageSetup scale="74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rgb="FF00B050"/>
  </sheetPr>
  <dimension ref="A1:P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65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87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500</v>
      </c>
      <c r="B4" s="12"/>
      <c r="K4" s="2"/>
    </row>
    <row r="5" spans="1:12" x14ac:dyDescent="0.2">
      <c r="A5" t="s">
        <v>499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2" ht="12" thickTop="1" x14ac:dyDescent="0.2">
      <c r="K8" s="2"/>
    </row>
    <row r="9" spans="1:12" x14ac:dyDescent="0.2">
      <c r="A9" t="s">
        <v>37</v>
      </c>
      <c r="C9" s="133"/>
      <c r="D9" s="11" t="s">
        <v>76</v>
      </c>
      <c r="E9" s="11" t="s">
        <v>202</v>
      </c>
      <c r="F9" s="11" t="s">
        <v>76</v>
      </c>
      <c r="G9" s="11"/>
      <c r="H9" s="11"/>
      <c r="K9" s="2"/>
      <c r="L9" s="24"/>
    </row>
    <row r="10" spans="1:12" x14ac:dyDescent="0.2">
      <c r="A10" t="s">
        <v>38</v>
      </c>
      <c r="C10" s="11" t="s">
        <v>76</v>
      </c>
      <c r="D10" s="11" t="s">
        <v>77</v>
      </c>
      <c r="E10" s="11" t="s">
        <v>203</v>
      </c>
      <c r="F10" s="11" t="s">
        <v>204</v>
      </c>
      <c r="G10" s="11" t="s">
        <v>56</v>
      </c>
      <c r="H10" s="11" t="s">
        <v>56</v>
      </c>
      <c r="K10" s="2"/>
      <c r="L10" s="12"/>
    </row>
    <row r="11" spans="1:12" x14ac:dyDescent="0.2">
      <c r="A11" s="9" t="s">
        <v>25</v>
      </c>
      <c r="B11" s="9"/>
      <c r="C11" s="143" t="s">
        <v>77</v>
      </c>
      <c r="D11" s="143" t="s">
        <v>201</v>
      </c>
      <c r="E11" s="143" t="s">
        <v>86</v>
      </c>
      <c r="F11" s="143" t="s">
        <v>205</v>
      </c>
      <c r="G11" s="143" t="s">
        <v>32</v>
      </c>
      <c r="H11" s="143" t="s">
        <v>48</v>
      </c>
      <c r="K11" s="2"/>
      <c r="L11" s="36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s="60" t="s">
        <v>374</v>
      </c>
      <c r="C14" s="31">
        <v>3769988</v>
      </c>
      <c r="D14" s="31">
        <v>4139464</v>
      </c>
      <c r="E14" s="29">
        <f>'6.4'!E14</f>
        <v>3.8293316891072973</v>
      </c>
      <c r="F14" s="26">
        <f>ROUND(D14*$E$23,0)</f>
        <v>11720839</v>
      </c>
      <c r="G14" s="31">
        <v>5242728</v>
      </c>
      <c r="H14" s="21">
        <f t="shared" ref="H14:H51" si="1">ROUND(G14/F14,3)</f>
        <v>0.44700000000000001</v>
      </c>
      <c r="I14" s="21"/>
      <c r="K14" s="2"/>
      <c r="L14" s="29"/>
    </row>
    <row r="15" spans="1:12" x14ac:dyDescent="0.2">
      <c r="A15" t="s">
        <v>375</v>
      </c>
      <c r="C15" s="31">
        <v>4835650</v>
      </c>
      <c r="D15" s="31">
        <v>5883059</v>
      </c>
      <c r="E15" s="29">
        <f>'6.4'!E15</f>
        <v>3.5112843511426886</v>
      </c>
      <c r="F15" s="26">
        <f>ROUND(D15*$E$23,0)</f>
        <v>16657806</v>
      </c>
      <c r="G15" s="31">
        <v>1759233</v>
      </c>
      <c r="H15" s="21">
        <f t="shared" si="1"/>
        <v>0.106</v>
      </c>
      <c r="I15" s="21"/>
      <c r="K15" s="2"/>
    </row>
    <row r="16" spans="1:12" x14ac:dyDescent="0.2">
      <c r="A16" t="s">
        <v>376</v>
      </c>
      <c r="C16" s="31">
        <v>3637366</v>
      </c>
      <c r="D16" s="31">
        <v>3997227</v>
      </c>
      <c r="E16" s="29">
        <f>'6.4'!E16</f>
        <v>2.8789383840739684</v>
      </c>
      <c r="F16" s="26">
        <f t="shared" ref="F16:F21" si="2">ROUND(D16*$E$23,0)</f>
        <v>11318097</v>
      </c>
      <c r="G16" s="31">
        <v>534724</v>
      </c>
      <c r="H16" s="21">
        <f t="shared" si="1"/>
        <v>4.7E-2</v>
      </c>
      <c r="I16" s="21"/>
      <c r="K16" s="2"/>
    </row>
    <row r="17" spans="1:16" x14ac:dyDescent="0.2">
      <c r="A17" t="s">
        <v>377</v>
      </c>
      <c r="C17" s="31">
        <v>4787352</v>
      </c>
      <c r="D17" s="31">
        <v>3948102</v>
      </c>
      <c r="E17" s="29">
        <f>'6.4'!E17</f>
        <v>2.0498785892003166</v>
      </c>
      <c r="F17" s="26">
        <f t="shared" si="2"/>
        <v>11179000</v>
      </c>
      <c r="G17" s="31">
        <v>1943819</v>
      </c>
      <c r="H17" s="21">
        <f t="shared" si="1"/>
        <v>0.17399999999999999</v>
      </c>
      <c r="I17" s="21"/>
      <c r="K17" s="2"/>
      <c r="O17" s="22"/>
      <c r="P17" s="29"/>
    </row>
    <row r="18" spans="1:16" x14ac:dyDescent="0.2">
      <c r="A18" t="s">
        <v>378</v>
      </c>
      <c r="C18" s="31">
        <v>5996981</v>
      </c>
      <c r="D18" s="31">
        <v>5352970</v>
      </c>
      <c r="E18" s="29">
        <f>'6.4'!E18</f>
        <v>1.9936436916734259</v>
      </c>
      <c r="F18" s="26">
        <f t="shared" si="2"/>
        <v>15156866</v>
      </c>
      <c r="G18" s="31">
        <v>338938</v>
      </c>
      <c r="H18" s="21">
        <f t="shared" si="1"/>
        <v>2.1999999999999999E-2</v>
      </c>
      <c r="I18" s="21"/>
      <c r="K18" s="2"/>
      <c r="O18" s="22"/>
      <c r="P18" s="29"/>
    </row>
    <row r="19" spans="1:16" x14ac:dyDescent="0.2">
      <c r="A19" t="s">
        <v>379</v>
      </c>
      <c r="C19" s="31">
        <v>5872305</v>
      </c>
      <c r="D19" s="31">
        <v>5768621</v>
      </c>
      <c r="E19" s="29">
        <f>'6.4'!E19</f>
        <v>2.1473124836449715</v>
      </c>
      <c r="F19" s="26">
        <f t="shared" si="2"/>
        <v>16333776</v>
      </c>
      <c r="G19" s="31">
        <v>1442599</v>
      </c>
      <c r="H19" s="21">
        <f t="shared" si="1"/>
        <v>8.7999999999999995E-2</v>
      </c>
      <c r="I19" s="21"/>
      <c r="K19" s="2"/>
      <c r="O19" s="22"/>
      <c r="P19" s="29"/>
    </row>
    <row r="20" spans="1:16" x14ac:dyDescent="0.2">
      <c r="A20" t="s">
        <v>380</v>
      </c>
      <c r="C20" s="31">
        <v>5125436</v>
      </c>
      <c r="D20" s="31">
        <v>5918163</v>
      </c>
      <c r="E20" s="29">
        <f>'6.4'!E20</f>
        <v>2.385265617366465</v>
      </c>
      <c r="F20" s="26">
        <f t="shared" si="2"/>
        <v>16757203</v>
      </c>
      <c r="G20" s="31">
        <v>349413</v>
      </c>
      <c r="H20" s="21">
        <f t="shared" si="1"/>
        <v>2.1000000000000001E-2</v>
      </c>
      <c r="I20" s="21"/>
      <c r="K20" s="2"/>
      <c r="O20" s="22"/>
      <c r="P20" s="29"/>
    </row>
    <row r="21" spans="1:16" x14ac:dyDescent="0.2">
      <c r="A21" t="s">
        <v>381</v>
      </c>
      <c r="C21" s="31">
        <v>3842130</v>
      </c>
      <c r="D21" s="31">
        <v>4624825</v>
      </c>
      <c r="E21" s="29">
        <f>'6.4'!E21</f>
        <v>2.5056768649457406</v>
      </c>
      <c r="F21" s="26">
        <f t="shared" si="2"/>
        <v>13095133</v>
      </c>
      <c r="G21" s="31">
        <v>1263817</v>
      </c>
      <c r="H21" s="21">
        <f t="shared" si="1"/>
        <v>9.7000000000000003E-2</v>
      </c>
      <c r="I21" s="21"/>
      <c r="K21" s="2"/>
      <c r="O21" s="22"/>
      <c r="P21" s="29"/>
    </row>
    <row r="22" spans="1:16" x14ac:dyDescent="0.2">
      <c r="A22" t="s">
        <v>382</v>
      </c>
      <c r="C22" s="31">
        <v>4253902</v>
      </c>
      <c r="D22" s="31">
        <v>4765878</v>
      </c>
      <c r="E22" s="29">
        <f>'6.4'!E22</f>
        <v>2.4905762618235174</v>
      </c>
      <c r="F22" s="26">
        <f>ROUND(D22*$E$23,0)</f>
        <v>13494522</v>
      </c>
      <c r="G22" s="31">
        <v>14752702</v>
      </c>
      <c r="H22" s="21">
        <f t="shared" si="1"/>
        <v>1.093</v>
      </c>
      <c r="I22" s="21"/>
      <c r="K22" s="2"/>
      <c r="O22" s="22"/>
      <c r="P22" s="29"/>
    </row>
    <row r="23" spans="1:16" x14ac:dyDescent="0.2">
      <c r="A23" t="s">
        <v>383</v>
      </c>
      <c r="B23" s="12"/>
      <c r="C23" s="31">
        <v>4034147</v>
      </c>
      <c r="D23" s="31">
        <v>4187015</v>
      </c>
      <c r="E23" s="29">
        <f>'6.4'!E23</f>
        <v>2.8314871857113864</v>
      </c>
      <c r="F23" s="26">
        <f t="shared" ref="F23" si="3">ROUND(D23*E23,0)</f>
        <v>11855479</v>
      </c>
      <c r="G23" s="31">
        <v>276158</v>
      </c>
      <c r="H23" s="21">
        <f t="shared" si="1"/>
        <v>2.3E-2</v>
      </c>
      <c r="I23" s="21"/>
      <c r="K23" s="2"/>
      <c r="O23" s="22"/>
      <c r="P23" s="29"/>
    </row>
    <row r="24" spans="1:16" x14ac:dyDescent="0.2">
      <c r="A24" t="s">
        <v>360</v>
      </c>
      <c r="B24" s="12"/>
      <c r="C24" s="31">
        <v>4540606</v>
      </c>
      <c r="D24" s="31"/>
      <c r="E24" s="29">
        <f>'6.4'!E24</f>
        <v>3.2531461484671529</v>
      </c>
      <c r="F24" s="26">
        <f>ROUND(C24*E24,0)</f>
        <v>14771255</v>
      </c>
      <c r="G24" s="31">
        <v>245603</v>
      </c>
      <c r="H24" s="21">
        <f t="shared" si="1"/>
        <v>1.7000000000000001E-2</v>
      </c>
      <c r="I24" s="21"/>
      <c r="K24" s="2"/>
      <c r="O24" s="22"/>
      <c r="P24" s="29"/>
    </row>
    <row r="25" spans="1:16" x14ac:dyDescent="0.2">
      <c r="A25" t="s">
        <v>361</v>
      </c>
      <c r="B25" s="12"/>
      <c r="C25" s="31">
        <v>5145260</v>
      </c>
      <c r="D25" s="31"/>
      <c r="E25" s="29">
        <f>'6.4'!E25</f>
        <v>3.2531461484671529</v>
      </c>
      <c r="F25" s="26">
        <f>ROUND(C25*E25,0)</f>
        <v>16738283</v>
      </c>
      <c r="G25" s="31">
        <v>3130886</v>
      </c>
      <c r="H25" s="21">
        <f t="shared" si="1"/>
        <v>0.187</v>
      </c>
      <c r="I25" s="21"/>
      <c r="K25" s="2"/>
      <c r="O25" s="22"/>
      <c r="P25" s="29"/>
    </row>
    <row r="26" spans="1:16" x14ac:dyDescent="0.2">
      <c r="A26" t="s">
        <v>362</v>
      </c>
      <c r="C26" s="31">
        <v>9324050</v>
      </c>
      <c r="D26" s="31"/>
      <c r="E26" s="29">
        <f>'6.4'!E26</f>
        <v>3.2531461484671529</v>
      </c>
      <c r="F26" s="26">
        <f>ROUND(C26*E26,0)</f>
        <v>30332497</v>
      </c>
      <c r="G26" s="31">
        <v>10852486</v>
      </c>
      <c r="H26" s="21">
        <f t="shared" si="1"/>
        <v>0.35799999999999998</v>
      </c>
      <c r="I26" s="21"/>
      <c r="K26" s="2"/>
      <c r="O26" s="22"/>
      <c r="P26" s="29"/>
    </row>
    <row r="27" spans="1:16" x14ac:dyDescent="0.2">
      <c r="A27" t="s">
        <v>363</v>
      </c>
      <c r="C27" s="31">
        <v>15331047</v>
      </c>
      <c r="D27" s="31"/>
      <c r="E27" s="29">
        <f>'6.4'!E27</f>
        <v>3.2531461484671529</v>
      </c>
      <c r="F27" s="26">
        <f t="shared" ref="F27:F46" si="4">ROUND(C27*E27,0)</f>
        <v>49874137</v>
      </c>
      <c r="G27" s="31">
        <v>1478175</v>
      </c>
      <c r="H27" s="21">
        <f t="shared" si="1"/>
        <v>0.03</v>
      </c>
      <c r="I27" s="21"/>
      <c r="K27" s="2"/>
      <c r="O27" s="22"/>
      <c r="P27" s="29"/>
    </row>
    <row r="28" spans="1:16" x14ac:dyDescent="0.2">
      <c r="A28" t="s">
        <v>364</v>
      </c>
      <c r="C28" s="31">
        <v>17116368</v>
      </c>
      <c r="E28" s="29">
        <f>'6.4'!E28</f>
        <v>3.2531461484671529</v>
      </c>
      <c r="F28" s="26">
        <f t="shared" si="4"/>
        <v>55682047</v>
      </c>
      <c r="G28" s="31">
        <v>1911482</v>
      </c>
      <c r="H28" s="21">
        <f t="shared" si="1"/>
        <v>3.4000000000000002E-2</v>
      </c>
      <c r="I28" s="21"/>
      <c r="K28" s="2"/>
      <c r="O28" s="22"/>
      <c r="P28" s="29"/>
    </row>
    <row r="29" spans="1:16" x14ac:dyDescent="0.2">
      <c r="A29" t="s">
        <v>365</v>
      </c>
      <c r="C29" s="31">
        <v>17623413</v>
      </c>
      <c r="D29" s="31"/>
      <c r="E29" s="29">
        <f>'6.4'!E29</f>
        <v>3.3026864451443179</v>
      </c>
      <c r="F29" s="26">
        <f t="shared" si="4"/>
        <v>58204607</v>
      </c>
      <c r="G29" s="31">
        <v>6340723</v>
      </c>
      <c r="H29" s="21">
        <f t="shared" si="1"/>
        <v>0.109</v>
      </c>
      <c r="I29" s="21"/>
      <c r="K29" s="2"/>
      <c r="O29" s="22"/>
      <c r="P29" s="29"/>
    </row>
    <row r="30" spans="1:16" x14ac:dyDescent="0.2">
      <c r="A30" t="s">
        <v>366</v>
      </c>
      <c r="C30" s="31">
        <v>15019386</v>
      </c>
      <c r="D30" s="31"/>
      <c r="E30" s="29">
        <f>'6.4'!E30</f>
        <v>3.3537589159455186</v>
      </c>
      <c r="F30" s="26">
        <f t="shared" si="4"/>
        <v>50371400</v>
      </c>
      <c r="G30" s="31">
        <v>5614569</v>
      </c>
      <c r="H30" s="21">
        <f t="shared" si="1"/>
        <v>0.111</v>
      </c>
      <c r="I30" s="21"/>
      <c r="K30" s="2"/>
      <c r="O30" s="22"/>
      <c r="P30" s="29"/>
    </row>
    <row r="31" spans="1:16" x14ac:dyDescent="0.2">
      <c r="A31" t="s">
        <v>367</v>
      </c>
      <c r="C31" s="31">
        <v>11756138</v>
      </c>
      <c r="D31" s="31"/>
      <c r="E31" s="29">
        <f>'6.4'!E31</f>
        <v>3.209338675545951</v>
      </c>
      <c r="F31" s="26">
        <f t="shared" si="4"/>
        <v>37729428</v>
      </c>
      <c r="G31" s="31">
        <v>4969254</v>
      </c>
      <c r="H31" s="21">
        <f t="shared" si="1"/>
        <v>0.13200000000000001</v>
      </c>
      <c r="I31" s="21"/>
      <c r="K31" s="2"/>
      <c r="L31" t="s">
        <v>206</v>
      </c>
      <c r="O31" s="22"/>
      <c r="P31" s="29"/>
    </row>
    <row r="32" spans="1:16" x14ac:dyDescent="0.2">
      <c r="A32" t="s">
        <v>368</v>
      </c>
      <c r="C32" s="31">
        <v>11140104</v>
      </c>
      <c r="D32" s="31"/>
      <c r="E32" s="29">
        <f>'6.4'!E32</f>
        <v>3.0165127864233838</v>
      </c>
      <c r="F32" s="26">
        <f t="shared" si="4"/>
        <v>33604266</v>
      </c>
      <c r="G32" s="31">
        <v>1824700</v>
      </c>
      <c r="H32" s="21">
        <f t="shared" si="1"/>
        <v>5.3999999999999999E-2</v>
      </c>
      <c r="I32" s="21"/>
      <c r="K32" s="2"/>
      <c r="L32" s="67">
        <f>[1]ISO!$Q$49</f>
        <v>0.63274343525627974</v>
      </c>
      <c r="O32" s="22"/>
      <c r="P32" s="29"/>
    </row>
    <row r="33" spans="1:16" x14ac:dyDescent="0.2">
      <c r="A33" t="s">
        <v>369</v>
      </c>
      <c r="C33" s="31">
        <v>20528832</v>
      </c>
      <c r="D33" s="31"/>
      <c r="E33" s="29">
        <f>'6.4'!E33</f>
        <v>2.8863443172156207</v>
      </c>
      <c r="F33" s="26">
        <f t="shared" si="4"/>
        <v>59253278</v>
      </c>
      <c r="G33" s="31">
        <v>4053342</v>
      </c>
      <c r="H33" s="21">
        <f t="shared" si="1"/>
        <v>6.8000000000000005E-2</v>
      </c>
      <c r="I33" s="21"/>
      <c r="K33" s="2"/>
      <c r="O33" s="22"/>
      <c r="P33" s="29"/>
    </row>
    <row r="34" spans="1:16" x14ac:dyDescent="0.2">
      <c r="A34" t="s">
        <v>370</v>
      </c>
      <c r="C34" s="107">
        <v>23885668</v>
      </c>
      <c r="D34" s="31"/>
      <c r="E34" s="29">
        <f>'6.4'!E34</f>
        <v>2.6891459199349992</v>
      </c>
      <c r="F34" s="26">
        <f t="shared" si="4"/>
        <v>64232047</v>
      </c>
      <c r="G34" s="107">
        <v>29908218</v>
      </c>
      <c r="H34" s="21">
        <f t="shared" si="1"/>
        <v>0.46600000000000003</v>
      </c>
      <c r="I34" s="37"/>
      <c r="K34" s="2"/>
      <c r="O34" s="22"/>
      <c r="P34" s="29"/>
    </row>
    <row r="35" spans="1:16" x14ac:dyDescent="0.2">
      <c r="A35" t="s">
        <v>371</v>
      </c>
      <c r="B35" s="22"/>
      <c r="C35" s="107">
        <v>31412192</v>
      </c>
      <c r="D35" s="41"/>
      <c r="E35" s="29">
        <f>'6.4'!E35</f>
        <v>2.448174392695059</v>
      </c>
      <c r="F35" s="26">
        <f t="shared" si="4"/>
        <v>76902524</v>
      </c>
      <c r="G35" s="107">
        <v>1462655</v>
      </c>
      <c r="H35" s="21">
        <f t="shared" si="1"/>
        <v>1.9E-2</v>
      </c>
      <c r="I35" s="37"/>
      <c r="K35" s="2"/>
      <c r="O35" s="22"/>
      <c r="P35" s="29"/>
    </row>
    <row r="36" spans="1:16" x14ac:dyDescent="0.2">
      <c r="A36" t="s">
        <v>287</v>
      </c>
      <c r="C36" s="107">
        <v>34104704</v>
      </c>
      <c r="E36" s="29">
        <f>'6.4'!E36</f>
        <v>2.2196457159722458</v>
      </c>
      <c r="F36" s="26">
        <f>ROUND(C36*E36,0)</f>
        <v>75700360</v>
      </c>
      <c r="G36" s="107">
        <v>272418664</v>
      </c>
      <c r="H36" s="21">
        <f t="shared" si="1"/>
        <v>3.5990000000000002</v>
      </c>
      <c r="I36" s="37"/>
      <c r="K36" s="2"/>
      <c r="O36" s="22"/>
      <c r="P36" s="29"/>
    </row>
    <row r="37" spans="1:16" x14ac:dyDescent="0.2">
      <c r="A37" t="s">
        <v>349</v>
      </c>
      <c r="C37" s="107">
        <v>46246638</v>
      </c>
      <c r="E37" s="29">
        <f>'6.4'!E37</f>
        <v>2.0368887779518374</v>
      </c>
      <c r="F37" s="26">
        <f t="shared" si="4"/>
        <v>94199258</v>
      </c>
      <c r="G37" s="107">
        <v>2315133</v>
      </c>
      <c r="H37" s="21">
        <f t="shared" si="1"/>
        <v>2.5000000000000001E-2</v>
      </c>
      <c r="I37" s="37"/>
      <c r="K37" s="2"/>
      <c r="O37" s="22"/>
      <c r="P37" s="29"/>
    </row>
    <row r="38" spans="1:16" x14ac:dyDescent="0.2">
      <c r="A38" t="s">
        <v>331</v>
      </c>
      <c r="C38" s="107">
        <v>71922575</v>
      </c>
      <c r="E38" s="29">
        <f>'6.4'!E38</f>
        <v>1.8570470989540067</v>
      </c>
      <c r="F38" s="26">
        <f t="shared" si="4"/>
        <v>133563609</v>
      </c>
      <c r="G38" s="107">
        <v>7479422</v>
      </c>
      <c r="H38" s="21">
        <f t="shared" si="1"/>
        <v>5.6000000000000001E-2</v>
      </c>
      <c r="I38" s="37"/>
      <c r="K38" s="2"/>
      <c r="O38" s="22"/>
      <c r="P38" s="29"/>
    </row>
    <row r="39" spans="1:16" x14ac:dyDescent="0.2">
      <c r="A39" t="s">
        <v>336</v>
      </c>
      <c r="C39" s="107">
        <v>66558177</v>
      </c>
      <c r="E39" s="29">
        <f>'6.4'!E39</f>
        <v>1.7641482522914038</v>
      </c>
      <c r="F39" s="26">
        <f t="shared" si="4"/>
        <v>117418492</v>
      </c>
      <c r="G39" s="107">
        <v>538764477</v>
      </c>
      <c r="H39" s="21">
        <f>ROUND(G39/F39,3)</f>
        <v>4.5880000000000001</v>
      </c>
      <c r="I39" s="37"/>
      <c r="K39" s="2"/>
      <c r="O39" s="22"/>
      <c r="P39" s="29"/>
    </row>
    <row r="40" spans="1:16" x14ac:dyDescent="0.2">
      <c r="A40" t="s">
        <v>350</v>
      </c>
      <c r="C40" s="107">
        <v>64583344</v>
      </c>
      <c r="E40" s="29">
        <f>'6.4'!E40</f>
        <v>1.5997647448930246</v>
      </c>
      <c r="F40" s="26">
        <f t="shared" si="4"/>
        <v>103318157</v>
      </c>
      <c r="G40" s="107">
        <v>1576316</v>
      </c>
      <c r="H40" s="21">
        <f t="shared" si="1"/>
        <v>1.4999999999999999E-2</v>
      </c>
      <c r="K40" s="2"/>
      <c r="O40" s="22"/>
      <c r="P40" s="29"/>
    </row>
    <row r="41" spans="1:16" x14ac:dyDescent="0.2">
      <c r="A41" t="s">
        <v>351</v>
      </c>
      <c r="C41" s="107">
        <v>63606679</v>
      </c>
      <c r="E41" s="29">
        <f>'6.4'!E41</f>
        <v>1.4780006228698483</v>
      </c>
      <c r="F41" s="26">
        <f t="shared" si="4"/>
        <v>94010711</v>
      </c>
      <c r="G41" s="107">
        <v>5423427</v>
      </c>
      <c r="H41" s="21">
        <f t="shared" si="1"/>
        <v>5.8000000000000003E-2</v>
      </c>
      <c r="K41" s="2"/>
      <c r="O41" s="22"/>
      <c r="P41" s="29"/>
    </row>
    <row r="42" spans="1:16" x14ac:dyDescent="0.2">
      <c r="A42" t="s">
        <v>354</v>
      </c>
      <c r="C42" s="107">
        <v>63551427</v>
      </c>
      <c r="E42" s="29">
        <f>'6.4'!E42</f>
        <v>1.4430316100910405</v>
      </c>
      <c r="F42" s="26">
        <f>ROUND(C42*E42,0)</f>
        <v>91706718</v>
      </c>
      <c r="G42" s="107">
        <v>16247025</v>
      </c>
      <c r="H42" s="21">
        <f t="shared" si="1"/>
        <v>0.17699999999999999</v>
      </c>
      <c r="I42" s="37"/>
      <c r="K42" s="2"/>
      <c r="O42" s="22"/>
      <c r="P42" s="29"/>
    </row>
    <row r="43" spans="1:16" x14ac:dyDescent="0.2">
      <c r="A43" t="s">
        <v>372</v>
      </c>
      <c r="C43" s="107">
        <v>68482322</v>
      </c>
      <c r="E43" s="29">
        <f>'6.4'!E43</f>
        <v>1.3723433115836108</v>
      </c>
      <c r="F43" s="26">
        <f t="shared" si="4"/>
        <v>93981257</v>
      </c>
      <c r="G43" s="107">
        <v>13608787</v>
      </c>
      <c r="H43" s="21">
        <f t="shared" si="1"/>
        <v>0.14499999999999999</v>
      </c>
      <c r="K43" s="2"/>
      <c r="O43" s="22"/>
      <c r="P43" s="29"/>
    </row>
    <row r="44" spans="1:16" x14ac:dyDescent="0.2">
      <c r="A44" t="s">
        <v>373</v>
      </c>
      <c r="C44" s="107">
        <v>71237559</v>
      </c>
      <c r="E44" s="29">
        <f>'6.4'!E44</f>
        <v>1.3075797103216005</v>
      </c>
      <c r="F44" s="26">
        <f t="shared" si="4"/>
        <v>93148787</v>
      </c>
      <c r="G44" s="107">
        <v>882597</v>
      </c>
      <c r="H44" s="21">
        <f t="shared" si="1"/>
        <v>8.9999999999999993E-3</v>
      </c>
      <c r="K44" s="2"/>
      <c r="L44" t="s">
        <v>209</v>
      </c>
      <c r="M44" t="s">
        <v>210</v>
      </c>
      <c r="O44" s="22"/>
      <c r="P44" s="29"/>
    </row>
    <row r="45" spans="1:16" x14ac:dyDescent="0.2">
      <c r="A45" t="s">
        <v>394</v>
      </c>
      <c r="C45" s="107">
        <v>68174178</v>
      </c>
      <c r="E45" s="29">
        <f>'6.4'!E45</f>
        <v>1.2467307484438648</v>
      </c>
      <c r="F45" s="26">
        <f t="shared" si="4"/>
        <v>84994844</v>
      </c>
      <c r="G45" s="107">
        <v>996584</v>
      </c>
      <c r="H45" s="21">
        <f t="shared" si="1"/>
        <v>1.2E-2</v>
      </c>
      <c r="K45" s="2"/>
      <c r="L45" s="36">
        <f>'6.4'!L48</f>
        <v>34607</v>
      </c>
      <c r="M45" s="36">
        <f>'6.4'!M48</f>
        <v>36525</v>
      </c>
      <c r="N45" t="s">
        <v>211</v>
      </c>
      <c r="O45" s="22"/>
      <c r="P45" s="29"/>
    </row>
    <row r="46" spans="1:16" x14ac:dyDescent="0.2">
      <c r="A46" t="s">
        <v>395</v>
      </c>
      <c r="C46" s="59">
        <f>[1]ISO!Q36</f>
        <v>61841773</v>
      </c>
      <c r="E46" s="29">
        <f>'6.4'!E46</f>
        <v>1.1863253854339271</v>
      </c>
      <c r="F46" s="26">
        <f t="shared" si="4"/>
        <v>73364465</v>
      </c>
      <c r="G46" s="59">
        <f>[1]ISO!V36</f>
        <v>15792584</v>
      </c>
      <c r="H46" s="21">
        <f t="shared" si="1"/>
        <v>0.215</v>
      </c>
      <c r="K46" s="2"/>
      <c r="L46" s="36">
        <f>'6.4'!L50</f>
        <v>45657</v>
      </c>
      <c r="M46" s="36">
        <f>'6.4'!M50</f>
        <v>45657</v>
      </c>
      <c r="N46" t="s">
        <v>212</v>
      </c>
      <c r="O46" s="22"/>
      <c r="P46" s="29"/>
    </row>
    <row r="47" spans="1:16" x14ac:dyDescent="0.2">
      <c r="A47" t="s">
        <v>396</v>
      </c>
      <c r="C47" s="59">
        <f>[1]ISO!Q37</f>
        <v>56627856</v>
      </c>
      <c r="E47" s="29">
        <f>'6.4'!E47</f>
        <v>1.1296863217775721</v>
      </c>
      <c r="F47" s="26">
        <f t="shared" ref="F47:F54" si="5">ROUND(C47*E47,0)</f>
        <v>63971714</v>
      </c>
      <c r="G47" s="59">
        <f>[1]ISO!V37</f>
        <v>2363193</v>
      </c>
      <c r="H47" s="21">
        <f t="shared" si="1"/>
        <v>3.6999999999999998E-2</v>
      </c>
      <c r="K47" s="2"/>
      <c r="O47" s="22"/>
      <c r="P47" s="29"/>
    </row>
    <row r="48" spans="1:16" x14ac:dyDescent="0.2">
      <c r="A48" t="s">
        <v>397</v>
      </c>
      <c r="C48" s="59">
        <f>[1]ISO!Q38</f>
        <v>44981654</v>
      </c>
      <c r="D48" s="18"/>
      <c r="E48" s="29">
        <f>'6.4'!E48</f>
        <v>1.102499999999994</v>
      </c>
      <c r="F48" s="26">
        <f t="shared" si="5"/>
        <v>49592274</v>
      </c>
      <c r="G48" s="59">
        <f>[1]ISO!V38</f>
        <v>224014121</v>
      </c>
      <c r="H48" s="21">
        <f t="shared" si="1"/>
        <v>4.5170000000000003</v>
      </c>
      <c r="K48" s="2"/>
      <c r="O48" s="22"/>
      <c r="P48" s="29"/>
    </row>
    <row r="49" spans="1:16" x14ac:dyDescent="0.2">
      <c r="A49" s="22">
        <v>2018</v>
      </c>
      <c r="C49" s="59">
        <f>[1]ISO!Q39</f>
        <v>41642440</v>
      </c>
      <c r="E49" s="29">
        <f>'6.4'!E49</f>
        <v>1.0755512293710299</v>
      </c>
      <c r="F49" s="26">
        <f t="shared" si="5"/>
        <v>44788578</v>
      </c>
      <c r="G49" s="59">
        <f>[1]ISO!V39</f>
        <v>805050</v>
      </c>
      <c r="H49" s="21">
        <f t="shared" si="1"/>
        <v>1.7999999999999999E-2</v>
      </c>
      <c r="I49" s="128"/>
      <c r="K49" s="2"/>
      <c r="O49" s="22"/>
      <c r="P49" s="29"/>
    </row>
    <row r="50" spans="1:16" x14ac:dyDescent="0.2">
      <c r="A50" s="22">
        <v>2019</v>
      </c>
      <c r="C50" s="59">
        <f>[1]ISO!Q40</f>
        <v>39885137</v>
      </c>
      <c r="E50" s="29">
        <f>'6.4'!E50</f>
        <v>1.049999999999998</v>
      </c>
      <c r="F50" s="26">
        <f t="shared" si="5"/>
        <v>41879394</v>
      </c>
      <c r="G50" s="59">
        <f>[1]ISO!V40</f>
        <v>2497147</v>
      </c>
      <c r="H50" s="21">
        <f t="shared" si="1"/>
        <v>0.06</v>
      </c>
      <c r="I50" s="128"/>
      <c r="K50" s="2"/>
      <c r="O50" s="22"/>
      <c r="P50" s="29"/>
    </row>
    <row r="51" spans="1:16" x14ac:dyDescent="0.2">
      <c r="A51" s="22">
        <v>2020</v>
      </c>
      <c r="C51" s="59">
        <f>[1]ISO!Q41</f>
        <v>39546806</v>
      </c>
      <c r="E51" s="29">
        <f>'6.4'!E51</f>
        <v>1.0499999999999974</v>
      </c>
      <c r="F51" s="26">
        <f>ROUND(C51*E51,0)</f>
        <v>41524146</v>
      </c>
      <c r="G51" s="59">
        <f>[1]ISO!V41</f>
        <v>6698320</v>
      </c>
      <c r="H51" s="21">
        <f t="shared" si="1"/>
        <v>0.161</v>
      </c>
      <c r="I51" s="128"/>
      <c r="K51" s="2"/>
      <c r="O51" s="22"/>
      <c r="P51" s="29"/>
    </row>
    <row r="52" spans="1:16" x14ac:dyDescent="0.2">
      <c r="A52" s="22">
        <v>2021</v>
      </c>
      <c r="C52" s="59">
        <f>[1]ISO!Q42</f>
        <v>39655423</v>
      </c>
      <c r="E52" s="29">
        <f>'6.4'!E52</f>
        <v>1.0499999999999947</v>
      </c>
      <c r="F52" s="26">
        <f t="shared" si="5"/>
        <v>41638194</v>
      </c>
      <c r="G52" s="59">
        <f>[1]ISO!V42</f>
        <v>3593975</v>
      </c>
      <c r="H52" s="21">
        <f>ROUND(G52/F52,3)</f>
        <v>8.5999999999999993E-2</v>
      </c>
      <c r="K52" s="2"/>
      <c r="O52" s="22"/>
      <c r="P52" s="29"/>
    </row>
    <row r="53" spans="1:16" x14ac:dyDescent="0.2">
      <c r="A53" s="22">
        <v>2022</v>
      </c>
      <c r="C53" s="59">
        <f>[1]ISO!Q43</f>
        <v>44155084</v>
      </c>
      <c r="E53" s="29">
        <f>'6.4'!E53</f>
        <v>1.0224475776595738</v>
      </c>
      <c r="F53" s="26">
        <f t="shared" si="5"/>
        <v>45146259</v>
      </c>
      <c r="G53" s="59">
        <f>[1]ISO!V43</f>
        <v>2287650</v>
      </c>
      <c r="H53" s="21">
        <f>ROUND(G53/F53,3)</f>
        <v>5.0999999999999997E-2</v>
      </c>
      <c r="K53" s="2"/>
      <c r="O53" s="22"/>
      <c r="P53" s="29"/>
    </row>
    <row r="54" spans="1:16" x14ac:dyDescent="0.2">
      <c r="A54" s="22">
        <v>2023</v>
      </c>
      <c r="C54" s="59">
        <f>[1]ISO!Q44</f>
        <v>66600601</v>
      </c>
      <c r="E54" s="29">
        <f>'6.4'!E54</f>
        <v>1</v>
      </c>
      <c r="F54" s="26">
        <f t="shared" si="5"/>
        <v>66600601</v>
      </c>
      <c r="G54" s="59">
        <f>[1]ISO!V44</f>
        <v>8007684</v>
      </c>
      <c r="H54" s="21">
        <f>ROUND(G54/F54,3)</f>
        <v>0.12</v>
      </c>
      <c r="K54" s="2"/>
      <c r="O54" s="22"/>
      <c r="P54" s="29"/>
    </row>
    <row r="55" spans="1:16" x14ac:dyDescent="0.2">
      <c r="A55" s="22">
        <v>2024</v>
      </c>
      <c r="C55" s="59">
        <f>[1]ISO!Q45</f>
        <v>84677227</v>
      </c>
      <c r="E55" s="29">
        <f>'6.4'!E55</f>
        <v>1</v>
      </c>
      <c r="F55" s="26">
        <f t="shared" ref="F55" si="6">ROUND(C55*E55,0)</f>
        <v>84677227</v>
      </c>
      <c r="G55" s="59">
        <f>[1]ISO!V45</f>
        <v>18709277</v>
      </c>
      <c r="H55" s="21">
        <f>ROUND(G55/F55,3)</f>
        <v>0.221</v>
      </c>
      <c r="K55" s="2"/>
      <c r="O55" s="22"/>
      <c r="P55" s="29"/>
    </row>
    <row r="56" spans="1:16" x14ac:dyDescent="0.2">
      <c r="A56" s="204"/>
      <c r="B56" s="204"/>
      <c r="C56" s="204"/>
      <c r="D56" s="204"/>
      <c r="E56" s="204"/>
      <c r="F56" s="204"/>
      <c r="G56" s="204"/>
      <c r="H56" s="204"/>
      <c r="K56" s="2"/>
      <c r="O56" s="22"/>
      <c r="P56" s="29"/>
    </row>
    <row r="57" spans="1:16" x14ac:dyDescent="0.2">
      <c r="A57" t="s">
        <v>7</v>
      </c>
      <c r="C57" s="46">
        <f>SUM(C14:C56)</f>
        <v>1367059925</v>
      </c>
      <c r="D57" s="46"/>
      <c r="E57" s="46"/>
      <c r="F57" s="46">
        <f>SUM(F14:F56)</f>
        <v>2220489535</v>
      </c>
      <c r="G57" s="46">
        <f>SUM(G14:G56)</f>
        <v>1244177657</v>
      </c>
      <c r="H57" s="21">
        <f>ROUND(G57/F57,3)</f>
        <v>0.56000000000000005</v>
      </c>
      <c r="K57" s="2"/>
      <c r="O57" s="22"/>
      <c r="P57" s="29"/>
    </row>
    <row r="58" spans="1:16" ht="12" thickBot="1" x14ac:dyDescent="0.25">
      <c r="A58" s="6"/>
      <c r="B58" s="6"/>
      <c r="C58" s="6"/>
      <c r="D58" s="6"/>
      <c r="E58" s="6"/>
      <c r="F58" s="6"/>
      <c r="G58" s="6"/>
      <c r="H58" s="6"/>
      <c r="K58" s="2"/>
    </row>
    <row r="59" spans="1:16" ht="12" thickTop="1" x14ac:dyDescent="0.2">
      <c r="K59" s="2"/>
    </row>
    <row r="60" spans="1:16" x14ac:dyDescent="0.2">
      <c r="A60" t="s">
        <v>17</v>
      </c>
      <c r="K60" s="2"/>
    </row>
    <row r="61" spans="1:16" x14ac:dyDescent="0.2">
      <c r="B61" s="12" t="str">
        <f>C12&amp;" Provided by TDI. "&amp;A14&amp;" - "&amp;A26&amp;" are year ending "&amp;TEXT($L$45,"m/d/xx")&amp;" as of "&amp;TEXT($M$45,"m/d/yy")&amp;"; "&amp;A27&amp;" - "&amp;YEAR(L46)&amp;" are year ending "&amp;TEXT($L$46,"m/d/xx")&amp;" as of "&amp;TEXT($M$46,"m/d/yy")</f>
        <v>(2) Provided by TDI. 1983 - 1995 are year ending 9/30/xx as of 12/31/99; 1996 - 2024 are year ending 12/31/xx as of 12/31/24</v>
      </c>
      <c r="K61" s="2"/>
    </row>
    <row r="62" spans="1:16" x14ac:dyDescent="0.2">
      <c r="B62" s="12" t="str">
        <f>D12&amp;" Provided by TDI (1992 MR = 1992 manual rates)"</f>
        <v>(3) Provided by TDI (1992 MR = 1992 manual rates)</v>
      </c>
      <c r="C62" s="12"/>
      <c r="K62" s="2"/>
    </row>
    <row r="63" spans="1:16" x14ac:dyDescent="0.2">
      <c r="B63" s="12" t="str">
        <f>'6.4'!B63</f>
        <v>(4) Represents 8/1/80 through 6/30/24 rate changes for TWIA; factors assume uniform earning of written premium</v>
      </c>
      <c r="K63" s="2"/>
    </row>
    <row r="64" spans="1:16" x14ac:dyDescent="0.2">
      <c r="B64" s="12" t="str">
        <f>"      and that TWIA premium represents "&amp;TEXT(L32,"0.0%")&amp;" of industry data in "&amp;LEFT(A5,FIND("(",A5)-2)</f>
        <v xml:space="preserve">      and that TWIA premium represents 63.3% of industry data in Tier 1 - Territory 10</v>
      </c>
      <c r="K64" s="2"/>
    </row>
    <row r="65" spans="1:11" x14ac:dyDescent="0.2">
      <c r="B65" s="12" t="str">
        <f>F12&amp;" = "&amp;D12&amp;" x "&amp;E12&amp;" for "&amp;A14&amp;" - "&amp;A23&amp;"; "&amp;C12&amp;" x "&amp;E12&amp;" for "&amp;A24&amp;" - "&amp;YEAR(L46)</f>
        <v>(5) = (3) x (4) for 1983 - 1992; (2) x (4) for 1993 - 2024</v>
      </c>
      <c r="K65" s="2"/>
    </row>
    <row r="66" spans="1:11" x14ac:dyDescent="0.2">
      <c r="B66" s="12" t="str">
        <f>'6.5'!B66</f>
        <v>(6) Provided by TDI. 1983 - 1995 are year ending 9/30/xx as of 12/31/99; 1996 - 2011 are year ending 12/31/xx as of 12/31/19</v>
      </c>
      <c r="D66" s="41"/>
      <c r="E66" s="41"/>
      <c r="F66" s="41"/>
      <c r="G66" s="21"/>
      <c r="K66" s="2"/>
    </row>
    <row r="67" spans="1:11" x14ac:dyDescent="0.2">
      <c r="B67" s="12" t="str">
        <f>'6.5'!B67</f>
        <v xml:space="preserve">    2012 - 2024 are year ending 12/31/xx as of 12/31/24</v>
      </c>
      <c r="K67" s="2"/>
    </row>
    <row r="68" spans="1:11" x14ac:dyDescent="0.2">
      <c r="B68" s="12" t="str">
        <f>'6.5'!B68</f>
        <v>(7) = (6) / (5)</v>
      </c>
      <c r="I68" s="18"/>
      <c r="K68" s="2"/>
    </row>
    <row r="69" spans="1:11" x14ac:dyDescent="0.2">
      <c r="A69" s="40"/>
      <c r="B69" t="s">
        <v>430</v>
      </c>
      <c r="C69" s="31"/>
      <c r="D69" s="31"/>
      <c r="E69" s="31"/>
      <c r="F69" s="31"/>
      <c r="G69" s="18"/>
      <c r="H69" s="18"/>
      <c r="I69" s="18"/>
      <c r="K69" s="2"/>
    </row>
    <row r="70" spans="1:11" ht="12" thickBot="1" x14ac:dyDescent="0.25">
      <c r="A70" s="40"/>
      <c r="C70" s="31"/>
      <c r="D70" s="31"/>
      <c r="E70" s="31"/>
      <c r="F70" s="31"/>
      <c r="G70" s="18"/>
      <c r="H70" s="18"/>
      <c r="I70" s="18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rgb="FF00B050"/>
  </sheetPr>
  <dimension ref="A1:P71"/>
  <sheetViews>
    <sheetView showGridLines="0" zoomScaleNormal="100" workbookViewId="0"/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2" max="12" width="15.1640625" bestFit="1" customWidth="1"/>
  </cols>
  <sheetData>
    <row r="1" spans="1:16" x14ac:dyDescent="0.2">
      <c r="A1" s="8" t="str">
        <f>'1'!$A$1</f>
        <v>Texas Windstorm Insurance Association</v>
      </c>
      <c r="B1" s="12"/>
      <c r="J1" s="7" t="s">
        <v>65</v>
      </c>
      <c r="K1" s="1"/>
    </row>
    <row r="2" spans="1:16" x14ac:dyDescent="0.2">
      <c r="A2" s="8" t="str">
        <f>'1'!$A$2</f>
        <v>Commercial Property - Wind &amp; Hail</v>
      </c>
      <c r="B2" s="12"/>
      <c r="J2" s="7" t="s">
        <v>88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500</v>
      </c>
      <c r="B4" s="12"/>
      <c r="K4" s="2"/>
    </row>
    <row r="5" spans="1:16" x14ac:dyDescent="0.2">
      <c r="A5" t="s">
        <v>329</v>
      </c>
      <c r="B5" s="12"/>
      <c r="K5" s="2"/>
    </row>
    <row r="6" spans="1:16" x14ac:dyDescent="0.2">
      <c r="K6" s="2"/>
      <c r="L6" t="s">
        <v>387</v>
      </c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K7" s="2"/>
      <c r="L7">
        <f>'1'!H15</f>
        <v>0.05</v>
      </c>
    </row>
    <row r="8" spans="1:16" ht="12" thickTop="1" x14ac:dyDescent="0.2">
      <c r="K8" s="2"/>
    </row>
    <row r="9" spans="1:16" x14ac:dyDescent="0.2">
      <c r="A9" t="s">
        <v>37</v>
      </c>
      <c r="C9" s="133"/>
      <c r="D9" s="11" t="s">
        <v>76</v>
      </c>
      <c r="E9" s="11" t="s">
        <v>202</v>
      </c>
      <c r="F9" s="11" t="s">
        <v>76</v>
      </c>
      <c r="G9" s="11"/>
      <c r="H9" s="11"/>
      <c r="K9" s="2"/>
      <c r="L9" s="24"/>
    </row>
    <row r="10" spans="1:16" x14ac:dyDescent="0.2">
      <c r="A10" t="s">
        <v>38</v>
      </c>
      <c r="C10" s="11" t="s">
        <v>76</v>
      </c>
      <c r="D10" s="11" t="s">
        <v>77</v>
      </c>
      <c r="E10" s="11" t="s">
        <v>203</v>
      </c>
      <c r="F10" s="11" t="s">
        <v>204</v>
      </c>
      <c r="G10" s="11" t="s">
        <v>56</v>
      </c>
      <c r="H10" s="11" t="s">
        <v>56</v>
      </c>
      <c r="K10" s="2"/>
      <c r="L10" s="12"/>
    </row>
    <row r="11" spans="1:16" x14ac:dyDescent="0.2">
      <c r="A11" s="9" t="s">
        <v>25</v>
      </c>
      <c r="B11" s="9"/>
      <c r="C11" s="143" t="s">
        <v>77</v>
      </c>
      <c r="D11" s="143" t="s">
        <v>201</v>
      </c>
      <c r="E11" s="143" t="s">
        <v>86</v>
      </c>
      <c r="F11" s="143" t="s">
        <v>205</v>
      </c>
      <c r="G11" s="143" t="s">
        <v>32</v>
      </c>
      <c r="H11" s="143" t="s">
        <v>48</v>
      </c>
      <c r="K11" s="2"/>
      <c r="L11" s="36"/>
    </row>
    <row r="12" spans="1:16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6" x14ac:dyDescent="0.2">
      <c r="K13" s="2"/>
    </row>
    <row r="14" spans="1:16" x14ac:dyDescent="0.2">
      <c r="A14" s="60">
        <v>1983</v>
      </c>
      <c r="C14" s="107">
        <v>7250559</v>
      </c>
      <c r="D14" s="31">
        <v>7334192</v>
      </c>
      <c r="E14" s="29">
        <f>'6.4'!E14</f>
        <v>3.8293316891072973</v>
      </c>
      <c r="F14" s="26">
        <f>D14*$E$23</f>
        <v>20766670.665546965</v>
      </c>
      <c r="G14" s="107">
        <v>33451768</v>
      </c>
      <c r="H14" s="21">
        <f>ROUND(G14/F14,3)</f>
        <v>1.611</v>
      </c>
      <c r="I14" s="21"/>
      <c r="K14" s="2"/>
      <c r="L14" s="29"/>
    </row>
    <row r="15" spans="1:16" x14ac:dyDescent="0.2">
      <c r="A15" s="22">
        <f>A14+1</f>
        <v>1984</v>
      </c>
      <c r="C15" s="107">
        <v>6146403</v>
      </c>
      <c r="D15" s="31">
        <v>7090092</v>
      </c>
      <c r="E15" s="29">
        <f>'6.4'!E15</f>
        <v>3.5112843511426886</v>
      </c>
      <c r="F15" s="26">
        <f t="shared" ref="F15:F21" si="1">D15*$E$23</f>
        <v>20075504.643514816</v>
      </c>
      <c r="G15" s="107">
        <v>3096573</v>
      </c>
      <c r="H15" s="21">
        <f t="shared" ref="H15:H45" si="2">ROUND(G15/F15,3)</f>
        <v>0.154</v>
      </c>
      <c r="I15" s="21"/>
      <c r="K15" s="2"/>
    </row>
    <row r="16" spans="1:16" x14ac:dyDescent="0.2">
      <c r="A16" s="22">
        <f t="shared" ref="A16:A47" si="3">A15+1</f>
        <v>1985</v>
      </c>
      <c r="C16" s="107">
        <v>7715669</v>
      </c>
      <c r="D16" s="31">
        <v>8264972</v>
      </c>
      <c r="E16" s="29">
        <f>'6.4'!E16</f>
        <v>2.8789383840739684</v>
      </c>
      <c r="F16" s="26">
        <f t="shared" si="1"/>
        <v>23402162.30826341</v>
      </c>
      <c r="G16" s="107">
        <v>2019280</v>
      </c>
      <c r="H16" s="21">
        <f t="shared" si="2"/>
        <v>8.5999999999999993E-2</v>
      </c>
      <c r="I16" s="21"/>
      <c r="K16" s="2"/>
      <c r="O16" s="22"/>
      <c r="P16" s="29"/>
    </row>
    <row r="17" spans="1:16" x14ac:dyDescent="0.2">
      <c r="A17" s="22">
        <f t="shared" si="3"/>
        <v>1986</v>
      </c>
      <c r="C17" s="107">
        <v>11101057</v>
      </c>
      <c r="D17" s="31">
        <v>8943773</v>
      </c>
      <c r="E17" s="29">
        <f>'6.4'!E17</f>
        <v>2.0498785892003166</v>
      </c>
      <c r="F17" s="26">
        <f t="shared" si="1"/>
        <v>25324178.641411483</v>
      </c>
      <c r="G17" s="107">
        <v>3439343</v>
      </c>
      <c r="H17" s="21">
        <f t="shared" si="2"/>
        <v>0.13600000000000001</v>
      </c>
      <c r="I17" s="21"/>
      <c r="K17" s="2"/>
      <c r="O17" s="22"/>
      <c r="P17" s="29"/>
    </row>
    <row r="18" spans="1:16" x14ac:dyDescent="0.2">
      <c r="A18" s="22">
        <f t="shared" si="3"/>
        <v>1987</v>
      </c>
      <c r="C18" s="107">
        <v>19731857</v>
      </c>
      <c r="D18" s="31">
        <v>16746125</v>
      </c>
      <c r="E18" s="29">
        <f>'6.4'!E18</f>
        <v>1.9936436916734259</v>
      </c>
      <c r="F18" s="26">
        <f t="shared" si="1"/>
        <v>47416438.347821087</v>
      </c>
      <c r="G18" s="107">
        <v>1552595</v>
      </c>
      <c r="H18" s="21">
        <f t="shared" si="2"/>
        <v>3.3000000000000002E-2</v>
      </c>
      <c r="I18" s="21"/>
      <c r="K18" s="2"/>
      <c r="O18" s="22"/>
      <c r="P18" s="29"/>
    </row>
    <row r="19" spans="1:16" x14ac:dyDescent="0.2">
      <c r="A19" s="22">
        <f t="shared" si="3"/>
        <v>1988</v>
      </c>
      <c r="C19" s="107">
        <v>14491218</v>
      </c>
      <c r="D19" s="31">
        <v>13901265</v>
      </c>
      <c r="E19" s="29">
        <f>'6.4'!E19</f>
        <v>2.1473124836449715</v>
      </c>
      <c r="F19" s="26">
        <f t="shared" si="1"/>
        <v>39361253.712678194</v>
      </c>
      <c r="G19" s="107">
        <v>2041063</v>
      </c>
      <c r="H19" s="21">
        <f t="shared" si="2"/>
        <v>5.1999999999999998E-2</v>
      </c>
      <c r="I19" s="21"/>
      <c r="K19" s="2"/>
      <c r="O19" s="22"/>
      <c r="P19" s="29"/>
    </row>
    <row r="20" spans="1:16" x14ac:dyDescent="0.2">
      <c r="A20" s="22">
        <f t="shared" si="3"/>
        <v>1989</v>
      </c>
      <c r="C20" s="107">
        <v>14584082</v>
      </c>
      <c r="D20" s="31">
        <v>16324747</v>
      </c>
      <c r="E20" s="29">
        <f>'6.4'!E20</f>
        <v>2.385265617366465</v>
      </c>
      <c r="F20" s="26">
        <f t="shared" si="1"/>
        <v>46223311.940480396</v>
      </c>
      <c r="G20" s="107">
        <v>2746147</v>
      </c>
      <c r="H20" s="21">
        <f t="shared" si="2"/>
        <v>5.8999999999999997E-2</v>
      </c>
      <c r="I20" s="21"/>
      <c r="K20" s="2"/>
      <c r="O20" s="22"/>
      <c r="P20" s="29"/>
    </row>
    <row r="21" spans="1:16" x14ac:dyDescent="0.2">
      <c r="A21" s="22">
        <f t="shared" si="3"/>
        <v>1990</v>
      </c>
      <c r="C21" s="107">
        <v>12102427</v>
      </c>
      <c r="D21" s="31">
        <v>14172295</v>
      </c>
      <c r="E21" s="29">
        <f>'6.4'!E21</f>
        <v>2.5056768649457406</v>
      </c>
      <c r="F21" s="26">
        <f t="shared" si="1"/>
        <v>40128671.68462155</v>
      </c>
      <c r="G21" s="107">
        <v>2967816</v>
      </c>
      <c r="H21" s="21">
        <f t="shared" si="2"/>
        <v>7.3999999999999996E-2</v>
      </c>
      <c r="I21" s="21"/>
      <c r="K21" s="2"/>
      <c r="O21" s="22"/>
      <c r="P21" s="29"/>
    </row>
    <row r="22" spans="1:16" x14ac:dyDescent="0.2">
      <c r="A22" s="22">
        <f>A21+1</f>
        <v>1991</v>
      </c>
      <c r="C22" s="107">
        <v>13947169</v>
      </c>
      <c r="D22" s="31">
        <v>17133114</v>
      </c>
      <c r="E22" s="29">
        <f>'6.4'!E22</f>
        <v>2.4905762618235174</v>
      </c>
      <c r="F22" s="26">
        <f>D22*$E$23</f>
        <v>48512192.742332354</v>
      </c>
      <c r="G22" s="107">
        <v>2440246</v>
      </c>
      <c r="H22" s="21">
        <f t="shared" si="2"/>
        <v>0.05</v>
      </c>
      <c r="I22" s="21"/>
      <c r="K22" s="2"/>
      <c r="O22" s="22"/>
      <c r="P22" s="29"/>
    </row>
    <row r="23" spans="1:16" x14ac:dyDescent="0.2">
      <c r="A23" s="22">
        <f t="shared" si="3"/>
        <v>1992</v>
      </c>
      <c r="B23" s="12"/>
      <c r="C23" s="107">
        <v>15779782</v>
      </c>
      <c r="D23" s="31">
        <v>19121264</v>
      </c>
      <c r="E23" s="29">
        <f>'6.4'!E23</f>
        <v>2.8314871857113864</v>
      </c>
      <c r="F23" s="26">
        <f>D23*E23</f>
        <v>54141613.990604445</v>
      </c>
      <c r="G23" s="107">
        <v>2232412</v>
      </c>
      <c r="H23" s="21">
        <f t="shared" si="2"/>
        <v>4.1000000000000002E-2</v>
      </c>
      <c r="I23" s="21"/>
      <c r="K23" s="2"/>
      <c r="O23" s="22"/>
      <c r="P23" s="29"/>
    </row>
    <row r="24" spans="1:16" x14ac:dyDescent="0.2">
      <c r="A24" s="22">
        <f t="shared" si="3"/>
        <v>1993</v>
      </c>
      <c r="B24" s="12"/>
      <c r="C24" s="107">
        <v>13455788</v>
      </c>
      <c r="E24" s="29">
        <f>'6.4'!E24</f>
        <v>3.2531461484671529</v>
      </c>
      <c r="F24" s="26">
        <f>C24*E24</f>
        <v>43773644.906790532</v>
      </c>
      <c r="G24" s="107">
        <v>2357383</v>
      </c>
      <c r="H24" s="21">
        <f t="shared" si="2"/>
        <v>5.3999999999999999E-2</v>
      </c>
      <c r="I24" s="21"/>
      <c r="K24" s="2"/>
      <c r="O24" s="22"/>
      <c r="P24" s="29"/>
    </row>
    <row r="25" spans="1:16" x14ac:dyDescent="0.2">
      <c r="A25" s="22">
        <f t="shared" si="3"/>
        <v>1994</v>
      </c>
      <c r="B25" s="12"/>
      <c r="C25" s="107">
        <v>6449086</v>
      </c>
      <c r="D25" s="31"/>
      <c r="E25" s="29">
        <f>'6.4'!E25</f>
        <v>3.2531461484671529</v>
      </c>
      <c r="F25" s="26">
        <f t="shared" ref="F25:F49" si="4">C25*E25</f>
        <v>20979819.282033436</v>
      </c>
      <c r="G25" s="107">
        <v>1579205</v>
      </c>
      <c r="H25" s="21">
        <f t="shared" si="2"/>
        <v>7.4999999999999997E-2</v>
      </c>
      <c r="I25" s="21"/>
      <c r="K25" s="2"/>
      <c r="O25" s="22"/>
      <c r="P25" s="29"/>
    </row>
    <row r="26" spans="1:16" x14ac:dyDescent="0.2">
      <c r="A26" s="22">
        <f t="shared" si="3"/>
        <v>1995</v>
      </c>
      <c r="C26" s="107">
        <v>17734471</v>
      </c>
      <c r="D26" s="31"/>
      <c r="E26" s="29">
        <f>'6.4'!E26</f>
        <v>3.2531461484671529</v>
      </c>
      <c r="F26" s="26">
        <f t="shared" si="4"/>
        <v>57692826.028752416</v>
      </c>
      <c r="G26" s="107">
        <v>11314057</v>
      </c>
      <c r="H26" s="21">
        <f t="shared" si="2"/>
        <v>0.19600000000000001</v>
      </c>
      <c r="I26" s="21"/>
      <c r="K26" s="2"/>
      <c r="O26" s="22"/>
      <c r="P26" s="29"/>
    </row>
    <row r="27" spans="1:16" x14ac:dyDescent="0.2">
      <c r="A27" s="22">
        <f t="shared" si="3"/>
        <v>1996</v>
      </c>
      <c r="C27" s="107">
        <v>28876403</v>
      </c>
      <c r="E27" s="29">
        <f>'6.4'!E27</f>
        <v>3.2531461484671529</v>
      </c>
      <c r="F27" s="26">
        <f t="shared" si="4"/>
        <v>93939159.201035336</v>
      </c>
      <c r="G27" s="107">
        <v>5938855</v>
      </c>
      <c r="H27" s="21">
        <f t="shared" si="2"/>
        <v>6.3E-2</v>
      </c>
      <c r="I27" s="21"/>
      <c r="K27" s="2"/>
      <c r="O27" s="22"/>
      <c r="P27" s="29"/>
    </row>
    <row r="28" spans="1:16" x14ac:dyDescent="0.2">
      <c r="A28" s="22">
        <f t="shared" si="3"/>
        <v>1997</v>
      </c>
      <c r="C28" s="107">
        <v>27434262</v>
      </c>
      <c r="D28" s="31"/>
      <c r="E28" s="29">
        <f>'6.4'!E28</f>
        <v>3.2531461484671529</v>
      </c>
      <c r="F28" s="26">
        <f>C28*E28</f>
        <v>89247663.76133877</v>
      </c>
      <c r="G28" s="107">
        <v>7691121</v>
      </c>
      <c r="H28" s="21">
        <f t="shared" si="2"/>
        <v>8.5999999999999993E-2</v>
      </c>
      <c r="I28" s="21"/>
      <c r="K28" s="2"/>
      <c r="O28" s="22"/>
      <c r="P28" s="29"/>
    </row>
    <row r="29" spans="1:16" x14ac:dyDescent="0.2">
      <c r="A29" s="22">
        <f t="shared" si="3"/>
        <v>1998</v>
      </c>
      <c r="C29" s="107">
        <v>26616230</v>
      </c>
      <c r="D29" s="31"/>
      <c r="E29" s="29">
        <f>'6.4'!E29</f>
        <v>3.3026864451443179</v>
      </c>
      <c r="F29" s="26">
        <f t="shared" si="4"/>
        <v>87905062.041843548</v>
      </c>
      <c r="G29" s="107">
        <v>7574576</v>
      </c>
      <c r="H29" s="21">
        <f t="shared" si="2"/>
        <v>8.5999999999999993E-2</v>
      </c>
      <c r="I29" s="21"/>
      <c r="K29" s="2"/>
      <c r="O29" s="22"/>
      <c r="P29" s="29"/>
    </row>
    <row r="30" spans="1:16" x14ac:dyDescent="0.2">
      <c r="A30" s="22">
        <f t="shared" si="3"/>
        <v>1999</v>
      </c>
      <c r="C30" s="107">
        <v>23901401</v>
      </c>
      <c r="D30" s="31"/>
      <c r="E30" s="29">
        <f>'6.4'!E30</f>
        <v>3.3537589159455186</v>
      </c>
      <c r="F30" s="26">
        <f t="shared" si="4"/>
        <v>80159536.707339138</v>
      </c>
      <c r="G30" s="107">
        <v>6821707</v>
      </c>
      <c r="H30" s="21">
        <f t="shared" si="2"/>
        <v>8.5000000000000006E-2</v>
      </c>
      <c r="I30" s="21"/>
      <c r="K30" s="2"/>
      <c r="O30" s="22"/>
      <c r="P30" s="29"/>
    </row>
    <row r="31" spans="1:16" x14ac:dyDescent="0.2">
      <c r="A31" s="22">
        <f t="shared" si="3"/>
        <v>2000</v>
      </c>
      <c r="C31" s="107">
        <v>19819200</v>
      </c>
      <c r="D31" s="31"/>
      <c r="E31" s="29">
        <f>'6.4'!E31</f>
        <v>3.209338675545951</v>
      </c>
      <c r="F31" s="26">
        <f t="shared" si="4"/>
        <v>63606525.078380309</v>
      </c>
      <c r="G31" s="107">
        <v>35670537</v>
      </c>
      <c r="H31" s="21">
        <f t="shared" si="2"/>
        <v>0.56100000000000005</v>
      </c>
      <c r="I31" s="21"/>
      <c r="K31" s="2"/>
      <c r="L31" t="s">
        <v>206</v>
      </c>
      <c r="O31" s="22"/>
      <c r="P31" s="29"/>
    </row>
    <row r="32" spans="1:16" x14ac:dyDescent="0.2">
      <c r="A32" s="22">
        <f t="shared" si="3"/>
        <v>2001</v>
      </c>
      <c r="C32" s="107">
        <v>21641352</v>
      </c>
      <c r="D32" s="31"/>
      <c r="E32" s="29">
        <f>'6.4'!E32</f>
        <v>3.0165127864233838</v>
      </c>
      <c r="F32" s="26">
        <f t="shared" si="4"/>
        <v>65281415.023489274</v>
      </c>
      <c r="G32" s="107">
        <v>17852673</v>
      </c>
      <c r="H32" s="21">
        <f t="shared" si="2"/>
        <v>0.27300000000000002</v>
      </c>
      <c r="I32" s="21"/>
      <c r="K32" s="2"/>
      <c r="L32" s="67">
        <f>[1]ISO!$R$49</f>
        <v>9.359660437945231E-3</v>
      </c>
      <c r="N32" s="50"/>
      <c r="O32" s="22"/>
      <c r="P32" s="29"/>
    </row>
    <row r="33" spans="1:16" x14ac:dyDescent="0.2">
      <c r="A33" s="22">
        <f t="shared" si="3"/>
        <v>2002</v>
      </c>
      <c r="C33" s="107">
        <v>31941586</v>
      </c>
      <c r="D33" s="31"/>
      <c r="E33" s="29">
        <f>'6.4'!E33</f>
        <v>2.8863443172156207</v>
      </c>
      <c r="F33" s="26">
        <f t="shared" si="4"/>
        <v>92194415.233954027</v>
      </c>
      <c r="G33" s="107">
        <v>8461924</v>
      </c>
      <c r="H33" s="21">
        <f t="shared" si="2"/>
        <v>9.1999999999999998E-2</v>
      </c>
      <c r="I33" s="21"/>
      <c r="K33" s="2"/>
      <c r="N33" s="57"/>
      <c r="O33" s="22"/>
      <c r="P33" s="29"/>
    </row>
    <row r="34" spans="1:16" x14ac:dyDescent="0.2">
      <c r="A34" s="22">
        <f t="shared" si="3"/>
        <v>2003</v>
      </c>
      <c r="C34" s="107">
        <v>35755041</v>
      </c>
      <c r="D34" s="31"/>
      <c r="E34" s="29">
        <f>'6.4'!E34</f>
        <v>2.6891459199349992</v>
      </c>
      <c r="F34" s="26">
        <f t="shared" si="4"/>
        <v>96150522.622258618</v>
      </c>
      <c r="G34" s="107">
        <v>28411179</v>
      </c>
      <c r="H34" s="21">
        <f t="shared" si="2"/>
        <v>0.29499999999999998</v>
      </c>
      <c r="I34" s="21"/>
      <c r="K34" s="2"/>
      <c r="N34" s="50"/>
      <c r="O34" s="22"/>
      <c r="P34" s="29"/>
    </row>
    <row r="35" spans="1:16" x14ac:dyDescent="0.2">
      <c r="A35" s="22">
        <f t="shared" si="3"/>
        <v>2004</v>
      </c>
      <c r="B35" s="22"/>
      <c r="C35" s="107">
        <v>54522810</v>
      </c>
      <c r="D35" s="41"/>
      <c r="E35" s="29">
        <f>'6.4'!E35</f>
        <v>2.448174392695059</v>
      </c>
      <c r="F35" s="26">
        <f t="shared" si="4"/>
        <v>133481347.25977808</v>
      </c>
      <c r="G35" s="107">
        <v>3982223</v>
      </c>
      <c r="H35" s="21">
        <f t="shared" si="2"/>
        <v>0.03</v>
      </c>
      <c r="I35" s="21"/>
      <c r="K35" s="2"/>
      <c r="O35" s="22"/>
      <c r="P35" s="29"/>
    </row>
    <row r="36" spans="1:16" x14ac:dyDescent="0.2">
      <c r="A36" s="22">
        <f t="shared" si="3"/>
        <v>2005</v>
      </c>
      <c r="C36" s="107">
        <v>55697704</v>
      </c>
      <c r="E36" s="29">
        <f>'6.4'!E36</f>
        <v>2.2196457159722458</v>
      </c>
      <c r="F36" s="26">
        <f t="shared" si="4"/>
        <v>123629170.07309023</v>
      </c>
      <c r="G36" s="107">
        <v>59821556</v>
      </c>
      <c r="H36" s="21">
        <f t="shared" si="2"/>
        <v>0.48399999999999999</v>
      </c>
      <c r="I36" s="21"/>
      <c r="K36" s="2"/>
      <c r="O36" s="22"/>
      <c r="P36" s="29"/>
    </row>
    <row r="37" spans="1:16" x14ac:dyDescent="0.2">
      <c r="A37" s="22">
        <f t="shared" si="3"/>
        <v>2006</v>
      </c>
      <c r="C37" s="107">
        <v>61057252</v>
      </c>
      <c r="E37" s="29">
        <f>'6.4'!E37</f>
        <v>2.0368887779518374</v>
      </c>
      <c r="F37" s="26">
        <f t="shared" si="4"/>
        <v>124366831.41137739</v>
      </c>
      <c r="G37" s="107">
        <v>6946289</v>
      </c>
      <c r="H37" s="21">
        <f t="shared" si="2"/>
        <v>5.6000000000000001E-2</v>
      </c>
      <c r="I37" s="21"/>
      <c r="K37" s="2"/>
      <c r="O37" s="22"/>
      <c r="P37" s="29"/>
    </row>
    <row r="38" spans="1:16" x14ac:dyDescent="0.2">
      <c r="A38" s="22">
        <f t="shared" si="3"/>
        <v>2007</v>
      </c>
      <c r="C38" s="107">
        <v>61608161</v>
      </c>
      <c r="E38" s="29">
        <f>'6.4'!E38</f>
        <v>1.8570470989540067</v>
      </c>
      <c r="F38" s="26">
        <f t="shared" si="4"/>
        <v>114409256.65694137</v>
      </c>
      <c r="G38" s="107">
        <v>10794322</v>
      </c>
      <c r="H38" s="21">
        <f t="shared" si="2"/>
        <v>9.4E-2</v>
      </c>
      <c r="I38" s="21"/>
      <c r="K38" s="2"/>
      <c r="N38" s="50"/>
      <c r="O38" s="22"/>
      <c r="P38" s="29"/>
    </row>
    <row r="39" spans="1:16" x14ac:dyDescent="0.2">
      <c r="A39" s="22">
        <f t="shared" si="3"/>
        <v>2008</v>
      </c>
      <c r="C39" s="107">
        <v>58154456</v>
      </c>
      <c r="E39" s="29">
        <f>'6.4'!E39</f>
        <v>1.7641482522914038</v>
      </c>
      <c r="F39" s="26">
        <f t="shared" si="4"/>
        <v>102593081.91535734</v>
      </c>
      <c r="G39" s="107">
        <v>477796637</v>
      </c>
      <c r="H39" s="21">
        <f t="shared" si="2"/>
        <v>4.657</v>
      </c>
      <c r="I39" s="21"/>
      <c r="K39" s="2"/>
      <c r="O39" s="22"/>
      <c r="P39" s="29"/>
    </row>
    <row r="40" spans="1:16" x14ac:dyDescent="0.2">
      <c r="A40" s="22">
        <f t="shared" si="3"/>
        <v>2009</v>
      </c>
      <c r="C40" s="107">
        <v>62172956</v>
      </c>
      <c r="E40" s="29">
        <f>'6.4'!E40</f>
        <v>1.5997647448930246</v>
      </c>
      <c r="F40" s="26">
        <f t="shared" si="4"/>
        <v>99462103.09458524</v>
      </c>
      <c r="G40" s="107">
        <v>9127735</v>
      </c>
      <c r="H40" s="21">
        <f t="shared" si="2"/>
        <v>9.1999999999999998E-2</v>
      </c>
      <c r="I40" s="21"/>
      <c r="K40" s="2"/>
      <c r="N40" s="50"/>
      <c r="O40" s="22"/>
      <c r="P40" s="29"/>
    </row>
    <row r="41" spans="1:16" x14ac:dyDescent="0.2">
      <c r="A41" s="22">
        <f t="shared" si="3"/>
        <v>2010</v>
      </c>
      <c r="C41" s="107">
        <v>70966450</v>
      </c>
      <c r="D41" s="31"/>
      <c r="E41" s="29">
        <f>'6.4'!E41</f>
        <v>1.4780006228698483</v>
      </c>
      <c r="F41" s="26">
        <f t="shared" si="4"/>
        <v>104888457.30286194</v>
      </c>
      <c r="G41" s="107">
        <v>3378802</v>
      </c>
      <c r="H41" s="21">
        <f t="shared" si="2"/>
        <v>3.2000000000000001E-2</v>
      </c>
      <c r="I41" s="21"/>
      <c r="K41" s="2"/>
      <c r="O41" s="22"/>
      <c r="P41" s="29"/>
    </row>
    <row r="42" spans="1:16" x14ac:dyDescent="0.2">
      <c r="A42" s="22">
        <f t="shared" si="3"/>
        <v>2011</v>
      </c>
      <c r="C42" s="107">
        <v>71822950</v>
      </c>
      <c r="D42" s="31"/>
      <c r="E42" s="29">
        <f>'6.4'!E42</f>
        <v>1.4430316100910405</v>
      </c>
      <c r="F42" s="26">
        <f>C42*E42</f>
        <v>103642787.17998829</v>
      </c>
      <c r="G42" s="107">
        <v>19035462</v>
      </c>
      <c r="H42" s="21">
        <f>ROUND(G42/F42,3)</f>
        <v>0.184</v>
      </c>
      <c r="I42" s="21"/>
      <c r="K42" s="2"/>
      <c r="O42" s="22"/>
      <c r="P42" s="29"/>
    </row>
    <row r="43" spans="1:16" ht="10.5" customHeight="1" x14ac:dyDescent="0.2">
      <c r="A43" s="22">
        <f t="shared" si="3"/>
        <v>2012</v>
      </c>
      <c r="C43" s="107">
        <v>79268241</v>
      </c>
      <c r="D43" s="31"/>
      <c r="E43" s="29">
        <f>'6.4'!E43</f>
        <v>1.3723433115836108</v>
      </c>
      <c r="F43" s="26">
        <f>C43*E43</f>
        <v>108783240.35734776</v>
      </c>
      <c r="G43" s="107">
        <v>10920914</v>
      </c>
      <c r="H43" s="37">
        <f t="shared" si="2"/>
        <v>0.1</v>
      </c>
      <c r="I43" s="21"/>
      <c r="K43" s="2"/>
      <c r="O43" s="22"/>
      <c r="P43" s="29"/>
    </row>
    <row r="44" spans="1:16" x14ac:dyDescent="0.2">
      <c r="A44" s="22">
        <f t="shared" si="3"/>
        <v>2013</v>
      </c>
      <c r="C44" s="107">
        <v>87594841</v>
      </c>
      <c r="D44" s="31"/>
      <c r="E44" s="29">
        <f>'6.4'!E44</f>
        <v>1.3075797103216005</v>
      </c>
      <c r="F44" s="26">
        <f>C44*E44</f>
        <v>114537236.82044666</v>
      </c>
      <c r="G44" s="107">
        <v>7837537</v>
      </c>
      <c r="H44" s="37">
        <f t="shared" si="2"/>
        <v>6.8000000000000005E-2</v>
      </c>
      <c r="I44" s="21"/>
      <c r="K44" s="2"/>
      <c r="O44" s="22"/>
      <c r="P44" s="29"/>
    </row>
    <row r="45" spans="1:16" x14ac:dyDescent="0.2">
      <c r="A45" s="22">
        <f t="shared" si="3"/>
        <v>2014</v>
      </c>
      <c r="C45" s="107">
        <v>106263316</v>
      </c>
      <c r="D45" s="31"/>
      <c r="E45" s="29">
        <f>'6.4'!E45</f>
        <v>1.2467307484438648</v>
      </c>
      <c r="F45" s="26">
        <f>C45*E45</f>
        <v>132481743.48880692</v>
      </c>
      <c r="G45" s="107">
        <v>5735588</v>
      </c>
      <c r="H45" s="37">
        <f t="shared" si="2"/>
        <v>4.2999999999999997E-2</v>
      </c>
      <c r="I45" s="21"/>
      <c r="K45" s="2"/>
      <c r="L45" t="s">
        <v>209</v>
      </c>
      <c r="M45" t="s">
        <v>210</v>
      </c>
      <c r="O45" s="22"/>
      <c r="P45" s="29"/>
    </row>
    <row r="46" spans="1:16" x14ac:dyDescent="0.2">
      <c r="A46" s="22">
        <f t="shared" si="3"/>
        <v>2015</v>
      </c>
      <c r="C46" s="59">
        <f>[1]ISO!R36</f>
        <v>97018594</v>
      </c>
      <c r="D46" s="31"/>
      <c r="E46" s="29">
        <f>'6.4'!E46</f>
        <v>1.1863253854339271</v>
      </c>
      <c r="F46" s="26">
        <f>C46*E46</f>
        <v>115095620.92130768</v>
      </c>
      <c r="G46" s="59">
        <f>[1]ISO!W36</f>
        <v>16306539</v>
      </c>
      <c r="H46" s="37">
        <f t="shared" ref="H46:H51" si="5">ROUND(G46/F46,3)</f>
        <v>0.14199999999999999</v>
      </c>
      <c r="I46" s="21"/>
      <c r="K46" s="2"/>
      <c r="O46" s="22"/>
      <c r="P46" s="29"/>
    </row>
    <row r="47" spans="1:16" x14ac:dyDescent="0.2">
      <c r="A47" s="22">
        <f t="shared" si="3"/>
        <v>2016</v>
      </c>
      <c r="C47" s="59">
        <f>[1]ISO!R37</f>
        <v>90901275</v>
      </c>
      <c r="D47" s="31"/>
      <c r="E47" s="29">
        <f>'6.4'!E47</f>
        <v>1.1296863217775721</v>
      </c>
      <c r="F47" s="26">
        <f t="shared" si="4"/>
        <v>102689926.99964157</v>
      </c>
      <c r="G47" s="59">
        <f>[1]ISO!W37</f>
        <v>34242678</v>
      </c>
      <c r="H47" s="37">
        <f t="shared" si="5"/>
        <v>0.33300000000000002</v>
      </c>
      <c r="I47" s="21"/>
      <c r="K47" s="2"/>
      <c r="L47" s="36">
        <f>'6.4'!L48</f>
        <v>34607</v>
      </c>
      <c r="M47" s="36">
        <f>'6.4'!M48</f>
        <v>36525</v>
      </c>
      <c r="N47" t="s">
        <v>211</v>
      </c>
      <c r="O47" s="22"/>
      <c r="P47" s="29"/>
    </row>
    <row r="48" spans="1:16" x14ac:dyDescent="0.2">
      <c r="A48" s="22">
        <v>2017</v>
      </c>
      <c r="C48" s="59">
        <f>[1]ISO!R38</f>
        <v>83106919</v>
      </c>
      <c r="D48" s="18"/>
      <c r="E48" s="29">
        <f>'6.4'!E48</f>
        <v>1.102499999999994</v>
      </c>
      <c r="F48" s="26">
        <f t="shared" si="4"/>
        <v>91625378.197499499</v>
      </c>
      <c r="G48" s="59">
        <f>[1]ISO!W38</f>
        <v>123500244</v>
      </c>
      <c r="H48" s="37">
        <f>ROUND(G48/F48,3)</f>
        <v>1.3480000000000001</v>
      </c>
      <c r="I48" s="21"/>
      <c r="K48" s="2"/>
      <c r="L48" s="36">
        <f>'6.4'!L50</f>
        <v>45657</v>
      </c>
      <c r="M48" s="36">
        <f>'6.4'!M50</f>
        <v>45657</v>
      </c>
      <c r="N48" t="s">
        <v>212</v>
      </c>
      <c r="O48" s="22"/>
      <c r="P48" s="29"/>
    </row>
    <row r="49" spans="1:16" x14ac:dyDescent="0.2">
      <c r="A49" s="22">
        <v>2018</v>
      </c>
      <c r="C49" s="59">
        <f>[1]ISO!R39</f>
        <v>85715184</v>
      </c>
      <c r="E49" s="29">
        <f>'6.4'!E49</f>
        <v>1.0755512293710299</v>
      </c>
      <c r="F49" s="26">
        <f t="shared" si="4"/>
        <v>92191071.526964024</v>
      </c>
      <c r="G49" s="59">
        <f>[1]ISO!W39</f>
        <v>13769440</v>
      </c>
      <c r="H49" s="37">
        <f t="shared" si="5"/>
        <v>0.14899999999999999</v>
      </c>
      <c r="I49" s="21"/>
      <c r="K49" s="2"/>
      <c r="O49" s="22"/>
      <c r="P49" s="29"/>
    </row>
    <row r="50" spans="1:16" x14ac:dyDescent="0.2">
      <c r="A50" s="22">
        <v>2019</v>
      </c>
      <c r="C50" s="59">
        <f>[1]ISO!R40</f>
        <v>87787756</v>
      </c>
      <c r="E50" s="29">
        <f>'6.4'!E50</f>
        <v>1.049999999999998</v>
      </c>
      <c r="F50" s="26">
        <f t="shared" ref="F50:F55" si="6">C50*E50</f>
        <v>92177143.799999833</v>
      </c>
      <c r="G50" s="59">
        <f>[1]ISO!W40</f>
        <v>16450210</v>
      </c>
      <c r="H50" s="37">
        <f t="shared" si="5"/>
        <v>0.17799999999999999</v>
      </c>
      <c r="I50" s="21"/>
      <c r="K50" s="2"/>
      <c r="O50" s="22"/>
      <c r="P50" s="29"/>
    </row>
    <row r="51" spans="1:16" x14ac:dyDescent="0.2">
      <c r="A51" s="22">
        <v>2020</v>
      </c>
      <c r="C51" s="59">
        <f>[1]ISO!R41</f>
        <v>91774402</v>
      </c>
      <c r="E51" s="29">
        <f>'6.4'!E51</f>
        <v>1.0499999999999974</v>
      </c>
      <c r="F51" s="26">
        <f t="shared" si="6"/>
        <v>96363122.099999756</v>
      </c>
      <c r="G51" s="59">
        <f>[1]ISO!W41</f>
        <v>25739371</v>
      </c>
      <c r="H51" s="37">
        <f t="shared" si="5"/>
        <v>0.26700000000000002</v>
      </c>
      <c r="I51" s="21"/>
      <c r="K51" s="2"/>
      <c r="O51" s="22"/>
      <c r="P51" s="29"/>
    </row>
    <row r="52" spans="1:16" x14ac:dyDescent="0.2">
      <c r="A52" s="22">
        <v>2021</v>
      </c>
      <c r="C52" s="59">
        <f>[1]ISO!R42</f>
        <v>95136330</v>
      </c>
      <c r="E52" s="29">
        <f>'6.4'!E52</f>
        <v>1.0499999999999947</v>
      </c>
      <c r="F52" s="26">
        <f t="shared" si="6"/>
        <v>99893146.499999493</v>
      </c>
      <c r="G52" s="59">
        <f>[1]ISO!W42</f>
        <v>21912753</v>
      </c>
      <c r="H52" s="37">
        <f>ROUND(G52/F52,3)</f>
        <v>0.219</v>
      </c>
      <c r="I52" s="21"/>
      <c r="K52" s="2"/>
      <c r="O52" s="22"/>
      <c r="P52" s="29"/>
    </row>
    <row r="53" spans="1:16" x14ac:dyDescent="0.2">
      <c r="A53" s="22">
        <v>2022</v>
      </c>
      <c r="C53" s="59">
        <f>[1]ISO!R43</f>
        <v>97177314</v>
      </c>
      <c r="E53" s="29">
        <f>'6.4'!E53</f>
        <v>1.0224475776595738</v>
      </c>
      <c r="F53" s="26">
        <f t="shared" si="6"/>
        <v>99358709.30276379</v>
      </c>
      <c r="G53" s="59">
        <f>[1]ISO!W43</f>
        <v>11084479</v>
      </c>
      <c r="H53" s="37">
        <f>ROUND(G53/F53,3)</f>
        <v>0.112</v>
      </c>
      <c r="I53" s="21"/>
      <c r="K53" s="2"/>
      <c r="O53" s="22"/>
      <c r="P53" s="29"/>
    </row>
    <row r="54" spans="1:16" x14ac:dyDescent="0.2">
      <c r="A54" s="22">
        <v>2023</v>
      </c>
      <c r="C54" s="59">
        <f>[1]ISO!R44</f>
        <v>119304812</v>
      </c>
      <c r="E54" s="29">
        <f>'6.4'!E54</f>
        <v>1</v>
      </c>
      <c r="F54" s="26">
        <f t="shared" si="6"/>
        <v>119304812</v>
      </c>
      <c r="G54" s="59">
        <f>[1]ISO!W44</f>
        <v>14580286</v>
      </c>
      <c r="H54" s="37">
        <f>ROUND(G54/F54,3)</f>
        <v>0.122</v>
      </c>
      <c r="I54" s="21"/>
      <c r="K54" s="2"/>
      <c r="O54" s="22"/>
      <c r="P54" s="29"/>
    </row>
    <row r="55" spans="1:16" x14ac:dyDescent="0.2">
      <c r="A55" s="22">
        <v>2024</v>
      </c>
      <c r="C55" s="59">
        <f>[1]ISO!R45</f>
        <v>129319704</v>
      </c>
      <c r="E55" s="29">
        <f>'6.4'!E55</f>
        <v>1</v>
      </c>
      <c r="F55" s="26">
        <f t="shared" si="6"/>
        <v>129319704</v>
      </c>
      <c r="G55" s="59">
        <f>[1]ISO!W45</f>
        <v>60724342</v>
      </c>
      <c r="H55" s="37">
        <f>ROUND(G55/F55,3)</f>
        <v>0.47</v>
      </c>
      <c r="I55" s="21"/>
      <c r="K55" s="2"/>
      <c r="O55" s="22"/>
      <c r="P55" s="29"/>
    </row>
    <row r="56" spans="1:16" x14ac:dyDescent="0.2">
      <c r="A56" s="204"/>
      <c r="B56" s="204"/>
      <c r="C56" s="204"/>
      <c r="D56" s="204"/>
      <c r="E56" s="204"/>
      <c r="F56" s="204"/>
      <c r="G56" s="204"/>
      <c r="H56" s="204"/>
      <c r="K56" s="2"/>
      <c r="O56" s="22"/>
      <c r="P56" s="29"/>
    </row>
    <row r="57" spans="1:16" x14ac:dyDescent="0.2">
      <c r="A57" t="s">
        <v>7</v>
      </c>
      <c r="C57" s="46">
        <f>SUM(C14:C56)</f>
        <v>2122846470</v>
      </c>
      <c r="D57" s="46"/>
      <c r="E57" s="21"/>
      <c r="F57" s="46">
        <f>SUM(F14:F56)</f>
        <v>3456576479.4732466</v>
      </c>
      <c r="G57" s="46">
        <f>SUM(G14:G56)</f>
        <v>1143347867</v>
      </c>
      <c r="H57" s="21">
        <f>ROUND(G57/F57,3)</f>
        <v>0.33100000000000002</v>
      </c>
      <c r="K57" s="2"/>
    </row>
    <row r="58" spans="1:16" ht="12" thickBot="1" x14ac:dyDescent="0.25">
      <c r="A58" s="6"/>
      <c r="B58" s="6"/>
      <c r="C58" s="6"/>
      <c r="D58" s="6"/>
      <c r="E58" s="6"/>
      <c r="F58" s="6"/>
      <c r="G58" s="6"/>
      <c r="H58" s="6"/>
      <c r="K58" s="2"/>
    </row>
    <row r="59" spans="1:16" ht="12" thickTop="1" x14ac:dyDescent="0.2">
      <c r="K59" s="2"/>
    </row>
    <row r="60" spans="1:16" x14ac:dyDescent="0.2">
      <c r="A60" t="s">
        <v>17</v>
      </c>
      <c r="K60" s="2"/>
    </row>
    <row r="61" spans="1:16" x14ac:dyDescent="0.2">
      <c r="B61" s="12" t="str">
        <f>C12&amp;" Provided by TDI. "&amp;A14&amp;" - "&amp;A26&amp;" are year ending "&amp;TEXT($L$47,"m/d/xx")&amp;" as of "&amp;TEXT($M$47,"m/d/yy")&amp;"; "&amp;A27&amp;" - "&amp;YEAR(L48)&amp;" are year ending "&amp;TEXT($L$48,"m/d/xx")&amp;" as of "&amp;TEXT($M$48,"m/d/yy")</f>
        <v>(2) Provided by TDI. 1983 - 1995 are year ending 9/30/xx as of 12/31/99; 1996 - 2024 are year ending 12/31/xx as of 12/31/24</v>
      </c>
      <c r="K61" s="2"/>
    </row>
    <row r="62" spans="1:16" x14ac:dyDescent="0.2">
      <c r="B62" s="12" t="str">
        <f>D12&amp;" Provided by TDI (1992 MR = 1992 manual rates)"</f>
        <v>(3) Provided by TDI (1992 MR = 1992 manual rates)</v>
      </c>
      <c r="C62" s="12"/>
      <c r="K62" s="2"/>
    </row>
    <row r="63" spans="1:16" x14ac:dyDescent="0.2">
      <c r="B63" s="12" t="str">
        <f>'6.4'!B63</f>
        <v>(4) Represents 8/1/80 through 6/30/24 rate changes for TWIA; factors assume uniform earning of written premium</v>
      </c>
      <c r="K63" s="2"/>
    </row>
    <row r="64" spans="1:16" x14ac:dyDescent="0.2">
      <c r="B64" s="12" t="str">
        <f>"      and that TWIA premium represents "&amp;TEXT(L32,"0.0%")&amp;" of industry data in "&amp;LEFT(A5,FIND("(",A5)-2)</f>
        <v xml:space="preserve">      and that TWIA premium represents 0.9% of industry data in Tier 2</v>
      </c>
      <c r="K64" s="2"/>
    </row>
    <row r="65" spans="1:11" x14ac:dyDescent="0.2">
      <c r="B65" s="12" t="str">
        <f>F12&amp;" = "&amp;D12&amp;" x "&amp;E12&amp;" for "&amp;A14&amp;" - "&amp;A23&amp;"; "&amp;C12&amp;" x "&amp;E12&amp;" for "&amp;A24&amp;" - "&amp;YEAR(M48)</f>
        <v>(5) = (3) x (4) for 1983 - 1992; (2) x (4) for 1993 - 2024</v>
      </c>
      <c r="K65" s="2"/>
    </row>
    <row r="66" spans="1:11" x14ac:dyDescent="0.2">
      <c r="B66" s="12" t="str">
        <f>'6.5'!B66</f>
        <v>(6) Provided by TDI. 1983 - 1995 are year ending 9/30/xx as of 12/31/99; 1996 - 2011 are year ending 12/31/xx as of 12/31/19</v>
      </c>
      <c r="D66" s="41"/>
      <c r="E66" s="41"/>
      <c r="F66" s="41"/>
      <c r="G66" s="21"/>
      <c r="I66" s="19"/>
      <c r="K66" s="2"/>
    </row>
    <row r="67" spans="1:11" x14ac:dyDescent="0.2">
      <c r="B67" s="12" t="str">
        <f>'6.5'!B67</f>
        <v xml:space="preserve">    2012 - 2024 are year ending 12/31/xx as of 12/31/24</v>
      </c>
      <c r="I67" s="19"/>
      <c r="K67" s="2"/>
    </row>
    <row r="68" spans="1:11" x14ac:dyDescent="0.2">
      <c r="B68" s="12" t="str">
        <f>'6.5'!B68</f>
        <v>(7) = (6) / (5)</v>
      </c>
      <c r="I68" s="19"/>
      <c r="K68" s="2"/>
    </row>
    <row r="69" spans="1:11" x14ac:dyDescent="0.2">
      <c r="A69" s="40"/>
      <c r="C69" s="18"/>
      <c r="D69" s="18"/>
      <c r="E69" s="19"/>
      <c r="F69" s="19"/>
      <c r="G69" s="19"/>
      <c r="H69" s="19"/>
      <c r="I69" s="19"/>
      <c r="K69" s="2"/>
    </row>
    <row r="70" spans="1:11" ht="12" thickBot="1" x14ac:dyDescent="0.25">
      <c r="A70" s="40"/>
      <c r="C70" s="18"/>
      <c r="D70" s="18"/>
      <c r="E70" s="19"/>
      <c r="F70" s="19"/>
      <c r="G70" s="19"/>
      <c r="H70" s="19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rgb="FF00B050"/>
  </sheetPr>
  <dimension ref="A1:U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  <col min="12" max="12" width="1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323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20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506</v>
      </c>
      <c r="B4" s="12"/>
      <c r="K4" s="2"/>
    </row>
    <row r="5" spans="1:12" x14ac:dyDescent="0.2">
      <c r="A5" t="s">
        <v>488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58" t="s">
        <v>91</v>
      </c>
      <c r="K9" s="2"/>
      <c r="L9" s="24"/>
    </row>
    <row r="10" spans="1:12" x14ac:dyDescent="0.2">
      <c r="C10" s="11" t="s">
        <v>92</v>
      </c>
      <c r="D10" s="11" t="s">
        <v>93</v>
      </c>
      <c r="E10" s="11" t="s">
        <v>96</v>
      </c>
      <c r="K10" s="2"/>
      <c r="L10" s="12" t="s">
        <v>113</v>
      </c>
    </row>
    <row r="11" spans="1:12" x14ac:dyDescent="0.2">
      <c r="A11" s="9" t="s">
        <v>90</v>
      </c>
      <c r="B11" s="9"/>
      <c r="C11" s="143" t="str">
        <f>"as of "&amp;TEXT($L$11,"m/d/yy")</f>
        <v>as of 11/30/24</v>
      </c>
      <c r="D11" s="143" t="s">
        <v>94</v>
      </c>
      <c r="E11" s="143" t="s">
        <v>95</v>
      </c>
      <c r="K11" s="2"/>
      <c r="L11" s="219">
        <f>'10.2'!K14</f>
        <v>45626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98</v>
      </c>
      <c r="C14" s="224">
        <f>ROUND('[1]Hurr Models'!F5/1000, 0)</f>
        <v>601429</v>
      </c>
      <c r="D14" s="153">
        <f>IFERROR(E14/C14,0)</f>
        <v>4.3036072324414016</v>
      </c>
      <c r="E14" s="224">
        <f>'[1]Hurr Models'!B29</f>
        <v>2588314.1941999998</v>
      </c>
      <c r="K14" s="2"/>
    </row>
    <row r="15" spans="1:12" x14ac:dyDescent="0.2">
      <c r="A15" t="s">
        <v>99</v>
      </c>
      <c r="C15" s="224">
        <f>ROUND('[1]Hurr Models'!F6/1000, 0)</f>
        <v>871439</v>
      </c>
      <c r="D15" s="153">
        <f t="shared" ref="D15:D28" si="0">IFERROR(E15/C15,0)</f>
        <v>3.8289287343118681</v>
      </c>
      <c r="E15" s="224">
        <f>'[1]Hurr Models'!B30</f>
        <v>3336677.8273</v>
      </c>
      <c r="K15" s="2"/>
    </row>
    <row r="16" spans="1:12" x14ac:dyDescent="0.2">
      <c r="A16" t="s">
        <v>100</v>
      </c>
      <c r="C16" s="224">
        <f>ROUND('[1]Hurr Models'!F7/1000, 0)</f>
        <v>191024</v>
      </c>
      <c r="D16" s="153">
        <f t="shared" si="0"/>
        <v>4.2405496157550884</v>
      </c>
      <c r="E16" s="224">
        <f>'[1]Hurr Models'!B31</f>
        <v>810046.74979999999</v>
      </c>
      <c r="K16" s="2"/>
    </row>
    <row r="17" spans="1:21" x14ac:dyDescent="0.2">
      <c r="A17" t="s">
        <v>101</v>
      </c>
      <c r="C17" s="224">
        <f>ROUND('[1]Hurr Models'!F8/1000, 0)</f>
        <v>1895711</v>
      </c>
      <c r="D17" s="153">
        <f t="shared" si="0"/>
        <v>3.992531695706782</v>
      </c>
      <c r="E17" s="224">
        <f>'[1]Hurr Models'!B32</f>
        <v>7568686.2533999998</v>
      </c>
      <c r="K17" s="2"/>
    </row>
    <row r="18" spans="1:21" x14ac:dyDescent="0.2">
      <c r="A18" t="s">
        <v>102</v>
      </c>
      <c r="C18" s="224">
        <f>ROUND('[1]Hurr Models'!F9/1000, 0)</f>
        <v>124755</v>
      </c>
      <c r="D18" s="153">
        <f t="shared" si="0"/>
        <v>2.8048677888661779</v>
      </c>
      <c r="E18" s="224">
        <f>'[1]Hurr Models'!B33</f>
        <v>349921.28100000002</v>
      </c>
      <c r="K18" s="2"/>
    </row>
    <row r="19" spans="1:21" x14ac:dyDescent="0.2">
      <c r="A19" t="s">
        <v>103</v>
      </c>
      <c r="C19" s="224">
        <f>ROUND('[1]Hurr Models'!F10/1000, 0)</f>
        <v>3735992</v>
      </c>
      <c r="D19" s="153">
        <f t="shared" si="0"/>
        <v>10.014998408294236</v>
      </c>
      <c r="E19" s="224">
        <f>'[1]Hurr Models'!B34</f>
        <v>37415953.933399998</v>
      </c>
      <c r="K19" s="2"/>
    </row>
    <row r="20" spans="1:21" x14ac:dyDescent="0.2">
      <c r="A20" t="s">
        <v>104</v>
      </c>
      <c r="C20" s="224">
        <f>ROUND('[1]Hurr Models'!F11/1000, 0)</f>
        <v>217270</v>
      </c>
      <c r="D20" s="153">
        <f t="shared" si="0"/>
        <v>4.5373362254337914</v>
      </c>
      <c r="E20" s="224">
        <f>'[1]Hurr Models'!B35</f>
        <v>985827.04169999994</v>
      </c>
      <c r="K20" s="2"/>
    </row>
    <row r="21" spans="1:21" x14ac:dyDescent="0.2">
      <c r="A21" t="s">
        <v>105</v>
      </c>
      <c r="C21" s="224">
        <f>ROUND('[1]Hurr Models'!F12/1000, 0)</f>
        <v>1027207</v>
      </c>
      <c r="D21" s="153">
        <f t="shared" si="0"/>
        <v>2.8274200005451675</v>
      </c>
      <c r="E21" s="224">
        <f>'[1]Hurr Models'!B36</f>
        <v>2904345.6165</v>
      </c>
      <c r="K21" s="2"/>
    </row>
    <row r="22" spans="1:21" x14ac:dyDescent="0.2">
      <c r="A22" t="s">
        <v>106</v>
      </c>
      <c r="C22" s="224">
        <f>ROUND('[1]Hurr Models'!F13/1000, 0)</f>
        <v>100</v>
      </c>
      <c r="D22" s="153">
        <f t="shared" si="0"/>
        <v>1.3346989999999999</v>
      </c>
      <c r="E22" s="224">
        <f>'[1]Hurr Models'!B37</f>
        <v>133.4699</v>
      </c>
      <c r="K22" s="2"/>
    </row>
    <row r="23" spans="1:21" x14ac:dyDescent="0.2">
      <c r="A23" t="s">
        <v>107</v>
      </c>
      <c r="B23" s="12"/>
      <c r="C23" s="224">
        <f>ROUND('[1]Hurr Models'!F14/1000, 0)</f>
        <v>71519</v>
      </c>
      <c r="D23" s="153">
        <f t="shared" si="0"/>
        <v>1.8561480487702569</v>
      </c>
      <c r="E23" s="224">
        <f>'[1]Hurr Models'!B38</f>
        <v>132749.8523</v>
      </c>
      <c r="K23" s="2"/>
    </row>
    <row r="24" spans="1:21" x14ac:dyDescent="0.2">
      <c r="A24" t="s">
        <v>108</v>
      </c>
      <c r="B24" s="12"/>
      <c r="C24" s="224">
        <f>ROUND('[1]Hurr Models'!F15/1000, 0)</f>
        <v>165866</v>
      </c>
      <c r="D24" s="153">
        <f t="shared" si="0"/>
        <v>3.6074245396886648</v>
      </c>
      <c r="E24" s="224">
        <f>'[1]Hurr Models'!B39</f>
        <v>598349.07870000007</v>
      </c>
      <c r="K24" s="2"/>
    </row>
    <row r="25" spans="1:21" x14ac:dyDescent="0.2">
      <c r="A25" t="s">
        <v>109</v>
      </c>
      <c r="B25" s="12"/>
      <c r="C25" s="224">
        <f>ROUND('[1]Hurr Models'!F16/1000, 0)</f>
        <v>3933558</v>
      </c>
      <c r="D25" s="153">
        <f t="shared" si="0"/>
        <v>4.5145354349675282</v>
      </c>
      <c r="E25" s="224">
        <f>'[1]Hurr Models'!B40</f>
        <v>17758186.976500001</v>
      </c>
      <c r="K25" s="2"/>
      <c r="M25" s="18"/>
      <c r="N25" s="18"/>
      <c r="O25" s="18"/>
    </row>
    <row r="26" spans="1:21" x14ac:dyDescent="0.2">
      <c r="A26" t="s">
        <v>110</v>
      </c>
      <c r="C26" s="224">
        <f>ROUND('[1]Hurr Models'!F17/1000, 0)</f>
        <v>21992</v>
      </c>
      <c r="D26" s="153">
        <f t="shared" si="0"/>
        <v>1.6318301791560568</v>
      </c>
      <c r="E26" s="224">
        <f>'[1]Hurr Models'!B41</f>
        <v>35887.209300000002</v>
      </c>
      <c r="K26" s="2"/>
      <c r="M26" s="18"/>
      <c r="N26" s="18"/>
      <c r="O26" s="18"/>
    </row>
    <row r="27" spans="1:21" x14ac:dyDescent="0.2">
      <c r="A27" t="s">
        <v>111</v>
      </c>
      <c r="C27" s="224">
        <f>ROUND('[1]Hurr Models'!F18/1000, 0)</f>
        <v>274485</v>
      </c>
      <c r="D27" s="153">
        <f t="shared" si="0"/>
        <v>3.0794382756799097</v>
      </c>
      <c r="E27" s="224">
        <f>'[1]Hurr Models'!B42</f>
        <v>845259.61510000005</v>
      </c>
      <c r="K27" s="2"/>
      <c r="M27" s="18"/>
      <c r="N27" s="18"/>
      <c r="O27" s="18"/>
    </row>
    <row r="28" spans="1:21" x14ac:dyDescent="0.2">
      <c r="A28" t="s">
        <v>112</v>
      </c>
      <c r="C28" s="224">
        <f>ROUND('[1]Hurr Models'!F19/1000, 0)</f>
        <v>26898</v>
      </c>
      <c r="D28" s="153">
        <f t="shared" si="0"/>
        <v>3.0252855565469554</v>
      </c>
      <c r="E28" s="224">
        <f>'[1]Hurr Models'!B43</f>
        <v>81374.130900000004</v>
      </c>
      <c r="K28" s="2"/>
      <c r="M28" s="18"/>
      <c r="N28" s="18"/>
      <c r="O28" s="18"/>
    </row>
    <row r="29" spans="1:21" x14ac:dyDescent="0.2">
      <c r="A29" s="9"/>
      <c r="B29" s="23"/>
      <c r="C29" s="25"/>
      <c r="D29" s="33"/>
      <c r="E29" s="27"/>
      <c r="K29" s="2"/>
    </row>
    <row r="30" spans="1:21" x14ac:dyDescent="0.2">
      <c r="C30" s="18"/>
      <c r="D30" s="18"/>
      <c r="E30" s="12"/>
      <c r="K30" s="2"/>
    </row>
    <row r="31" spans="1:21" x14ac:dyDescent="0.2">
      <c r="A31" t="s">
        <v>7</v>
      </c>
      <c r="C31" s="26">
        <f>SUM(C14:C28)</f>
        <v>13159245</v>
      </c>
      <c r="D31" s="153">
        <f t="shared" ref="D31" si="1">IFERROR(E31/C31,0)</f>
        <v>5.7307021208283588</v>
      </c>
      <c r="E31" s="26">
        <f>SUM(E14:E28)</f>
        <v>75411713.229999974</v>
      </c>
      <c r="K31" s="2"/>
      <c r="N31" s="13"/>
      <c r="O31" s="13"/>
      <c r="P31" s="13"/>
      <c r="Q31" s="13"/>
      <c r="R31" s="13"/>
      <c r="S31" s="13"/>
      <c r="T31" s="13"/>
      <c r="U31" s="13"/>
    </row>
    <row r="32" spans="1:21" x14ac:dyDescent="0.2">
      <c r="K32" s="2"/>
    </row>
    <row r="33" spans="1:21" x14ac:dyDescent="0.2">
      <c r="A33" s="40" t="s">
        <v>70</v>
      </c>
      <c r="B33" t="str">
        <f>"In-Force Premium as of "&amp;TEXT(L11,"mm/dd/yy")&amp;" at Present Rates"</f>
        <v>In-Force Premium as of 11/30/24 at Present Rates</v>
      </c>
      <c r="E33" s="224">
        <f>[1]PremIF!$D$15</f>
        <v>132492428</v>
      </c>
      <c r="K33" s="2"/>
      <c r="M33" s="22"/>
      <c r="N33" s="18"/>
      <c r="O33" s="18"/>
      <c r="P33" s="18"/>
      <c r="Q33" s="18"/>
      <c r="R33" s="19"/>
      <c r="S33" s="19"/>
      <c r="T33" s="19"/>
      <c r="U33" s="19"/>
    </row>
    <row r="34" spans="1:21" x14ac:dyDescent="0.2">
      <c r="A34" s="40" t="s">
        <v>74</v>
      </c>
      <c r="B34" t="s">
        <v>97</v>
      </c>
      <c r="E34" s="19">
        <f>ROUND(E31/E33,3)</f>
        <v>0.56899999999999995</v>
      </c>
      <c r="K34" s="2"/>
      <c r="L34" s="18"/>
      <c r="M34" s="22"/>
      <c r="N34" s="18"/>
      <c r="O34" s="18"/>
      <c r="P34" s="18"/>
      <c r="Q34" s="18"/>
      <c r="R34" s="19"/>
      <c r="S34" s="19"/>
      <c r="T34" s="19"/>
      <c r="U34" s="19"/>
    </row>
    <row r="35" spans="1:21" ht="12" thickBot="1" x14ac:dyDescent="0.25">
      <c r="A35" s="6"/>
      <c r="B35" s="6"/>
      <c r="C35" s="6"/>
      <c r="D35" s="6"/>
      <c r="E35" s="6"/>
      <c r="K35" s="2"/>
    </row>
    <row r="36" spans="1:21" ht="12" thickTop="1" x14ac:dyDescent="0.2">
      <c r="K36" s="2"/>
    </row>
    <row r="37" spans="1:21" x14ac:dyDescent="0.2">
      <c r="A37" t="s">
        <v>17</v>
      </c>
      <c r="K37" s="2"/>
    </row>
    <row r="38" spans="1:21" x14ac:dyDescent="0.2">
      <c r="B38" s="12" t="str">
        <f>C12&amp;" Provided by TWIA and geo-coded by Verisk"</f>
        <v>(2) Provided by TWIA and geo-coded by Verisk</v>
      </c>
      <c r="K38" s="2"/>
    </row>
    <row r="39" spans="1:21" x14ac:dyDescent="0.2">
      <c r="B39" s="12" t="str">
        <f>D12&amp;" = "&amp;E12&amp;" / "&amp;C12</f>
        <v>(3) = (4) / (2)</v>
      </c>
      <c r="K39" s="2"/>
      <c r="Q39" s="18"/>
    </row>
    <row r="40" spans="1:21" x14ac:dyDescent="0.2">
      <c r="B40" s="12" t="str">
        <f>E12&amp;" Provided by Verisk"&amp;" using Verisk Touchstone v12 (versus Verisk Touchstone v10 for prior year results)"</f>
        <v>(4) Provided by Verisk using Verisk Touchstone v12 (versus Verisk Touchstone v10 for prior year results)</v>
      </c>
      <c r="F40" s="41"/>
      <c r="G40" s="21"/>
      <c r="H40" s="21"/>
      <c r="K40" s="2"/>
      <c r="Q40" s="18"/>
    </row>
    <row r="41" spans="1:21" x14ac:dyDescent="0.2">
      <c r="B41" s="12" t="str">
        <f>A33&amp;" Provided by TWIA"</f>
        <v>(5) Provided by TWIA</v>
      </c>
      <c r="K41" s="2"/>
    </row>
    <row r="42" spans="1:21" x14ac:dyDescent="0.2">
      <c r="B42" s="12" t="str">
        <f>A34&amp;" = "&amp;E12&amp;" Total / "&amp;A33&amp;""</f>
        <v>(6) = (4) Total / (5)</v>
      </c>
      <c r="K42" s="2"/>
    </row>
    <row r="43" spans="1:21" x14ac:dyDescent="0.2">
      <c r="K43" s="2"/>
    </row>
    <row r="44" spans="1:21" x14ac:dyDescent="0.2">
      <c r="K44" s="2"/>
    </row>
    <row r="45" spans="1:21" x14ac:dyDescent="0.2">
      <c r="K45" s="2"/>
    </row>
    <row r="46" spans="1:21" x14ac:dyDescent="0.2">
      <c r="K46" s="2"/>
    </row>
    <row r="47" spans="1:21" x14ac:dyDescent="0.2">
      <c r="K47" s="2"/>
    </row>
    <row r="48" spans="1:2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x14ac:dyDescent="0.2">
      <c r="A63" s="40"/>
      <c r="C63" s="31"/>
      <c r="D63" s="31"/>
      <c r="E63" s="31"/>
      <c r="F63" s="31"/>
      <c r="G63" s="18"/>
      <c r="H63" s="18"/>
      <c r="I63" s="18"/>
      <c r="K63" s="2"/>
    </row>
    <row r="64" spans="1:11" x14ac:dyDescent="0.2">
      <c r="A64" s="40"/>
      <c r="C64" s="19"/>
      <c r="D64" s="19"/>
      <c r="E64" s="19"/>
      <c r="F64" s="19"/>
      <c r="G64" s="19"/>
      <c r="H64" s="19"/>
      <c r="I64" s="19"/>
      <c r="K64" s="2"/>
    </row>
    <row r="65" spans="1:11" x14ac:dyDescent="0.2">
      <c r="B65" s="22"/>
      <c r="C65" s="41"/>
      <c r="D65" s="41"/>
      <c r="E65" s="41"/>
      <c r="F65" s="41"/>
      <c r="G65" s="21"/>
      <c r="H65" s="21"/>
      <c r="K65" s="2"/>
    </row>
    <row r="66" spans="1:11" x14ac:dyDescent="0.2">
      <c r="B66" s="22"/>
      <c r="C66" s="41"/>
      <c r="D66" s="41"/>
      <c r="E66" s="41"/>
      <c r="F66" s="41"/>
      <c r="G66" s="21"/>
      <c r="H66" s="21"/>
      <c r="K66" s="2"/>
    </row>
    <row r="67" spans="1:11" x14ac:dyDescent="0.2">
      <c r="B67" s="22"/>
      <c r="C67" s="41"/>
      <c r="D67" s="41"/>
      <c r="E67" s="41"/>
      <c r="F67" s="41"/>
      <c r="G67" s="21"/>
      <c r="H67" s="21"/>
      <c r="K67" s="2"/>
    </row>
    <row r="68" spans="1:11" ht="12" thickBot="1" x14ac:dyDescent="0.25">
      <c r="B68" s="22"/>
      <c r="C68" s="41"/>
      <c r="D68" s="41"/>
      <c r="E68" s="41"/>
      <c r="F68" s="41"/>
      <c r="G68" s="21"/>
      <c r="H68" s="21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>
    <tabColor rgb="FF00B05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323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55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507</v>
      </c>
      <c r="B4" s="12"/>
      <c r="K4" s="2"/>
    </row>
    <row r="5" spans="1:12" x14ac:dyDescent="0.2">
      <c r="A5" t="s">
        <v>456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58" t="s">
        <v>91</v>
      </c>
      <c r="D9" s="11"/>
      <c r="E9" s="11"/>
      <c r="K9" s="2"/>
      <c r="L9" s="24"/>
    </row>
    <row r="10" spans="1:12" x14ac:dyDescent="0.2">
      <c r="C10" s="11" t="s">
        <v>92</v>
      </c>
      <c r="D10" s="11" t="s">
        <v>93</v>
      </c>
      <c r="E10" s="11" t="s">
        <v>96</v>
      </c>
      <c r="K10" s="2"/>
      <c r="L10" s="12" t="s">
        <v>113</v>
      </c>
    </row>
    <row r="11" spans="1:12" x14ac:dyDescent="0.2">
      <c r="A11" s="9" t="s">
        <v>90</v>
      </c>
      <c r="B11" s="9"/>
      <c r="C11" s="143" t="str">
        <f>"as of "&amp;TEXT($L$11,"m/d/yy")</f>
        <v>as of 11/30/24</v>
      </c>
      <c r="D11" s="143" t="s">
        <v>94</v>
      </c>
      <c r="E11" s="143" t="s">
        <v>95</v>
      </c>
      <c r="K11" s="2"/>
      <c r="L11" s="36">
        <f>'7.1'!L11</f>
        <v>45626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98</v>
      </c>
      <c r="C14" s="18">
        <f>'7.1'!C14</f>
        <v>601429</v>
      </c>
      <c r="D14" s="153">
        <f>IFERROR(E14/C14,0)</f>
        <v>4.711612367877172</v>
      </c>
      <c r="E14" s="224">
        <f>'[1]Hurr Models'!B5</f>
        <v>2833700.3147999998</v>
      </c>
      <c r="K14" s="2"/>
    </row>
    <row r="15" spans="1:12" x14ac:dyDescent="0.2">
      <c r="A15" t="s">
        <v>99</v>
      </c>
      <c r="C15" s="18">
        <f>'7.1'!C15</f>
        <v>871439</v>
      </c>
      <c r="D15" s="153">
        <f t="shared" ref="D15:D28" si="0">IFERROR(E15/C15,0)</f>
        <v>4.1721809038842652</v>
      </c>
      <c r="E15" s="224">
        <f>'[1]Hurr Models'!B6</f>
        <v>3635801.1546999998</v>
      </c>
      <c r="K15" s="2"/>
    </row>
    <row r="16" spans="1:12" x14ac:dyDescent="0.2">
      <c r="A16" t="s">
        <v>100</v>
      </c>
      <c r="C16" s="18">
        <f>'7.1'!C16</f>
        <v>191024</v>
      </c>
      <c r="D16" s="153">
        <f t="shared" si="0"/>
        <v>6.0698853102227996</v>
      </c>
      <c r="E16" s="224">
        <f>'[1]Hurr Models'!B7</f>
        <v>1159493.7715</v>
      </c>
      <c r="K16" s="2"/>
    </row>
    <row r="17" spans="1:11" x14ac:dyDescent="0.2">
      <c r="A17" t="s">
        <v>101</v>
      </c>
      <c r="C17" s="18">
        <f>'7.1'!C17</f>
        <v>1895711</v>
      </c>
      <c r="D17" s="153">
        <f t="shared" si="0"/>
        <v>5.1881042070231178</v>
      </c>
      <c r="E17" s="224">
        <f>'[1]Hurr Models'!B8</f>
        <v>9835146.2144000009</v>
      </c>
      <c r="K17" s="2"/>
    </row>
    <row r="18" spans="1:11" x14ac:dyDescent="0.2">
      <c r="A18" t="s">
        <v>102</v>
      </c>
      <c r="C18" s="18">
        <f>'7.1'!C18</f>
        <v>124755</v>
      </c>
      <c r="D18" s="153">
        <f t="shared" si="0"/>
        <v>3.5455706665063529</v>
      </c>
      <c r="E18" s="224">
        <f>'[1]Hurr Models'!B9</f>
        <v>442327.66850000003</v>
      </c>
      <c r="K18" s="2"/>
    </row>
    <row r="19" spans="1:11" x14ac:dyDescent="0.2">
      <c r="A19" t="s">
        <v>103</v>
      </c>
      <c r="C19" s="18">
        <f>'7.1'!C19</f>
        <v>3735992</v>
      </c>
      <c r="D19" s="153">
        <f t="shared" si="0"/>
        <v>7.5402425656425383</v>
      </c>
      <c r="E19" s="224">
        <f>'[1]Hurr Models'!B10</f>
        <v>28170285.903299998</v>
      </c>
      <c r="K19" s="2"/>
    </row>
    <row r="20" spans="1:11" x14ac:dyDescent="0.2">
      <c r="A20" t="s">
        <v>104</v>
      </c>
      <c r="C20" s="18">
        <f>'7.1'!C20</f>
        <v>217270</v>
      </c>
      <c r="D20" s="153">
        <f t="shared" si="0"/>
        <v>3.8422846743682975</v>
      </c>
      <c r="E20" s="224">
        <f>'[1]Hurr Models'!B11</f>
        <v>834813.1912</v>
      </c>
      <c r="K20" s="2"/>
    </row>
    <row r="21" spans="1:11" x14ac:dyDescent="0.2">
      <c r="A21" t="s">
        <v>105</v>
      </c>
      <c r="C21" s="18">
        <f>'7.1'!C21</f>
        <v>1027207</v>
      </c>
      <c r="D21" s="153">
        <f t="shared" si="0"/>
        <v>2.9446466720923823</v>
      </c>
      <c r="E21" s="224">
        <f>'[1]Hurr Models'!B12</f>
        <v>3024761.6740999999</v>
      </c>
      <c r="K21" s="2"/>
    </row>
    <row r="22" spans="1:11" x14ac:dyDescent="0.2">
      <c r="A22" t="s">
        <v>106</v>
      </c>
      <c r="C22" s="18">
        <f>'7.1'!C22</f>
        <v>100</v>
      </c>
      <c r="D22" s="153">
        <f t="shared" si="0"/>
        <v>2.7239299999999997</v>
      </c>
      <c r="E22" s="224">
        <f>'[1]Hurr Models'!B13</f>
        <v>272.39299999999997</v>
      </c>
      <c r="K22" s="2"/>
    </row>
    <row r="23" spans="1:11" x14ac:dyDescent="0.2">
      <c r="A23" t="s">
        <v>107</v>
      </c>
      <c r="B23" s="12"/>
      <c r="C23" s="18">
        <f>'7.1'!C23</f>
        <v>71519</v>
      </c>
      <c r="D23" s="153">
        <f t="shared" si="0"/>
        <v>2.5566323186845454</v>
      </c>
      <c r="E23" s="224">
        <f>'[1]Hurr Models'!B14</f>
        <v>182847.7868</v>
      </c>
      <c r="K23" s="2"/>
    </row>
    <row r="24" spans="1:11" x14ac:dyDescent="0.2">
      <c r="A24" t="s">
        <v>108</v>
      </c>
      <c r="B24" s="12"/>
      <c r="C24" s="18">
        <f>'7.1'!C24</f>
        <v>165866</v>
      </c>
      <c r="D24" s="153">
        <f t="shared" si="0"/>
        <v>4.6936373391774078</v>
      </c>
      <c r="E24" s="224">
        <f>'[1]Hurr Models'!B15</f>
        <v>778514.85089999996</v>
      </c>
      <c r="K24" s="2"/>
    </row>
    <row r="25" spans="1:11" x14ac:dyDescent="0.2">
      <c r="A25" t="s">
        <v>109</v>
      </c>
      <c r="B25" s="12"/>
      <c r="C25" s="18">
        <f>'7.1'!C25</f>
        <v>3933558</v>
      </c>
      <c r="D25" s="153">
        <f t="shared" si="0"/>
        <v>4.7795087458733292</v>
      </c>
      <c r="E25" s="224">
        <f>'[1]Hurr Models'!B16</f>
        <v>18800474.863400001</v>
      </c>
      <c r="K25" s="2"/>
    </row>
    <row r="26" spans="1:11" x14ac:dyDescent="0.2">
      <c r="A26" t="s">
        <v>110</v>
      </c>
      <c r="C26" s="18">
        <f>'7.1'!C26</f>
        <v>21992</v>
      </c>
      <c r="D26" s="153">
        <f t="shared" si="0"/>
        <v>3.2873700027282649</v>
      </c>
      <c r="E26" s="224">
        <f>'[1]Hurr Models'!B17</f>
        <v>72295.841100000005</v>
      </c>
      <c r="K26" s="2"/>
    </row>
    <row r="27" spans="1:11" x14ac:dyDescent="0.2">
      <c r="A27" t="s">
        <v>111</v>
      </c>
      <c r="C27" s="18">
        <f>'7.1'!C27</f>
        <v>274485</v>
      </c>
      <c r="D27" s="153">
        <f t="shared" si="0"/>
        <v>4.2761855769896355</v>
      </c>
      <c r="E27" s="224">
        <f>'[1]Hurr Models'!B18</f>
        <v>1173748.7981</v>
      </c>
      <c r="K27" s="2"/>
    </row>
    <row r="28" spans="1:11" x14ac:dyDescent="0.2">
      <c r="A28" t="s">
        <v>112</v>
      </c>
      <c r="C28" s="18">
        <f>'7.1'!C28</f>
        <v>26898</v>
      </c>
      <c r="D28" s="153">
        <f t="shared" si="0"/>
        <v>3.9596576771507173</v>
      </c>
      <c r="E28" s="224">
        <f>'[1]Hurr Models'!B19</f>
        <v>106506.8722</v>
      </c>
      <c r="K28" s="2"/>
    </row>
    <row r="29" spans="1:11" x14ac:dyDescent="0.2">
      <c r="A29" s="9"/>
      <c r="B29" s="23"/>
      <c r="C29" s="25"/>
      <c r="D29" s="33"/>
      <c r="E29" s="27"/>
      <c r="K29" s="2"/>
    </row>
    <row r="30" spans="1:11" x14ac:dyDescent="0.2">
      <c r="C30" s="18"/>
      <c r="D30" s="18"/>
      <c r="E30" s="12"/>
      <c r="K30" s="2"/>
    </row>
    <row r="31" spans="1:11" x14ac:dyDescent="0.2">
      <c r="A31" t="s">
        <v>7</v>
      </c>
      <c r="C31" s="26">
        <f>SUM(C14:C28)</f>
        <v>13159245</v>
      </c>
      <c r="D31" s="153">
        <f t="shared" ref="D31" si="1">IFERROR(E31/C31,0)</f>
        <v>5.3993212603002672</v>
      </c>
      <c r="E31" s="26">
        <f>SUM(E14:E28)</f>
        <v>71050991.297999993</v>
      </c>
      <c r="K31" s="2"/>
    </row>
    <row r="32" spans="1:11" x14ac:dyDescent="0.2">
      <c r="K32" s="2"/>
    </row>
    <row r="33" spans="1:11" x14ac:dyDescent="0.2">
      <c r="A33" s="40" t="s">
        <v>70</v>
      </c>
      <c r="B33" t="str">
        <f>'7.1'!B33</f>
        <v>In-Force Premium as of 11/30/24 at Present Rates</v>
      </c>
      <c r="E33" s="18">
        <f>'7.1'!E33</f>
        <v>132492428</v>
      </c>
      <c r="K33" s="2"/>
    </row>
    <row r="34" spans="1:11" x14ac:dyDescent="0.2">
      <c r="A34" s="40" t="s">
        <v>74</v>
      </c>
      <c r="B34" t="s">
        <v>97</v>
      </c>
      <c r="E34" s="19">
        <f>ROUND(E31/E33,3)</f>
        <v>0.53600000000000003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17</v>
      </c>
      <c r="K37" s="2"/>
    </row>
    <row r="38" spans="1:11" x14ac:dyDescent="0.2">
      <c r="B38" s="12" t="str">
        <f>C12&amp;" Provided by TWIA and geo-coded by RMS"</f>
        <v>(2) Provided by TWIA and geo-coded by RMS</v>
      </c>
      <c r="K38" s="2"/>
    </row>
    <row r="39" spans="1:11" x14ac:dyDescent="0.2">
      <c r="B39" s="12" t="str">
        <f>D12&amp;" = "&amp;E12&amp;" / "&amp;C12</f>
        <v>(3) = (4) / (2)</v>
      </c>
      <c r="K39" s="2"/>
    </row>
    <row r="40" spans="1:11" x14ac:dyDescent="0.2">
      <c r="B40" s="12" t="str">
        <f>E12&amp;" Provided by RMS"&amp;" using RMS RiskLink v23.0 (versus RMS RiskLink v23.0 for prior year results)"</f>
        <v>(4) Provided by RMS using RMS RiskLink v23.0 (versus RMS RiskLink v23.0 for prior year results)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1126-2BF2-44C8-BCA0-E688876B7BE2}">
  <sheetPr>
    <tabColor rgb="FF00B05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323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57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508</v>
      </c>
      <c r="B4" s="12"/>
      <c r="K4" s="2"/>
    </row>
    <row r="5" spans="1:12" x14ac:dyDescent="0.2">
      <c r="A5" t="s">
        <v>457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58" t="s">
        <v>91</v>
      </c>
      <c r="D9" s="11"/>
      <c r="E9" s="11"/>
      <c r="K9" s="2"/>
      <c r="L9" s="24"/>
    </row>
    <row r="10" spans="1:12" x14ac:dyDescent="0.2">
      <c r="C10" s="11" t="s">
        <v>92</v>
      </c>
      <c r="D10" s="11" t="s">
        <v>93</v>
      </c>
      <c r="E10" s="11" t="s">
        <v>96</v>
      </c>
      <c r="K10" s="2"/>
      <c r="L10" s="12" t="s">
        <v>113</v>
      </c>
    </row>
    <row r="11" spans="1:12" x14ac:dyDescent="0.2">
      <c r="A11" s="9" t="s">
        <v>90</v>
      </c>
      <c r="B11" s="9"/>
      <c r="C11" s="143" t="str">
        <f>"as of "&amp;TEXT($L$11,"m/d/yy")</f>
        <v>as of 11/30/24</v>
      </c>
      <c r="D11" s="143" t="s">
        <v>94</v>
      </c>
      <c r="E11" s="143" t="s">
        <v>95</v>
      </c>
      <c r="K11" s="2"/>
      <c r="L11" s="36">
        <f>'7.2'!L11</f>
        <v>45626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98</v>
      </c>
      <c r="C14" s="18">
        <f>'7.1'!C14</f>
        <v>601429</v>
      </c>
      <c r="D14" s="153">
        <f>IFERROR(E14/C14,0)</f>
        <v>3.0931545493687698</v>
      </c>
      <c r="E14" s="224">
        <f>'[1]Hurr Models'!B52</f>
        <v>1860312.8474723098</v>
      </c>
      <c r="K14" s="2"/>
    </row>
    <row r="15" spans="1:12" x14ac:dyDescent="0.2">
      <c r="A15" t="s">
        <v>99</v>
      </c>
      <c r="C15" s="18">
        <f>'7.1'!C15</f>
        <v>871439</v>
      </c>
      <c r="D15" s="153">
        <f t="shared" ref="D15:D28" si="0">IFERROR(E15/C15,0)</f>
        <v>2.0151781716320163</v>
      </c>
      <c r="E15" s="224">
        <f>'[1]Hurr Models'!B53</f>
        <v>1756104.8507088327</v>
      </c>
      <c r="K15" s="2"/>
    </row>
    <row r="16" spans="1:12" x14ac:dyDescent="0.2">
      <c r="A16" t="s">
        <v>100</v>
      </c>
      <c r="C16" s="18">
        <f>'7.1'!C16</f>
        <v>191024</v>
      </c>
      <c r="D16" s="153">
        <f t="shared" si="0"/>
        <v>2.5423665057486811</v>
      </c>
      <c r="E16" s="224">
        <f>'[1]Hurr Models'!B54</f>
        <v>485653.01939413603</v>
      </c>
      <c r="K16" s="2"/>
    </row>
    <row r="17" spans="1:11" x14ac:dyDescent="0.2">
      <c r="A17" t="s">
        <v>101</v>
      </c>
      <c r="C17" s="18">
        <f>'7.1'!C17</f>
        <v>1895711</v>
      </c>
      <c r="D17" s="153">
        <f t="shared" si="0"/>
        <v>3.0249983996541698</v>
      </c>
      <c r="E17" s="224">
        <f>'[1]Hurr Models'!B55</f>
        <v>5734522.7412068062</v>
      </c>
      <c r="K17" s="2"/>
    </row>
    <row r="18" spans="1:11" x14ac:dyDescent="0.2">
      <c r="A18" t="s">
        <v>102</v>
      </c>
      <c r="C18" s="18">
        <f>'7.1'!C18</f>
        <v>124755</v>
      </c>
      <c r="D18" s="153">
        <f t="shared" si="0"/>
        <v>1.6915015229095816</v>
      </c>
      <c r="E18" s="224">
        <f>'[1]Hurr Models'!B56</f>
        <v>211023.27249058484</v>
      </c>
      <c r="K18" s="2"/>
    </row>
    <row r="19" spans="1:11" x14ac:dyDescent="0.2">
      <c r="A19" t="s">
        <v>103</v>
      </c>
      <c r="C19" s="18">
        <f>'7.1'!C19</f>
        <v>3735992</v>
      </c>
      <c r="D19" s="153">
        <f t="shared" si="0"/>
        <v>2.7751824808404284</v>
      </c>
      <c r="E19" s="224">
        <f>'[1]Hurr Models'!B57</f>
        <v>10368059.546959994</v>
      </c>
      <c r="K19" s="2"/>
    </row>
    <row r="20" spans="1:11" x14ac:dyDescent="0.2">
      <c r="A20" t="s">
        <v>104</v>
      </c>
      <c r="C20" s="18">
        <f>'7.1'!C20</f>
        <v>217270</v>
      </c>
      <c r="D20" s="153">
        <f t="shared" si="0"/>
        <v>1.1407082878139709</v>
      </c>
      <c r="E20" s="224">
        <f>'[1]Hurr Models'!B58</f>
        <v>247841.68969334147</v>
      </c>
      <c r="K20" s="2"/>
    </row>
    <row r="21" spans="1:11" x14ac:dyDescent="0.2">
      <c r="A21" t="s">
        <v>105</v>
      </c>
      <c r="C21" s="18">
        <f>'7.1'!C21</f>
        <v>1027207</v>
      </c>
      <c r="D21" s="153">
        <f t="shared" si="0"/>
        <v>1.1616328713548041</v>
      </c>
      <c r="E21" s="224">
        <f>'[1]Hurr Models'!B59</f>
        <v>1193237.4168857543</v>
      </c>
      <c r="K21" s="2"/>
    </row>
    <row r="22" spans="1:11" x14ac:dyDescent="0.2">
      <c r="A22" t="s">
        <v>106</v>
      </c>
      <c r="C22" s="18">
        <f>'7.1'!C22</f>
        <v>100</v>
      </c>
      <c r="D22" s="153">
        <f t="shared" si="0"/>
        <v>1.1467469386529974</v>
      </c>
      <c r="E22" s="224">
        <f>'[1]Hurr Models'!B60</f>
        <v>114.67469386529973</v>
      </c>
      <c r="K22" s="2"/>
    </row>
    <row r="23" spans="1:11" x14ac:dyDescent="0.2">
      <c r="A23" t="s">
        <v>107</v>
      </c>
      <c r="B23" s="12"/>
      <c r="C23" s="18">
        <f>'7.1'!C23</f>
        <v>71519</v>
      </c>
      <c r="D23" s="153">
        <f t="shared" si="0"/>
        <v>1.713819532637582</v>
      </c>
      <c r="E23" s="224">
        <f>'[1]Hurr Models'!B61</f>
        <v>122570.65915470723</v>
      </c>
      <c r="K23" s="2"/>
    </row>
    <row r="24" spans="1:11" x14ac:dyDescent="0.2">
      <c r="A24" t="s">
        <v>108</v>
      </c>
      <c r="B24" s="12"/>
      <c r="C24" s="18">
        <f>'7.1'!C24</f>
        <v>165866</v>
      </c>
      <c r="D24" s="153">
        <f t="shared" si="0"/>
        <v>2.5016296360090275</v>
      </c>
      <c r="E24" s="224">
        <f>'[1]Hurr Models'!B62</f>
        <v>414935.30120627338</v>
      </c>
      <c r="K24" s="2"/>
    </row>
    <row r="25" spans="1:11" x14ac:dyDescent="0.2">
      <c r="A25" t="s">
        <v>109</v>
      </c>
      <c r="B25" s="12"/>
      <c r="C25" s="18">
        <f>'7.1'!C25</f>
        <v>3933558</v>
      </c>
      <c r="D25" s="153">
        <f t="shared" si="0"/>
        <v>3.137692996267504</v>
      </c>
      <c r="E25" s="224">
        <f>'[1]Hurr Models'!B63</f>
        <v>12342297.38701201</v>
      </c>
      <c r="K25" s="2"/>
    </row>
    <row r="26" spans="1:11" x14ac:dyDescent="0.2">
      <c r="A26" t="s">
        <v>110</v>
      </c>
      <c r="C26" s="18">
        <f>'7.1'!C26</f>
        <v>21992</v>
      </c>
      <c r="D26" s="153">
        <f t="shared" si="0"/>
        <v>2.9626280158406484</v>
      </c>
      <c r="E26" s="224">
        <f>'[1]Hurr Models'!B64</f>
        <v>65154.115324367544</v>
      </c>
      <c r="K26" s="2"/>
    </row>
    <row r="27" spans="1:11" x14ac:dyDescent="0.2">
      <c r="A27" t="s">
        <v>111</v>
      </c>
      <c r="C27" s="18">
        <f>'7.1'!C27</f>
        <v>274485</v>
      </c>
      <c r="D27" s="153">
        <f t="shared" si="0"/>
        <v>2.4271171562503708</v>
      </c>
      <c r="E27" s="224">
        <f>'[1]Hurr Models'!B65</f>
        <v>666207.25263338303</v>
      </c>
      <c r="K27" s="2"/>
    </row>
    <row r="28" spans="1:11" x14ac:dyDescent="0.2">
      <c r="A28" t="s">
        <v>112</v>
      </c>
      <c r="C28" s="18">
        <f>'7.1'!C28</f>
        <v>26898</v>
      </c>
      <c r="D28" s="153">
        <f t="shared" si="0"/>
        <v>2.7613609280390556</v>
      </c>
      <c r="E28" s="224">
        <f>'[1]Hurr Models'!B66</f>
        <v>74275.086242394522</v>
      </c>
      <c r="K28" s="2"/>
    </row>
    <row r="29" spans="1:11" x14ac:dyDescent="0.2">
      <c r="A29" s="9"/>
      <c r="B29" s="23"/>
      <c r="C29" s="25"/>
      <c r="D29" s="33"/>
      <c r="E29" s="27"/>
      <c r="K29" s="2"/>
    </row>
    <row r="30" spans="1:11" x14ac:dyDescent="0.2">
      <c r="C30" s="18"/>
      <c r="D30" s="18"/>
      <c r="E30" s="12"/>
      <c r="K30" s="2"/>
    </row>
    <row r="31" spans="1:11" x14ac:dyDescent="0.2">
      <c r="A31" t="s">
        <v>7</v>
      </c>
      <c r="C31" s="26">
        <f>SUM(C14:C28)</f>
        <v>13159245</v>
      </c>
      <c r="D31" s="153">
        <f t="shared" ref="D31" si="1">IFERROR(E31/C31,0)</f>
        <v>2.7009383791455179</v>
      </c>
      <c r="E31" s="26">
        <f>SUM(E14:E28)</f>
        <v>35542309.861078762</v>
      </c>
      <c r="K31" s="2"/>
    </row>
    <row r="32" spans="1:11" x14ac:dyDescent="0.2">
      <c r="K32" s="2"/>
    </row>
    <row r="33" spans="1:11" x14ac:dyDescent="0.2">
      <c r="A33" s="40" t="s">
        <v>70</v>
      </c>
      <c r="B33" t="str">
        <f>'7.1'!B33</f>
        <v>In-Force Premium as of 11/30/24 at Present Rates</v>
      </c>
      <c r="E33" s="26">
        <f>'7.1'!E33</f>
        <v>132492428</v>
      </c>
      <c r="K33" s="2"/>
    </row>
    <row r="34" spans="1:11" x14ac:dyDescent="0.2">
      <c r="A34" s="40" t="s">
        <v>74</v>
      </c>
      <c r="B34" t="s">
        <v>97</v>
      </c>
      <c r="E34" s="19">
        <f>ROUND(E31/E33,3)</f>
        <v>0.26800000000000002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17</v>
      </c>
      <c r="K37" s="2"/>
    </row>
    <row r="38" spans="1:11" x14ac:dyDescent="0.2">
      <c r="B38" s="12" t="str">
        <f>C12&amp;" Provided by TWIA and geo-coded by Impact Forecasting"</f>
        <v>(2) Provided by TWIA and geo-coded by Impact Forecasting</v>
      </c>
      <c r="K38" s="2"/>
    </row>
    <row r="39" spans="1:11" x14ac:dyDescent="0.2">
      <c r="B39" s="12" t="str">
        <f>D12&amp;" = "&amp;E12&amp;" / "&amp;C12</f>
        <v>(3) = (4) / (2)</v>
      </c>
      <c r="K39" s="2"/>
    </row>
    <row r="40" spans="1:11" x14ac:dyDescent="0.2">
      <c r="B40" s="12" t="str">
        <f>E12&amp;" Provided by Impact Forecasting"&amp;" using Impact Forecasting v18.0 (versus Impact Forecasting v18.0 for prior year results)"</f>
        <v>(4) Provided by Impact Forecasting using Impact Forecasting v18.0 (versus Impact Forecasting v18.0 for prior year results)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33CB-D272-4269-B87C-F6001C425968}">
  <sheetPr>
    <tabColor rgb="FF00B05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323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58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509</v>
      </c>
      <c r="B4" s="12"/>
      <c r="K4" s="2"/>
    </row>
    <row r="5" spans="1:12" x14ac:dyDescent="0.2">
      <c r="A5" t="s">
        <v>458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258" t="s">
        <v>91</v>
      </c>
      <c r="D9" s="11"/>
      <c r="E9" s="11"/>
      <c r="K9" s="2"/>
      <c r="L9" s="24"/>
    </row>
    <row r="10" spans="1:12" x14ac:dyDescent="0.2">
      <c r="C10" s="11" t="s">
        <v>92</v>
      </c>
      <c r="D10" s="11" t="s">
        <v>93</v>
      </c>
      <c r="E10" s="11" t="s">
        <v>96</v>
      </c>
      <c r="K10" s="2"/>
      <c r="L10" s="12" t="s">
        <v>113</v>
      </c>
    </row>
    <row r="11" spans="1:12" x14ac:dyDescent="0.2">
      <c r="A11" s="9" t="s">
        <v>90</v>
      </c>
      <c r="B11" s="9"/>
      <c r="C11" s="143" t="str">
        <f>"as of "&amp;TEXT($L$11,"m/d/yy")</f>
        <v>as of 11/30/24</v>
      </c>
      <c r="D11" s="143" t="s">
        <v>94</v>
      </c>
      <c r="E11" s="143" t="s">
        <v>95</v>
      </c>
      <c r="K11" s="2"/>
      <c r="L11" s="36">
        <f>'7.3'!L11</f>
        <v>45626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98</v>
      </c>
      <c r="C14" s="18">
        <f>'7.1'!C14</f>
        <v>601429</v>
      </c>
      <c r="D14" s="153">
        <f>IFERROR(E14/C14,0)</f>
        <v>3.458999326733009</v>
      </c>
      <c r="E14" s="224">
        <f>'[1]Hurr Models'!B75</f>
        <v>2080342.5060777068</v>
      </c>
      <c r="K14" s="2"/>
    </row>
    <row r="15" spans="1:12" x14ac:dyDescent="0.2">
      <c r="A15" t="s">
        <v>99</v>
      </c>
      <c r="C15" s="18">
        <f>'7.1'!C15</f>
        <v>871439</v>
      </c>
      <c r="D15" s="153">
        <f t="shared" ref="D15:D28" si="0">IFERROR(E15/C15,0)</f>
        <v>2.8635092639171855</v>
      </c>
      <c r="E15" s="224">
        <f>'[1]Hurr Models'!B76</f>
        <v>2495373.6494387281</v>
      </c>
      <c r="K15" s="2"/>
    </row>
    <row r="16" spans="1:12" x14ac:dyDescent="0.2">
      <c r="A16" t="s">
        <v>100</v>
      </c>
      <c r="C16" s="18">
        <f>'7.1'!C16</f>
        <v>191024</v>
      </c>
      <c r="D16" s="153">
        <f t="shared" si="0"/>
        <v>3.421925017290584</v>
      </c>
      <c r="E16" s="224">
        <f>'[1]Hurr Models'!B77</f>
        <v>653669.80450291652</v>
      </c>
      <c r="K16" s="2"/>
    </row>
    <row r="17" spans="1:11" x14ac:dyDescent="0.2">
      <c r="A17" t="s">
        <v>101</v>
      </c>
      <c r="C17" s="18">
        <f>'7.1'!C17</f>
        <v>1895711</v>
      </c>
      <c r="D17" s="153">
        <f t="shared" si="0"/>
        <v>2.6687661009694841</v>
      </c>
      <c r="E17" s="224">
        <f>'[1]Hurr Models'!B78</f>
        <v>5059209.2540349616</v>
      </c>
      <c r="K17" s="2"/>
    </row>
    <row r="18" spans="1:11" x14ac:dyDescent="0.2">
      <c r="A18" t="s">
        <v>102</v>
      </c>
      <c r="C18" s="18">
        <f>'7.1'!C18</f>
        <v>124755</v>
      </c>
      <c r="D18" s="153">
        <f t="shared" si="0"/>
        <v>2.5447530959317652</v>
      </c>
      <c r="E18" s="224">
        <f>'[1]Hurr Models'!B79</f>
        <v>317470.67248296738</v>
      </c>
      <c r="K18" s="2"/>
    </row>
    <row r="19" spans="1:11" x14ac:dyDescent="0.2">
      <c r="A19" t="s">
        <v>103</v>
      </c>
      <c r="C19" s="18">
        <f>'7.1'!C19</f>
        <v>3735992</v>
      </c>
      <c r="D19" s="153">
        <f t="shared" si="0"/>
        <v>5.2821574145013628</v>
      </c>
      <c r="E19" s="224">
        <f>'[1]Hurr Models'!B80</f>
        <v>19734097.843317777</v>
      </c>
      <c r="K19" s="2"/>
    </row>
    <row r="20" spans="1:11" x14ac:dyDescent="0.2">
      <c r="A20" t="s">
        <v>104</v>
      </c>
      <c r="C20" s="18">
        <f>'7.1'!C20</f>
        <v>217270</v>
      </c>
      <c r="D20" s="153">
        <f t="shared" si="0"/>
        <v>3.5523765930640261</v>
      </c>
      <c r="E20" s="224">
        <f>'[1]Hurr Models'!B81</f>
        <v>771824.86237502098</v>
      </c>
      <c r="K20" s="2"/>
    </row>
    <row r="21" spans="1:11" x14ac:dyDescent="0.2">
      <c r="A21" t="s">
        <v>105</v>
      </c>
      <c r="C21" s="18">
        <f>'7.1'!C21</f>
        <v>1027207</v>
      </c>
      <c r="D21" s="153">
        <f t="shared" si="0"/>
        <v>3.1780706169156381</v>
      </c>
      <c r="E21" s="224">
        <f>'[1]Hurr Models'!B82</f>
        <v>3264536.3841900621</v>
      </c>
      <c r="K21" s="2"/>
    </row>
    <row r="22" spans="1:11" x14ac:dyDescent="0.2">
      <c r="A22" t="s">
        <v>106</v>
      </c>
      <c r="C22" s="18">
        <f>'7.1'!C22</f>
        <v>100</v>
      </c>
      <c r="D22" s="153">
        <f t="shared" si="0"/>
        <v>0.78873733520507794</v>
      </c>
      <c r="E22" s="224">
        <f>'[1]Hurr Models'!B83</f>
        <v>78.873733520507798</v>
      </c>
      <c r="K22" s="2"/>
    </row>
    <row r="23" spans="1:11" x14ac:dyDescent="0.2">
      <c r="A23" t="s">
        <v>107</v>
      </c>
      <c r="B23" s="12"/>
      <c r="C23" s="18">
        <f>'7.1'!C23</f>
        <v>71519</v>
      </c>
      <c r="D23" s="153">
        <f t="shared" si="0"/>
        <v>1.8804278676204396</v>
      </c>
      <c r="E23" s="224">
        <f>'[1]Hurr Models'!B84</f>
        <v>134486.32066434622</v>
      </c>
      <c r="K23" s="2"/>
    </row>
    <row r="24" spans="1:11" x14ac:dyDescent="0.2">
      <c r="A24" t="s">
        <v>108</v>
      </c>
      <c r="B24" s="12"/>
      <c r="C24" s="18">
        <f>'7.1'!C24</f>
        <v>165866</v>
      </c>
      <c r="D24" s="153">
        <f t="shared" si="0"/>
        <v>2.8363594791614193</v>
      </c>
      <c r="E24" s="224">
        <f>'[1]Hurr Models'!B85</f>
        <v>470455.601370588</v>
      </c>
      <c r="K24" s="2"/>
    </row>
    <row r="25" spans="1:11" x14ac:dyDescent="0.2">
      <c r="A25" t="s">
        <v>109</v>
      </c>
      <c r="B25" s="12"/>
      <c r="C25" s="18">
        <f>'7.1'!C25</f>
        <v>3933558</v>
      </c>
      <c r="D25" s="153">
        <f t="shared" si="0"/>
        <v>2.9726202535089801</v>
      </c>
      <c r="E25" s="224">
        <f>'[1]Hurr Models'!B86</f>
        <v>11692974.179152276</v>
      </c>
      <c r="K25" s="2"/>
    </row>
    <row r="26" spans="1:11" x14ac:dyDescent="0.2">
      <c r="A26" t="s">
        <v>110</v>
      </c>
      <c r="C26" s="18">
        <f>'7.1'!C26</f>
        <v>21992</v>
      </c>
      <c r="D26" s="153">
        <f t="shared" si="0"/>
        <v>1.6561538094214949</v>
      </c>
      <c r="E26" s="224">
        <f>'[1]Hurr Models'!B87</f>
        <v>36422.134576797514</v>
      </c>
      <c r="K26" s="2"/>
    </row>
    <row r="27" spans="1:11" x14ac:dyDescent="0.2">
      <c r="A27" t="s">
        <v>111</v>
      </c>
      <c r="C27" s="18">
        <f>'7.1'!C27</f>
        <v>274485</v>
      </c>
      <c r="D27" s="153">
        <f t="shared" si="0"/>
        <v>2.2301628631113366</v>
      </c>
      <c r="E27" s="224">
        <f>'[1]Hurr Models'!B88</f>
        <v>612146.25348111521</v>
      </c>
      <c r="K27" s="2"/>
    </row>
    <row r="28" spans="1:11" x14ac:dyDescent="0.2">
      <c r="A28" t="s">
        <v>112</v>
      </c>
      <c r="C28" s="18">
        <f>'7.1'!C28</f>
        <v>26898</v>
      </c>
      <c r="D28" s="153">
        <f t="shared" si="0"/>
        <v>2.5698204689668671</v>
      </c>
      <c r="E28" s="224">
        <f>'[1]Hurr Models'!B89</f>
        <v>69123.03097427079</v>
      </c>
      <c r="K28" s="2"/>
    </row>
    <row r="29" spans="1:11" x14ac:dyDescent="0.2">
      <c r="A29" s="9"/>
      <c r="B29" s="23"/>
      <c r="C29" s="25"/>
      <c r="D29" s="33"/>
      <c r="E29" s="27"/>
      <c r="K29" s="2"/>
    </row>
    <row r="30" spans="1:11" x14ac:dyDescent="0.2">
      <c r="C30" s="18"/>
      <c r="D30" s="18"/>
      <c r="E30" s="12"/>
      <c r="K30" s="2"/>
    </row>
    <row r="31" spans="1:11" x14ac:dyDescent="0.2">
      <c r="A31" t="s">
        <v>7</v>
      </c>
      <c r="C31" s="26">
        <f>SUM(C14:C28)</f>
        <v>13159245</v>
      </c>
      <c r="D31" s="153">
        <f t="shared" ref="D31" si="1">IFERROR(E31/C31,0)</f>
        <v>3.601438484531069</v>
      </c>
      <c r="E31" s="26">
        <f>SUM(E14:E28)</f>
        <v>47392211.370373048</v>
      </c>
      <c r="K31" s="2"/>
    </row>
    <row r="32" spans="1:11" x14ac:dyDescent="0.2">
      <c r="K32" s="2"/>
    </row>
    <row r="33" spans="1:11" x14ac:dyDescent="0.2">
      <c r="A33" s="40" t="s">
        <v>70</v>
      </c>
      <c r="B33" t="str">
        <f>'7.1'!B33</f>
        <v>In-Force Premium as of 11/30/24 at Present Rates</v>
      </c>
      <c r="E33" s="26">
        <f>'7.1'!E33</f>
        <v>132492428</v>
      </c>
      <c r="K33" s="2"/>
    </row>
    <row r="34" spans="1:11" x14ac:dyDescent="0.2">
      <c r="A34" s="40" t="s">
        <v>74</v>
      </c>
      <c r="B34" t="s">
        <v>97</v>
      </c>
      <c r="E34" s="19">
        <f>ROUND(E31/E33,3)</f>
        <v>0.35799999999999998</v>
      </c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17</v>
      </c>
      <c r="K37" s="2"/>
    </row>
    <row r="38" spans="1:11" x14ac:dyDescent="0.2">
      <c r="B38" s="12" t="str">
        <f>C12&amp;" Provided by TWIA and geo-coded by CoreLogic RQE"</f>
        <v>(2) Provided by TWIA and geo-coded by CoreLogic RQE</v>
      </c>
      <c r="K38" s="2"/>
    </row>
    <row r="39" spans="1:11" x14ac:dyDescent="0.2">
      <c r="B39" s="12" t="str">
        <f>D12&amp;" = "&amp;E12&amp;" / "&amp;C12</f>
        <v>(3) = (4) / (2)</v>
      </c>
      <c r="K39" s="2"/>
    </row>
    <row r="40" spans="1:11" x14ac:dyDescent="0.2">
      <c r="B40" s="12" t="str">
        <f>E12&amp;" Provided by CoreLogic RQE"&amp;" using CoreLogic RQE v23 (versus CoreLogic RQE v23 for prior year results)"</f>
        <v>(4) Provided by CoreLogic RQE using CoreLogic RQE v23 (versus CoreLogic RQE v23 for prior year results)</v>
      </c>
      <c r="F40" s="41"/>
      <c r="G40" s="41"/>
      <c r="H40" s="41"/>
      <c r="K40" s="2"/>
    </row>
    <row r="41" spans="1:11" x14ac:dyDescent="0.2">
      <c r="B41" s="12" t="str">
        <f>A33&amp;" Provided by TWIA"</f>
        <v>(5) Provided by TWIA</v>
      </c>
      <c r="K41" s="2"/>
    </row>
    <row r="42" spans="1:11" x14ac:dyDescent="0.2">
      <c r="B42" s="12" t="str">
        <f>A34&amp;" = "&amp;E12&amp;" Total / "&amp;A33</f>
        <v>(6) = (4) Total / (5)</v>
      </c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A55" s="40"/>
      <c r="C55" s="31"/>
      <c r="D55" s="31"/>
      <c r="E55" s="31"/>
      <c r="F55" s="31"/>
      <c r="G55" s="31"/>
      <c r="H55" s="31"/>
      <c r="I55" s="18"/>
      <c r="K55" s="2"/>
    </row>
    <row r="56" spans="1:11" x14ac:dyDescent="0.2">
      <c r="A56" s="40"/>
      <c r="C56" s="31"/>
      <c r="D56" s="31"/>
      <c r="E56" s="31"/>
      <c r="F56" s="31"/>
      <c r="G56" s="31"/>
      <c r="H56" s="31"/>
      <c r="I56" s="18"/>
      <c r="K56" s="2"/>
    </row>
    <row r="57" spans="1:11" x14ac:dyDescent="0.2">
      <c r="A57" s="40"/>
      <c r="C57" s="31"/>
      <c r="D57" s="31"/>
      <c r="E57" s="31"/>
      <c r="F57" s="31"/>
      <c r="G57" s="31"/>
      <c r="H57" s="31"/>
      <c r="I57" s="18"/>
      <c r="K57" s="2"/>
    </row>
    <row r="58" spans="1:11" x14ac:dyDescent="0.2">
      <c r="A58" s="40"/>
      <c r="C58" s="31"/>
      <c r="D58" s="31"/>
      <c r="E58" s="31"/>
      <c r="F58" s="31"/>
      <c r="G58" s="31"/>
      <c r="H58" s="31"/>
      <c r="I58" s="18"/>
      <c r="K58" s="2"/>
    </row>
    <row r="59" spans="1:11" x14ac:dyDescent="0.2">
      <c r="A59" s="40"/>
      <c r="C59" s="31"/>
      <c r="D59" s="31"/>
      <c r="E59" s="31"/>
      <c r="F59" s="31"/>
      <c r="G59" s="31"/>
      <c r="H59" s="31"/>
      <c r="I59" s="18"/>
      <c r="K59" s="2"/>
    </row>
    <row r="60" spans="1:11" x14ac:dyDescent="0.2">
      <c r="A60" s="40"/>
      <c r="C60" s="31"/>
      <c r="D60" s="31"/>
      <c r="E60" s="31"/>
      <c r="F60" s="31"/>
      <c r="G60" s="31"/>
      <c r="H60" s="31"/>
      <c r="I60" s="18"/>
      <c r="K60" s="2"/>
    </row>
    <row r="61" spans="1:11" x14ac:dyDescent="0.2">
      <c r="A61" s="40"/>
      <c r="C61" s="31"/>
      <c r="D61" s="31"/>
      <c r="E61" s="31"/>
      <c r="F61" s="31"/>
      <c r="G61" s="31"/>
      <c r="H61" s="31"/>
      <c r="I61" s="18"/>
      <c r="K61" s="2"/>
    </row>
    <row r="62" spans="1:11" x14ac:dyDescent="0.2">
      <c r="A62" s="40"/>
      <c r="C62" s="31"/>
      <c r="D62" s="31"/>
      <c r="E62" s="31"/>
      <c r="F62" s="31"/>
      <c r="G62" s="31"/>
      <c r="H62" s="31"/>
      <c r="I62" s="18"/>
      <c r="K62" s="2"/>
    </row>
    <row r="63" spans="1:11" x14ac:dyDescent="0.2">
      <c r="A63" s="40"/>
      <c r="C63" s="19"/>
      <c r="D63" s="19"/>
      <c r="E63" s="19"/>
      <c r="F63" s="19"/>
      <c r="G63" s="19"/>
      <c r="H63" s="19"/>
      <c r="I63" s="19"/>
      <c r="K63" s="2"/>
    </row>
    <row r="64" spans="1:11" x14ac:dyDescent="0.2">
      <c r="B64" s="22"/>
      <c r="C64" s="41"/>
      <c r="D64" s="41"/>
      <c r="E64" s="41"/>
      <c r="F64" s="41"/>
      <c r="G64" s="41"/>
      <c r="H64" s="41"/>
      <c r="K64" s="2"/>
    </row>
    <row r="65" spans="1:11" x14ac:dyDescent="0.2">
      <c r="B65" s="22"/>
      <c r="C65" s="41"/>
      <c r="D65" s="41"/>
      <c r="E65" s="41"/>
      <c r="F65" s="41"/>
      <c r="G65" s="41"/>
      <c r="H65" s="41"/>
      <c r="K65" s="2"/>
    </row>
    <row r="66" spans="1:11" x14ac:dyDescent="0.2">
      <c r="B66" s="22"/>
      <c r="C66" s="41"/>
      <c r="D66" s="41"/>
      <c r="E66" s="41"/>
      <c r="F66" s="41"/>
      <c r="G66" s="41"/>
      <c r="H66" s="41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>
    <tabColor rgb="FF00B050"/>
  </sheetPr>
  <dimension ref="A1:M70"/>
  <sheetViews>
    <sheetView showGridLines="0" zoomScaleNormal="100" workbookViewId="0"/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3" x14ac:dyDescent="0.2">
      <c r="A1" s="8" t="str">
        <f>'1'!$A$1</f>
        <v>Texas Windstorm Insurance Association</v>
      </c>
      <c r="B1" s="8"/>
      <c r="J1" s="7" t="s">
        <v>115</v>
      </c>
      <c r="K1" s="1"/>
    </row>
    <row r="2" spans="1:13" x14ac:dyDescent="0.2">
      <c r="A2" s="8" t="str">
        <f>'1'!$A$2</f>
        <v>Commercial Property - Wind &amp; Hail</v>
      </c>
      <c r="B2" s="8"/>
      <c r="J2" s="7"/>
      <c r="K2" s="2"/>
    </row>
    <row r="3" spans="1:13" x14ac:dyDescent="0.2">
      <c r="A3" s="8" t="str">
        <f>'1'!$A$3</f>
        <v>Rate Level Review</v>
      </c>
      <c r="B3" s="8"/>
      <c r="K3" s="2"/>
      <c r="L3" s="11" t="s">
        <v>67</v>
      </c>
      <c r="M3" t="s">
        <v>68</v>
      </c>
    </row>
    <row r="4" spans="1:13" x14ac:dyDescent="0.2">
      <c r="A4" t="str">
        <f>"Texas Hurricanes "&amp;L4&amp;" - "&amp;YEAR(M4)</f>
        <v>Texas Hurricanes 1851 - 2024</v>
      </c>
      <c r="K4" s="2"/>
      <c r="L4" s="140">
        <v>1851</v>
      </c>
      <c r="M4" s="64">
        <v>45657</v>
      </c>
    </row>
    <row r="5" spans="1:13" x14ac:dyDescent="0.2">
      <c r="K5" s="2"/>
      <c r="L5" s="64">
        <v>25569</v>
      </c>
      <c r="M5" s="64">
        <v>45657</v>
      </c>
    </row>
    <row r="6" spans="1:13" x14ac:dyDescent="0.2"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K7" s="2"/>
    </row>
    <row r="8" spans="1:13" ht="12" thickTop="1" x14ac:dyDescent="0.2">
      <c r="K8" s="2"/>
    </row>
    <row r="9" spans="1:13" x14ac:dyDescent="0.2">
      <c r="C9" s="36"/>
      <c r="K9" s="2"/>
      <c r="L9" s="24"/>
    </row>
    <row r="10" spans="1:13" x14ac:dyDescent="0.2">
      <c r="A10" s="10" t="s">
        <v>307</v>
      </c>
      <c r="E10" s="10" t="s">
        <v>307</v>
      </c>
      <c r="K10" s="2"/>
      <c r="L10" s="11"/>
    </row>
    <row r="11" spans="1:13" x14ac:dyDescent="0.2">
      <c r="A11" s="143" t="s">
        <v>38</v>
      </c>
      <c r="B11" s="143" t="s">
        <v>306</v>
      </c>
      <c r="C11" s="143" t="s">
        <v>119</v>
      </c>
      <c r="E11" s="143" t="s">
        <v>38</v>
      </c>
      <c r="F11" s="143" t="s">
        <v>306</v>
      </c>
      <c r="G11" s="143" t="s">
        <v>119</v>
      </c>
      <c r="K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3" x14ac:dyDescent="0.2">
      <c r="K13" s="2"/>
    </row>
    <row r="14" spans="1:13" x14ac:dyDescent="0.2">
      <c r="A14">
        <v>1851</v>
      </c>
      <c r="B14" s="11" t="s">
        <v>308</v>
      </c>
      <c r="E14">
        <v>1933</v>
      </c>
      <c r="F14" s="11" t="s">
        <v>309</v>
      </c>
      <c r="K14" s="2"/>
      <c r="L14" s="49"/>
    </row>
    <row r="15" spans="1:13" x14ac:dyDescent="0.2">
      <c r="A15">
        <v>1854</v>
      </c>
      <c r="B15" s="11" t="s">
        <v>308</v>
      </c>
      <c r="E15">
        <v>1934</v>
      </c>
      <c r="F15" s="11" t="s">
        <v>310</v>
      </c>
      <c r="K15" s="2"/>
    </row>
    <row r="16" spans="1:13" x14ac:dyDescent="0.2">
      <c r="A16">
        <v>1854</v>
      </c>
      <c r="B16" s="11" t="s">
        <v>309</v>
      </c>
      <c r="C16" t="s">
        <v>313</v>
      </c>
      <c r="E16">
        <v>1936</v>
      </c>
      <c r="F16" s="11" t="s">
        <v>308</v>
      </c>
      <c r="K16" s="2"/>
    </row>
    <row r="17" spans="1:11" x14ac:dyDescent="0.2">
      <c r="A17">
        <v>1865</v>
      </c>
      <c r="B17" s="11" t="s">
        <v>309</v>
      </c>
      <c r="C17" t="s">
        <v>314</v>
      </c>
      <c r="E17">
        <v>1940</v>
      </c>
      <c r="F17" s="11" t="s">
        <v>312</v>
      </c>
      <c r="K17" s="2"/>
    </row>
    <row r="18" spans="1:11" x14ac:dyDescent="0.2">
      <c r="A18">
        <v>1866</v>
      </c>
      <c r="B18" s="11" t="s">
        <v>310</v>
      </c>
      <c r="E18">
        <v>1941</v>
      </c>
      <c r="F18" s="11" t="s">
        <v>309</v>
      </c>
      <c r="K18" s="2"/>
    </row>
    <row r="19" spans="1:11" x14ac:dyDescent="0.2">
      <c r="A19">
        <v>1867</v>
      </c>
      <c r="B19" s="11" t="s">
        <v>311</v>
      </c>
      <c r="C19" t="s">
        <v>315</v>
      </c>
      <c r="E19">
        <v>1942</v>
      </c>
      <c r="F19" s="11" t="s">
        <v>312</v>
      </c>
      <c r="K19" s="2"/>
    </row>
    <row r="20" spans="1:11" x14ac:dyDescent="0.2">
      <c r="A20">
        <v>1869</v>
      </c>
      <c r="B20" s="11" t="s">
        <v>312</v>
      </c>
      <c r="C20" t="s">
        <v>316</v>
      </c>
      <c r="E20">
        <v>1942</v>
      </c>
      <c r="F20" s="11" t="s">
        <v>312</v>
      </c>
      <c r="K20" s="2"/>
    </row>
    <row r="21" spans="1:11" x14ac:dyDescent="0.2">
      <c r="A21">
        <v>1875</v>
      </c>
      <c r="B21" s="11" t="s">
        <v>309</v>
      </c>
      <c r="E21">
        <v>1943</v>
      </c>
      <c r="F21" s="11" t="s">
        <v>310</v>
      </c>
      <c r="K21" s="2"/>
    </row>
    <row r="22" spans="1:11" x14ac:dyDescent="0.2">
      <c r="A22">
        <v>1879</v>
      </c>
      <c r="B22" s="11" t="s">
        <v>312</v>
      </c>
      <c r="E22">
        <v>1945</v>
      </c>
      <c r="F22" s="11" t="s">
        <v>312</v>
      </c>
      <c r="K22" s="2"/>
    </row>
    <row r="23" spans="1:11" x14ac:dyDescent="0.2">
      <c r="A23">
        <v>1880</v>
      </c>
      <c r="B23" s="11" t="s">
        <v>312</v>
      </c>
      <c r="E23">
        <v>1947</v>
      </c>
      <c r="F23" s="11" t="s">
        <v>312</v>
      </c>
      <c r="K23" s="2"/>
    </row>
    <row r="24" spans="1:11" x14ac:dyDescent="0.2">
      <c r="A24">
        <v>1882</v>
      </c>
      <c r="B24" s="11" t="s">
        <v>309</v>
      </c>
      <c r="E24">
        <v>1949</v>
      </c>
      <c r="F24" s="11" t="s">
        <v>311</v>
      </c>
      <c r="K24" s="2"/>
    </row>
    <row r="25" spans="1:11" x14ac:dyDescent="0.2">
      <c r="A25">
        <v>1886</v>
      </c>
      <c r="B25" s="11" t="s">
        <v>308</v>
      </c>
      <c r="E25">
        <v>1957</v>
      </c>
      <c r="F25" s="11" t="s">
        <v>308</v>
      </c>
      <c r="G25" t="s">
        <v>120</v>
      </c>
      <c r="K25" s="2"/>
    </row>
    <row r="26" spans="1:11" x14ac:dyDescent="0.2">
      <c r="A26">
        <v>1886</v>
      </c>
      <c r="B26" s="11" t="s">
        <v>312</v>
      </c>
      <c r="C26" t="s">
        <v>317</v>
      </c>
      <c r="E26">
        <v>1959</v>
      </c>
      <c r="F26" s="11" t="s">
        <v>310</v>
      </c>
      <c r="G26" t="s">
        <v>121</v>
      </c>
      <c r="K26" s="2"/>
    </row>
    <row r="27" spans="1:11" x14ac:dyDescent="0.2">
      <c r="A27">
        <v>1886</v>
      </c>
      <c r="B27" s="11" t="s">
        <v>309</v>
      </c>
      <c r="E27">
        <v>1961</v>
      </c>
      <c r="F27" s="11" t="s">
        <v>309</v>
      </c>
      <c r="G27" t="s">
        <v>122</v>
      </c>
      <c r="K27" s="2"/>
    </row>
    <row r="28" spans="1:11" x14ac:dyDescent="0.2">
      <c r="A28">
        <v>1886</v>
      </c>
      <c r="B28" s="11" t="s">
        <v>311</v>
      </c>
      <c r="E28" s="9">
        <v>1963</v>
      </c>
      <c r="F28" s="143" t="s">
        <v>309</v>
      </c>
      <c r="G28" s="9" t="s">
        <v>123</v>
      </c>
      <c r="K28" s="2"/>
    </row>
    <row r="29" spans="1:11" x14ac:dyDescent="0.2">
      <c r="A29">
        <v>1887</v>
      </c>
      <c r="B29" s="11" t="s">
        <v>309</v>
      </c>
      <c r="E29">
        <v>1967</v>
      </c>
      <c r="F29" s="11" t="s">
        <v>309</v>
      </c>
      <c r="G29" t="s">
        <v>320</v>
      </c>
      <c r="K29" s="2"/>
    </row>
    <row r="30" spans="1:11" x14ac:dyDescent="0.2">
      <c r="A30">
        <v>1888</v>
      </c>
      <c r="B30" s="11" t="s">
        <v>308</v>
      </c>
      <c r="E30">
        <v>1970</v>
      </c>
      <c r="F30" s="11" t="s">
        <v>312</v>
      </c>
      <c r="G30" t="s">
        <v>124</v>
      </c>
      <c r="K30" s="2"/>
    </row>
    <row r="31" spans="1:11" x14ac:dyDescent="0.2">
      <c r="A31">
        <v>1891</v>
      </c>
      <c r="B31" s="11" t="s">
        <v>310</v>
      </c>
      <c r="E31">
        <v>1971</v>
      </c>
      <c r="F31" s="11" t="s">
        <v>309</v>
      </c>
      <c r="G31" t="s">
        <v>125</v>
      </c>
      <c r="K31" s="2"/>
    </row>
    <row r="32" spans="1:11" x14ac:dyDescent="0.2">
      <c r="A32">
        <v>1895</v>
      </c>
      <c r="B32" s="11" t="s">
        <v>312</v>
      </c>
      <c r="E32">
        <v>1980</v>
      </c>
      <c r="F32" s="11" t="s">
        <v>312</v>
      </c>
      <c r="G32" s="41" t="s">
        <v>126</v>
      </c>
      <c r="K32" s="2"/>
    </row>
    <row r="33" spans="1:11" x14ac:dyDescent="0.2">
      <c r="A33">
        <v>1897</v>
      </c>
      <c r="B33" s="11" t="s">
        <v>309</v>
      </c>
      <c r="E33">
        <v>1983</v>
      </c>
      <c r="F33" s="11" t="s">
        <v>312</v>
      </c>
      <c r="G33" t="s">
        <v>127</v>
      </c>
      <c r="K33" s="2"/>
    </row>
    <row r="34" spans="1:11" x14ac:dyDescent="0.2">
      <c r="A34">
        <v>1900</v>
      </c>
      <c r="B34" s="11" t="s">
        <v>309</v>
      </c>
      <c r="C34" t="s">
        <v>315</v>
      </c>
      <c r="E34">
        <v>1986</v>
      </c>
      <c r="F34" s="11" t="s">
        <v>308</v>
      </c>
      <c r="G34" t="s">
        <v>128</v>
      </c>
      <c r="K34" s="2"/>
    </row>
    <row r="35" spans="1:11" x14ac:dyDescent="0.2">
      <c r="A35">
        <v>1909</v>
      </c>
      <c r="B35" s="11" t="s">
        <v>308</v>
      </c>
      <c r="E35">
        <v>1989</v>
      </c>
      <c r="F35" s="11" t="s">
        <v>312</v>
      </c>
      <c r="G35" t="s">
        <v>129</v>
      </c>
      <c r="K35" s="2"/>
    </row>
    <row r="36" spans="1:11" x14ac:dyDescent="0.2">
      <c r="A36">
        <v>1909</v>
      </c>
      <c r="B36" s="11" t="s">
        <v>310</v>
      </c>
      <c r="C36" t="s">
        <v>318</v>
      </c>
      <c r="E36">
        <v>1989</v>
      </c>
      <c r="F36" s="11" t="s">
        <v>311</v>
      </c>
      <c r="G36" t="s">
        <v>130</v>
      </c>
      <c r="K36" s="2"/>
    </row>
    <row r="37" spans="1:11" x14ac:dyDescent="0.2">
      <c r="A37">
        <v>1909</v>
      </c>
      <c r="B37" s="11" t="s">
        <v>312</v>
      </c>
      <c r="E37">
        <v>1999</v>
      </c>
      <c r="F37" s="11" t="s">
        <v>312</v>
      </c>
      <c r="G37" t="s">
        <v>321</v>
      </c>
      <c r="K37" s="2"/>
    </row>
    <row r="38" spans="1:11" x14ac:dyDescent="0.2">
      <c r="A38">
        <v>1910</v>
      </c>
      <c r="B38" s="11" t="s">
        <v>309</v>
      </c>
      <c r="E38">
        <v>2003</v>
      </c>
      <c r="F38" s="11" t="s">
        <v>310</v>
      </c>
      <c r="G38" t="s">
        <v>273</v>
      </c>
      <c r="K38" s="2"/>
    </row>
    <row r="39" spans="1:11" x14ac:dyDescent="0.2">
      <c r="A39">
        <v>1912</v>
      </c>
      <c r="B39" s="11" t="s">
        <v>311</v>
      </c>
      <c r="E39">
        <v>2005</v>
      </c>
      <c r="F39" s="11" t="s">
        <v>309</v>
      </c>
      <c r="G39" t="s">
        <v>286</v>
      </c>
      <c r="K39" s="2"/>
    </row>
    <row r="40" spans="1:11" x14ac:dyDescent="0.2">
      <c r="A40">
        <v>1913</v>
      </c>
      <c r="B40" s="11" t="s">
        <v>308</v>
      </c>
      <c r="E40">
        <v>2007</v>
      </c>
      <c r="F40" s="11" t="s">
        <v>309</v>
      </c>
      <c r="G40" t="s">
        <v>324</v>
      </c>
      <c r="K40" s="2"/>
    </row>
    <row r="41" spans="1:11" x14ac:dyDescent="0.2">
      <c r="A41">
        <v>1915</v>
      </c>
      <c r="B41" s="11" t="s">
        <v>312</v>
      </c>
      <c r="C41" t="s">
        <v>315</v>
      </c>
      <c r="E41">
        <v>2008</v>
      </c>
      <c r="F41" s="11" t="s">
        <v>310</v>
      </c>
      <c r="G41" t="s">
        <v>333</v>
      </c>
      <c r="K41" s="2"/>
    </row>
    <row r="42" spans="1:11" x14ac:dyDescent="0.2">
      <c r="A42">
        <v>1916</v>
      </c>
      <c r="B42" s="11" t="s">
        <v>312</v>
      </c>
      <c r="E42">
        <v>2008</v>
      </c>
      <c r="F42" s="11" t="s">
        <v>309</v>
      </c>
      <c r="G42" t="s">
        <v>334</v>
      </c>
      <c r="K42" s="2"/>
    </row>
    <row r="43" spans="1:11" x14ac:dyDescent="0.2">
      <c r="A43">
        <v>1918</v>
      </c>
      <c r="B43" s="11" t="s">
        <v>312</v>
      </c>
      <c r="E43">
        <v>2017</v>
      </c>
      <c r="F43" s="11" t="s">
        <v>312</v>
      </c>
      <c r="G43" t="s">
        <v>388</v>
      </c>
      <c r="K43" s="2"/>
    </row>
    <row r="44" spans="1:11" x14ac:dyDescent="0.2">
      <c r="A44">
        <v>1919</v>
      </c>
      <c r="B44" s="11" t="s">
        <v>309</v>
      </c>
      <c r="E44">
        <v>2020</v>
      </c>
      <c r="F44" s="11" t="s">
        <v>310</v>
      </c>
      <c r="G44" t="s">
        <v>435</v>
      </c>
      <c r="K44" s="2"/>
    </row>
    <row r="45" spans="1:11" x14ac:dyDescent="0.2">
      <c r="A45">
        <v>1921</v>
      </c>
      <c r="B45" s="11" t="s">
        <v>308</v>
      </c>
      <c r="E45">
        <v>2020</v>
      </c>
      <c r="F45" s="11" t="s">
        <v>312</v>
      </c>
      <c r="G45" t="s">
        <v>436</v>
      </c>
      <c r="K45" s="2"/>
    </row>
    <row r="46" spans="1:11" x14ac:dyDescent="0.2">
      <c r="A46">
        <v>1929</v>
      </c>
      <c r="B46" s="11" t="s">
        <v>308</v>
      </c>
      <c r="E46">
        <v>2020</v>
      </c>
      <c r="F46" s="11" t="s">
        <v>311</v>
      </c>
      <c r="G46" t="s">
        <v>437</v>
      </c>
      <c r="K46" s="2"/>
    </row>
    <row r="47" spans="1:11" x14ac:dyDescent="0.2">
      <c r="A47">
        <v>1932</v>
      </c>
      <c r="B47" s="11" t="s">
        <v>312</v>
      </c>
      <c r="C47" t="s">
        <v>319</v>
      </c>
      <c r="E47">
        <v>2021</v>
      </c>
      <c r="F47" s="11" t="s">
        <v>309</v>
      </c>
      <c r="G47" t="s">
        <v>439</v>
      </c>
      <c r="K47" s="2"/>
    </row>
    <row r="48" spans="1:11" x14ac:dyDescent="0.2">
      <c r="A48">
        <v>1933</v>
      </c>
      <c r="B48" s="11" t="s">
        <v>486</v>
      </c>
      <c r="E48">
        <v>2024</v>
      </c>
      <c r="F48" s="11" t="s">
        <v>310</v>
      </c>
      <c r="G48" t="s">
        <v>489</v>
      </c>
      <c r="K48" s="2"/>
    </row>
    <row r="49" spans="1:13" x14ac:dyDescent="0.2">
      <c r="K49" s="2"/>
    </row>
    <row r="50" spans="1:13" x14ac:dyDescent="0.2">
      <c r="K50" s="2"/>
      <c r="M50" s="49"/>
    </row>
    <row r="51" spans="1:13" x14ac:dyDescent="0.2">
      <c r="A51" s="51" t="s">
        <v>131</v>
      </c>
      <c r="B51" s="51"/>
      <c r="C51" s="45" t="s">
        <v>132</v>
      </c>
      <c r="D51" s="45" t="s">
        <v>133</v>
      </c>
      <c r="E51" s="45" t="s">
        <v>231</v>
      </c>
      <c r="F51" s="45" t="s">
        <v>134</v>
      </c>
      <c r="G51" s="45"/>
      <c r="H51" s="21"/>
      <c r="K51" s="2"/>
    </row>
    <row r="52" spans="1:13" x14ac:dyDescent="0.2">
      <c r="A52" s="50"/>
      <c r="B52" s="50"/>
      <c r="C52" s="41"/>
      <c r="D52" s="41"/>
      <c r="E52" s="41"/>
      <c r="F52" s="41"/>
      <c r="G52" s="41"/>
      <c r="H52" s="21"/>
      <c r="K52" s="2"/>
    </row>
    <row r="53" spans="1:13" x14ac:dyDescent="0.2">
      <c r="A53" t="str">
        <f>E53&amp;"-Year"</f>
        <v>174-Year</v>
      </c>
      <c r="C53" s="12" t="str">
        <f>MONTH(M4+1)&amp;"/1/"&amp;YEAR(M4+1)-E53&amp;" - "&amp;TEXT(M4,"m/d/yyyy")</f>
        <v>1/1/1851 - 12/31/2024</v>
      </c>
      <c r="D53" s="12">
        <f>SUM(COUNTA(A14:A48),COUNTA(E14:E48))</f>
        <v>70</v>
      </c>
      <c r="E53" s="68">
        <f>YEAR($M$4)-$L$4+1</f>
        <v>174</v>
      </c>
      <c r="G53" s="99">
        <f>ROUND(D53/E53,3)</f>
        <v>0.40200000000000002</v>
      </c>
      <c r="K53" s="2"/>
    </row>
    <row r="54" spans="1:13" ht="12" thickBot="1" x14ac:dyDescent="0.25">
      <c r="A54" s="6"/>
      <c r="B54" s="6"/>
      <c r="C54" s="6"/>
      <c r="D54" s="6"/>
      <c r="E54" s="6"/>
      <c r="F54" s="6"/>
      <c r="G54" s="6"/>
      <c r="K54" s="2"/>
    </row>
    <row r="55" spans="1:13" ht="12" thickTop="1" x14ac:dyDescent="0.2">
      <c r="K55" s="2"/>
    </row>
    <row r="56" spans="1:13" x14ac:dyDescent="0.2">
      <c r="A56" t="s">
        <v>17</v>
      </c>
      <c r="K56" s="2"/>
    </row>
    <row r="57" spans="1:13" x14ac:dyDescent="0.2">
      <c r="B57" t="str">
        <f>$A$12&amp;", "&amp;$C$12&amp;" from NOAA Technical Memorandum NWS-NHC-6, updated with actual experience through 2024"</f>
        <v>(1), (2) from NOAA Technical Memorandum NWS-NHC-6, updated with actual experience through 2024</v>
      </c>
      <c r="K57" s="2"/>
    </row>
    <row r="58" spans="1:13" x14ac:dyDescent="0.2">
      <c r="K58" s="2"/>
    </row>
    <row r="59" spans="1:13" x14ac:dyDescent="0.2">
      <c r="K59" s="2"/>
    </row>
    <row r="60" spans="1:13" x14ac:dyDescent="0.2">
      <c r="K60" s="2"/>
    </row>
    <row r="61" spans="1:13" x14ac:dyDescent="0.2">
      <c r="K61" s="2"/>
    </row>
    <row r="62" spans="1:13" x14ac:dyDescent="0.2">
      <c r="K62" s="2"/>
    </row>
    <row r="63" spans="1:13" x14ac:dyDescent="0.2">
      <c r="K63" s="2"/>
    </row>
    <row r="64" spans="1:13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ht="12" thickBot="1" x14ac:dyDescent="0.25">
      <c r="K69" s="2"/>
    </row>
    <row r="70" spans="1:11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>
    <tabColor rgb="FF00B050"/>
  </sheetPr>
  <dimension ref="A1:L73"/>
  <sheetViews>
    <sheetView showGridLines="0" zoomScaleNormal="100" workbookViewId="0"/>
  </sheetViews>
  <sheetFormatPr defaultColWidth="11.33203125" defaultRowHeight="11.25" x14ac:dyDescent="0.2"/>
  <cols>
    <col min="1" max="1" width="7" bestFit="1" customWidth="1"/>
    <col min="2" max="2" width="11.33203125" customWidth="1"/>
    <col min="3" max="5" width="15.33203125" customWidth="1"/>
    <col min="6" max="6" width="14" customWidth="1"/>
    <col min="7" max="8" width="11.33203125" customWidth="1"/>
    <col min="9" max="9" width="7.83203125" customWidth="1"/>
    <col min="10" max="10" width="10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116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20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198</v>
      </c>
      <c r="B4" s="12"/>
      <c r="K4" s="2"/>
    </row>
    <row r="5" spans="1:12" x14ac:dyDescent="0.2">
      <c r="A5" t="s">
        <v>477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K7" s="2"/>
    </row>
    <row r="8" spans="1:12" ht="12" thickTop="1" x14ac:dyDescent="0.2">
      <c r="A8" t="s">
        <v>37</v>
      </c>
      <c r="K8" s="2"/>
    </row>
    <row r="9" spans="1:12" x14ac:dyDescent="0.2">
      <c r="A9" t="s">
        <v>38</v>
      </c>
      <c r="C9" s="133" t="s">
        <v>199</v>
      </c>
      <c r="D9" s="11" t="s">
        <v>197</v>
      </c>
      <c r="E9" s="11" t="s">
        <v>159</v>
      </c>
      <c r="F9" s="11" t="s">
        <v>35</v>
      </c>
      <c r="K9" s="2"/>
      <c r="L9" s="24"/>
    </row>
    <row r="10" spans="1:12" x14ac:dyDescent="0.2">
      <c r="A10" t="s">
        <v>25</v>
      </c>
      <c r="C10" s="11" t="s">
        <v>200</v>
      </c>
      <c r="D10" s="11" t="s">
        <v>189</v>
      </c>
      <c r="E10" s="11" t="s">
        <v>33</v>
      </c>
      <c r="F10" s="11" t="s">
        <v>33</v>
      </c>
      <c r="K10" s="2"/>
    </row>
    <row r="11" spans="1:12" x14ac:dyDescent="0.2">
      <c r="A11" s="9" t="str">
        <f>TEXT(L25,"m/d")</f>
        <v>12/31</v>
      </c>
      <c r="B11" s="9"/>
      <c r="C11" s="143" t="s">
        <v>77</v>
      </c>
      <c r="D11" s="143" t="s">
        <v>86</v>
      </c>
      <c r="E11" s="143" t="s">
        <v>86</v>
      </c>
      <c r="F11" s="143" t="s">
        <v>86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2" x14ac:dyDescent="0.2">
      <c r="K13" s="2"/>
    </row>
    <row r="14" spans="1:12" x14ac:dyDescent="0.2">
      <c r="A14" s="60">
        <v>1994</v>
      </c>
      <c r="B14" s="22"/>
      <c r="C14" s="18">
        <f>'11.2'!C14</f>
        <v>10672677</v>
      </c>
      <c r="D14" s="29">
        <f>'9.2'!O28</f>
        <v>3.2530000000000001</v>
      </c>
      <c r="E14" s="18">
        <f>ROUND(C14*D14,0)</f>
        <v>34718218</v>
      </c>
      <c r="F14" s="18">
        <f>ROUND(AVERAGE(E13:E14),0)</f>
        <v>34718218</v>
      </c>
      <c r="K14" s="2"/>
    </row>
    <row r="15" spans="1:12" x14ac:dyDescent="0.2">
      <c r="A15" t="str">
        <f>TEXT(A14+1,"#")</f>
        <v>1995</v>
      </c>
      <c r="B15" s="22"/>
      <c r="C15" s="18">
        <f>'11.2'!C15</f>
        <v>12865905</v>
      </c>
      <c r="D15" s="29">
        <f>'9.2'!O29</f>
        <v>3.2530000000000001</v>
      </c>
      <c r="E15" s="18">
        <f t="shared" ref="E15:E32" si="0">ROUND(C15*D15,0)</f>
        <v>41852789</v>
      </c>
      <c r="F15" s="18">
        <f>ROUND(AVERAGE(E14:E15),0)</f>
        <v>38285504</v>
      </c>
      <c r="K15" s="2"/>
      <c r="L15" s="31"/>
    </row>
    <row r="16" spans="1:12" x14ac:dyDescent="0.2">
      <c r="A16" t="str">
        <f t="shared" ref="A16:A44" si="1">TEXT(A15+1,"#")</f>
        <v>1996</v>
      </c>
      <c r="B16" s="22"/>
      <c r="C16" s="18">
        <f>'11.2'!C16</f>
        <v>15640660</v>
      </c>
      <c r="D16" s="29">
        <f>'9.2'!O30</f>
        <v>3.2530000000000001</v>
      </c>
      <c r="E16" s="18">
        <f t="shared" si="0"/>
        <v>50879067</v>
      </c>
      <c r="F16" s="18">
        <f>ROUND(AVERAGE(E15:E16),0)</f>
        <v>46365928</v>
      </c>
      <c r="K16" s="2"/>
    </row>
    <row r="17" spans="1:12" x14ac:dyDescent="0.2">
      <c r="A17" t="str">
        <f t="shared" si="1"/>
        <v>1997</v>
      </c>
      <c r="B17" s="22"/>
      <c r="C17" s="18">
        <f>'11.2'!C17</f>
        <v>16536186</v>
      </c>
      <c r="D17" s="29">
        <f>'9.2'!O31</f>
        <v>3.2530000000000001</v>
      </c>
      <c r="E17" s="18">
        <f t="shared" si="0"/>
        <v>53792213</v>
      </c>
      <c r="F17" s="18">
        <f t="shared" ref="F17:F31" si="2">ROUND(AVERAGE(E16:E17),0)</f>
        <v>52335640</v>
      </c>
      <c r="K17" s="2"/>
      <c r="L17" s="28"/>
    </row>
    <row r="18" spans="1:12" x14ac:dyDescent="0.2">
      <c r="A18" t="str">
        <f t="shared" si="1"/>
        <v>1998</v>
      </c>
      <c r="B18" s="22"/>
      <c r="C18" s="18">
        <f>'11.2'!C18</f>
        <v>16558977</v>
      </c>
      <c r="D18" s="29">
        <f>'9.2'!O32</f>
        <v>3.3530000000000002</v>
      </c>
      <c r="E18" s="18">
        <f t="shared" si="0"/>
        <v>55522250</v>
      </c>
      <c r="F18" s="18">
        <f t="shared" si="2"/>
        <v>54657232</v>
      </c>
      <c r="K18" s="2"/>
      <c r="L18" s="28"/>
    </row>
    <row r="19" spans="1:12" x14ac:dyDescent="0.2">
      <c r="A19" t="str">
        <f t="shared" si="1"/>
        <v>1999</v>
      </c>
      <c r="B19" s="22"/>
      <c r="C19" s="18">
        <f>'11.2'!C19</f>
        <v>17394142.049999997</v>
      </c>
      <c r="D19" s="29">
        <f>'9.2'!O33</f>
        <v>3.3530000000000002</v>
      </c>
      <c r="E19" s="18">
        <f t="shared" si="0"/>
        <v>58322558</v>
      </c>
      <c r="F19" s="18">
        <f>ROUND(AVERAGE(E18:E19),0)</f>
        <v>56922404</v>
      </c>
      <c r="K19" s="2"/>
      <c r="L19" s="28"/>
    </row>
    <row r="20" spans="1:12" x14ac:dyDescent="0.2">
      <c r="A20" t="str">
        <f t="shared" si="1"/>
        <v>2000</v>
      </c>
      <c r="B20" s="22"/>
      <c r="C20" s="18">
        <f>'11.2'!C20</f>
        <v>17332561</v>
      </c>
      <c r="D20" s="29">
        <f>'9.2'!O34</f>
        <v>3.077</v>
      </c>
      <c r="E20" s="18">
        <f t="shared" si="0"/>
        <v>53332290</v>
      </c>
      <c r="F20" s="18">
        <f t="shared" si="2"/>
        <v>55827424</v>
      </c>
      <c r="K20" s="2"/>
      <c r="L20" s="28"/>
    </row>
    <row r="21" spans="1:12" x14ac:dyDescent="0.2">
      <c r="A21" t="str">
        <f t="shared" si="1"/>
        <v>2001</v>
      </c>
      <c r="B21" s="22"/>
      <c r="C21" s="18">
        <f>'11.2'!C21</f>
        <v>17544251</v>
      </c>
      <c r="D21" s="29">
        <f>'9.2'!O35</f>
        <v>2.9580000000000002</v>
      </c>
      <c r="E21" s="18">
        <f t="shared" si="0"/>
        <v>51895894</v>
      </c>
      <c r="F21" s="18">
        <f>ROUND(AVERAGE(E20:E21),0)</f>
        <v>52614092</v>
      </c>
      <c r="K21" s="2"/>
      <c r="L21" s="28"/>
    </row>
    <row r="22" spans="1:12" x14ac:dyDescent="0.2">
      <c r="A22" t="str">
        <f t="shared" si="1"/>
        <v>2002</v>
      </c>
      <c r="B22" s="22"/>
      <c r="C22" s="18">
        <f>'11.2'!C22</f>
        <v>24013525</v>
      </c>
      <c r="D22" s="29">
        <f>'9.2'!O36</f>
        <v>2.8180000000000001</v>
      </c>
      <c r="E22" s="18">
        <f t="shared" si="0"/>
        <v>67670113</v>
      </c>
      <c r="F22" s="18">
        <f>ROUND(AVERAGE(E21:E22),0)</f>
        <v>59783004</v>
      </c>
      <c r="K22" s="2"/>
      <c r="L22" s="28"/>
    </row>
    <row r="23" spans="1:12" x14ac:dyDescent="0.2">
      <c r="A23" t="str">
        <f t="shared" si="1"/>
        <v>2003</v>
      </c>
      <c r="B23" s="22"/>
      <c r="C23" s="18">
        <f>'11.2'!C23</f>
        <v>29220514</v>
      </c>
      <c r="D23" s="29">
        <f>'9.2'!O37</f>
        <v>2.5619999999999998</v>
      </c>
      <c r="E23" s="18">
        <f t="shared" si="0"/>
        <v>74862957</v>
      </c>
      <c r="F23" s="18">
        <f>ROUND(AVERAGE(E22:E23),0)</f>
        <v>71266535</v>
      </c>
      <c r="K23" s="2"/>
      <c r="L23" s="28"/>
    </row>
    <row r="24" spans="1:12" x14ac:dyDescent="0.2">
      <c r="A24" t="str">
        <f t="shared" si="1"/>
        <v>2004</v>
      </c>
      <c r="B24" s="22"/>
      <c r="C24" s="18">
        <f>'11.2'!C24</f>
        <v>31009323</v>
      </c>
      <c r="D24" s="29">
        <f>'9.2'!O38</f>
        <v>2.3290000000000002</v>
      </c>
      <c r="E24" s="18">
        <f t="shared" si="0"/>
        <v>72220713</v>
      </c>
      <c r="F24" s="18">
        <f t="shared" si="2"/>
        <v>73541835</v>
      </c>
      <c r="K24" s="2"/>
      <c r="L24" t="s">
        <v>207</v>
      </c>
    </row>
    <row r="25" spans="1:12" x14ac:dyDescent="0.2">
      <c r="A25" t="str">
        <f t="shared" si="1"/>
        <v>2005</v>
      </c>
      <c r="C25" s="18">
        <f>'11.2'!C25</f>
        <v>35740174</v>
      </c>
      <c r="D25" s="29">
        <f>'9.2'!O39</f>
        <v>2.117</v>
      </c>
      <c r="E25" s="18">
        <f t="shared" si="0"/>
        <v>75661948</v>
      </c>
      <c r="F25" s="18">
        <f>ROUND(AVERAGE(E24:E25),0)</f>
        <v>73941331</v>
      </c>
      <c r="K25" s="2"/>
      <c r="L25" s="36">
        <f>'11.2'!$L$49</f>
        <v>45657</v>
      </c>
    </row>
    <row r="26" spans="1:12" x14ac:dyDescent="0.2">
      <c r="A26" t="str">
        <f t="shared" si="1"/>
        <v>2006</v>
      </c>
      <c r="B26" s="12"/>
      <c r="C26" s="18">
        <f>'11.2'!C26</f>
        <v>76847840</v>
      </c>
      <c r="D26" s="29">
        <f>'9.2'!O40</f>
        <v>1.964</v>
      </c>
      <c r="E26" s="18">
        <f t="shared" si="0"/>
        <v>150929158</v>
      </c>
      <c r="F26" s="18">
        <f t="shared" si="2"/>
        <v>113295553</v>
      </c>
      <c r="K26" s="2"/>
    </row>
    <row r="27" spans="1:12" x14ac:dyDescent="0.2">
      <c r="A27" t="str">
        <f t="shared" si="1"/>
        <v>2007</v>
      </c>
      <c r="C27" s="18">
        <f>'11.2'!C27</f>
        <v>110951718</v>
      </c>
      <c r="D27" s="29">
        <f>'9.2'!O41</f>
        <v>1.8</v>
      </c>
      <c r="E27" s="18">
        <f t="shared" si="0"/>
        <v>199713092</v>
      </c>
      <c r="F27" s="18">
        <f>ROUND(AVERAGE(E26:E27),0)</f>
        <v>175321125</v>
      </c>
      <c r="K27" s="2"/>
    </row>
    <row r="28" spans="1:12" x14ac:dyDescent="0.2">
      <c r="A28" t="str">
        <f t="shared" si="1"/>
        <v>2008</v>
      </c>
      <c r="C28" s="18">
        <f>'11.2'!C28</f>
        <v>98036118.420000017</v>
      </c>
      <c r="D28" s="29">
        <f>'9.2'!O42</f>
        <v>1.7150000000000001</v>
      </c>
      <c r="E28" s="18">
        <f t="shared" si="0"/>
        <v>168131943</v>
      </c>
      <c r="F28" s="18">
        <f>ROUND(AVERAGE(E27:E28),0)</f>
        <v>183922518</v>
      </c>
      <c r="K28" s="2"/>
    </row>
    <row r="29" spans="1:12" x14ac:dyDescent="0.2">
      <c r="A29" t="str">
        <f t="shared" si="1"/>
        <v>2009</v>
      </c>
      <c r="B29" s="22"/>
      <c r="C29" s="18">
        <f>'11.2'!C29</f>
        <v>111269572.63</v>
      </c>
      <c r="D29" s="29">
        <f>'9.2'!O43</f>
        <v>1.494</v>
      </c>
      <c r="E29" s="18">
        <f t="shared" si="0"/>
        <v>166236742</v>
      </c>
      <c r="F29" s="18">
        <f t="shared" si="2"/>
        <v>167184343</v>
      </c>
      <c r="K29" s="2"/>
    </row>
    <row r="30" spans="1:12" x14ac:dyDescent="0.2">
      <c r="A30" t="str">
        <f t="shared" si="1"/>
        <v>2010</v>
      </c>
      <c r="B30" s="22"/>
      <c r="C30" s="18">
        <f>'11.2'!C30</f>
        <v>102174679.52999991</v>
      </c>
      <c r="D30" s="29">
        <f>'9.2'!O44</f>
        <v>1.4770000000000001</v>
      </c>
      <c r="E30" s="18">
        <f t="shared" si="0"/>
        <v>150912002</v>
      </c>
      <c r="F30" s="18">
        <f>ROUND(AVERAGE(E29:E30),0)</f>
        <v>158574372</v>
      </c>
      <c r="K30" s="2"/>
      <c r="L30" s="29"/>
    </row>
    <row r="31" spans="1:12" x14ac:dyDescent="0.2">
      <c r="A31" t="str">
        <f t="shared" si="1"/>
        <v>2011</v>
      </c>
      <c r="B31" s="22"/>
      <c r="C31" s="18">
        <f>'11.2'!C31</f>
        <v>100017021</v>
      </c>
      <c r="D31" s="29">
        <f>'9.2'!O45</f>
        <v>1.407</v>
      </c>
      <c r="E31" s="18">
        <f t="shared" si="0"/>
        <v>140723949</v>
      </c>
      <c r="F31" s="18">
        <f t="shared" si="2"/>
        <v>145817976</v>
      </c>
      <c r="K31" s="2"/>
    </row>
    <row r="32" spans="1:12" x14ac:dyDescent="0.2">
      <c r="A32" t="str">
        <f t="shared" si="1"/>
        <v>2012</v>
      </c>
      <c r="B32" s="22"/>
      <c r="C32" s="18">
        <f>'11.2'!C32</f>
        <v>110524396.51999998</v>
      </c>
      <c r="D32" s="29">
        <f>'9.2'!O46</f>
        <v>1.34</v>
      </c>
      <c r="E32" s="18">
        <f t="shared" si="0"/>
        <v>148102691</v>
      </c>
      <c r="F32" s="18">
        <f t="shared" ref="F32:F37" si="3">ROUND(AVERAGE(E31:E32),0)</f>
        <v>144413320</v>
      </c>
      <c r="K32" s="2"/>
      <c r="L32" s="29"/>
    </row>
    <row r="33" spans="1:11" x14ac:dyDescent="0.2">
      <c r="A33" t="str">
        <f t="shared" si="1"/>
        <v>2013</v>
      </c>
      <c r="B33" s="22"/>
      <c r="C33" s="18">
        <f>'11.2'!C33</f>
        <v>112904624</v>
      </c>
      <c r="D33" s="29">
        <f>'9.2'!O47</f>
        <v>1.276</v>
      </c>
      <c r="E33" s="18">
        <f t="shared" ref="E33:E38" si="4">ROUND(C33*D33,0)</f>
        <v>144066300</v>
      </c>
      <c r="F33" s="18">
        <f>ROUND(AVERAGE(E32:E33),0)</f>
        <v>146084496</v>
      </c>
      <c r="K33" s="2"/>
    </row>
    <row r="34" spans="1:11" x14ac:dyDescent="0.2">
      <c r="A34" t="str">
        <f t="shared" si="1"/>
        <v>2014</v>
      </c>
      <c r="B34" s="22"/>
      <c r="C34" s="18">
        <f>'11.2'!C34</f>
        <v>104642688</v>
      </c>
      <c r="D34" s="29">
        <f>'9.2'!O48</f>
        <v>1.2150000000000001</v>
      </c>
      <c r="E34" s="18">
        <f t="shared" si="4"/>
        <v>127140866</v>
      </c>
      <c r="F34" s="18">
        <f t="shared" si="3"/>
        <v>135603583</v>
      </c>
      <c r="K34" s="2"/>
    </row>
    <row r="35" spans="1:11" x14ac:dyDescent="0.2">
      <c r="A35" t="str">
        <f t="shared" si="1"/>
        <v>2015</v>
      </c>
      <c r="B35" s="22"/>
      <c r="C35" s="18">
        <f>'11.2'!C35</f>
        <v>98715934</v>
      </c>
      <c r="D35" s="29">
        <f>'9.2'!O49</f>
        <v>1.1579999999999999</v>
      </c>
      <c r="E35" s="18">
        <f t="shared" si="4"/>
        <v>114313052</v>
      </c>
      <c r="F35" s="18">
        <f t="shared" si="3"/>
        <v>120726959</v>
      </c>
      <c r="K35" s="2"/>
    </row>
    <row r="36" spans="1:11" x14ac:dyDescent="0.2">
      <c r="A36" t="str">
        <f t="shared" si="1"/>
        <v>2016</v>
      </c>
      <c r="B36" s="22"/>
      <c r="C36" s="18">
        <f>'11.2'!C36</f>
        <v>88278690</v>
      </c>
      <c r="D36" s="29">
        <f>'9.2'!O50</f>
        <v>1.103</v>
      </c>
      <c r="E36" s="18">
        <f t="shared" si="4"/>
        <v>97371395</v>
      </c>
      <c r="F36" s="18">
        <f t="shared" si="3"/>
        <v>105842224</v>
      </c>
      <c r="K36" s="2"/>
    </row>
    <row r="37" spans="1:11" x14ac:dyDescent="0.2">
      <c r="A37" t="str">
        <f t="shared" si="1"/>
        <v>2017</v>
      </c>
      <c r="C37" s="18">
        <f>'11.2'!C37</f>
        <v>70749081</v>
      </c>
      <c r="D37" s="29">
        <f>'9.2'!O51</f>
        <v>1.103</v>
      </c>
      <c r="E37" s="18">
        <f t="shared" si="4"/>
        <v>78036236</v>
      </c>
      <c r="F37" s="18">
        <f t="shared" si="3"/>
        <v>87703816</v>
      </c>
      <c r="K37" s="2"/>
    </row>
    <row r="38" spans="1:11" x14ac:dyDescent="0.2">
      <c r="A38" t="str">
        <f t="shared" si="1"/>
        <v>2018</v>
      </c>
      <c r="C38" s="18">
        <f>'11.2'!C38</f>
        <v>65696833</v>
      </c>
      <c r="D38" s="29">
        <f>'9.2'!O52</f>
        <v>1.05</v>
      </c>
      <c r="E38" s="18">
        <f t="shared" si="4"/>
        <v>68981675</v>
      </c>
      <c r="F38" s="18">
        <f t="shared" ref="F38:F43" si="5">ROUND(AVERAGE(E37:E38),0)</f>
        <v>73508956</v>
      </c>
      <c r="K38" s="2"/>
    </row>
    <row r="39" spans="1:11" x14ac:dyDescent="0.2">
      <c r="A39" t="str">
        <f t="shared" si="1"/>
        <v>2019</v>
      </c>
      <c r="C39" s="18">
        <f>'11.2'!C39</f>
        <v>59123729</v>
      </c>
      <c r="D39" s="29">
        <f>'9.2'!O53</f>
        <v>1.05</v>
      </c>
      <c r="E39" s="18">
        <f t="shared" ref="E39" si="6">ROUND(C39*D39,0)</f>
        <v>62079915</v>
      </c>
      <c r="F39" s="18">
        <f t="shared" si="5"/>
        <v>65530795</v>
      </c>
      <c r="K39" s="2"/>
    </row>
    <row r="40" spans="1:11" x14ac:dyDescent="0.2">
      <c r="A40" t="str">
        <f t="shared" si="1"/>
        <v>2020</v>
      </c>
      <c r="C40" s="18">
        <f>'11.2'!C40</f>
        <v>60327052</v>
      </c>
      <c r="D40" s="29">
        <f>'9.2'!O54</f>
        <v>1.05</v>
      </c>
      <c r="E40" s="18">
        <f t="shared" ref="E40" si="7">ROUND(C40*D40,0)</f>
        <v>63343405</v>
      </c>
      <c r="F40" s="18">
        <f t="shared" si="5"/>
        <v>62711660</v>
      </c>
      <c r="K40" s="2"/>
    </row>
    <row r="41" spans="1:11" x14ac:dyDescent="0.2">
      <c r="A41" t="str">
        <f t="shared" si="1"/>
        <v>2021</v>
      </c>
      <c r="C41" s="18">
        <f>'11.2'!C41</f>
        <v>63366551</v>
      </c>
      <c r="D41" s="29">
        <f>'9.2'!O55</f>
        <v>1.05</v>
      </c>
      <c r="E41" s="18">
        <f t="shared" ref="E41" si="8">ROUND(C41*D41,0)</f>
        <v>66534879</v>
      </c>
      <c r="F41" s="18">
        <f t="shared" si="5"/>
        <v>64939142</v>
      </c>
      <c r="K41" s="2"/>
    </row>
    <row r="42" spans="1:11" x14ac:dyDescent="0.2">
      <c r="A42" t="str">
        <f t="shared" si="1"/>
        <v>2022</v>
      </c>
      <c r="C42" s="18">
        <f>'11.2'!C42</f>
        <v>88784127</v>
      </c>
      <c r="D42" s="29">
        <f>'9.2'!O56</f>
        <v>1</v>
      </c>
      <c r="E42" s="18">
        <f t="shared" ref="E42" si="9">ROUND(C42*D42,0)</f>
        <v>88784127</v>
      </c>
      <c r="F42" s="18">
        <f t="shared" si="5"/>
        <v>77659503</v>
      </c>
      <c r="K42" s="2"/>
    </row>
    <row r="43" spans="1:11" x14ac:dyDescent="0.2">
      <c r="A43" t="str">
        <f t="shared" si="1"/>
        <v>2023</v>
      </c>
      <c r="C43" s="18">
        <f>'11.2'!C43</f>
        <v>130162738</v>
      </c>
      <c r="D43" s="29">
        <f>'9.2'!O57</f>
        <v>1</v>
      </c>
      <c r="E43" s="18">
        <f t="shared" ref="E43" si="10">ROUND(C43*D43,0)</f>
        <v>130162738</v>
      </c>
      <c r="F43" s="18">
        <f t="shared" si="5"/>
        <v>109473433</v>
      </c>
      <c r="K43" s="2"/>
    </row>
    <row r="44" spans="1:11" x14ac:dyDescent="0.2">
      <c r="A44" t="str">
        <f t="shared" si="1"/>
        <v>2024</v>
      </c>
      <c r="C44" s="18">
        <f>'11.2'!C44</f>
        <v>130434727</v>
      </c>
      <c r="D44" s="29">
        <f>'9.2'!O58</f>
        <v>1</v>
      </c>
      <c r="E44" s="18">
        <f t="shared" ref="E44" si="11">ROUND(C44*D44,0)</f>
        <v>130434727</v>
      </c>
      <c r="F44" s="18">
        <f t="shared" ref="F44" si="12">ROUND(AVERAGE(E43:E44),0)</f>
        <v>130298733</v>
      </c>
      <c r="K44" s="2"/>
    </row>
    <row r="45" spans="1:11" x14ac:dyDescent="0.2">
      <c r="K45" s="2"/>
    </row>
    <row r="46" spans="1:11" x14ac:dyDescent="0.2">
      <c r="A46" t="s">
        <v>7</v>
      </c>
      <c r="C46" s="18">
        <f>SUM(C14:C45)</f>
        <v>2027537015.1499999</v>
      </c>
      <c r="D46" s="18"/>
      <c r="E46" s="18">
        <f t="shared" ref="E46:F46" si="13">SUM(E14:E45)</f>
        <v>2986729902</v>
      </c>
      <c r="F46" s="18">
        <f t="shared" si="13"/>
        <v>2938871654</v>
      </c>
      <c r="K46" s="2"/>
    </row>
    <row r="47" spans="1:11" ht="12" thickBot="1" x14ac:dyDescent="0.25">
      <c r="A47" s="6"/>
      <c r="B47" s="6"/>
      <c r="C47" s="6"/>
      <c r="D47" s="6"/>
      <c r="E47" s="6"/>
      <c r="F47" s="6"/>
      <c r="K47" s="2"/>
    </row>
    <row r="48" spans="1:11" ht="12" thickTop="1" x14ac:dyDescent="0.2">
      <c r="K48" s="2"/>
    </row>
    <row r="49" spans="1:11" x14ac:dyDescent="0.2">
      <c r="A49" t="s">
        <v>17</v>
      </c>
      <c r="K49" s="2"/>
    </row>
    <row r="50" spans="1:11" x14ac:dyDescent="0.2">
      <c r="B50" s="12" t="str">
        <f>C12&amp;" Provided by TWIA"</f>
        <v>(2) Provided by TWIA</v>
      </c>
      <c r="K50" s="2"/>
    </row>
    <row r="51" spans="1:11" x14ac:dyDescent="0.2">
      <c r="B51" s="12" t="str">
        <f>D12&amp;" "&amp;'9.2'!$O$1&amp;", "&amp;'9.2'!$O$2</f>
        <v>(3) Exhibit 9, Sheet 2</v>
      </c>
      <c r="K51" s="2"/>
    </row>
    <row r="52" spans="1:11" x14ac:dyDescent="0.2">
      <c r="B52" s="12" t="str">
        <f>E12&amp;" = "&amp;C12&amp;" * "&amp;D12&amp;" (calculated on a monthly basis)"</f>
        <v>(4) = (2) * (3) (calculated on a monthly basis)</v>
      </c>
      <c r="K52" s="2"/>
    </row>
    <row r="53" spans="1:11" x14ac:dyDescent="0.2">
      <c r="B53" s="12" t="str">
        <f>F12&amp;" Calculated from "&amp;E12&amp;", using annual uniform earning assumption for "&amp;A22&amp;" and prior and monthly for "&amp;A23&amp;" and after"</f>
        <v>(5) Calculated from (4), using annual uniform earning assumption for 2002 and prior and monthly for 2003 and after</v>
      </c>
      <c r="K53" s="2"/>
    </row>
    <row r="54" spans="1:11" x14ac:dyDescent="0.2">
      <c r="B54" s="12"/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x14ac:dyDescent="0.2">
      <c r="K63" s="2"/>
    </row>
    <row r="64" spans="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idden="1" x14ac:dyDescent="0.2">
      <c r="K71" s="2"/>
    </row>
    <row r="72" spans="1:11" ht="12" hidden="1" thickBot="1" x14ac:dyDescent="0.25">
      <c r="K72" s="2"/>
    </row>
    <row r="73" spans="1:11" ht="12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>
    <tabColor rgb="FF00B050"/>
    <pageSetUpPr fitToPage="1"/>
  </sheetPr>
  <dimension ref="A1:T74"/>
  <sheetViews>
    <sheetView showGridLines="0" zoomScaleNormal="100" workbookViewId="0"/>
  </sheetViews>
  <sheetFormatPr defaultColWidth="11.33203125" defaultRowHeight="11.25" x14ac:dyDescent="0.2"/>
  <cols>
    <col min="1" max="1" width="7.1640625" customWidth="1"/>
    <col min="2" max="2" width="10.6640625" customWidth="1"/>
    <col min="3" max="3" width="9.1640625" customWidth="1"/>
    <col min="4" max="4" width="9.6640625" customWidth="1"/>
    <col min="5" max="5" width="10.6640625" customWidth="1"/>
    <col min="6" max="10" width="7" customWidth="1"/>
    <col min="11" max="12" width="6.6640625" customWidth="1"/>
    <col min="13" max="13" width="7" customWidth="1"/>
    <col min="14" max="14" width="8.5" customWidth="1"/>
    <col min="15" max="15" width="9.6640625" customWidth="1"/>
    <col min="17" max="17" width="8.6640625" customWidth="1"/>
  </cols>
  <sheetData>
    <row r="1" spans="1:20" x14ac:dyDescent="0.2">
      <c r="A1" s="8" t="str">
        <f>'1'!$A$1</f>
        <v>Texas Windstorm Insurance Association</v>
      </c>
      <c r="O1" s="7" t="s">
        <v>116</v>
      </c>
      <c r="P1" s="1"/>
    </row>
    <row r="2" spans="1:20" x14ac:dyDescent="0.2">
      <c r="A2" s="8" t="str">
        <f>'1'!$A$2</f>
        <v>Commercial Property - Wind &amp; Hail</v>
      </c>
      <c r="O2" s="7" t="s">
        <v>55</v>
      </c>
      <c r="P2" s="2"/>
    </row>
    <row r="3" spans="1:20" x14ac:dyDescent="0.2">
      <c r="A3" s="8" t="str">
        <f>'1'!$A$3</f>
        <v>Rate Level Review</v>
      </c>
      <c r="P3" s="2"/>
    </row>
    <row r="4" spans="1:20" x14ac:dyDescent="0.2">
      <c r="A4" t="s">
        <v>188</v>
      </c>
      <c r="P4" s="2"/>
    </row>
    <row r="5" spans="1:20" x14ac:dyDescent="0.2">
      <c r="P5" s="2"/>
    </row>
    <row r="6" spans="1:20" x14ac:dyDescent="0.2">
      <c r="P6" s="2"/>
    </row>
    <row r="7" spans="1:20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</row>
    <row r="8" spans="1:20" ht="12" thickTop="1" x14ac:dyDescent="0.2">
      <c r="P8" s="2"/>
    </row>
    <row r="9" spans="1:20" x14ac:dyDescent="0.2">
      <c r="B9" s="10" t="s">
        <v>191</v>
      </c>
      <c r="N9" s="11" t="s">
        <v>43</v>
      </c>
      <c r="O9" s="11" t="s">
        <v>197</v>
      </c>
      <c r="P9" s="2"/>
    </row>
    <row r="10" spans="1:20" x14ac:dyDescent="0.2">
      <c r="B10" t="s">
        <v>190</v>
      </c>
      <c r="F10" t="s">
        <v>194</v>
      </c>
      <c r="J10" s="11" t="s">
        <v>195</v>
      </c>
      <c r="N10" s="11" t="s">
        <v>12</v>
      </c>
      <c r="O10" s="11" t="s">
        <v>189</v>
      </c>
      <c r="P10" s="2"/>
    </row>
    <row r="11" spans="1:20" x14ac:dyDescent="0.2">
      <c r="A11" s="9" t="s">
        <v>38</v>
      </c>
      <c r="B11" s="9" t="s">
        <v>192</v>
      </c>
      <c r="C11" s="9"/>
      <c r="D11" s="9"/>
      <c r="E11" s="143" t="s">
        <v>193</v>
      </c>
      <c r="F11" s="9" t="s">
        <v>192</v>
      </c>
      <c r="G11" s="9"/>
      <c r="H11" s="9"/>
      <c r="I11" s="143" t="s">
        <v>193</v>
      </c>
      <c r="J11" s="143" t="s">
        <v>192</v>
      </c>
      <c r="K11" s="9"/>
      <c r="L11" s="9"/>
      <c r="M11" s="143" t="s">
        <v>193</v>
      </c>
      <c r="N11" s="143" t="s">
        <v>196</v>
      </c>
      <c r="O11" s="143" t="s">
        <v>86</v>
      </c>
      <c r="P11" s="2"/>
    </row>
    <row r="12" spans="1:20" x14ac:dyDescent="0.2">
      <c r="A12" s="13" t="str">
        <f>TEXT(COLUMN(),"(#)")</f>
        <v>(1)</v>
      </c>
      <c r="B12" s="11" t="str">
        <f>TEXT(COLUMN()-1,"(#)")</f>
        <v>(1)</v>
      </c>
      <c r="C12" s="11" t="str">
        <f>TEXT(COLUMN()-1,"(#)")</f>
        <v>(2)</v>
      </c>
      <c r="D12" s="11" t="str">
        <f>TEXT(COLUMN()-1,"(#)")</f>
        <v>(3)</v>
      </c>
      <c r="E12" s="11" t="str">
        <f t="shared" ref="E12:O12" si="0">TEXT(COLUMN()-1,"(#)")</f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11" t="str">
        <f t="shared" si="0"/>
        <v>(12)</v>
      </c>
      <c r="N12" s="11" t="str">
        <f t="shared" si="0"/>
        <v>(13)</v>
      </c>
      <c r="O12" s="11" t="str">
        <f t="shared" si="0"/>
        <v>(14)</v>
      </c>
      <c r="P12" s="2"/>
    </row>
    <row r="13" spans="1:20" x14ac:dyDescent="0.2">
      <c r="P13" s="2"/>
    </row>
    <row r="14" spans="1:20" x14ac:dyDescent="0.2">
      <c r="A14" s="22">
        <v>1980</v>
      </c>
      <c r="B14" s="60" t="s">
        <v>170</v>
      </c>
      <c r="D14" s="12"/>
      <c r="E14" s="61">
        <v>29434</v>
      </c>
      <c r="F14" s="28">
        <f>ROUND(VLOOKUP(TEXT(B14,"m/d/yy"),'9.3'!$A$14:$D$42,4,0),3)</f>
        <v>1</v>
      </c>
      <c r="G14" s="28"/>
      <c r="H14" s="28"/>
      <c r="I14" s="28">
        <f>ROUND(VLOOKUP(TEXT(E14,"m/d/yy"),'9.3'!$A$14:$D$42,4,0),3)</f>
        <v>1.175</v>
      </c>
      <c r="J14" s="55">
        <f>ROUND(IF(E14&gt;DATE($A14,1,1),MONTH(E14)-1+(DAY(E14)-1)/30,12),1)</f>
        <v>7</v>
      </c>
      <c r="K14" s="55"/>
      <c r="L14" s="55"/>
      <c r="M14" s="55">
        <f>12-SUM(J14:L14)</f>
        <v>5</v>
      </c>
      <c r="N14" s="28">
        <f>ROUND(SUMPRODUCT(F14:I14,J14:M14)/12,3)</f>
        <v>1.073</v>
      </c>
      <c r="O14" s="28">
        <f t="shared" ref="O14:O54" si="1">ROUND(N$60/N14,3)</f>
        <v>4.8689999999999998</v>
      </c>
      <c r="P14" s="234"/>
      <c r="R14" s="22"/>
      <c r="S14" s="22"/>
      <c r="T14" s="22"/>
    </row>
    <row r="15" spans="1:20" x14ac:dyDescent="0.2">
      <c r="A15" s="22">
        <v>1981</v>
      </c>
      <c r="B15" s="61">
        <v>29434</v>
      </c>
      <c r="D15" s="12"/>
      <c r="E15" s="61">
        <v>29830</v>
      </c>
      <c r="F15" s="28">
        <f>ROUND(VLOOKUP(TEXT(B15,"m/d/yy"),'9.3'!$A$14:$D$42,4,0),3)</f>
        <v>1.175</v>
      </c>
      <c r="G15" s="28"/>
      <c r="H15" s="28"/>
      <c r="I15" s="28">
        <f>ROUND(VLOOKUP(TEXT(E15,"m/d/yy"),'9.3'!$A$14:$D$42,4,0),3)</f>
        <v>1.1319999999999999</v>
      </c>
      <c r="J15" s="55">
        <f>ROUND(IF(E15&gt;DATE($A15,1,1),MONTH(E15)-1+(DAY(E15)-1)/30,12),1)</f>
        <v>8</v>
      </c>
      <c r="K15" s="55"/>
      <c r="L15" s="55"/>
      <c r="M15" s="55">
        <f t="shared" ref="M15:M36" si="2">12-SUM(J15:L15)</f>
        <v>4</v>
      </c>
      <c r="N15" s="28">
        <f t="shared" ref="N15:N36" si="3">ROUND(SUMPRODUCT(F15:I15,J15:M15)/12,3)</f>
        <v>1.161</v>
      </c>
      <c r="O15" s="28">
        <f t="shared" si="1"/>
        <v>4.5</v>
      </c>
      <c r="P15" s="234"/>
      <c r="R15" s="22"/>
      <c r="S15" s="22"/>
      <c r="T15" s="22"/>
    </row>
    <row r="16" spans="1:20" x14ac:dyDescent="0.2">
      <c r="A16" s="22">
        <v>1982</v>
      </c>
      <c r="B16" s="61">
        <v>29830</v>
      </c>
      <c r="D16" s="12"/>
      <c r="E16" s="61">
        <v>30195</v>
      </c>
      <c r="F16" s="28">
        <f>ROUND(VLOOKUP(TEXT(B16,"m/d/yy"),'9.3'!$A$14:$D$42,4,0),3)</f>
        <v>1.1319999999999999</v>
      </c>
      <c r="G16" s="28"/>
      <c r="H16" s="28"/>
      <c r="I16" s="28">
        <f>ROUND(VLOOKUP(TEXT(E16,"m/d/yy"),'9.3'!$A$14:$D$42,4,0),3)</f>
        <v>1.4279999999999999</v>
      </c>
      <c r="J16" s="55">
        <f>ROUND(IF(E16&gt;DATE($A16,1,1),MONTH(E16)-1+(DAY(E16)-1)/30,12),1)</f>
        <v>8</v>
      </c>
      <c r="K16" s="55"/>
      <c r="L16" s="55"/>
      <c r="M16" s="55">
        <f t="shared" si="2"/>
        <v>4</v>
      </c>
      <c r="N16" s="28">
        <f t="shared" si="3"/>
        <v>1.2310000000000001</v>
      </c>
      <c r="O16" s="28">
        <f t="shared" si="1"/>
        <v>4.2439999999999998</v>
      </c>
      <c r="P16" s="234"/>
      <c r="R16" s="22"/>
      <c r="S16" s="22"/>
      <c r="T16" s="22"/>
    </row>
    <row r="17" spans="1:20" x14ac:dyDescent="0.2">
      <c r="A17" s="22">
        <v>1983</v>
      </c>
      <c r="B17" s="61">
        <v>30195</v>
      </c>
      <c r="D17" s="12"/>
      <c r="E17" s="61">
        <v>30599</v>
      </c>
      <c r="F17" s="28">
        <f>ROUND(VLOOKUP(TEXT(B17,"m/d/yy"),'9.3'!$A$14:$D$42,4,0),3)</f>
        <v>1.4279999999999999</v>
      </c>
      <c r="G17" s="28"/>
      <c r="H17" s="28"/>
      <c r="I17" s="28">
        <f>ROUND(VLOOKUP(TEXT(E17,"m/d/yy"),'9.3'!$A$14:$D$42,4,0),3)</f>
        <v>1.514</v>
      </c>
      <c r="J17" s="55">
        <f>ROUND(IF(E17&gt;DATE($A17,1,1),MONTH(E17)-1+(DAY(E17)-1)/30,12),1)</f>
        <v>9.3000000000000007</v>
      </c>
      <c r="K17" s="55"/>
      <c r="L17" s="55"/>
      <c r="M17" s="55">
        <f t="shared" si="2"/>
        <v>2.6999999999999993</v>
      </c>
      <c r="N17" s="28">
        <f t="shared" si="3"/>
        <v>1.4470000000000001</v>
      </c>
      <c r="O17" s="28">
        <f t="shared" si="1"/>
        <v>3.61</v>
      </c>
      <c r="P17" s="234"/>
      <c r="R17" s="22"/>
      <c r="S17" s="22"/>
      <c r="T17" s="22"/>
    </row>
    <row r="18" spans="1:20" x14ac:dyDescent="0.2">
      <c r="A18" s="22">
        <v>1984</v>
      </c>
      <c r="B18" s="61">
        <v>30599</v>
      </c>
      <c r="D18" s="12"/>
      <c r="E18" s="61">
        <v>30599</v>
      </c>
      <c r="F18" s="28">
        <f>ROUND(VLOOKUP(TEXT(B18,"m/d/yy"),'9.3'!$A$14:$D$42,4,0),3)</f>
        <v>1.514</v>
      </c>
      <c r="G18" s="28"/>
      <c r="H18" s="28"/>
      <c r="I18" s="28">
        <f>ROUND(VLOOKUP(TEXT(E18,"m/d/yy"),'9.3'!$A$14:$D$42,4,0),3)</f>
        <v>1.514</v>
      </c>
      <c r="J18" s="55">
        <f>ROUND(IF(E18&gt;DATE($A18,1,1),MONTH(E18)-1+(DAY(E18)-1)/30,12),1)</f>
        <v>12</v>
      </c>
      <c r="K18" s="55"/>
      <c r="L18" s="55"/>
      <c r="M18" s="55">
        <f t="shared" si="2"/>
        <v>0</v>
      </c>
      <c r="N18" s="28">
        <f t="shared" si="3"/>
        <v>1.514</v>
      </c>
      <c r="O18" s="28">
        <f t="shared" si="1"/>
        <v>3.4510000000000001</v>
      </c>
      <c r="P18" s="234"/>
      <c r="R18" s="22"/>
      <c r="S18" s="22"/>
      <c r="T18" s="22"/>
    </row>
    <row r="19" spans="1:20" x14ac:dyDescent="0.2">
      <c r="A19" s="22">
        <v>1985</v>
      </c>
      <c r="B19" s="61">
        <v>30599</v>
      </c>
      <c r="C19" s="61">
        <v>31107</v>
      </c>
      <c r="D19" s="61">
        <v>31121</v>
      </c>
      <c r="E19" s="61">
        <v>31366</v>
      </c>
      <c r="F19" s="28">
        <f>ROUND(VLOOKUP(TEXT(B19,"m/d/yy"),'9.3'!$A$14:$D$42,4,0),3)</f>
        <v>1.514</v>
      </c>
      <c r="G19" s="28">
        <f>ROUND(VLOOKUP(TEXT(C19,"m/d/yy"),'9.3'!$A$14:$D$42,4,0),3)</f>
        <v>1.8919999999999999</v>
      </c>
      <c r="H19" s="28">
        <f>ROUND(VLOOKUP(TEXT(D19,"m/d/yy"),'9.3'!$A$14:$D$42,4,0),3)</f>
        <v>2.4279999999999999</v>
      </c>
      <c r="I19" s="28">
        <f>ROUND(VLOOKUP(TEXT(E19,"m/d/yy"),'9.3'!$A$14:$D$42,4,0),3)</f>
        <v>2.6509999999999998</v>
      </c>
      <c r="J19" s="62">
        <f>ROUND(IF(C19&gt;DATE($A19,1,1),MONTH(C19)-1+(DAY(C19)-1)/30,12),1)</f>
        <v>2</v>
      </c>
      <c r="K19" s="62">
        <f>ROUND(IF(D19&gt;DATE($A19,1,1),MONTH(D19)-1+(DAY(D19)-1)/30,12)-J19,1)</f>
        <v>0.5</v>
      </c>
      <c r="L19" s="62">
        <f>ROUND(IF(E19&gt;DATE($A19,1,1),MONTH(E19)-1+(DAY(E19)-1)/30,12)-J19-K19,1)</f>
        <v>8</v>
      </c>
      <c r="M19" s="55">
        <f t="shared" si="2"/>
        <v>1.5</v>
      </c>
      <c r="N19" s="28">
        <f t="shared" si="3"/>
        <v>2.2810000000000001</v>
      </c>
      <c r="O19" s="28">
        <f t="shared" si="1"/>
        <v>2.29</v>
      </c>
      <c r="P19" s="234"/>
      <c r="R19" s="22"/>
      <c r="S19" s="22"/>
      <c r="T19" s="22"/>
    </row>
    <row r="20" spans="1:20" x14ac:dyDescent="0.2">
      <c r="A20" s="22">
        <v>1986</v>
      </c>
      <c r="B20" s="61">
        <v>31366</v>
      </c>
      <c r="D20" s="12"/>
      <c r="E20" s="61">
        <v>31366</v>
      </c>
      <c r="F20" s="28">
        <f>ROUND(VLOOKUP(TEXT(B20,"m/d/yy"),'9.3'!$A$14:$D$42,4,0),3)</f>
        <v>2.6509999999999998</v>
      </c>
      <c r="G20" s="28"/>
      <c r="H20" s="28"/>
      <c r="I20" s="28">
        <f>ROUND(VLOOKUP(TEXT(E20,"m/d/yy"),'9.3'!$A$14:$D$42,4,0),3)</f>
        <v>2.6509999999999998</v>
      </c>
      <c r="J20" s="55">
        <f t="shared" ref="J20:J36" si="4">ROUND(IF(E20&gt;DATE($A20,1,1),MONTH(E20)-1+(DAY(E20)-1)/30,12),1)</f>
        <v>12</v>
      </c>
      <c r="K20" s="55"/>
      <c r="L20" s="55"/>
      <c r="M20" s="55">
        <f t="shared" si="2"/>
        <v>0</v>
      </c>
      <c r="N20" s="28">
        <f t="shared" si="3"/>
        <v>2.6509999999999998</v>
      </c>
      <c r="O20" s="28">
        <f t="shared" si="1"/>
        <v>1.9710000000000001</v>
      </c>
      <c r="P20" s="234"/>
      <c r="R20" s="22"/>
      <c r="S20" s="22"/>
      <c r="T20" s="22"/>
    </row>
    <row r="21" spans="1:20" x14ac:dyDescent="0.2">
      <c r="A21" s="22">
        <v>1987</v>
      </c>
      <c r="B21" s="61">
        <v>31366</v>
      </c>
      <c r="D21" s="12"/>
      <c r="E21" s="61">
        <v>31959</v>
      </c>
      <c r="F21" s="28">
        <f>ROUND(VLOOKUP(TEXT(B21,"m/d/yy"),'9.3'!$A$14:$D$42,4,0),3)</f>
        <v>2.6509999999999998</v>
      </c>
      <c r="G21" s="28"/>
      <c r="H21" s="28"/>
      <c r="I21" s="28">
        <f>ROUND(VLOOKUP(TEXT(E21,"m/d/yy"),'9.3'!$A$14:$D$42,4,0),3)</f>
        <v>2.407</v>
      </c>
      <c r="J21" s="55">
        <f t="shared" si="4"/>
        <v>6</v>
      </c>
      <c r="K21" s="55"/>
      <c r="L21" s="55"/>
      <c r="M21" s="55">
        <f t="shared" si="2"/>
        <v>6</v>
      </c>
      <c r="N21" s="28">
        <f t="shared" si="3"/>
        <v>2.5289999999999999</v>
      </c>
      <c r="O21" s="28">
        <f t="shared" si="1"/>
        <v>2.0659999999999998</v>
      </c>
      <c r="P21" s="234"/>
      <c r="R21" s="22"/>
      <c r="S21" s="22"/>
      <c r="T21" s="22"/>
    </row>
    <row r="22" spans="1:20" x14ac:dyDescent="0.2">
      <c r="A22" s="22">
        <v>1988</v>
      </c>
      <c r="B22" s="61">
        <v>31959</v>
      </c>
      <c r="D22" s="12"/>
      <c r="E22" s="61">
        <v>32448</v>
      </c>
      <c r="F22" s="28">
        <f>ROUND(VLOOKUP(TEXT(B22,"m/d/yy"),'9.3'!$A$14:$D$42,4,0),3)</f>
        <v>2.407</v>
      </c>
      <c r="G22" s="28"/>
      <c r="H22" s="28"/>
      <c r="I22" s="28">
        <f>ROUND(VLOOKUP(TEXT(E22,"m/d/yy"),'9.3'!$A$14:$D$42,4,0),3)</f>
        <v>2.0750000000000002</v>
      </c>
      <c r="J22" s="55">
        <f t="shared" si="4"/>
        <v>10</v>
      </c>
      <c r="K22" s="55"/>
      <c r="L22" s="55"/>
      <c r="M22" s="55">
        <f t="shared" si="2"/>
        <v>2</v>
      </c>
      <c r="N22" s="28">
        <f t="shared" si="3"/>
        <v>2.3519999999999999</v>
      </c>
      <c r="O22" s="28">
        <f t="shared" si="1"/>
        <v>2.2210000000000001</v>
      </c>
      <c r="P22" s="234"/>
      <c r="R22" s="22"/>
      <c r="S22" s="22"/>
      <c r="T22" s="22"/>
    </row>
    <row r="23" spans="1:20" x14ac:dyDescent="0.2">
      <c r="A23" s="22">
        <v>1989</v>
      </c>
      <c r="B23" s="61">
        <v>32448</v>
      </c>
      <c r="D23" s="12"/>
      <c r="E23" s="61">
        <v>32448</v>
      </c>
      <c r="F23" s="28">
        <f>ROUND(VLOOKUP(TEXT(B23,"m/d/yy"),'9.3'!$A$14:$D$42,4,0),3)</f>
        <v>2.0750000000000002</v>
      </c>
      <c r="G23" s="28"/>
      <c r="H23" s="28"/>
      <c r="I23" s="28">
        <f>ROUND(VLOOKUP(TEXT(E23,"m/d/yy"),'9.3'!$A$14:$D$42,4,0),3)</f>
        <v>2.0750000000000002</v>
      </c>
      <c r="J23" s="55">
        <f t="shared" si="4"/>
        <v>12</v>
      </c>
      <c r="K23" s="55"/>
      <c r="L23" s="55"/>
      <c r="M23" s="55">
        <f t="shared" si="2"/>
        <v>0</v>
      </c>
      <c r="N23" s="28">
        <f t="shared" si="3"/>
        <v>2.0750000000000002</v>
      </c>
      <c r="O23" s="28">
        <f t="shared" si="1"/>
        <v>2.5179999999999998</v>
      </c>
      <c r="P23" s="234"/>
      <c r="R23" s="22"/>
      <c r="S23" s="22"/>
      <c r="T23" s="22"/>
    </row>
    <row r="24" spans="1:20" x14ac:dyDescent="0.2">
      <c r="A24" s="22">
        <v>1990</v>
      </c>
      <c r="B24" s="61">
        <v>32448</v>
      </c>
      <c r="D24" s="12"/>
      <c r="E24" s="61">
        <v>32933</v>
      </c>
      <c r="F24" s="28">
        <f>ROUND(VLOOKUP(TEXT(B24,"m/d/yy"),'9.3'!$A$14:$D$42,4,0),3)</f>
        <v>2.0750000000000002</v>
      </c>
      <c r="G24" s="28"/>
      <c r="H24" s="28"/>
      <c r="I24" s="28">
        <f>ROUND(VLOOKUP(TEXT(E24,"m/d/yy"),'9.3'!$A$14:$D$42,4,0),3)</f>
        <v>2.1040000000000001</v>
      </c>
      <c r="J24" s="55">
        <f t="shared" si="4"/>
        <v>2</v>
      </c>
      <c r="K24" s="55"/>
      <c r="L24" s="55"/>
      <c r="M24" s="55">
        <f t="shared" si="2"/>
        <v>10</v>
      </c>
      <c r="N24" s="28">
        <f t="shared" si="3"/>
        <v>2.0990000000000002</v>
      </c>
      <c r="O24" s="28">
        <f t="shared" si="1"/>
        <v>2.4889999999999999</v>
      </c>
      <c r="P24" s="234"/>
      <c r="R24" s="22"/>
      <c r="S24" s="22"/>
      <c r="T24" s="22"/>
    </row>
    <row r="25" spans="1:20" x14ac:dyDescent="0.2">
      <c r="A25" s="22">
        <v>1991</v>
      </c>
      <c r="B25" s="61">
        <v>32933</v>
      </c>
      <c r="D25" s="12"/>
      <c r="E25" s="61">
        <v>33329</v>
      </c>
      <c r="F25" s="28">
        <f>ROUND(VLOOKUP(TEXT(B25,"m/d/yy"),'9.3'!$A$14:$D$42,4,0),3)</f>
        <v>2.1040000000000001</v>
      </c>
      <c r="G25" s="28"/>
      <c r="H25" s="28"/>
      <c r="I25" s="28">
        <f>ROUND(VLOOKUP(TEXT(E25,"m/d/yy"),'9.3'!$A$14:$D$42,4,0),3)</f>
        <v>2.0830000000000002</v>
      </c>
      <c r="J25" s="55">
        <f t="shared" si="4"/>
        <v>3</v>
      </c>
      <c r="K25" s="55"/>
      <c r="L25" s="55"/>
      <c r="M25" s="55">
        <f t="shared" si="2"/>
        <v>9</v>
      </c>
      <c r="N25" s="28">
        <f t="shared" si="3"/>
        <v>2.0880000000000001</v>
      </c>
      <c r="O25" s="28">
        <f t="shared" si="1"/>
        <v>2.5019999999999998</v>
      </c>
      <c r="P25" s="234"/>
      <c r="R25" s="22"/>
      <c r="S25" s="22"/>
      <c r="T25" s="22"/>
    </row>
    <row r="26" spans="1:20" x14ac:dyDescent="0.2">
      <c r="A26" s="22">
        <v>1992</v>
      </c>
      <c r="B26" s="61">
        <v>33604</v>
      </c>
      <c r="D26" s="12"/>
      <c r="E26" s="61">
        <v>33604</v>
      </c>
      <c r="F26" s="28">
        <f>ROUND(VLOOKUP(TEXT(B26,"m/d/yy"),'9.3'!$A$14:$D$42,4,0),3)</f>
        <v>1.6060000000000001</v>
      </c>
      <c r="G26" s="28"/>
      <c r="H26" s="28"/>
      <c r="I26" s="28">
        <f>ROUND(VLOOKUP(TEXT(E26,"m/d/yy"),'9.3'!$A$14:$D$42,4,0),3)</f>
        <v>1.6060000000000001</v>
      </c>
      <c r="J26" s="55">
        <f t="shared" si="4"/>
        <v>12</v>
      </c>
      <c r="K26" s="55"/>
      <c r="L26" s="55"/>
      <c r="M26" s="55">
        <f t="shared" si="2"/>
        <v>0</v>
      </c>
      <c r="N26" s="28">
        <f t="shared" si="3"/>
        <v>1.6060000000000001</v>
      </c>
      <c r="O26" s="28">
        <f t="shared" si="1"/>
        <v>3.2530000000000001</v>
      </c>
      <c r="P26" s="234"/>
      <c r="Q26" s="22">
        <v>1992</v>
      </c>
      <c r="R26" s="22"/>
      <c r="S26" s="22"/>
      <c r="T26" s="22"/>
    </row>
    <row r="27" spans="1:20" x14ac:dyDescent="0.2">
      <c r="A27" s="22">
        <v>1993</v>
      </c>
      <c r="B27" s="61">
        <v>33604</v>
      </c>
      <c r="D27" s="12"/>
      <c r="E27" s="61">
        <v>34243</v>
      </c>
      <c r="F27" s="28">
        <f>ROUND(VLOOKUP(TEXT(B27,"m/d/yy"),'9.3'!$A$14:$D$42,4,0),3)</f>
        <v>1.6060000000000001</v>
      </c>
      <c r="G27" s="28"/>
      <c r="H27" s="28"/>
      <c r="I27" s="28">
        <f>ROUND(VLOOKUP(TEXT(E27,"m/d/yy"),'9.3'!$A$14:$D$42,4,0),3)</f>
        <v>1.6060000000000001</v>
      </c>
      <c r="J27" s="55">
        <f t="shared" si="4"/>
        <v>9</v>
      </c>
      <c r="K27" s="55"/>
      <c r="L27" s="55"/>
      <c r="M27" s="55">
        <f t="shared" si="2"/>
        <v>3</v>
      </c>
      <c r="N27" s="28">
        <f t="shared" si="3"/>
        <v>1.6060000000000001</v>
      </c>
      <c r="O27" s="28">
        <f t="shared" si="1"/>
        <v>3.2530000000000001</v>
      </c>
      <c r="P27" s="234"/>
      <c r="Q27" s="22">
        <v>1993</v>
      </c>
      <c r="R27" s="22"/>
      <c r="S27" s="22"/>
      <c r="T27" s="22"/>
    </row>
    <row r="28" spans="1:20" x14ac:dyDescent="0.2">
      <c r="A28" s="22">
        <v>1994</v>
      </c>
      <c r="B28" s="61">
        <v>34243</v>
      </c>
      <c r="D28" s="12"/>
      <c r="E28" s="61">
        <v>34243</v>
      </c>
      <c r="F28" s="28">
        <f>ROUND(VLOOKUP(TEXT(B28,"m/d/yy"),'9.3'!$A$14:$D$42,4,0),3)</f>
        <v>1.6060000000000001</v>
      </c>
      <c r="G28" s="28"/>
      <c r="H28" s="28"/>
      <c r="I28" s="28">
        <f>ROUND(VLOOKUP(TEXT(E28,"m/d/yy"),'9.3'!$A$14:$D$42,4,0),3)</f>
        <v>1.6060000000000001</v>
      </c>
      <c r="J28" s="55">
        <f t="shared" si="4"/>
        <v>12</v>
      </c>
      <c r="K28" s="55"/>
      <c r="L28" s="55"/>
      <c r="M28" s="55">
        <f t="shared" si="2"/>
        <v>0</v>
      </c>
      <c r="N28" s="28">
        <f t="shared" si="3"/>
        <v>1.6060000000000001</v>
      </c>
      <c r="O28" s="28">
        <f t="shared" si="1"/>
        <v>3.2530000000000001</v>
      </c>
      <c r="P28" s="234"/>
      <c r="Q28" s="22">
        <v>1994</v>
      </c>
      <c r="R28" s="22"/>
      <c r="S28" s="22"/>
      <c r="T28" s="22"/>
    </row>
    <row r="29" spans="1:20" x14ac:dyDescent="0.2">
      <c r="A29" s="22">
        <v>1995</v>
      </c>
      <c r="B29" s="61">
        <v>34243</v>
      </c>
      <c r="D29" s="12"/>
      <c r="E29" s="61">
        <v>34243</v>
      </c>
      <c r="F29" s="28">
        <f>ROUND(VLOOKUP(TEXT(B29,"m/d/yy"),'9.3'!$A$14:$D$42,4,0),3)</f>
        <v>1.6060000000000001</v>
      </c>
      <c r="G29" s="28"/>
      <c r="H29" s="28"/>
      <c r="I29" s="28">
        <f>ROUND(VLOOKUP(TEXT(E29,"m/d/yy"),'9.3'!$A$14:$D$42,4,0),3)</f>
        <v>1.6060000000000001</v>
      </c>
      <c r="J29" s="55">
        <f t="shared" si="4"/>
        <v>12</v>
      </c>
      <c r="K29" s="55"/>
      <c r="L29" s="55"/>
      <c r="M29" s="55">
        <f t="shared" si="2"/>
        <v>0</v>
      </c>
      <c r="N29" s="28">
        <f t="shared" si="3"/>
        <v>1.6060000000000001</v>
      </c>
      <c r="O29" s="28">
        <f t="shared" si="1"/>
        <v>3.2530000000000001</v>
      </c>
      <c r="P29" s="234"/>
      <c r="Q29" s="22">
        <v>1995</v>
      </c>
      <c r="R29" s="22"/>
      <c r="S29" s="22"/>
      <c r="T29" s="22"/>
    </row>
    <row r="30" spans="1:20" x14ac:dyDescent="0.2">
      <c r="A30" s="22">
        <v>1996</v>
      </c>
      <c r="B30" s="61">
        <v>34243</v>
      </c>
      <c r="D30" s="12"/>
      <c r="E30" s="61">
        <v>34243</v>
      </c>
      <c r="F30" s="28">
        <f>ROUND(VLOOKUP(TEXT(B30,"m/d/yy"),'9.3'!$A$14:$D$42,4,0),3)</f>
        <v>1.6060000000000001</v>
      </c>
      <c r="G30" s="28"/>
      <c r="H30" s="28"/>
      <c r="I30" s="28">
        <f>ROUND(VLOOKUP(TEXT(E30,"m/d/yy"),'9.3'!$A$14:$D$42,4,0),3)</f>
        <v>1.6060000000000001</v>
      </c>
      <c r="J30" s="55">
        <f t="shared" si="4"/>
        <v>12</v>
      </c>
      <c r="K30" s="55"/>
      <c r="L30" s="55"/>
      <c r="M30" s="55">
        <f t="shared" si="2"/>
        <v>0</v>
      </c>
      <c r="N30" s="28">
        <f>ROUND(SUMPRODUCT(F30:I30,J30:M30)/12,3)</f>
        <v>1.6060000000000001</v>
      </c>
      <c r="O30" s="28">
        <f t="shared" si="1"/>
        <v>3.2530000000000001</v>
      </c>
      <c r="P30" s="234"/>
      <c r="Q30" s="22">
        <v>1996</v>
      </c>
      <c r="R30" s="22"/>
      <c r="S30" s="22"/>
      <c r="T30" s="22"/>
    </row>
    <row r="31" spans="1:20" x14ac:dyDescent="0.2">
      <c r="A31" s="22">
        <v>1997</v>
      </c>
      <c r="B31" s="61">
        <v>34243</v>
      </c>
      <c r="D31" s="12"/>
      <c r="E31" s="61">
        <v>34243</v>
      </c>
      <c r="F31" s="28">
        <f>ROUND(VLOOKUP(TEXT(B31,"m/d/yy"),'9.3'!$A$14:$D$42,4,0),3)</f>
        <v>1.6060000000000001</v>
      </c>
      <c r="G31" s="28"/>
      <c r="H31" s="28"/>
      <c r="I31" s="28">
        <f>ROUND(VLOOKUP(TEXT(E31,"m/d/yy"),'9.3'!$A$14:$D$42,4,0),3)</f>
        <v>1.6060000000000001</v>
      </c>
      <c r="J31" s="55">
        <f t="shared" si="4"/>
        <v>12</v>
      </c>
      <c r="K31" s="55"/>
      <c r="L31" s="55"/>
      <c r="M31" s="55">
        <f t="shared" si="2"/>
        <v>0</v>
      </c>
      <c r="N31" s="28">
        <f t="shared" si="3"/>
        <v>1.6060000000000001</v>
      </c>
      <c r="O31" s="28">
        <f t="shared" si="1"/>
        <v>3.2530000000000001</v>
      </c>
      <c r="P31" s="234"/>
      <c r="Q31" s="22">
        <v>1997</v>
      </c>
      <c r="R31" s="22"/>
      <c r="S31" s="22"/>
      <c r="T31" s="22"/>
    </row>
    <row r="32" spans="1:20" x14ac:dyDescent="0.2">
      <c r="A32" s="22">
        <v>1998</v>
      </c>
      <c r="B32" s="61">
        <v>35796</v>
      </c>
      <c r="D32" s="12"/>
      <c r="E32" s="61">
        <v>35796</v>
      </c>
      <c r="F32" s="28">
        <f>ROUND(VLOOKUP(TEXT(B32,"m/d/yy"),'9.3'!$A$14:$D$42,4,0),3)</f>
        <v>1.5580000000000001</v>
      </c>
      <c r="G32" s="28"/>
      <c r="H32" s="28"/>
      <c r="I32" s="28">
        <f>ROUND(VLOOKUP(TEXT(E32,"m/d/yy"),'9.3'!$A$14:$D$42,4,0),3)</f>
        <v>1.5580000000000001</v>
      </c>
      <c r="J32" s="55">
        <f t="shared" si="4"/>
        <v>12</v>
      </c>
      <c r="K32" s="55"/>
      <c r="L32" s="55"/>
      <c r="M32" s="55">
        <f t="shared" si="2"/>
        <v>0</v>
      </c>
      <c r="N32" s="28">
        <f t="shared" si="3"/>
        <v>1.5580000000000001</v>
      </c>
      <c r="O32" s="28">
        <f t="shared" si="1"/>
        <v>3.3530000000000002</v>
      </c>
      <c r="P32" s="234"/>
      <c r="Q32" s="22">
        <v>1998</v>
      </c>
      <c r="R32" s="22"/>
      <c r="S32" s="22"/>
      <c r="T32" s="22"/>
    </row>
    <row r="33" spans="1:20" x14ac:dyDescent="0.2">
      <c r="A33" s="22">
        <v>1999</v>
      </c>
      <c r="B33" s="61">
        <v>35796</v>
      </c>
      <c r="D33" s="123"/>
      <c r="E33" s="61">
        <v>35796</v>
      </c>
      <c r="F33" s="28">
        <f>ROUND(VLOOKUP(TEXT(B33,"m/d/yy"),'9.3'!$A$14:$D$42,4,0),3)</f>
        <v>1.5580000000000001</v>
      </c>
      <c r="G33" s="28"/>
      <c r="H33" s="28"/>
      <c r="I33" s="28">
        <f>ROUND(VLOOKUP(TEXT(E33,"m/d/yy"),'9.3'!$A$14:$D$42,4,0),3)</f>
        <v>1.5580000000000001</v>
      </c>
      <c r="J33" s="55">
        <f t="shared" si="4"/>
        <v>12</v>
      </c>
      <c r="K33" s="55"/>
      <c r="L33" s="55"/>
      <c r="M33" s="55">
        <f t="shared" si="2"/>
        <v>0</v>
      </c>
      <c r="N33" s="28">
        <f t="shared" si="3"/>
        <v>1.5580000000000001</v>
      </c>
      <c r="O33" s="28">
        <f t="shared" si="1"/>
        <v>3.3530000000000002</v>
      </c>
      <c r="P33" s="234"/>
      <c r="Q33" s="22">
        <v>1999</v>
      </c>
      <c r="R33" s="22"/>
      <c r="S33" s="22"/>
      <c r="T33" s="22"/>
    </row>
    <row r="34" spans="1:20" x14ac:dyDescent="0.2">
      <c r="A34" s="22">
        <v>2000</v>
      </c>
      <c r="B34" s="61">
        <v>36526</v>
      </c>
      <c r="D34" s="12"/>
      <c r="E34" s="61">
        <v>36526</v>
      </c>
      <c r="F34" s="28">
        <f>ROUND(VLOOKUP(TEXT(B34,"m/d/yy"),'9.3'!$A$14:$D$42,4,0),3)</f>
        <v>1.698</v>
      </c>
      <c r="G34" s="28"/>
      <c r="H34" s="28"/>
      <c r="I34" s="28">
        <f>ROUND(VLOOKUP(TEXT(E34,"m/d/yy"),'9.3'!$A$14:$D$42,4,0),3)</f>
        <v>1.698</v>
      </c>
      <c r="J34" s="55">
        <f t="shared" si="4"/>
        <v>12</v>
      </c>
      <c r="K34" s="55"/>
      <c r="L34" s="55"/>
      <c r="M34" s="55">
        <f t="shared" si="2"/>
        <v>0</v>
      </c>
      <c r="N34" s="28">
        <f t="shared" si="3"/>
        <v>1.698</v>
      </c>
      <c r="O34" s="28">
        <f t="shared" si="1"/>
        <v>3.077</v>
      </c>
      <c r="P34" s="234"/>
      <c r="Q34" s="22">
        <v>2000</v>
      </c>
      <c r="R34" s="22"/>
      <c r="S34" s="22"/>
      <c r="T34" s="22"/>
    </row>
    <row r="35" spans="1:20" x14ac:dyDescent="0.2">
      <c r="A35" s="22">
        <v>2001</v>
      </c>
      <c r="B35" s="61">
        <v>36892</v>
      </c>
      <c r="D35" s="12"/>
      <c r="E35" s="61">
        <v>36892</v>
      </c>
      <c r="F35" s="28">
        <f>ROUND(VLOOKUP(TEXT(B35,"m/d/yy"),'9.3'!$A$14:$D$42,4,0),3)</f>
        <v>1.766</v>
      </c>
      <c r="G35" s="28"/>
      <c r="H35" s="28"/>
      <c r="I35" s="28">
        <f>ROUND(VLOOKUP(TEXT(E35,"m/d/yy"),'9.3'!$A$14:$D$42,4,0),3)</f>
        <v>1.766</v>
      </c>
      <c r="J35" s="55">
        <f t="shared" si="4"/>
        <v>12</v>
      </c>
      <c r="K35" s="55"/>
      <c r="L35" s="55"/>
      <c r="M35" s="55">
        <f t="shared" si="2"/>
        <v>0</v>
      </c>
      <c r="N35" s="28">
        <f t="shared" si="3"/>
        <v>1.766</v>
      </c>
      <c r="O35" s="28">
        <f t="shared" si="1"/>
        <v>2.9580000000000002</v>
      </c>
      <c r="P35" s="234"/>
      <c r="Q35" s="22">
        <v>2001</v>
      </c>
      <c r="R35" s="22"/>
      <c r="S35" s="22"/>
      <c r="T35" s="22"/>
    </row>
    <row r="36" spans="1:20" x14ac:dyDescent="0.2">
      <c r="A36" s="22">
        <v>2002</v>
      </c>
      <c r="B36" s="61">
        <v>37257</v>
      </c>
      <c r="D36" s="12"/>
      <c r="E36" s="61">
        <v>37257</v>
      </c>
      <c r="F36" s="28">
        <f>ROUND(VLOOKUP(TEXT(B36,"m/d/yy"),'9.3'!$A$14:$D$42,4,0),3)</f>
        <v>1.8540000000000001</v>
      </c>
      <c r="I36" s="28">
        <f>ROUND(VLOOKUP(TEXT(E36,"m/d/yy"),'9.3'!$A$14:$D$42,4,0),3)</f>
        <v>1.8540000000000001</v>
      </c>
      <c r="J36" s="55">
        <f t="shared" si="4"/>
        <v>12</v>
      </c>
      <c r="M36" s="55">
        <f t="shared" si="2"/>
        <v>0</v>
      </c>
      <c r="N36" s="28">
        <f t="shared" si="3"/>
        <v>1.8540000000000001</v>
      </c>
      <c r="O36" s="28">
        <f t="shared" si="1"/>
        <v>2.8180000000000001</v>
      </c>
      <c r="P36" s="234"/>
      <c r="Q36" s="22">
        <v>2002</v>
      </c>
      <c r="R36" s="22"/>
      <c r="S36" s="22"/>
      <c r="T36" s="22"/>
    </row>
    <row r="37" spans="1:20" x14ac:dyDescent="0.2">
      <c r="A37" s="22">
        <v>2003</v>
      </c>
      <c r="B37" s="61">
        <v>37622</v>
      </c>
      <c r="D37" s="12"/>
      <c r="E37" s="61">
        <v>37622</v>
      </c>
      <c r="F37" s="28">
        <f>ROUND(VLOOKUP(TEXT(B37,"m/d/yy"),'9.3'!$A$14:$D$42,4,0),3)</f>
        <v>2.0390000000000001</v>
      </c>
      <c r="I37" s="28">
        <f>ROUND(VLOOKUP(TEXT(E37,"m/d/yy"),'9.3'!$A$14:$D$42,4,0),3)</f>
        <v>2.0390000000000001</v>
      </c>
      <c r="J37" s="55">
        <f t="shared" ref="J37:J47" si="5">ROUND(IF(E37&gt;DATE($A37,1,1),MONTH(E37)-1+(DAY(E37)-1)/30,12),1)</f>
        <v>12</v>
      </c>
      <c r="M37" s="55">
        <f t="shared" ref="M37:M44" si="6">12-SUM(J37:L37)</f>
        <v>0</v>
      </c>
      <c r="N37" s="28">
        <f t="shared" ref="N37:N43" si="7">ROUND(SUMPRODUCT(F37:I37,J37:M37)/12,3)</f>
        <v>2.0390000000000001</v>
      </c>
      <c r="O37" s="28">
        <f t="shared" si="1"/>
        <v>2.5619999999999998</v>
      </c>
      <c r="P37" s="234"/>
      <c r="Q37" s="22">
        <v>2003</v>
      </c>
      <c r="R37" s="22"/>
      <c r="S37" s="22"/>
      <c r="T37" s="22"/>
    </row>
    <row r="38" spans="1:20" x14ac:dyDescent="0.2">
      <c r="A38" s="22">
        <v>2004</v>
      </c>
      <c r="B38" s="61">
        <v>37987</v>
      </c>
      <c r="D38" s="12"/>
      <c r="E38" s="61">
        <v>37987</v>
      </c>
      <c r="F38" s="28">
        <f>ROUND(VLOOKUP(TEXT(B38,"m/d/yy"),'9.3'!$A$14:$D$42,4,0),3)</f>
        <v>2.2429999999999999</v>
      </c>
      <c r="I38" s="28">
        <f>ROUND(VLOOKUP(TEXT(E38,"m/d/yy"),'9.3'!$A$14:$D$42,4,0),3)</f>
        <v>2.2429999999999999</v>
      </c>
      <c r="J38" s="55">
        <f t="shared" si="5"/>
        <v>12</v>
      </c>
      <c r="M38" s="55">
        <f t="shared" si="6"/>
        <v>0</v>
      </c>
      <c r="N38" s="28">
        <f t="shared" si="7"/>
        <v>2.2429999999999999</v>
      </c>
      <c r="O38" s="28">
        <f t="shared" si="1"/>
        <v>2.3290000000000002</v>
      </c>
      <c r="P38" s="234"/>
      <c r="Q38" s="22">
        <v>2004</v>
      </c>
      <c r="R38" s="22"/>
      <c r="S38" s="22"/>
      <c r="T38" s="22"/>
    </row>
    <row r="39" spans="1:20" x14ac:dyDescent="0.2">
      <c r="A39" s="22">
        <v>2005</v>
      </c>
      <c r="B39" s="61">
        <v>38353</v>
      </c>
      <c r="D39" s="12"/>
      <c r="E39" s="61">
        <v>38353</v>
      </c>
      <c r="F39" s="28">
        <f>ROUND(VLOOKUP(TEXT(B39,"m/d/yy"),'9.3'!$A$14:$D$42,4,0),3)</f>
        <v>2.468</v>
      </c>
      <c r="I39" s="28">
        <f>ROUND(VLOOKUP(TEXT(E39,"m/d/yy"),'9.3'!$A$14:$D$42,4,0),3)</f>
        <v>2.468</v>
      </c>
      <c r="J39" s="55">
        <f t="shared" si="5"/>
        <v>12</v>
      </c>
      <c r="M39" s="55">
        <f t="shared" si="6"/>
        <v>0</v>
      </c>
      <c r="N39" s="28">
        <f>ROUND(SUMPRODUCT(F39:I39,J39:M39)/12,3)</f>
        <v>2.468</v>
      </c>
      <c r="O39" s="28">
        <f t="shared" si="1"/>
        <v>2.117</v>
      </c>
      <c r="P39" s="234"/>
      <c r="Q39" s="22">
        <v>2005</v>
      </c>
      <c r="R39" s="22"/>
      <c r="S39" s="22"/>
      <c r="T39" s="22"/>
    </row>
    <row r="40" spans="1:20" x14ac:dyDescent="0.2">
      <c r="A40" s="22">
        <v>2006</v>
      </c>
      <c r="B40" s="61">
        <v>38718</v>
      </c>
      <c r="C40" s="61"/>
      <c r="D40" s="12"/>
      <c r="E40" s="61">
        <v>38961</v>
      </c>
      <c r="F40" s="28">
        <f>ROUND(VLOOKUP(TEXT(B40,"m/d/yy"),'9.3'!$A$14:$D$42,4,0),3)</f>
        <v>2.5910000000000002</v>
      </c>
      <c r="I40" s="28">
        <f>ROUND(VLOOKUP(TEXT(E40,"m/d/yy"),'9.3'!$A$14:$D$42,4,0),3)</f>
        <v>2.798</v>
      </c>
      <c r="J40" s="55">
        <f t="shared" si="5"/>
        <v>8</v>
      </c>
      <c r="K40" s="62"/>
      <c r="M40" s="55">
        <f t="shared" si="6"/>
        <v>4</v>
      </c>
      <c r="N40" s="28">
        <f t="shared" si="7"/>
        <v>2.66</v>
      </c>
      <c r="O40" s="28">
        <f t="shared" si="1"/>
        <v>1.964</v>
      </c>
      <c r="P40" s="234"/>
      <c r="Q40" s="22">
        <v>2006</v>
      </c>
      <c r="R40" s="22"/>
      <c r="S40" s="22"/>
      <c r="T40" s="22"/>
    </row>
    <row r="41" spans="1:20" x14ac:dyDescent="0.2">
      <c r="A41" s="22">
        <v>2007</v>
      </c>
      <c r="B41" s="61">
        <v>39083</v>
      </c>
      <c r="E41" s="61">
        <v>39083</v>
      </c>
      <c r="F41" s="28">
        <f>ROUND(VLOOKUP(TEXT(B41,"m/d/yy"),'9.3'!$A$14:$D$42,4,0),3)</f>
        <v>2.9020000000000001</v>
      </c>
      <c r="I41" s="28">
        <f>ROUND(VLOOKUP(TEXT(E41,"m/d/yy"),'9.3'!$A$14:$D$42,4,0),3)</f>
        <v>2.9020000000000001</v>
      </c>
      <c r="J41" s="55">
        <f t="shared" si="5"/>
        <v>12</v>
      </c>
      <c r="M41" s="55">
        <f t="shared" si="6"/>
        <v>0</v>
      </c>
      <c r="N41" s="28">
        <f t="shared" si="7"/>
        <v>2.9020000000000001</v>
      </c>
      <c r="O41" s="28">
        <f t="shared" si="1"/>
        <v>1.8</v>
      </c>
      <c r="P41" s="234"/>
      <c r="Q41" s="22">
        <v>2007</v>
      </c>
      <c r="R41" s="22"/>
      <c r="S41" s="22"/>
      <c r="T41" s="22"/>
    </row>
    <row r="42" spans="1:20" x14ac:dyDescent="0.2">
      <c r="A42" s="22">
        <v>2008</v>
      </c>
      <c r="B42" s="61">
        <v>39083</v>
      </c>
      <c r="C42" s="61"/>
      <c r="E42" s="61">
        <v>39479</v>
      </c>
      <c r="F42" s="28">
        <f>ROUND(VLOOKUP(TEXT(B42,"m/d/yy"),'9.3'!$A$14:$D$42,4,0),3)</f>
        <v>2.9020000000000001</v>
      </c>
      <c r="I42" s="28">
        <f>ROUND(VLOOKUP(TEXT(E42,"m/d/yy"),'9.3'!$A$14:$D$42,4,0),3)</f>
        <v>3.0590000000000002</v>
      </c>
      <c r="J42" s="55">
        <f t="shared" si="5"/>
        <v>1</v>
      </c>
      <c r="K42" s="62"/>
      <c r="M42" s="55">
        <f t="shared" si="6"/>
        <v>11</v>
      </c>
      <c r="N42" s="28">
        <f>ROUND(SUMPRODUCT(F42:I42,J42:M42)/12,3)</f>
        <v>3.0459999999999998</v>
      </c>
      <c r="O42" s="28">
        <f t="shared" si="1"/>
        <v>1.7150000000000001</v>
      </c>
      <c r="P42" s="234"/>
      <c r="Q42" s="22">
        <v>2008</v>
      </c>
      <c r="R42" s="22"/>
      <c r="S42" s="22"/>
      <c r="T42" s="22"/>
    </row>
    <row r="43" spans="1:20" x14ac:dyDescent="0.2">
      <c r="A43" s="22">
        <v>2009</v>
      </c>
      <c r="B43" s="61">
        <v>39479</v>
      </c>
      <c r="C43" s="61"/>
      <c r="E43" s="61">
        <v>39845</v>
      </c>
      <c r="F43" s="28">
        <f>ROUND(VLOOKUP(TEXT(B43,"m/d/yy"),'9.3'!$A$14:$D$42,4,0),3)</f>
        <v>3.0590000000000002</v>
      </c>
      <c r="I43" s="28">
        <f>ROUND(VLOOKUP(TEXT(E43,"m/d/yy"),'9.3'!$A$14:$D$42,4,0),3)</f>
        <v>3.536</v>
      </c>
      <c r="J43" s="55">
        <f t="shared" si="5"/>
        <v>1</v>
      </c>
      <c r="K43" s="62"/>
      <c r="M43" s="55">
        <f t="shared" si="6"/>
        <v>11</v>
      </c>
      <c r="N43" s="28">
        <f t="shared" si="7"/>
        <v>3.496</v>
      </c>
      <c r="O43" s="28">
        <f t="shared" si="1"/>
        <v>1.494</v>
      </c>
      <c r="P43" s="234"/>
      <c r="Q43" s="22">
        <v>2009</v>
      </c>
      <c r="R43" s="22"/>
      <c r="S43" s="22"/>
      <c r="T43" s="22"/>
    </row>
    <row r="44" spans="1:20" x14ac:dyDescent="0.2">
      <c r="A44" s="22">
        <v>2010</v>
      </c>
      <c r="B44" s="61">
        <v>39845</v>
      </c>
      <c r="C44" s="61"/>
      <c r="E44" s="61">
        <v>39845</v>
      </c>
      <c r="F44" s="28">
        <f>ROUND(VLOOKUP(TEXT(B44,"m/d/yy"),'9.3'!$A$14:$D$42,4,0),3)</f>
        <v>3.536</v>
      </c>
      <c r="I44" s="28">
        <f>ROUND(VLOOKUP(TEXT(E44,"m/d/yy"),'9.3'!$A$14:$D$42,4,0),3)</f>
        <v>3.536</v>
      </c>
      <c r="J44" s="55">
        <f t="shared" si="5"/>
        <v>12</v>
      </c>
      <c r="K44" s="62"/>
      <c r="M44" s="55">
        <f t="shared" si="6"/>
        <v>0</v>
      </c>
      <c r="N44" s="28">
        <f t="shared" ref="N44:N50" si="8">ROUND(SUMPRODUCT(F44:I44,J44:M44)/12,3)</f>
        <v>3.536</v>
      </c>
      <c r="O44" s="28">
        <f t="shared" si="1"/>
        <v>1.4770000000000001</v>
      </c>
      <c r="P44" s="234"/>
      <c r="Q44" s="22">
        <v>2010</v>
      </c>
      <c r="R44" s="22"/>
      <c r="S44" s="22"/>
      <c r="T44" s="22"/>
    </row>
    <row r="45" spans="1:20" x14ac:dyDescent="0.2">
      <c r="A45" s="22">
        <v>2011</v>
      </c>
      <c r="B45" s="61">
        <v>40544</v>
      </c>
      <c r="C45" s="61"/>
      <c r="E45" s="61">
        <v>40544</v>
      </c>
      <c r="F45" s="28">
        <f>ROUND(VLOOKUP(TEXT(B45,"m/d/yy"),'9.3'!$A$14:$D$42,4,0),3)</f>
        <v>3.7130000000000001</v>
      </c>
      <c r="I45" s="28">
        <f>ROUND(VLOOKUP(TEXT(E45,"m/d/yy"),'9.3'!$A$14:$D$42,4,0),3)</f>
        <v>3.7130000000000001</v>
      </c>
      <c r="J45" s="55">
        <f t="shared" si="5"/>
        <v>12</v>
      </c>
      <c r="M45" s="55">
        <v>0</v>
      </c>
      <c r="N45" s="28">
        <f t="shared" si="8"/>
        <v>3.7130000000000001</v>
      </c>
      <c r="O45" s="28">
        <f t="shared" si="1"/>
        <v>1.407</v>
      </c>
      <c r="P45" s="234"/>
      <c r="Q45" s="22">
        <v>2011</v>
      </c>
      <c r="R45" s="22"/>
      <c r="S45" s="22"/>
      <c r="T45" s="22"/>
    </row>
    <row r="46" spans="1:20" x14ac:dyDescent="0.2">
      <c r="A46" s="22">
        <v>2012</v>
      </c>
      <c r="B46" s="61">
        <v>40909</v>
      </c>
      <c r="C46" s="61"/>
      <c r="E46" s="61">
        <v>40909</v>
      </c>
      <c r="F46" s="28">
        <f>ROUND(VLOOKUP(TEXT(B46,"m/d/yy"),'9.3'!$A$14:$D$42,4,0),3)</f>
        <v>3.8980000000000001</v>
      </c>
      <c r="I46" s="28">
        <f>ROUND(VLOOKUP(TEXT(E46,"m/d/yy"),'9.3'!$A$14:$D$42,4,0),3)</f>
        <v>3.8980000000000001</v>
      </c>
      <c r="J46" s="55">
        <v>12</v>
      </c>
      <c r="K46" s="62"/>
      <c r="M46" s="55">
        <f>12-SUM(J46:L46)</f>
        <v>0</v>
      </c>
      <c r="N46" s="28">
        <f t="shared" si="8"/>
        <v>3.8980000000000001</v>
      </c>
      <c r="O46" s="28">
        <f t="shared" si="1"/>
        <v>1.34</v>
      </c>
      <c r="P46" s="234"/>
      <c r="Q46" s="22">
        <v>2012</v>
      </c>
      <c r="R46" s="22"/>
      <c r="S46" s="22"/>
      <c r="T46" s="22"/>
    </row>
    <row r="47" spans="1:20" x14ac:dyDescent="0.2">
      <c r="A47" s="22">
        <v>2013</v>
      </c>
      <c r="B47" s="61">
        <v>41275</v>
      </c>
      <c r="C47" s="61"/>
      <c r="E47" s="61">
        <v>41275</v>
      </c>
      <c r="F47" s="28">
        <f>ROUND(VLOOKUP(TEXT(B47,"m/d/yy"),'9.3'!$A$14:$D$42,4,0),3)</f>
        <v>4.093</v>
      </c>
      <c r="I47" s="28">
        <f>ROUND(VLOOKUP(TEXT(E47,"m/d/yy"),'9.3'!$A$14:$D$42,4,0),3)</f>
        <v>4.093</v>
      </c>
      <c r="J47" s="55">
        <f t="shared" si="5"/>
        <v>12</v>
      </c>
      <c r="M47" s="55">
        <v>0</v>
      </c>
      <c r="N47" s="28">
        <f t="shared" si="8"/>
        <v>4.093</v>
      </c>
      <c r="O47" s="28">
        <f t="shared" si="1"/>
        <v>1.276</v>
      </c>
      <c r="P47" s="234"/>
      <c r="Q47" s="22">
        <v>2013</v>
      </c>
      <c r="R47" s="218"/>
      <c r="S47" s="22"/>
      <c r="T47" s="22"/>
    </row>
    <row r="48" spans="1:20" x14ac:dyDescent="0.2">
      <c r="A48" s="22">
        <v>2014</v>
      </c>
      <c r="B48" s="61">
        <v>41640</v>
      </c>
      <c r="C48" s="61"/>
      <c r="E48" s="61">
        <v>41640</v>
      </c>
      <c r="F48" s="28">
        <f>ROUND(VLOOKUP(TEXT(B48,"m/d/yy"),'9.3'!$A$14:$D$43,4,0),3)</f>
        <v>4.298</v>
      </c>
      <c r="I48" s="28">
        <f>ROUND(VLOOKUP(TEXT(E48,"m/d/yy"),'9.3'!$A$14:$D$43,4,0),3)</f>
        <v>4.298</v>
      </c>
      <c r="J48" s="55">
        <f>ROUND(IF(E48&gt;DATE($A48,1,1),MONTH(E48)-1+(DAY(E48)-1)/30,12),1)</f>
        <v>12</v>
      </c>
      <c r="M48" s="55">
        <v>0</v>
      </c>
      <c r="N48" s="28">
        <f t="shared" si="8"/>
        <v>4.298</v>
      </c>
      <c r="O48" s="28">
        <f t="shared" si="1"/>
        <v>1.2150000000000001</v>
      </c>
      <c r="P48" s="234"/>
      <c r="Q48" s="22">
        <v>2014</v>
      </c>
      <c r="R48" s="218"/>
      <c r="S48" s="22"/>
      <c r="T48" s="22"/>
    </row>
    <row r="49" spans="1:17" x14ac:dyDescent="0.2">
      <c r="A49" s="22">
        <v>2015</v>
      </c>
      <c r="B49" s="61">
        <v>42005</v>
      </c>
      <c r="C49" s="61"/>
      <c r="E49" s="61">
        <v>42370</v>
      </c>
      <c r="F49" s="28">
        <f>'9.3'!D44</f>
        <v>4.5127887177469237</v>
      </c>
      <c r="I49" s="28">
        <f t="shared" ref="I49:I55" si="9">F49</f>
        <v>4.5127887177469237</v>
      </c>
      <c r="J49" s="55">
        <v>12</v>
      </c>
      <c r="M49" s="55">
        <v>0</v>
      </c>
      <c r="N49" s="28">
        <f t="shared" si="8"/>
        <v>4.5129999999999999</v>
      </c>
      <c r="O49" s="28">
        <f t="shared" si="1"/>
        <v>1.1579999999999999</v>
      </c>
      <c r="P49" s="234"/>
      <c r="Q49" s="22">
        <v>2015</v>
      </c>
    </row>
    <row r="50" spans="1:17" x14ac:dyDescent="0.2">
      <c r="A50" s="22">
        <v>2016</v>
      </c>
      <c r="B50" s="61">
        <v>42370</v>
      </c>
      <c r="C50" s="61"/>
      <c r="E50" s="61">
        <v>42736</v>
      </c>
      <c r="F50" s="28">
        <f>'9.3'!D45</f>
        <v>4.7384281536342705</v>
      </c>
      <c r="I50" s="28">
        <f t="shared" si="9"/>
        <v>4.7384281536342705</v>
      </c>
      <c r="J50" s="55">
        <v>12</v>
      </c>
      <c r="M50" s="55">
        <v>0</v>
      </c>
      <c r="N50" s="28">
        <f t="shared" si="8"/>
        <v>4.7380000000000004</v>
      </c>
      <c r="O50" s="28">
        <f t="shared" si="1"/>
        <v>1.103</v>
      </c>
      <c r="P50" s="234"/>
      <c r="Q50" s="22">
        <v>2016</v>
      </c>
    </row>
    <row r="51" spans="1:17" x14ac:dyDescent="0.2">
      <c r="A51" s="22">
        <v>2017</v>
      </c>
      <c r="B51" s="61">
        <v>42736</v>
      </c>
      <c r="C51" s="61"/>
      <c r="E51" s="61">
        <v>43101</v>
      </c>
      <c r="F51" s="28">
        <f>'9.3'!D46</f>
        <v>4.7384281536342705</v>
      </c>
      <c r="I51" s="28">
        <f t="shared" si="9"/>
        <v>4.7384281536342705</v>
      </c>
      <c r="J51" s="55">
        <v>12</v>
      </c>
      <c r="M51" s="55">
        <v>0</v>
      </c>
      <c r="N51" s="28">
        <f t="shared" ref="N51:N56" si="10">ROUND(SUMPRODUCT(F51:I51,J51:M51)/12,3)</f>
        <v>4.7380000000000004</v>
      </c>
      <c r="O51" s="28">
        <f>ROUND(N$60/N51,3)</f>
        <v>1.103</v>
      </c>
      <c r="P51" s="234"/>
      <c r="Q51" s="22">
        <v>2017</v>
      </c>
    </row>
    <row r="52" spans="1:17" x14ac:dyDescent="0.2">
      <c r="A52" s="22">
        <v>2018</v>
      </c>
      <c r="B52" s="61">
        <v>43101</v>
      </c>
      <c r="C52" s="61"/>
      <c r="E52" s="61">
        <v>43466</v>
      </c>
      <c r="F52" s="28">
        <f>'9.3'!D47</f>
        <v>4.9753495613159844</v>
      </c>
      <c r="I52" s="28">
        <f t="shared" si="9"/>
        <v>4.9753495613159844</v>
      </c>
      <c r="J52" s="55">
        <v>12</v>
      </c>
      <c r="M52" s="55">
        <v>0</v>
      </c>
      <c r="N52" s="28">
        <f t="shared" si="10"/>
        <v>4.9749999999999996</v>
      </c>
      <c r="O52" s="28">
        <f t="shared" si="1"/>
        <v>1.05</v>
      </c>
      <c r="P52" s="234"/>
      <c r="Q52" s="22">
        <v>2018</v>
      </c>
    </row>
    <row r="53" spans="1:17" x14ac:dyDescent="0.2">
      <c r="A53" s="22">
        <v>2019</v>
      </c>
      <c r="B53" s="61">
        <v>43466</v>
      </c>
      <c r="C53" s="61"/>
      <c r="E53" s="61">
        <v>43831</v>
      </c>
      <c r="F53" s="28">
        <f>'9.3'!D48</f>
        <v>4.9753495613159844</v>
      </c>
      <c r="I53" s="28">
        <f t="shared" si="9"/>
        <v>4.9753495613159844</v>
      </c>
      <c r="J53" s="55">
        <v>12</v>
      </c>
      <c r="M53" s="55">
        <v>0</v>
      </c>
      <c r="N53" s="28">
        <f t="shared" si="10"/>
        <v>4.9749999999999996</v>
      </c>
      <c r="O53" s="28">
        <f t="shared" si="1"/>
        <v>1.05</v>
      </c>
      <c r="P53" s="234"/>
      <c r="Q53" s="22">
        <v>2019</v>
      </c>
    </row>
    <row r="54" spans="1:17" x14ac:dyDescent="0.2">
      <c r="A54" s="22">
        <v>2020</v>
      </c>
      <c r="B54" s="61">
        <v>43831</v>
      </c>
      <c r="C54" s="61"/>
      <c r="E54" s="61">
        <v>44197</v>
      </c>
      <c r="F54" s="28">
        <f>'9.3'!D49</f>
        <v>4.9753495613159844</v>
      </c>
      <c r="I54" s="28">
        <f t="shared" si="9"/>
        <v>4.9753495613159844</v>
      </c>
      <c r="J54" s="55">
        <v>12</v>
      </c>
      <c r="M54" s="55">
        <v>0</v>
      </c>
      <c r="N54" s="28">
        <f t="shared" si="10"/>
        <v>4.9749999999999996</v>
      </c>
      <c r="O54" s="28">
        <f t="shared" si="1"/>
        <v>1.05</v>
      </c>
      <c r="P54" s="234"/>
      <c r="Q54" s="22">
        <v>2020</v>
      </c>
    </row>
    <row r="55" spans="1:17" x14ac:dyDescent="0.2">
      <c r="A55" s="22">
        <v>2021</v>
      </c>
      <c r="B55" s="61">
        <v>44197</v>
      </c>
      <c r="C55" s="61"/>
      <c r="E55" s="61">
        <v>44562</v>
      </c>
      <c r="F55" s="28">
        <f>'9.3'!D50</f>
        <v>4.9753495613159844</v>
      </c>
      <c r="I55" s="28">
        <f t="shared" si="9"/>
        <v>4.9753495613159844</v>
      </c>
      <c r="J55" s="55">
        <v>12</v>
      </c>
      <c r="M55" s="55">
        <v>0</v>
      </c>
      <c r="N55" s="28">
        <f t="shared" si="10"/>
        <v>4.9749999999999996</v>
      </c>
      <c r="O55" s="28">
        <f>ROUND(N$60/N55,3)</f>
        <v>1.05</v>
      </c>
      <c r="P55" s="2"/>
      <c r="Q55" s="22">
        <v>2021</v>
      </c>
    </row>
    <row r="56" spans="1:17" x14ac:dyDescent="0.2">
      <c r="A56" s="22">
        <v>2022</v>
      </c>
      <c r="B56" s="61">
        <v>44562</v>
      </c>
      <c r="C56" s="61"/>
      <c r="E56" s="61">
        <v>44927</v>
      </c>
      <c r="F56" s="28">
        <f>'9.3'!D51</f>
        <v>5.2241170393817837</v>
      </c>
      <c r="I56" s="28">
        <f t="shared" ref="I56:I58" si="11">F56</f>
        <v>5.2241170393817837</v>
      </c>
      <c r="J56" s="55">
        <v>12</v>
      </c>
      <c r="M56" s="55">
        <v>0</v>
      </c>
      <c r="N56" s="28">
        <f t="shared" si="10"/>
        <v>5.2240000000000002</v>
      </c>
      <c r="O56" s="28">
        <f>ROUND(N$60/N56,3)</f>
        <v>1</v>
      </c>
      <c r="P56" s="2"/>
      <c r="Q56" s="22">
        <v>2022</v>
      </c>
    </row>
    <row r="57" spans="1:17" x14ac:dyDescent="0.2">
      <c r="A57" s="22">
        <v>2023</v>
      </c>
      <c r="B57" s="61">
        <v>44927</v>
      </c>
      <c r="C57" s="61"/>
      <c r="E57" s="61">
        <v>45292</v>
      </c>
      <c r="F57" s="28">
        <f>'9.3'!D52</f>
        <v>5.2241170393817837</v>
      </c>
      <c r="I57" s="28">
        <f t="shared" si="11"/>
        <v>5.2241170393817837</v>
      </c>
      <c r="J57" s="55">
        <v>12</v>
      </c>
      <c r="M57" s="55">
        <v>0</v>
      </c>
      <c r="N57" s="28">
        <f t="shared" ref="N57" si="12">ROUND(SUMPRODUCT(F57:I57,J57:M57)/12,3)</f>
        <v>5.2240000000000002</v>
      </c>
      <c r="O57" s="28">
        <f>ROUND(N$60/N57,3)</f>
        <v>1</v>
      </c>
      <c r="P57" s="2"/>
      <c r="Q57" s="22">
        <v>2023</v>
      </c>
    </row>
    <row r="58" spans="1:17" x14ac:dyDescent="0.2">
      <c r="A58" s="22">
        <v>2024</v>
      </c>
      <c r="B58" s="61">
        <v>45292</v>
      </c>
      <c r="C58" s="61"/>
      <c r="E58" s="61">
        <v>45658</v>
      </c>
      <c r="F58" s="28">
        <f>'9.3'!D53</f>
        <v>5.2241170393817837</v>
      </c>
      <c r="I58" s="28">
        <f t="shared" si="11"/>
        <v>5.2241170393817837</v>
      </c>
      <c r="J58" s="55">
        <v>12</v>
      </c>
      <c r="M58" s="55">
        <v>0</v>
      </c>
      <c r="N58" s="28">
        <f t="shared" ref="N58" si="13">ROUND(SUMPRODUCT(F58:I58,J58:M58)/12,3)</f>
        <v>5.2240000000000002</v>
      </c>
      <c r="O58" s="28">
        <f>ROUND(N$60/N58,3)</f>
        <v>1</v>
      </c>
      <c r="P58" s="2"/>
      <c r="Q58" s="22">
        <v>2024</v>
      </c>
    </row>
    <row r="59" spans="1:17" x14ac:dyDescent="0.2">
      <c r="A59" s="204"/>
      <c r="B59" s="205"/>
      <c r="C59" s="205"/>
      <c r="D59" s="204"/>
      <c r="E59" s="205"/>
      <c r="F59" s="206"/>
      <c r="G59" s="204"/>
      <c r="H59" s="204"/>
      <c r="I59" s="206"/>
      <c r="J59" s="207"/>
      <c r="K59" s="204"/>
      <c r="L59" s="204"/>
      <c r="M59" s="207"/>
      <c r="N59" s="206"/>
      <c r="O59" s="206"/>
      <c r="P59" s="2"/>
    </row>
    <row r="60" spans="1:17" x14ac:dyDescent="0.2">
      <c r="A60" t="s">
        <v>189</v>
      </c>
      <c r="B60" s="18"/>
      <c r="D60" s="18"/>
      <c r="E60" s="61"/>
      <c r="F60" s="29"/>
      <c r="G60" s="29"/>
      <c r="H60" s="29"/>
      <c r="I60" s="28">
        <f>'9.3'!D54</f>
        <v>5.2241170393817837</v>
      </c>
      <c r="J60" s="56"/>
      <c r="K60" s="56"/>
      <c r="L60" s="56"/>
      <c r="M60" s="56"/>
      <c r="N60" s="29">
        <f>I60</f>
        <v>5.2241170393817837</v>
      </c>
      <c r="O60" s="29">
        <v>1</v>
      </c>
      <c r="P60" s="2"/>
    </row>
    <row r="61" spans="1:17" ht="12" thickBo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2"/>
    </row>
    <row r="62" spans="1:17" ht="12" thickTop="1" x14ac:dyDescent="0.2">
      <c r="P62" s="2"/>
    </row>
    <row r="63" spans="1:17" x14ac:dyDescent="0.2">
      <c r="A63" t="s">
        <v>17</v>
      </c>
      <c r="P63" s="2"/>
    </row>
    <row r="64" spans="1:17" x14ac:dyDescent="0.2">
      <c r="B64" s="12" t="str">
        <f>B12&amp;" - "&amp;E12&amp;" Rates in effect and beginning and end of year (B.O.Y. and E.O.Y.)"</f>
        <v>(1) - (4) Rates in effect and beginning and end of year (B.O.Y. and E.O.Y.)</v>
      </c>
      <c r="P64" s="2"/>
    </row>
    <row r="65" spans="1:16" x14ac:dyDescent="0.2">
      <c r="B65" t="s">
        <v>326</v>
      </c>
      <c r="P65" s="2"/>
    </row>
    <row r="66" spans="1:16" x14ac:dyDescent="0.2">
      <c r="B66" t="s">
        <v>288</v>
      </c>
      <c r="P66" s="2"/>
    </row>
    <row r="67" spans="1:16" x14ac:dyDescent="0.2">
      <c r="B67" t="s">
        <v>327</v>
      </c>
      <c r="P67" s="2"/>
    </row>
    <row r="68" spans="1:16" x14ac:dyDescent="0.2">
      <c r="B68" t="s">
        <v>328</v>
      </c>
      <c r="P68" s="2"/>
    </row>
    <row r="69" spans="1:16" x14ac:dyDescent="0.2">
      <c r="B69" s="12" t="str">
        <f>F12&amp;" - "&amp;I12&amp;" Based on "&amp;'9.3'!$K$1&amp;", "&amp;'9.3'!$K$2</f>
        <v>(5) - (8) Based on Exhibit 9, Sheet 3</v>
      </c>
      <c r="P69" s="2"/>
    </row>
    <row r="70" spans="1:16" x14ac:dyDescent="0.2">
      <c r="B70" s="12" t="str">
        <f>J12&amp;" - "&amp;M12&amp;" Number of months that each of the rates were effective"</f>
        <v>(9) - (12) Number of months that each of the rates were effective</v>
      </c>
      <c r="P70" s="2"/>
    </row>
    <row r="71" spans="1:16" x14ac:dyDescent="0.2">
      <c r="B71" s="12" t="str">
        <f>N12&amp;" = Weighted average of "&amp;F12&amp;" - "&amp;I12&amp;" using "&amp;J12&amp;" - "&amp;M12&amp;" as weights"</f>
        <v>(13) = Weighted average of (5) - (8) using (9) - (12) as weights</v>
      </c>
      <c r="P71" s="2"/>
    </row>
    <row r="72" spans="1:16" ht="12" thickBot="1" x14ac:dyDescent="0.25">
      <c r="B72" s="12" t="str">
        <f>O12&amp;" = Current "&amp;N12&amp;" / "&amp;N12</f>
        <v>(14) = Current (13) / (13)</v>
      </c>
      <c r="P72" s="2"/>
    </row>
    <row r="73" spans="1:16" ht="12" hidden="1" thickBot="1" x14ac:dyDescent="0.25">
      <c r="P73" s="2"/>
    </row>
    <row r="74" spans="1:16" ht="12" thickBot="1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"/>
    </row>
  </sheetData>
  <phoneticPr fontId="0" type="noConversion"/>
  <pageMargins left="0.5" right="0.5" top="0.5" bottom="0.5" header="0.5" footer="0.5"/>
  <pageSetup scale="96"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>
    <tabColor rgb="FF00B050"/>
  </sheetPr>
  <dimension ref="A1:M67"/>
  <sheetViews>
    <sheetView showGridLines="0" zoomScaleNormal="100" workbookViewId="0"/>
  </sheetViews>
  <sheetFormatPr defaultColWidth="11.33203125" defaultRowHeight="11.25" x14ac:dyDescent="0.2"/>
  <cols>
    <col min="1" max="1" width="8.1640625" bestFit="1" customWidth="1"/>
    <col min="2" max="2" width="11.33203125" customWidth="1"/>
    <col min="3" max="4" width="15.33203125" customWidth="1"/>
    <col min="5" max="10" width="11.33203125" customWidth="1"/>
    <col min="11" max="11" width="3.33203125" customWidth="1"/>
  </cols>
  <sheetData>
    <row r="1" spans="1:12" x14ac:dyDescent="0.2">
      <c r="A1" s="8" t="str">
        <f>'1'!$A$1</f>
        <v>Texas Windstorm Insurance Association</v>
      </c>
      <c r="B1" s="12"/>
      <c r="K1" s="7" t="s">
        <v>116</v>
      </c>
      <c r="L1" s="1"/>
    </row>
    <row r="2" spans="1:12" x14ac:dyDescent="0.2">
      <c r="A2" s="8" t="str">
        <f>'1'!$A$2</f>
        <v>Commercial Property - Wind &amp; Hail</v>
      </c>
      <c r="B2" s="12"/>
      <c r="K2" s="7" t="s">
        <v>57</v>
      </c>
      <c r="L2" s="2"/>
    </row>
    <row r="3" spans="1:12" x14ac:dyDescent="0.2">
      <c r="A3" s="8" t="str">
        <f>'1'!$A$3</f>
        <v>Rate Level Review</v>
      </c>
      <c r="B3" s="12"/>
      <c r="L3" s="2"/>
    </row>
    <row r="4" spans="1:12" x14ac:dyDescent="0.2">
      <c r="A4" t="s">
        <v>168</v>
      </c>
      <c r="B4" s="12"/>
      <c r="L4" s="2"/>
    </row>
    <row r="5" spans="1:12" x14ac:dyDescent="0.2">
      <c r="B5" s="12"/>
      <c r="L5" s="2"/>
    </row>
    <row r="6" spans="1:12" x14ac:dyDescent="0.2">
      <c r="L6" s="2"/>
    </row>
    <row r="7" spans="1:12" ht="12" thickBot="1" x14ac:dyDescent="0.25">
      <c r="A7" s="6"/>
      <c r="B7" s="6"/>
      <c r="C7" s="6"/>
      <c r="D7" s="6"/>
      <c r="L7" s="2"/>
    </row>
    <row r="8" spans="1:12" ht="12" thickTop="1" x14ac:dyDescent="0.2">
      <c r="L8" s="2"/>
    </row>
    <row r="9" spans="1:12" x14ac:dyDescent="0.2">
      <c r="C9" s="12"/>
      <c r="L9" s="2"/>
    </row>
    <row r="10" spans="1:12" x14ac:dyDescent="0.2">
      <c r="A10" t="s">
        <v>169</v>
      </c>
      <c r="C10" s="11" t="s">
        <v>12</v>
      </c>
      <c r="D10" s="11" t="s">
        <v>45</v>
      </c>
      <c r="L10" s="2"/>
    </row>
    <row r="11" spans="1:12" x14ac:dyDescent="0.2">
      <c r="A11" s="9" t="s">
        <v>118</v>
      </c>
      <c r="B11" s="9"/>
      <c r="C11" s="143" t="s">
        <v>13</v>
      </c>
      <c r="D11" s="143" t="s">
        <v>86</v>
      </c>
      <c r="L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L12" s="2"/>
    </row>
    <row r="13" spans="1:12" x14ac:dyDescent="0.2">
      <c r="L13" s="2"/>
    </row>
    <row r="14" spans="1:12" x14ac:dyDescent="0.2">
      <c r="A14" t="s">
        <v>170</v>
      </c>
      <c r="B14" s="22"/>
      <c r="C14" s="31"/>
      <c r="D14" s="35">
        <v>1</v>
      </c>
      <c r="L14" s="2"/>
    </row>
    <row r="15" spans="1:12" x14ac:dyDescent="0.2">
      <c r="A15" s="124" t="s">
        <v>171</v>
      </c>
      <c r="B15" s="22"/>
      <c r="C15" s="42">
        <v>0.17499999999999999</v>
      </c>
      <c r="D15" s="29">
        <f>D14*(1+C15)</f>
        <v>1.175</v>
      </c>
      <c r="L15" s="2"/>
    </row>
    <row r="16" spans="1:12" x14ac:dyDescent="0.2">
      <c r="A16" s="124" t="s">
        <v>172</v>
      </c>
      <c r="B16" s="22"/>
      <c r="C16" s="42">
        <v>-3.6999999999999998E-2</v>
      </c>
      <c r="D16" s="29">
        <f t="shared" ref="D16:D39" si="0">D15*(1+C16)</f>
        <v>1.1315250000000001</v>
      </c>
      <c r="L16" s="2"/>
    </row>
    <row r="17" spans="1:13" x14ac:dyDescent="0.2">
      <c r="A17" s="124" t="s">
        <v>173</v>
      </c>
      <c r="B17" s="22"/>
      <c r="C17" s="42">
        <v>0.26200000000000001</v>
      </c>
      <c r="D17" s="29">
        <f t="shared" si="0"/>
        <v>1.4279845500000001</v>
      </c>
      <c r="L17" s="2"/>
    </row>
    <row r="18" spans="1:13" x14ac:dyDescent="0.2">
      <c r="A18" s="124" t="s">
        <v>174</v>
      </c>
      <c r="B18" s="22"/>
      <c r="C18" s="42">
        <v>0.06</v>
      </c>
      <c r="D18" s="29">
        <f t="shared" si="0"/>
        <v>1.5136636230000002</v>
      </c>
      <c r="L18" s="2"/>
    </row>
    <row r="19" spans="1:13" x14ac:dyDescent="0.2">
      <c r="A19" s="124" t="s">
        <v>175</v>
      </c>
      <c r="B19" s="22"/>
      <c r="C19" s="42">
        <v>0.25</v>
      </c>
      <c r="D19" s="29">
        <f t="shared" si="0"/>
        <v>1.8920795287500003</v>
      </c>
      <c r="L19" s="2"/>
      <c r="M19" t="s">
        <v>475</v>
      </c>
    </row>
    <row r="20" spans="1:13" x14ac:dyDescent="0.2">
      <c r="A20" s="124" t="s">
        <v>176</v>
      </c>
      <c r="B20" s="22"/>
      <c r="C20" s="42">
        <v>0.28299999999999997</v>
      </c>
      <c r="D20" s="29">
        <f t="shared" si="0"/>
        <v>2.4275380353862501</v>
      </c>
      <c r="L20" s="2"/>
      <c r="M20" t="s">
        <v>424</v>
      </c>
    </row>
    <row r="21" spans="1:13" x14ac:dyDescent="0.2">
      <c r="A21" s="124" t="s">
        <v>177</v>
      </c>
      <c r="B21" s="22"/>
      <c r="C21" s="42">
        <v>9.1999999999999998E-2</v>
      </c>
      <c r="D21" s="29">
        <f t="shared" si="0"/>
        <v>2.6508715346417855</v>
      </c>
      <c r="L21" s="2"/>
    </row>
    <row r="22" spans="1:13" x14ac:dyDescent="0.2">
      <c r="A22" s="124" t="s">
        <v>178</v>
      </c>
      <c r="B22" s="22"/>
      <c r="C22" s="42">
        <v>-9.1999999999999998E-2</v>
      </c>
      <c r="D22" s="29">
        <f t="shared" si="0"/>
        <v>2.4069913534547411</v>
      </c>
      <c r="L22" s="2"/>
    </row>
    <row r="23" spans="1:13" x14ac:dyDescent="0.2">
      <c r="A23" s="124" t="s">
        <v>179</v>
      </c>
      <c r="B23" s="22"/>
      <c r="C23" s="42">
        <v>-0.13800000000000001</v>
      </c>
      <c r="D23" s="29">
        <f t="shared" si="0"/>
        <v>2.0748265466779867</v>
      </c>
      <c r="L23" s="2"/>
    </row>
    <row r="24" spans="1:13" x14ac:dyDescent="0.2">
      <c r="A24" s="124" t="s">
        <v>180</v>
      </c>
      <c r="B24" s="22"/>
      <c r="C24" s="42">
        <v>1.4E-2</v>
      </c>
      <c r="D24" s="29">
        <f t="shared" si="0"/>
        <v>2.1038741183314786</v>
      </c>
      <c r="L24" s="2"/>
    </row>
    <row r="25" spans="1:13" x14ac:dyDescent="0.2">
      <c r="A25" s="124" t="s">
        <v>181</v>
      </c>
      <c r="B25" s="22"/>
      <c r="C25" s="42">
        <v>-0.01</v>
      </c>
      <c r="D25" s="29">
        <f t="shared" si="0"/>
        <v>2.082835377148164</v>
      </c>
      <c r="L25" s="2"/>
    </row>
    <row r="26" spans="1:13" x14ac:dyDescent="0.2">
      <c r="A26" s="124" t="s">
        <v>182</v>
      </c>
      <c r="B26" s="22"/>
      <c r="C26" s="42">
        <v>-0.22900000000000001</v>
      </c>
      <c r="D26" s="29">
        <f t="shared" si="0"/>
        <v>1.6058660757812344</v>
      </c>
      <c r="L26" s="2"/>
      <c r="M26" t="s">
        <v>425</v>
      </c>
    </row>
    <row r="27" spans="1:13" x14ac:dyDescent="0.2">
      <c r="A27" s="124" t="s">
        <v>183</v>
      </c>
      <c r="B27" s="22"/>
      <c r="C27" s="42">
        <v>0</v>
      </c>
      <c r="D27" s="29">
        <f t="shared" si="0"/>
        <v>1.6058660757812344</v>
      </c>
      <c r="L27" s="2"/>
    </row>
    <row r="28" spans="1:13" x14ac:dyDescent="0.2">
      <c r="A28" s="124" t="s">
        <v>184</v>
      </c>
      <c r="B28" s="22"/>
      <c r="C28" s="42">
        <v>-0.03</v>
      </c>
      <c r="D28" s="29">
        <f t="shared" si="0"/>
        <v>1.5576900935077973</v>
      </c>
      <c r="L28" s="2"/>
    </row>
    <row r="29" spans="1:13" x14ac:dyDescent="0.2">
      <c r="A29" s="124" t="s">
        <v>185</v>
      </c>
      <c r="B29" s="22"/>
      <c r="C29" s="42">
        <v>0.09</v>
      </c>
      <c r="D29" s="29">
        <f t="shared" si="0"/>
        <v>1.6978822019234991</v>
      </c>
      <c r="L29" s="2"/>
    </row>
    <row r="30" spans="1:13" x14ac:dyDescent="0.2">
      <c r="A30" s="124" t="s">
        <v>186</v>
      </c>
      <c r="B30" s="22"/>
      <c r="C30" s="42">
        <v>0.04</v>
      </c>
      <c r="D30" s="29">
        <f t="shared" si="0"/>
        <v>1.7657974900004392</v>
      </c>
      <c r="L30" s="2"/>
    </row>
    <row r="31" spans="1:13" x14ac:dyDescent="0.2">
      <c r="A31" s="124" t="s">
        <v>187</v>
      </c>
      <c r="B31" s="22"/>
      <c r="C31" s="42">
        <v>0.05</v>
      </c>
      <c r="D31" s="29">
        <f>D30*(1+C31)</f>
        <v>1.8540873645004612</v>
      </c>
      <c r="L31" s="2"/>
    </row>
    <row r="32" spans="1:13" x14ac:dyDescent="0.2">
      <c r="A32" s="124" t="s">
        <v>214</v>
      </c>
      <c r="B32" s="22"/>
      <c r="C32" s="42">
        <v>0.1</v>
      </c>
      <c r="D32" s="29">
        <f>D31*(1+C32)</f>
        <v>2.0394961009505073</v>
      </c>
      <c r="L32" s="2"/>
    </row>
    <row r="33" spans="1:12" x14ac:dyDescent="0.2">
      <c r="A33" s="124" t="s">
        <v>263</v>
      </c>
      <c r="B33" s="22"/>
      <c r="C33" s="42">
        <v>0.1</v>
      </c>
      <c r="D33" s="29">
        <f t="shared" si="0"/>
        <v>2.2434457110455583</v>
      </c>
      <c r="L33" s="2"/>
    </row>
    <row r="34" spans="1:12" x14ac:dyDescent="0.2">
      <c r="A34" s="124" t="s">
        <v>274</v>
      </c>
      <c r="B34" s="22"/>
      <c r="C34" s="42">
        <v>0.1</v>
      </c>
      <c r="D34" s="29">
        <f t="shared" si="0"/>
        <v>2.4677902821501143</v>
      </c>
      <c r="L34" s="2"/>
    </row>
    <row r="35" spans="1:12" x14ac:dyDescent="0.2">
      <c r="A35" s="124" t="s">
        <v>285</v>
      </c>
      <c r="C35" s="42">
        <v>0.05</v>
      </c>
      <c r="D35" s="29">
        <f t="shared" si="0"/>
        <v>2.5911797962576202</v>
      </c>
      <c r="L35" s="2"/>
    </row>
    <row r="36" spans="1:12" x14ac:dyDescent="0.2">
      <c r="A36" s="124" t="s">
        <v>295</v>
      </c>
      <c r="C36" s="42">
        <v>0.08</v>
      </c>
      <c r="D36" s="29">
        <f t="shared" si="0"/>
        <v>2.7984741799582298</v>
      </c>
      <c r="L36" s="2"/>
    </row>
    <row r="37" spans="1:12" x14ac:dyDescent="0.2">
      <c r="A37" s="124" t="s">
        <v>296</v>
      </c>
      <c r="C37" s="42">
        <v>3.7000000000000005E-2</v>
      </c>
      <c r="D37" s="29">
        <f t="shared" si="0"/>
        <v>2.9020177246166843</v>
      </c>
      <c r="L37" s="2"/>
    </row>
    <row r="38" spans="1:12" x14ac:dyDescent="0.2">
      <c r="A38" s="124" t="s">
        <v>325</v>
      </c>
      <c r="C38" s="42">
        <v>5.3999999999999999E-2</v>
      </c>
      <c r="D38" s="29">
        <f t="shared" si="0"/>
        <v>3.0587266817459855</v>
      </c>
      <c r="L38" s="2"/>
    </row>
    <row r="39" spans="1:12" x14ac:dyDescent="0.2">
      <c r="A39" s="124" t="s">
        <v>332</v>
      </c>
      <c r="C39" s="42">
        <v>0.156</v>
      </c>
      <c r="D39" s="29">
        <f t="shared" si="0"/>
        <v>3.5358880440983591</v>
      </c>
      <c r="L39" s="2"/>
    </row>
    <row r="40" spans="1:12" x14ac:dyDescent="0.2">
      <c r="A40" s="124" t="s">
        <v>345</v>
      </c>
      <c r="C40" s="42">
        <v>0.05</v>
      </c>
      <c r="D40" s="29">
        <f t="shared" ref="D40:D45" si="1">D39*(1+C40)</f>
        <v>3.712682446303277</v>
      </c>
      <c r="L40" s="2"/>
    </row>
    <row r="41" spans="1:12" x14ac:dyDescent="0.2">
      <c r="A41" s="124" t="s">
        <v>347</v>
      </c>
      <c r="C41" s="42">
        <v>0.05</v>
      </c>
      <c r="D41" s="29">
        <f t="shared" si="1"/>
        <v>3.8983165686184411</v>
      </c>
      <c r="L41" s="2"/>
    </row>
    <row r="42" spans="1:12" x14ac:dyDescent="0.2">
      <c r="A42" s="124" t="s">
        <v>348</v>
      </c>
      <c r="C42" s="42">
        <v>0.05</v>
      </c>
      <c r="D42" s="29">
        <f>D41*(1+C42)</f>
        <v>4.0932323970493636</v>
      </c>
      <c r="L42" s="2"/>
    </row>
    <row r="43" spans="1:12" x14ac:dyDescent="0.2">
      <c r="A43" s="124" t="s">
        <v>355</v>
      </c>
      <c r="C43" s="122">
        <f>C42</f>
        <v>0.05</v>
      </c>
      <c r="D43" s="29">
        <f t="shared" si="1"/>
        <v>4.2978940169018323</v>
      </c>
      <c r="L43" s="2"/>
    </row>
    <row r="44" spans="1:12" x14ac:dyDescent="0.2">
      <c r="A44" s="125" t="s">
        <v>384</v>
      </c>
      <c r="C44" s="122">
        <v>0.05</v>
      </c>
      <c r="D44" s="29">
        <f t="shared" si="1"/>
        <v>4.5127887177469237</v>
      </c>
      <c r="L44" s="2"/>
    </row>
    <row r="45" spans="1:12" x14ac:dyDescent="0.2">
      <c r="A45" s="125" t="s">
        <v>386</v>
      </c>
      <c r="C45" s="122">
        <v>0.05</v>
      </c>
      <c r="D45" s="29">
        <f t="shared" si="1"/>
        <v>4.7384281536342705</v>
      </c>
      <c r="L45" s="2"/>
    </row>
    <row r="46" spans="1:12" x14ac:dyDescent="0.2">
      <c r="A46" s="125" t="s">
        <v>392</v>
      </c>
      <c r="C46" s="122">
        <v>0</v>
      </c>
      <c r="D46" s="29">
        <f t="shared" ref="D46:D50" si="2">D45*(1+C46)</f>
        <v>4.7384281536342705</v>
      </c>
      <c r="L46" s="2"/>
    </row>
    <row r="47" spans="1:12" x14ac:dyDescent="0.2">
      <c r="A47" s="125" t="s">
        <v>393</v>
      </c>
      <c r="C47" s="122">
        <v>0.05</v>
      </c>
      <c r="D47" s="29">
        <f t="shared" si="2"/>
        <v>4.9753495613159844</v>
      </c>
      <c r="L47" s="2"/>
    </row>
    <row r="48" spans="1:12" x14ac:dyDescent="0.2">
      <c r="A48" s="125">
        <v>43466</v>
      </c>
      <c r="C48" s="122">
        <v>0</v>
      </c>
      <c r="D48" s="29">
        <f t="shared" si="2"/>
        <v>4.9753495613159844</v>
      </c>
      <c r="L48" s="2"/>
    </row>
    <row r="49" spans="1:12" x14ac:dyDescent="0.2">
      <c r="A49" s="125">
        <v>43831</v>
      </c>
      <c r="C49" s="122">
        <v>0</v>
      </c>
      <c r="D49" s="29">
        <f t="shared" si="2"/>
        <v>4.9753495613159844</v>
      </c>
      <c r="L49" s="2"/>
    </row>
    <row r="50" spans="1:12" x14ac:dyDescent="0.2">
      <c r="A50" s="125">
        <v>44197</v>
      </c>
      <c r="C50" s="122">
        <v>0</v>
      </c>
      <c r="D50" s="29">
        <f t="shared" si="2"/>
        <v>4.9753495613159844</v>
      </c>
      <c r="L50" s="2"/>
    </row>
    <row r="51" spans="1:12" x14ac:dyDescent="0.2">
      <c r="A51" s="125">
        <v>44562</v>
      </c>
      <c r="C51" s="122">
        <v>0.05</v>
      </c>
      <c r="D51" s="29">
        <f>D50*(1+C51)</f>
        <v>5.2241170393817837</v>
      </c>
      <c r="L51" s="2"/>
    </row>
    <row r="52" spans="1:12" x14ac:dyDescent="0.2">
      <c r="A52" s="125">
        <v>44927</v>
      </c>
      <c r="C52" s="122">
        <v>0</v>
      </c>
      <c r="D52" s="29">
        <f>D51*(1+C52)</f>
        <v>5.2241170393817837</v>
      </c>
      <c r="L52" s="2"/>
    </row>
    <row r="53" spans="1:12" x14ac:dyDescent="0.2">
      <c r="A53" s="125">
        <v>45292</v>
      </c>
      <c r="C53" s="122">
        <v>0</v>
      </c>
      <c r="D53" s="29">
        <f>D52*(1+C53)</f>
        <v>5.2241170393817837</v>
      </c>
      <c r="L53" s="2"/>
    </row>
    <row r="54" spans="1:12" ht="12" thickBot="1" x14ac:dyDescent="0.25">
      <c r="A54" s="131">
        <v>45658</v>
      </c>
      <c r="B54" s="6"/>
      <c r="C54" s="137">
        <v>0</v>
      </c>
      <c r="D54" s="112">
        <f>D53*(1+C54)</f>
        <v>5.2241170393817837</v>
      </c>
      <c r="L54" s="2"/>
    </row>
    <row r="55" spans="1:12" ht="12" thickTop="1" x14ac:dyDescent="0.2">
      <c r="L55" s="2"/>
    </row>
    <row r="56" spans="1:12" x14ac:dyDescent="0.2">
      <c r="A56" t="s">
        <v>17</v>
      </c>
      <c r="L56" s="2"/>
    </row>
    <row r="57" spans="1:12" x14ac:dyDescent="0.2">
      <c r="B57" s="12" t="str">
        <f>C12&amp;" Provided by TWIA, excludes 1/1/92 refund on in-force policies"</f>
        <v>(2) Provided by TWIA, excludes 1/1/92 refund on in-force policies</v>
      </c>
      <c r="L57" s="2"/>
    </row>
    <row r="58" spans="1:12" x14ac:dyDescent="0.2">
      <c r="B58" s="12" t="str">
        <f>D12&amp;" = Cumulation of "&amp;C12</f>
        <v>(3) = Cumulation of (2)</v>
      </c>
      <c r="L58" s="2"/>
    </row>
    <row r="59" spans="1:12" x14ac:dyDescent="0.2">
      <c r="B59" s="12"/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ht="12" thickBot="1" x14ac:dyDescent="0.25">
      <c r="L66" s="2"/>
    </row>
    <row r="67" spans="1:12" ht="12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M69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5" width="9.6640625" customWidth="1"/>
    <col min="6" max="6" width="12.6640625" customWidth="1"/>
    <col min="7" max="7" width="11.1640625" customWidth="1"/>
    <col min="8" max="8" width="9.6640625" customWidth="1"/>
    <col min="9" max="9" width="11.33203125" customWidth="1"/>
    <col min="10" max="10" width="6.33203125" customWidth="1"/>
    <col min="11" max="11" width="3.6640625" customWidth="1"/>
    <col min="13" max="13" width="8.5" bestFit="1" customWidth="1"/>
  </cols>
  <sheetData>
    <row r="1" spans="1:12" x14ac:dyDescent="0.2">
      <c r="A1" s="8" t="s">
        <v>0</v>
      </c>
      <c r="B1" s="12"/>
      <c r="K1" s="7" t="s">
        <v>478</v>
      </c>
      <c r="L1" s="1"/>
    </row>
    <row r="2" spans="1:12" x14ac:dyDescent="0.2">
      <c r="A2" s="8" t="s">
        <v>162</v>
      </c>
      <c r="B2" s="12"/>
      <c r="H2" s="7"/>
      <c r="I2" s="7"/>
      <c r="J2" s="7"/>
      <c r="K2" s="7"/>
      <c r="L2" s="2"/>
    </row>
    <row r="3" spans="1:12" x14ac:dyDescent="0.2">
      <c r="A3" s="8" t="s">
        <v>1</v>
      </c>
      <c r="B3" s="12"/>
      <c r="L3" s="2"/>
    </row>
    <row r="4" spans="1:12" x14ac:dyDescent="0.2">
      <c r="A4" t="s">
        <v>2</v>
      </c>
      <c r="B4" s="12"/>
      <c r="L4" s="2"/>
    </row>
    <row r="5" spans="1:12" x14ac:dyDescent="0.2">
      <c r="A5" t="s">
        <v>3</v>
      </c>
      <c r="B5" s="12"/>
      <c r="L5" s="2"/>
    </row>
    <row r="6" spans="1:12" x14ac:dyDescent="0.2">
      <c r="A6" t="s">
        <v>477</v>
      </c>
      <c r="L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L7" s="2"/>
    </row>
    <row r="8" spans="1:12" ht="12" thickTop="1" x14ac:dyDescent="0.2">
      <c r="H8" s="11">
        <f>'2.1'!A23+1</f>
        <v>2025</v>
      </c>
      <c r="L8" s="2"/>
    </row>
    <row r="9" spans="1:12" x14ac:dyDescent="0.2">
      <c r="C9" s="10" t="s">
        <v>5</v>
      </c>
      <c r="H9" s="11" t="s">
        <v>11</v>
      </c>
      <c r="L9" s="2"/>
    </row>
    <row r="10" spans="1:12" x14ac:dyDescent="0.2">
      <c r="C10" s="11"/>
      <c r="D10" s="11"/>
      <c r="E10" s="11" t="s">
        <v>220</v>
      </c>
      <c r="F10" s="11"/>
      <c r="G10" s="11" t="s">
        <v>8</v>
      </c>
      <c r="H10" s="11" t="s">
        <v>12</v>
      </c>
      <c r="L10" s="2"/>
    </row>
    <row r="11" spans="1:12" x14ac:dyDescent="0.2">
      <c r="A11" s="9" t="s">
        <v>16</v>
      </c>
      <c r="B11" s="9"/>
      <c r="C11" s="143" t="s">
        <v>4</v>
      </c>
      <c r="D11" s="143" t="s">
        <v>6</v>
      </c>
      <c r="E11" s="143" t="s">
        <v>221</v>
      </c>
      <c r="F11" s="143" t="s">
        <v>7</v>
      </c>
      <c r="G11" s="143" t="s">
        <v>222</v>
      </c>
      <c r="H11" s="143" t="s">
        <v>13</v>
      </c>
      <c r="L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J12" s="11"/>
      <c r="K12" s="11"/>
      <c r="L12" s="2"/>
    </row>
    <row r="13" spans="1:12" x14ac:dyDescent="0.2">
      <c r="L13" s="2"/>
    </row>
    <row r="14" spans="1:12" x14ac:dyDescent="0.2">
      <c r="L14" s="2"/>
    </row>
    <row r="15" spans="1:12" x14ac:dyDescent="0.2">
      <c r="B15" t="s">
        <v>337</v>
      </c>
      <c r="C15" s="19">
        <f>AVERAGE(AVERAGE(C26),C19)</f>
        <v>0.47299999999999998</v>
      </c>
      <c r="D15" s="21">
        <f>D$19</f>
        <v>5.0999999999999997E-2</v>
      </c>
      <c r="E15" s="21">
        <f>E$19</f>
        <v>0.30587907402648568</v>
      </c>
      <c r="F15" s="17">
        <f>C15+D15+E15</f>
        <v>0.82987907402648564</v>
      </c>
      <c r="G15" s="21">
        <f>G$19</f>
        <v>0.78999999999999992</v>
      </c>
      <c r="H15" s="21">
        <f>ROUND(F15/G15-1,2)</f>
        <v>0.05</v>
      </c>
      <c r="L15" s="2"/>
    </row>
    <row r="16" spans="1:12" x14ac:dyDescent="0.2">
      <c r="A16" s="9"/>
      <c r="B16" s="9"/>
      <c r="C16" s="9"/>
      <c r="D16" s="9"/>
      <c r="E16" s="9"/>
      <c r="F16" s="9"/>
      <c r="G16" s="9"/>
      <c r="H16" s="20"/>
      <c r="J16" s="19"/>
      <c r="L16" s="2"/>
    </row>
    <row r="17" spans="1:12" x14ac:dyDescent="0.2">
      <c r="H17" s="19"/>
      <c r="L17" s="2"/>
    </row>
    <row r="18" spans="1:12" x14ac:dyDescent="0.2">
      <c r="C18" s="14"/>
      <c r="D18" s="14"/>
      <c r="E18" s="14"/>
      <c r="F18" s="14"/>
      <c r="G18" s="14"/>
      <c r="H18" s="90"/>
      <c r="J18" s="15"/>
      <c r="K18" s="15"/>
      <c r="L18" s="2"/>
    </row>
    <row r="19" spans="1:12" x14ac:dyDescent="0.2">
      <c r="B19" t="s">
        <v>280</v>
      </c>
      <c r="C19" s="21">
        <f>'5'!$E$14</f>
        <v>0.442</v>
      </c>
      <c r="D19" s="21">
        <f>'2.1'!$H$26</f>
        <v>5.0999999999999997E-2</v>
      </c>
      <c r="E19" s="21">
        <f>'10.1'!$H$42</f>
        <v>0.30587907402648568</v>
      </c>
      <c r="F19" s="17">
        <f>C19+D19+E19</f>
        <v>0.79887907402648572</v>
      </c>
      <c r="G19" s="21">
        <f>'10.1'!$H$48</f>
        <v>0.78999999999999992</v>
      </c>
      <c r="H19" s="21">
        <f>ROUND(F19/G19-1,2)</f>
        <v>0.01</v>
      </c>
      <c r="J19" s="16"/>
      <c r="K19" s="16"/>
      <c r="L19" s="2"/>
    </row>
    <row r="20" spans="1:12" x14ac:dyDescent="0.2">
      <c r="C20" s="21"/>
      <c r="D20" s="21"/>
      <c r="E20" s="21"/>
      <c r="F20" s="17"/>
      <c r="G20" s="21"/>
      <c r="H20" s="21"/>
      <c r="J20" s="16"/>
      <c r="K20" s="16"/>
      <c r="L20" s="2"/>
    </row>
    <row r="21" spans="1:12" x14ac:dyDescent="0.2">
      <c r="B21" t="s">
        <v>446</v>
      </c>
      <c r="C21" s="21">
        <f>'5'!E17</f>
        <v>0.66200000000000003</v>
      </c>
      <c r="D21" s="21">
        <f>D$19</f>
        <v>5.0999999999999997E-2</v>
      </c>
      <c r="E21" s="21">
        <f t="shared" ref="E21:G24" si="1">E$19</f>
        <v>0.30587907402648568</v>
      </c>
      <c r="F21" s="17">
        <f t="shared" ref="F21:F24" si="2">C21+D21+E21</f>
        <v>1.0188790740264857</v>
      </c>
      <c r="G21" s="21">
        <f t="shared" si="1"/>
        <v>0.78999999999999992</v>
      </c>
      <c r="H21" s="21">
        <f t="shared" ref="H21:H24" si="3">ROUND(F21/G21-1,2)</f>
        <v>0.28999999999999998</v>
      </c>
      <c r="J21" s="16"/>
      <c r="K21" s="16"/>
      <c r="L21" s="2"/>
    </row>
    <row r="22" spans="1:12" x14ac:dyDescent="0.2">
      <c r="B22" t="s">
        <v>442</v>
      </c>
      <c r="C22" s="21">
        <f>'5'!E18</f>
        <v>0.624</v>
      </c>
      <c r="D22" s="21">
        <f t="shared" ref="D22:D24" si="4">D$19</f>
        <v>5.0999999999999997E-2</v>
      </c>
      <c r="E22" s="21">
        <f t="shared" si="1"/>
        <v>0.30587907402648568</v>
      </c>
      <c r="F22" s="17">
        <f t="shared" si="2"/>
        <v>0.98087907402648566</v>
      </c>
      <c r="G22" s="21">
        <f t="shared" si="1"/>
        <v>0.78999999999999992</v>
      </c>
      <c r="H22" s="21">
        <f t="shared" si="3"/>
        <v>0.24</v>
      </c>
      <c r="J22" s="16"/>
      <c r="K22" s="16"/>
      <c r="L22" s="2"/>
    </row>
    <row r="23" spans="1:12" x14ac:dyDescent="0.2">
      <c r="B23" t="s">
        <v>443</v>
      </c>
      <c r="C23" s="21">
        <f>'5'!E19</f>
        <v>0.312</v>
      </c>
      <c r="D23" s="21">
        <f t="shared" si="4"/>
        <v>5.0999999999999997E-2</v>
      </c>
      <c r="E23" s="21">
        <f t="shared" si="1"/>
        <v>0.30587907402648568</v>
      </c>
      <c r="F23" s="17">
        <f t="shared" si="2"/>
        <v>0.66887907402648561</v>
      </c>
      <c r="G23" s="21">
        <f t="shared" si="1"/>
        <v>0.78999999999999992</v>
      </c>
      <c r="H23" s="21">
        <f t="shared" si="3"/>
        <v>-0.15</v>
      </c>
      <c r="J23" s="16"/>
      <c r="K23" s="16"/>
      <c r="L23" s="2"/>
    </row>
    <row r="24" spans="1:12" x14ac:dyDescent="0.2">
      <c r="B24" t="s">
        <v>472</v>
      </c>
      <c r="C24" s="21">
        <f>'5'!E20</f>
        <v>0.41699999999999998</v>
      </c>
      <c r="D24" s="21">
        <f t="shared" si="4"/>
        <v>5.0999999999999997E-2</v>
      </c>
      <c r="E24" s="21">
        <f t="shared" si="1"/>
        <v>0.30587907402648568</v>
      </c>
      <c r="F24" s="17">
        <f t="shared" si="2"/>
        <v>0.77387907402648559</v>
      </c>
      <c r="G24" s="21">
        <f t="shared" si="1"/>
        <v>0.78999999999999992</v>
      </c>
      <c r="H24" s="21">
        <f t="shared" si="3"/>
        <v>-0.02</v>
      </c>
      <c r="L24" s="2"/>
    </row>
    <row r="25" spans="1:12" x14ac:dyDescent="0.2">
      <c r="C25" s="21"/>
      <c r="D25" s="21"/>
      <c r="E25" s="21"/>
      <c r="F25" s="17"/>
      <c r="G25" s="21"/>
      <c r="H25" s="21"/>
      <c r="J25" s="16"/>
      <c r="K25" s="16"/>
      <c r="L25" s="2"/>
    </row>
    <row r="26" spans="1:12" ht="12" thickBot="1" x14ac:dyDescent="0.25">
      <c r="A26" s="6"/>
      <c r="B26" s="6" t="s">
        <v>440</v>
      </c>
      <c r="C26" s="201">
        <f>'5'!E22</f>
        <v>0.504</v>
      </c>
      <c r="D26" s="201">
        <f>D19</f>
        <v>5.0999999999999997E-2</v>
      </c>
      <c r="E26" s="201">
        <f>E19</f>
        <v>0.30587907402648568</v>
      </c>
      <c r="F26" s="201">
        <f>C26+D26+E26</f>
        <v>0.86087907402648578</v>
      </c>
      <c r="G26" s="202">
        <f>G19</f>
        <v>0.78999999999999992</v>
      </c>
      <c r="H26" s="236">
        <f>F26/G26-1</f>
        <v>8.9720346868969347E-2</v>
      </c>
      <c r="L26" s="2"/>
    </row>
    <row r="27" spans="1:12" ht="12" thickTop="1" x14ac:dyDescent="0.2">
      <c r="C27" s="19"/>
      <c r="E27" s="19"/>
      <c r="L27" s="2"/>
    </row>
    <row r="28" spans="1:12" x14ac:dyDescent="0.2">
      <c r="A28" t="s">
        <v>17</v>
      </c>
      <c r="C28" s="122"/>
      <c r="L28" s="2"/>
    </row>
    <row r="29" spans="1:12" x14ac:dyDescent="0.2">
      <c r="B29" s="12" t="str">
        <f>C12&amp;" "&amp;'5'!$H$1</f>
        <v>(2) Exhibit 5</v>
      </c>
      <c r="L29" s="2"/>
    </row>
    <row r="30" spans="1:12" x14ac:dyDescent="0.2">
      <c r="B30" s="12" t="str">
        <f>D12&amp;" "&amp;'2.1'!$J$1&amp;", "&amp;'2.1'!$J$2</f>
        <v>(3) Exhibit 2, Sheet 1</v>
      </c>
      <c r="L30" s="2"/>
    </row>
    <row r="31" spans="1:12" x14ac:dyDescent="0.2">
      <c r="B31" s="12" t="str">
        <f>E12&amp;" "&amp;'10.1'!$K$1&amp;", "&amp;'10.1'!K2</f>
        <v>(4) Exhibit 10, Sheet 1</v>
      </c>
      <c r="L31" s="2"/>
    </row>
    <row r="32" spans="1:12" x14ac:dyDescent="0.2">
      <c r="B32" t="str">
        <f>F12&amp;" = "&amp;C12&amp;" + "&amp;D12&amp;" + "&amp;E12</f>
        <v>(5) = (2) + (3) + (4)</v>
      </c>
      <c r="D32" s="19"/>
      <c r="L32" s="2"/>
    </row>
    <row r="33" spans="2:13" x14ac:dyDescent="0.2">
      <c r="B33" s="12" t="str">
        <f>G12&amp;" "&amp;'10.1'!$K$1&amp;", "&amp;'10.1'!K2</f>
        <v>(6) Exhibit 10, Sheet 1</v>
      </c>
      <c r="D33" s="19"/>
      <c r="L33" s="2"/>
    </row>
    <row r="34" spans="2:13" x14ac:dyDescent="0.2">
      <c r="B34" s="12" t="str">
        <f>H12&amp;" = "&amp;F12&amp;" / "&amp;G12&amp;" - 1"</f>
        <v>(7) = (5) / (6) - 1</v>
      </c>
      <c r="I34" s="16"/>
      <c r="J34" s="16"/>
      <c r="K34" s="16"/>
      <c r="L34" s="2"/>
      <c r="M34" s="90"/>
    </row>
    <row r="35" spans="2:13" x14ac:dyDescent="0.2">
      <c r="B35" s="12"/>
      <c r="L35" s="2"/>
    </row>
    <row r="36" spans="2:13" x14ac:dyDescent="0.2">
      <c r="C36" s="21"/>
      <c r="D36" s="21"/>
      <c r="E36" s="21"/>
      <c r="F36" s="17"/>
      <c r="G36" s="21"/>
      <c r="H36" s="16"/>
      <c r="I36" s="16"/>
      <c r="J36" s="16"/>
      <c r="K36" s="16"/>
      <c r="L36" s="2"/>
      <c r="M36" s="90"/>
    </row>
    <row r="37" spans="2:13" x14ac:dyDescent="0.2">
      <c r="L37" s="2"/>
    </row>
    <row r="38" spans="2:13" x14ac:dyDescent="0.2">
      <c r="L38" s="2"/>
    </row>
    <row r="39" spans="2:13" x14ac:dyDescent="0.2">
      <c r="L39" s="2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>
    <tabColor rgb="FF00B050"/>
  </sheetPr>
  <dimension ref="A1:Q66"/>
  <sheetViews>
    <sheetView showGridLines="0" zoomScaleNormal="100" workbookViewId="0"/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8" width="12.33203125" customWidth="1"/>
    <col min="9" max="9" width="3.5" customWidth="1"/>
    <col min="10" max="10" width="4.5" customWidth="1"/>
    <col min="11" max="11" width="7.5" customWidth="1"/>
    <col min="13" max="13" width="12.6640625" customWidth="1"/>
    <col min="14" max="14" width="22" customWidth="1"/>
    <col min="15" max="15" width="2.1640625" bestFit="1" customWidth="1"/>
    <col min="16" max="17" width="22.8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117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20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455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L7" s="2"/>
    </row>
    <row r="8" spans="1:13" ht="12" thickTop="1" x14ac:dyDescent="0.2">
      <c r="L8" s="2"/>
    </row>
    <row r="9" spans="1:13" x14ac:dyDescent="0.2">
      <c r="L9" s="2"/>
      <c r="M9" s="24"/>
    </row>
    <row r="10" spans="1:13" x14ac:dyDescent="0.2">
      <c r="G10" s="11" t="s">
        <v>31</v>
      </c>
      <c r="L10" s="2"/>
      <c r="M10" t="s">
        <v>208</v>
      </c>
    </row>
    <row r="11" spans="1:13" x14ac:dyDescent="0.2">
      <c r="A11" s="9" t="s">
        <v>136</v>
      </c>
      <c r="B11" s="9"/>
      <c r="C11" s="9"/>
      <c r="D11" s="241">
        <f>E11-1</f>
        <v>2022</v>
      </c>
      <c r="E11" s="241">
        <f>F11-1</f>
        <v>2023</v>
      </c>
      <c r="F11" s="241">
        <f>YEAR(M11)</f>
        <v>2024</v>
      </c>
      <c r="G11" s="241">
        <f>F11+1</f>
        <v>2025</v>
      </c>
      <c r="H11" s="143" t="s">
        <v>44</v>
      </c>
      <c r="L11" s="2"/>
      <c r="M11" s="64">
        <v>45657</v>
      </c>
    </row>
    <row r="12" spans="1:13" x14ac:dyDescent="0.2">
      <c r="A12" s="13"/>
      <c r="B12" s="13"/>
      <c r="C12" s="13"/>
      <c r="D12" s="11"/>
      <c r="E12" s="11"/>
      <c r="F12" s="11"/>
      <c r="G12" s="11"/>
      <c r="H12" s="11"/>
      <c r="L12" s="2"/>
    </row>
    <row r="13" spans="1:13" x14ac:dyDescent="0.2">
      <c r="L13" s="2"/>
    </row>
    <row r="14" spans="1:13" x14ac:dyDescent="0.2">
      <c r="A14" s="40" t="s">
        <v>137</v>
      </c>
      <c r="B14" t="s">
        <v>141</v>
      </c>
      <c r="D14" s="31">
        <v>518299032</v>
      </c>
      <c r="E14" s="31">
        <v>653043231</v>
      </c>
      <c r="F14" s="31">
        <v>758845192</v>
      </c>
      <c r="G14" s="31">
        <v>779482000</v>
      </c>
      <c r="L14" s="2"/>
      <c r="M14" t="s">
        <v>491</v>
      </c>
    </row>
    <row r="15" spans="1:13" x14ac:dyDescent="0.2">
      <c r="A15" s="40" t="s">
        <v>138</v>
      </c>
      <c r="B15" t="s">
        <v>140</v>
      </c>
      <c r="D15" s="31">
        <v>443490204</v>
      </c>
      <c r="E15" s="31">
        <v>589353024</v>
      </c>
      <c r="F15" s="31">
        <v>708981286</v>
      </c>
      <c r="G15" s="31">
        <v>779233000</v>
      </c>
      <c r="L15" s="2"/>
      <c r="M15" t="s">
        <v>491</v>
      </c>
    </row>
    <row r="16" spans="1:13" x14ac:dyDescent="0.2">
      <c r="L16" s="2"/>
    </row>
    <row r="17" spans="1:17" x14ac:dyDescent="0.2">
      <c r="A17" s="40" t="s">
        <v>139</v>
      </c>
      <c r="B17" t="s">
        <v>142</v>
      </c>
      <c r="L17" s="2"/>
    </row>
    <row r="18" spans="1:17" x14ac:dyDescent="0.2">
      <c r="C18" t="s">
        <v>143</v>
      </c>
      <c r="D18" s="31">
        <v>82854389</v>
      </c>
      <c r="E18" s="31">
        <v>104392398</v>
      </c>
      <c r="F18" s="31">
        <v>121292653</v>
      </c>
      <c r="G18" s="31">
        <v>124717000</v>
      </c>
      <c r="L18" s="2"/>
      <c r="M18" t="s">
        <v>490</v>
      </c>
    </row>
    <row r="19" spans="1:17" x14ac:dyDescent="0.2">
      <c r="C19" t="s">
        <v>144</v>
      </c>
      <c r="D19" s="19">
        <f>D18/D$14</f>
        <v>0.15985827463401475</v>
      </c>
      <c r="E19" s="19">
        <f>E18/E$14</f>
        <v>0.15985526385465285</v>
      </c>
      <c r="F19" s="19">
        <f>F18/F$14</f>
        <v>0.15983846808111554</v>
      </c>
      <c r="G19" s="19">
        <f>G18/G$14</f>
        <v>0.15999984605160864</v>
      </c>
      <c r="H19" s="44">
        <f>ROUND(AVERAGE(D19:F19),3)</f>
        <v>0.16</v>
      </c>
      <c r="L19" s="2"/>
    </row>
    <row r="20" spans="1:17" x14ac:dyDescent="0.2">
      <c r="L20" s="2"/>
    </row>
    <row r="21" spans="1:17" x14ac:dyDescent="0.2">
      <c r="A21" s="40" t="s">
        <v>89</v>
      </c>
      <c r="B21" t="s">
        <v>145</v>
      </c>
      <c r="L21" s="2"/>
    </row>
    <row r="22" spans="1:17" x14ac:dyDescent="0.2">
      <c r="C22" t="s">
        <v>143</v>
      </c>
      <c r="D22" s="31">
        <v>0</v>
      </c>
      <c r="E22" s="31">
        <v>0</v>
      </c>
      <c r="F22" s="31">
        <v>0</v>
      </c>
      <c r="G22" s="31">
        <v>0</v>
      </c>
      <c r="L22" s="2"/>
    </row>
    <row r="23" spans="1:17" x14ac:dyDescent="0.2">
      <c r="C23" t="s">
        <v>144</v>
      </c>
      <c r="D23" s="19">
        <f>D22/D$14</f>
        <v>0</v>
      </c>
      <c r="E23" s="19">
        <f>E22/E$14</f>
        <v>0</v>
      </c>
      <c r="F23" s="19">
        <f>F22/F$14</f>
        <v>0</v>
      </c>
      <c r="G23" s="19">
        <f>G22/G$14</f>
        <v>0</v>
      </c>
      <c r="H23" s="44">
        <f>ROUND(AVERAGE(D23:F23),3)</f>
        <v>0</v>
      </c>
      <c r="L23" s="2"/>
    </row>
    <row r="24" spans="1:17" x14ac:dyDescent="0.2">
      <c r="L24" s="2"/>
      <c r="M24" s="228" t="s">
        <v>431</v>
      </c>
      <c r="N24" s="204"/>
      <c r="O24" s="229"/>
    </row>
    <row r="25" spans="1:17" x14ac:dyDescent="0.2">
      <c r="A25" s="40" t="s">
        <v>70</v>
      </c>
      <c r="B25" t="s">
        <v>146</v>
      </c>
      <c r="J25" s="18"/>
      <c r="L25" s="2"/>
      <c r="M25" s="230" t="s">
        <v>447</v>
      </c>
      <c r="N25" s="107">
        <v>25824749</v>
      </c>
      <c r="O25" s="231"/>
    </row>
    <row r="26" spans="1:17" x14ac:dyDescent="0.2">
      <c r="C26" t="s">
        <v>147</v>
      </c>
      <c r="D26" s="31">
        <v>35578580</v>
      </c>
      <c r="E26" s="31">
        <v>36234634</v>
      </c>
      <c r="F26" s="18">
        <f>SUM(N25:N27)</f>
        <v>39509911</v>
      </c>
      <c r="G26" s="31">
        <v>40270000</v>
      </c>
      <c r="H26" s="22"/>
      <c r="J26" s="18"/>
      <c r="K26" s="18"/>
      <c r="L26" s="2"/>
      <c r="M26" s="230" t="s">
        <v>432</v>
      </c>
      <c r="N26" s="107">
        <v>11898043</v>
      </c>
      <c r="O26" s="231"/>
    </row>
    <row r="27" spans="1:17" x14ac:dyDescent="0.2">
      <c r="J27" s="18"/>
      <c r="L27" s="2"/>
      <c r="M27" s="232" t="s">
        <v>433</v>
      </c>
      <c r="N27" s="108">
        <v>1787119</v>
      </c>
      <c r="O27" s="233"/>
      <c r="P27" s="11"/>
      <c r="Q27" s="11"/>
    </row>
    <row r="28" spans="1:17" x14ac:dyDescent="0.2">
      <c r="B28" t="s">
        <v>148</v>
      </c>
      <c r="L28" s="2"/>
      <c r="P28" s="235"/>
      <c r="Q28" s="134"/>
    </row>
    <row r="29" spans="1:17" x14ac:dyDescent="0.2">
      <c r="C29" t="s">
        <v>149</v>
      </c>
      <c r="D29" s="31">
        <v>0</v>
      </c>
      <c r="E29" s="31">
        <v>0</v>
      </c>
      <c r="F29" s="31">
        <v>0</v>
      </c>
      <c r="G29" s="31">
        <v>0</v>
      </c>
      <c r="L29" s="2"/>
      <c r="P29" s="235"/>
      <c r="Q29" s="134"/>
    </row>
    <row r="30" spans="1:17" x14ac:dyDescent="0.2">
      <c r="L30" s="2"/>
      <c r="P30" s="134"/>
      <c r="Q30" s="134"/>
    </row>
    <row r="31" spans="1:17" x14ac:dyDescent="0.2">
      <c r="C31" t="s">
        <v>150</v>
      </c>
      <c r="D31" s="26">
        <f>D26-SUM(D29)</f>
        <v>35578580</v>
      </c>
      <c r="E31" s="26">
        <f>E26-SUM(E29)</f>
        <v>36234634</v>
      </c>
      <c r="F31" s="26">
        <f>F26-SUM(F29)</f>
        <v>39509911</v>
      </c>
      <c r="G31" s="26">
        <f>G26-SUM(G29)</f>
        <v>40270000</v>
      </c>
      <c r="L31" s="2"/>
      <c r="P31" s="134"/>
      <c r="Q31" s="134"/>
    </row>
    <row r="32" spans="1:17" x14ac:dyDescent="0.2">
      <c r="B32" s="12"/>
      <c r="C32" t="s">
        <v>144</v>
      </c>
      <c r="D32" s="19">
        <f>D31/D$14</f>
        <v>6.8644889925243008E-2</v>
      </c>
      <c r="E32" s="19">
        <f t="shared" ref="E32:F32" si="0">E31/E$14</f>
        <v>5.5485812087071464E-2</v>
      </c>
      <c r="F32" s="19">
        <f t="shared" si="0"/>
        <v>5.2065838219081714E-2</v>
      </c>
      <c r="G32" s="19">
        <f t="shared" ref="G32" si="1">G31/G$14</f>
        <v>5.1662514336443949E-2</v>
      </c>
      <c r="H32" s="254">
        <f>ROUND(AVERAGE(F32:G32),3)</f>
        <v>5.1999999999999998E-2</v>
      </c>
      <c r="I32" s="19"/>
      <c r="L32" s="2"/>
      <c r="M32" s="18"/>
    </row>
    <row r="33" spans="1:17" x14ac:dyDescent="0.2">
      <c r="B33" s="12"/>
      <c r="C33" s="12"/>
      <c r="D33" s="76"/>
      <c r="E33" s="76"/>
      <c r="F33" s="76"/>
      <c r="G33" s="76"/>
      <c r="H33" s="76"/>
      <c r="L33" s="2"/>
      <c r="M33" s="18"/>
      <c r="N33" s="129"/>
      <c r="O33" s="19"/>
    </row>
    <row r="34" spans="1:17" x14ac:dyDescent="0.2">
      <c r="A34" s="40" t="s">
        <v>74</v>
      </c>
      <c r="B34" t="s">
        <v>151</v>
      </c>
      <c r="D34" s="31"/>
      <c r="E34" s="31"/>
      <c r="F34" s="31"/>
      <c r="G34" s="31"/>
      <c r="L34" s="2"/>
      <c r="M34" s="18"/>
    </row>
    <row r="35" spans="1:17" x14ac:dyDescent="0.2">
      <c r="B35" s="22"/>
      <c r="C35" t="s">
        <v>143</v>
      </c>
      <c r="D35" s="31">
        <v>9499183</v>
      </c>
      <c r="E35" s="31">
        <v>11379394</v>
      </c>
      <c r="F35" s="31">
        <v>13191282</v>
      </c>
      <c r="G35" s="31">
        <v>14226000</v>
      </c>
      <c r="L35" s="2"/>
      <c r="M35" s="19"/>
    </row>
    <row r="36" spans="1:17" x14ac:dyDescent="0.2">
      <c r="B36" s="22"/>
      <c r="C36" t="s">
        <v>144</v>
      </c>
      <c r="D36" s="19">
        <f>D35/D$14</f>
        <v>1.8327610922491556E-2</v>
      </c>
      <c r="E36" s="19">
        <f>E35/E$14</f>
        <v>1.7425177170238521E-2</v>
      </c>
      <c r="F36" s="19">
        <f>F35/F$14</f>
        <v>1.7383363746739006E-2</v>
      </c>
      <c r="G36" s="19">
        <f>G35/G$14</f>
        <v>1.8250581796629042E-2</v>
      </c>
      <c r="H36" s="44">
        <v>0</v>
      </c>
      <c r="L36" s="2"/>
    </row>
    <row r="37" spans="1:17" x14ac:dyDescent="0.2">
      <c r="L37" s="2"/>
    </row>
    <row r="38" spans="1:17" x14ac:dyDescent="0.2">
      <c r="A38" s="40" t="s">
        <v>73</v>
      </c>
      <c r="B38" t="s">
        <v>152</v>
      </c>
      <c r="H38" s="41">
        <f>'10.2'!F47</f>
        <v>0.25387907402648568</v>
      </c>
      <c r="I38" s="19"/>
      <c r="L38" s="2"/>
      <c r="M38" s="11"/>
      <c r="N38" s="11"/>
      <c r="O38" s="11"/>
      <c r="P38" s="11"/>
      <c r="Q38" s="11"/>
    </row>
    <row r="39" spans="1:17" x14ac:dyDescent="0.2">
      <c r="L39" s="2"/>
      <c r="M39" s="129"/>
      <c r="N39" s="129"/>
      <c r="O39" s="129"/>
      <c r="P39" s="129"/>
      <c r="Q39" s="129"/>
    </row>
    <row r="40" spans="1:17" x14ac:dyDescent="0.2">
      <c r="A40" s="40" t="s">
        <v>72</v>
      </c>
      <c r="B40" t="s">
        <v>389</v>
      </c>
      <c r="H40" s="251">
        <v>0</v>
      </c>
      <c r="I40" s="19"/>
      <c r="L40" s="2"/>
      <c r="M40" s="129"/>
      <c r="N40" s="129"/>
      <c r="O40" s="129"/>
      <c r="P40" s="129"/>
      <c r="Q40" s="129"/>
    </row>
    <row r="41" spans="1:17" x14ac:dyDescent="0.2">
      <c r="L41" s="2"/>
      <c r="M41" s="129"/>
      <c r="N41" s="129"/>
      <c r="O41" s="129"/>
      <c r="P41" s="129"/>
      <c r="Q41" s="129"/>
    </row>
    <row r="42" spans="1:17" x14ac:dyDescent="0.2">
      <c r="A42" s="40" t="s">
        <v>71</v>
      </c>
      <c r="B42" t="s">
        <v>223</v>
      </c>
      <c r="C42" s="12"/>
      <c r="H42" s="19">
        <f>SUM(H32,H38,H40)</f>
        <v>0.30587907402648568</v>
      </c>
      <c r="L42" s="2"/>
      <c r="M42" s="129"/>
    </row>
    <row r="43" spans="1:17" x14ac:dyDescent="0.2">
      <c r="C43" s="12"/>
      <c r="L43" s="2"/>
    </row>
    <row r="44" spans="1:17" x14ac:dyDescent="0.2">
      <c r="A44" s="40" t="s">
        <v>66</v>
      </c>
      <c r="B44" t="s">
        <v>224</v>
      </c>
      <c r="H44" s="41">
        <f>SUM(H19,H23,H36)</f>
        <v>0.16</v>
      </c>
      <c r="L44" s="2"/>
    </row>
    <row r="45" spans="1:17" x14ac:dyDescent="0.2">
      <c r="L45" s="2"/>
    </row>
    <row r="46" spans="1:17" x14ac:dyDescent="0.2">
      <c r="A46" s="40" t="s">
        <v>153</v>
      </c>
      <c r="B46" t="s">
        <v>390</v>
      </c>
      <c r="H46" s="44">
        <f>0.05</f>
        <v>0.05</v>
      </c>
      <c r="L46" s="2"/>
      <c r="N46" s="11"/>
    </row>
    <row r="47" spans="1:17" x14ac:dyDescent="0.2">
      <c r="L47" s="2"/>
      <c r="M47" s="134"/>
    </row>
    <row r="48" spans="1:17" x14ac:dyDescent="0.2">
      <c r="A48" s="40" t="s">
        <v>270</v>
      </c>
      <c r="B48" t="s">
        <v>408</v>
      </c>
      <c r="H48" s="19">
        <f>1-H44-H46</f>
        <v>0.78999999999999992</v>
      </c>
      <c r="L48" s="2"/>
    </row>
    <row r="49" spans="1:13" ht="12" thickBot="1" x14ac:dyDescent="0.25">
      <c r="A49" s="6"/>
      <c r="B49" s="6"/>
      <c r="C49" s="6"/>
      <c r="D49" s="6"/>
      <c r="E49" s="6"/>
      <c r="F49" s="6"/>
      <c r="G49" s="6"/>
      <c r="H49" s="6"/>
      <c r="L49" s="2"/>
      <c r="M49" s="76"/>
    </row>
    <row r="50" spans="1:13" ht="12" thickTop="1" x14ac:dyDescent="0.2">
      <c r="L50" s="2"/>
    </row>
    <row r="51" spans="1:13" x14ac:dyDescent="0.2">
      <c r="A51" t="s">
        <v>17</v>
      </c>
      <c r="L51" s="2"/>
    </row>
    <row r="52" spans="1:13" x14ac:dyDescent="0.2">
      <c r="B52" t="str">
        <f>A14&amp;" - "&amp;A34&amp;" From TWIA's Statutory Annual Statements and Insurance Expense Exhibits. 2025 figures are projected"</f>
        <v>(1) - (6) From TWIA's Statutory Annual Statements and Insurance Expense Exhibits. 2025 figures are projected</v>
      </c>
      <c r="L52" s="2"/>
    </row>
    <row r="53" spans="1:13" x14ac:dyDescent="0.2">
      <c r="B53" s="12" t="str">
        <f>A38&amp;" "&amp;'10.2'!H1&amp;", "&amp;'10.2'!H2</f>
        <v>(7) Exhibit 10, Sheet 2</v>
      </c>
      <c r="L53" s="2"/>
    </row>
    <row r="54" spans="1:13" x14ac:dyDescent="0.2">
      <c r="B54" t="s">
        <v>523</v>
      </c>
      <c r="L54" s="2"/>
    </row>
    <row r="55" spans="1:13" x14ac:dyDescent="0.2">
      <c r="B55" s="40" t="s">
        <v>398</v>
      </c>
      <c r="L55" s="2"/>
    </row>
    <row r="56" spans="1:13" x14ac:dyDescent="0.2">
      <c r="B56" t="str">
        <f>A44&amp;" = "&amp;A17&amp;" + "&amp;A21&amp;" + "&amp;A34</f>
        <v>(10) = (3) + (4) + (6)</v>
      </c>
      <c r="L56" s="2"/>
    </row>
    <row r="57" spans="1:13" x14ac:dyDescent="0.2">
      <c r="B57" t="str">
        <f>A46&amp;" CRTF contribution selected judgmentally "</f>
        <v xml:space="preserve">(11) CRTF contribution selected judgmentally </v>
      </c>
      <c r="L57" s="2"/>
    </row>
    <row r="58" spans="1:13" x14ac:dyDescent="0.2">
      <c r="B58" t="str">
        <f>A48&amp;" = 100% - "&amp;A44&amp;" - "&amp;A46</f>
        <v>(12) = 100% - (10) - (11)</v>
      </c>
      <c r="L58" s="2"/>
    </row>
    <row r="59" spans="1:13" x14ac:dyDescent="0.2">
      <c r="L59" s="2"/>
    </row>
    <row r="60" spans="1:13" x14ac:dyDescent="0.2">
      <c r="L60" s="2"/>
    </row>
    <row r="61" spans="1:13" x14ac:dyDescent="0.2">
      <c r="L61" s="2"/>
    </row>
    <row r="62" spans="1:13" x14ac:dyDescent="0.2">
      <c r="L62" s="2"/>
    </row>
    <row r="63" spans="1:13" x14ac:dyDescent="0.2">
      <c r="H63" s="19"/>
      <c r="L63" s="2"/>
    </row>
    <row r="64" spans="1:13" x14ac:dyDescent="0.2">
      <c r="B64" s="12"/>
      <c r="C64" s="12"/>
      <c r="L64" s="2"/>
    </row>
    <row r="65" spans="1:12" ht="12" thickBot="1" x14ac:dyDescent="0.25">
      <c r="D65" s="31"/>
      <c r="E65" s="31"/>
      <c r="F65" s="31"/>
      <c r="G65" s="31"/>
      <c r="L65" s="2"/>
    </row>
    <row r="66" spans="1:12" ht="12" thickBot="1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46D94-3B12-4D76-B02B-F4B9B8988B50}">
  <sheetPr>
    <tabColor rgb="FF00B050"/>
  </sheetPr>
  <dimension ref="A1:AB69"/>
  <sheetViews>
    <sheetView showGridLines="0" zoomScaleNormal="100" workbookViewId="0"/>
  </sheetViews>
  <sheetFormatPr defaultColWidth="11.33203125" defaultRowHeight="11.25" x14ac:dyDescent="0.2"/>
  <cols>
    <col min="1" max="2" width="4.5" customWidth="1"/>
    <col min="3" max="3" width="61.83203125" customWidth="1"/>
    <col min="4" max="6" width="13.83203125" customWidth="1"/>
    <col min="7" max="7" width="2.5" customWidth="1"/>
    <col min="8" max="8" width="5.83203125" customWidth="1"/>
    <col min="17" max="17" width="23.5" customWidth="1"/>
    <col min="18" max="18" width="15.1640625" customWidth="1"/>
    <col min="19" max="19" width="15.5" customWidth="1"/>
    <col min="22" max="22" width="13.5" customWidth="1"/>
    <col min="23" max="23" width="15.6640625" customWidth="1"/>
    <col min="24" max="26" width="11.5" bestFit="1" customWidth="1"/>
  </cols>
  <sheetData>
    <row r="1" spans="1:28" x14ac:dyDescent="0.2">
      <c r="A1" s="8" t="str">
        <f>'1'!$A$1</f>
        <v>Texas Windstorm Insurance Association</v>
      </c>
      <c r="C1" s="12"/>
      <c r="H1" s="104" t="s">
        <v>117</v>
      </c>
      <c r="I1" s="1"/>
      <c r="Q1" s="237" t="s">
        <v>444</v>
      </c>
      <c r="R1" s="238">
        <f>'1'!H15</f>
        <v>0.05</v>
      </c>
    </row>
    <row r="2" spans="1:28" ht="12.75" x14ac:dyDescent="0.2">
      <c r="A2" s="8" t="str">
        <f>'1'!$A$2</f>
        <v>Commercial Property - Wind &amp; Hail</v>
      </c>
      <c r="C2" s="12"/>
      <c r="D2" s="121"/>
      <c r="H2" s="104" t="s">
        <v>55</v>
      </c>
      <c r="I2" s="2"/>
      <c r="AB2" s="106"/>
    </row>
    <row r="3" spans="1:28" x14ac:dyDescent="0.2">
      <c r="A3" s="8" t="str">
        <f>'1'!$A$3</f>
        <v>Rate Level Review</v>
      </c>
      <c r="C3" s="12"/>
      <c r="H3" s="7"/>
      <c r="I3" s="2"/>
      <c r="AB3" s="22"/>
    </row>
    <row r="4" spans="1:28" x14ac:dyDescent="0.2">
      <c r="A4" t="s">
        <v>515</v>
      </c>
      <c r="C4" s="12"/>
      <c r="I4" s="2"/>
      <c r="Q4" s="8"/>
      <c r="Z4" s="18"/>
      <c r="AB4" s="129"/>
    </row>
    <row r="5" spans="1:28" x14ac:dyDescent="0.2">
      <c r="A5" t="s">
        <v>516</v>
      </c>
      <c r="C5" s="12"/>
      <c r="I5" s="2"/>
      <c r="AB5" s="129"/>
    </row>
    <row r="6" spans="1:28" x14ac:dyDescent="0.2">
      <c r="I6" s="2"/>
      <c r="AB6" s="139"/>
    </row>
    <row r="7" spans="1:28" ht="12" thickBot="1" x14ac:dyDescent="0.25">
      <c r="A7" s="6"/>
      <c r="B7" s="6"/>
      <c r="C7" s="6"/>
      <c r="D7" s="142" t="s">
        <v>438</v>
      </c>
      <c r="E7" s="142" t="s">
        <v>158</v>
      </c>
      <c r="F7" s="142" t="s">
        <v>157</v>
      </c>
      <c r="I7" s="2"/>
      <c r="AB7" s="138"/>
    </row>
    <row r="8" spans="1:28" ht="12" thickTop="1" x14ac:dyDescent="0.2">
      <c r="D8" s="11"/>
      <c r="I8" s="2"/>
      <c r="K8" t="s">
        <v>338</v>
      </c>
      <c r="V8" s="49"/>
      <c r="W8" s="18"/>
      <c r="X8" s="18"/>
      <c r="Y8" s="18"/>
      <c r="Z8" s="18"/>
      <c r="AA8" s="18"/>
      <c r="AB8" s="129"/>
    </row>
    <row r="9" spans="1:28" x14ac:dyDescent="0.2">
      <c r="I9" s="2"/>
      <c r="K9" t="s">
        <v>169</v>
      </c>
      <c r="L9" t="s">
        <v>339</v>
      </c>
      <c r="M9" t="s">
        <v>510</v>
      </c>
    </row>
    <row r="10" spans="1:28" x14ac:dyDescent="0.2">
      <c r="A10" s="40" t="s">
        <v>137</v>
      </c>
      <c r="B10" t="str">
        <f>YEAR($K$10)&amp;" - "&amp;YEAR($L$10)&amp;" Reinsurance Premium to 100-Year PML ($4227M XS $2000M)"</f>
        <v>2025 - 2026 Reinsurance Premium to 100-Year PML ($4227M XS $2000M)</v>
      </c>
      <c r="D10" s="18">
        <v>404015531.11083376</v>
      </c>
      <c r="E10" s="18">
        <f>$D$10*E41/$D41</f>
        <v>323055231.84826517</v>
      </c>
      <c r="F10" s="18">
        <f>$D$10*F41/$D41</f>
        <v>80960299.262568623</v>
      </c>
      <c r="G10" s="250"/>
      <c r="H10" s="227"/>
      <c r="I10" s="2"/>
      <c r="K10" s="132">
        <v>45809</v>
      </c>
      <c r="L10" s="132">
        <v>46173</v>
      </c>
      <c r="M10" s="260">
        <v>45930</v>
      </c>
      <c r="N10" s="49"/>
    </row>
    <row r="11" spans="1:28" x14ac:dyDescent="0.2">
      <c r="E11" s="18"/>
      <c r="F11" s="11"/>
      <c r="G11" s="127"/>
      <c r="I11" s="2"/>
    </row>
    <row r="12" spans="1:28" x14ac:dyDescent="0.2">
      <c r="A12" s="40" t="s">
        <v>340</v>
      </c>
      <c r="B12" t="s">
        <v>514</v>
      </c>
      <c r="E12" s="18"/>
      <c r="F12" s="11"/>
      <c r="G12" s="127"/>
      <c r="I12" s="2"/>
      <c r="K12" t="s">
        <v>341</v>
      </c>
    </row>
    <row r="13" spans="1:28" x14ac:dyDescent="0.2">
      <c r="B13" t="s">
        <v>446</v>
      </c>
      <c r="D13" s="107">
        <f>'[3]Page 4'!$E$47</f>
        <v>7175690393</v>
      </c>
      <c r="E13" s="18"/>
      <c r="G13" s="127"/>
      <c r="I13" s="2"/>
      <c r="K13" t="s">
        <v>225</v>
      </c>
    </row>
    <row r="14" spans="1:28" x14ac:dyDescent="0.2">
      <c r="B14" t="s">
        <v>442</v>
      </c>
      <c r="D14" s="107">
        <f>'[3]Page 4'!$D$47</f>
        <v>6192987504</v>
      </c>
      <c r="E14" s="18"/>
      <c r="G14" s="127"/>
      <c r="I14" s="2"/>
      <c r="K14" s="132">
        <v>45626</v>
      </c>
      <c r="L14" s="49"/>
      <c r="M14" s="84"/>
    </row>
    <row r="15" spans="1:28" x14ac:dyDescent="0.2">
      <c r="B15" t="s">
        <v>492</v>
      </c>
      <c r="D15" s="107">
        <f>'[3]Page 4'!$F$47</f>
        <v>4962755478.1322098</v>
      </c>
      <c r="E15" s="18"/>
      <c r="G15" s="127"/>
      <c r="I15" s="2"/>
    </row>
    <row r="16" spans="1:28" x14ac:dyDescent="0.2">
      <c r="B16" s="9" t="s">
        <v>493</v>
      </c>
      <c r="C16" s="9"/>
      <c r="D16" s="108">
        <f>'[3]Page 4'!$G$47</f>
        <v>5540469248</v>
      </c>
      <c r="E16" s="18"/>
      <c r="G16" s="127"/>
      <c r="I16" s="2"/>
    </row>
    <row r="17" spans="1:17" x14ac:dyDescent="0.2">
      <c r="B17" t="s">
        <v>494</v>
      </c>
      <c r="D17" s="18">
        <f>ROUND((D14*0.25+D15*0.5+D16*0.25)*1.15,-6)</f>
        <v>6227000000</v>
      </c>
      <c r="E17" s="18"/>
      <c r="G17" s="127"/>
      <c r="I17" s="2"/>
    </row>
    <row r="18" spans="1:17" x14ac:dyDescent="0.2">
      <c r="D18" s="11"/>
      <c r="E18" s="18"/>
      <c r="G18" s="127"/>
      <c r="I18" s="2"/>
      <c r="L18" s="29"/>
      <c r="M18" s="29"/>
      <c r="N18" s="91"/>
    </row>
    <row r="19" spans="1:17" x14ac:dyDescent="0.2">
      <c r="A19" s="40" t="s">
        <v>342</v>
      </c>
      <c r="B19" t="s">
        <v>513</v>
      </c>
      <c r="D19" s="11"/>
      <c r="E19" s="18"/>
      <c r="G19" s="127"/>
      <c r="I19" s="2"/>
    </row>
    <row r="20" spans="1:17" x14ac:dyDescent="0.2">
      <c r="B20" t="s">
        <v>446</v>
      </c>
      <c r="D20" s="107">
        <f>'[3]Page 4'!$E$48</f>
        <v>4252818691</v>
      </c>
      <c r="E20" s="18"/>
      <c r="G20" s="127"/>
      <c r="I20" s="2"/>
      <c r="Q20" s="91"/>
    </row>
    <row r="21" spans="1:17" x14ac:dyDescent="0.2">
      <c r="B21" t="s">
        <v>442</v>
      </c>
      <c r="D21" s="107">
        <f>'[3]Page 4'!$D$48</f>
        <v>3740923394</v>
      </c>
      <c r="E21" s="18"/>
      <c r="G21" s="127"/>
      <c r="I21" s="2"/>
    </row>
    <row r="22" spans="1:17" x14ac:dyDescent="0.2">
      <c r="B22" t="s">
        <v>492</v>
      </c>
      <c r="D22" s="107">
        <f>'[3]Page 4'!$F$48</f>
        <v>3081890239.3273902</v>
      </c>
      <c r="E22" s="18"/>
      <c r="G22" s="127"/>
      <c r="I22" s="2"/>
    </row>
    <row r="23" spans="1:17" x14ac:dyDescent="0.2">
      <c r="B23" s="9" t="s">
        <v>493</v>
      </c>
      <c r="C23" s="9"/>
      <c r="D23" s="108">
        <f>'[3]Page 4'!$G$48</f>
        <v>3248236288</v>
      </c>
      <c r="E23" s="18"/>
      <c r="G23" s="127"/>
      <c r="I23" s="2"/>
    </row>
    <row r="24" spans="1:17" x14ac:dyDescent="0.2">
      <c r="B24" t="s">
        <v>495</v>
      </c>
      <c r="D24" s="18">
        <f>ROUND((D21*0.25+D22*0.5+D23*0.25)*1.15,-6)</f>
        <v>3781000000</v>
      </c>
      <c r="E24" s="18"/>
      <c r="G24" s="127"/>
      <c r="I24" s="2"/>
    </row>
    <row r="25" spans="1:17" x14ac:dyDescent="0.2">
      <c r="E25" s="18"/>
      <c r="F25" s="11"/>
      <c r="G25" s="127"/>
      <c r="I25" s="2"/>
    </row>
    <row r="26" spans="1:17" x14ac:dyDescent="0.2">
      <c r="A26" s="40" t="s">
        <v>139</v>
      </c>
      <c r="B26" t="str">
        <f>YEAR($K$10)&amp;" - "&amp;YEAR($L$10)&amp;" Reinsurance Premium to 50-Year PML ($1800M xs $2000M)"</f>
        <v>2025 - 2026 Reinsurance Premium to 50-Year PML ($1800M xs $2000M)</v>
      </c>
      <c r="D26" s="18">
        <v>225255640.67909092</v>
      </c>
      <c r="E26" s="18">
        <f>$D26*E10/$D10</f>
        <v>180116870.81591475</v>
      </c>
      <c r="F26" s="18">
        <f>$D26*F10/$D10</f>
        <v>45138769.863176197</v>
      </c>
      <c r="G26" s="127"/>
      <c r="I26" s="2"/>
    </row>
    <row r="27" spans="1:17" x14ac:dyDescent="0.2">
      <c r="E27" s="18"/>
      <c r="F27" s="11"/>
      <c r="G27" s="127"/>
      <c r="I27" s="2"/>
    </row>
    <row r="28" spans="1:17" x14ac:dyDescent="0.2">
      <c r="A28" s="40" t="s">
        <v>89</v>
      </c>
      <c r="B28" t="str">
        <f>"Actual Exposures (000s) as of "&amp;TEXT($K$14,"mm/d/yy")</f>
        <v>Actual Exposures (000s) as of 11/30/24</v>
      </c>
      <c r="D28" s="107">
        <f>'[4]In-Force Exposure'!$U$62/1000</f>
        <v>125293798.7687</v>
      </c>
      <c r="E28" s="18"/>
      <c r="F28" s="11"/>
      <c r="G28" s="127"/>
      <c r="I28" s="2"/>
    </row>
    <row r="29" spans="1:17" x14ac:dyDescent="0.2">
      <c r="E29" s="18"/>
      <c r="F29" s="11"/>
      <c r="G29" s="127"/>
      <c r="I29" s="2"/>
    </row>
    <row r="30" spans="1:17" x14ac:dyDescent="0.2">
      <c r="A30" s="40" t="s">
        <v>70</v>
      </c>
      <c r="B30" t="str">
        <f>"Intial Estimated Exposures (000s) at "&amp;TEXT($M$10,"mm/d/yy")&amp;" Used for Reinsurance Pricing"</f>
        <v>Intial Estimated Exposures (000s) at 09/30/25 Used for Reinsurance Pricing</v>
      </c>
      <c r="D30" s="107">
        <v>133501546.426</v>
      </c>
      <c r="E30" s="18"/>
      <c r="F30" s="11"/>
      <c r="G30" s="127"/>
      <c r="I30" s="2"/>
    </row>
    <row r="31" spans="1:17" x14ac:dyDescent="0.2">
      <c r="E31" s="18"/>
      <c r="F31" s="11"/>
      <c r="G31" s="127"/>
      <c r="I31" s="2"/>
    </row>
    <row r="32" spans="1:17" x14ac:dyDescent="0.2">
      <c r="A32" s="40" t="s">
        <v>74</v>
      </c>
      <c r="B32" t="str">
        <f>"Current Estimated Exposures (000s) at "&amp;TEXT($M$10,"mm/d/yy")</f>
        <v>Current Estimated Exposures (000s) at 09/30/25</v>
      </c>
      <c r="D32" s="107">
        <f>'[4]In-Force Exposure'!$O$72*(1+'[4]In-Force Exposure'!$V$68)/1000</f>
        <v>134201927.72567867</v>
      </c>
      <c r="E32" s="18"/>
      <c r="F32" s="11"/>
      <c r="G32" s="127"/>
      <c r="I32" s="2"/>
    </row>
    <row r="33" spans="1:10" x14ac:dyDescent="0.2">
      <c r="E33" s="18"/>
      <c r="F33" s="11"/>
      <c r="G33" s="127"/>
      <c r="I33" s="2"/>
    </row>
    <row r="34" spans="1:10" x14ac:dyDescent="0.2">
      <c r="A34" s="40" t="s">
        <v>73</v>
      </c>
      <c r="B34" t="s">
        <v>511</v>
      </c>
      <c r="D34" s="18">
        <f>D26*D32/D30</f>
        <v>226437386.07906815</v>
      </c>
      <c r="E34" s="18">
        <f>D34*E26/D26</f>
        <v>181061807.34626445</v>
      </c>
      <c r="F34" s="18">
        <f>D34*F26/D26</f>
        <v>45375578.732803717</v>
      </c>
      <c r="G34" s="127"/>
      <c r="I34" s="2"/>
    </row>
    <row r="35" spans="1:10" x14ac:dyDescent="0.2">
      <c r="E35" s="18"/>
      <c r="F35" s="11"/>
      <c r="G35" s="127"/>
      <c r="I35" s="2"/>
    </row>
    <row r="36" spans="1:10" x14ac:dyDescent="0.2">
      <c r="A36" s="40" t="s">
        <v>72</v>
      </c>
      <c r="B36" t="s">
        <v>517</v>
      </c>
      <c r="E36" s="18"/>
      <c r="F36" s="11"/>
      <c r="G36" s="127"/>
      <c r="I36" s="2"/>
    </row>
    <row r="37" spans="1:10" x14ac:dyDescent="0.2">
      <c r="B37" t="s">
        <v>518</v>
      </c>
      <c r="C37" s="262" t="s">
        <v>519</v>
      </c>
      <c r="D37" s="18">
        <f>E37+F37</f>
        <v>55671669.144698992</v>
      </c>
      <c r="E37" s="107">
        <f>'[5]Ceded EL by LOB'!$G$42+'[5]Ceded EL by LOB'!$G$46</f>
        <v>44832021.236834496</v>
      </c>
      <c r="F37" s="107">
        <f>'[5]Ceded EL by LOB'!$G$43+'[5]Ceded EL by LOB'!$G$47</f>
        <v>10839647.9078645</v>
      </c>
      <c r="G37" s="250"/>
      <c r="H37" s="227"/>
      <c r="I37" s="2"/>
    </row>
    <row r="38" spans="1:10" x14ac:dyDescent="0.2">
      <c r="B38" t="s">
        <v>520</v>
      </c>
      <c r="C38" s="94" t="s">
        <v>442</v>
      </c>
      <c r="D38" s="25">
        <f>E38+F38</f>
        <v>50634423.908586428</v>
      </c>
      <c r="E38" s="108">
        <f>'[5]Ceded EL by LOB'!$G$20+'[5]Ceded EL by LOB'!$G$24</f>
        <v>40171491.979074799</v>
      </c>
      <c r="F38" s="108">
        <f>'[5]Ceded EL by LOB'!$G$21+'[5]Ceded EL by LOB'!$G$25</f>
        <v>10462931.929511629</v>
      </c>
      <c r="G38" s="250"/>
      <c r="H38" s="227"/>
      <c r="I38" s="2"/>
      <c r="J38" t="s">
        <v>401</v>
      </c>
    </row>
    <row r="39" spans="1:10" x14ac:dyDescent="0.2">
      <c r="B39" t="s">
        <v>521</v>
      </c>
      <c r="C39" t="s">
        <v>522</v>
      </c>
      <c r="D39" s="26">
        <f>AVERAGE(D37:D38)*$J39</f>
        <v>61870146.157012112</v>
      </c>
      <c r="E39" s="26">
        <f>AVERAGE(E37:E38)*$J39</f>
        <v>49472044.691659212</v>
      </c>
      <c r="F39" s="26">
        <f>AVERAGE(F37:F38)*$J39</f>
        <v>12398101.465352906</v>
      </c>
      <c r="G39" s="127"/>
      <c r="I39" s="2"/>
      <c r="J39" s="22">
        <f>1+'5'!D14</f>
        <v>1.1639999999999999</v>
      </c>
    </row>
    <row r="40" spans="1:10" x14ac:dyDescent="0.2">
      <c r="E40" s="135"/>
      <c r="F40" s="11"/>
      <c r="G40" s="127"/>
      <c r="I40" s="2"/>
    </row>
    <row r="41" spans="1:10" x14ac:dyDescent="0.2">
      <c r="A41" s="40" t="s">
        <v>71</v>
      </c>
      <c r="B41" t="s">
        <v>512</v>
      </c>
      <c r="D41" s="126">
        <f>D39*$D32/$D28</f>
        <v>66268985.093735814</v>
      </c>
      <c r="E41" s="126">
        <f>E39*$D32/$D28</f>
        <v>52989404.355183162</v>
      </c>
      <c r="F41" s="126">
        <f>F39*$D32/$D28</f>
        <v>13279580.73855266</v>
      </c>
      <c r="G41" s="250"/>
      <c r="H41" s="227"/>
      <c r="I41" s="2"/>
    </row>
    <row r="42" spans="1:10" x14ac:dyDescent="0.2">
      <c r="I42" s="2"/>
    </row>
    <row r="43" spans="1:10" x14ac:dyDescent="0.2">
      <c r="A43" s="40" t="s">
        <v>66</v>
      </c>
      <c r="B43" t="s">
        <v>343</v>
      </c>
      <c r="D43" s="18">
        <f>D34-D41</f>
        <v>160168400.98533234</v>
      </c>
      <c r="E43" s="18">
        <f>E34-E41</f>
        <v>128072402.9910813</v>
      </c>
      <c r="F43" s="18">
        <f>F34-F41</f>
        <v>32095997.994251058</v>
      </c>
      <c r="I43" s="2"/>
    </row>
    <row r="44" spans="1:10" x14ac:dyDescent="0.2">
      <c r="I44" s="2"/>
    </row>
    <row r="45" spans="1:10" x14ac:dyDescent="0.2">
      <c r="A45" s="40" t="s">
        <v>153</v>
      </c>
      <c r="B45" s="12" t="str">
        <f>YEAR($K$10)&amp;" TWIA Prospective Earned Premium at Present Rates"</f>
        <v>2025 TWIA Prospective Earned Premium at Present Rates</v>
      </c>
      <c r="D45" s="26">
        <f>SUM(E45:F45)</f>
        <v>794340683.21691728</v>
      </c>
      <c r="E45" s="224">
        <f>SUM('[4]Written Premium'!$AA$64:$AB$75)</f>
        <v>667918298.39719522</v>
      </c>
      <c r="F45" s="224">
        <f>SUM('[4]Written Premium'!$AC$64:$AC$75)</f>
        <v>126422384.819722</v>
      </c>
      <c r="I45" s="2"/>
    </row>
    <row r="46" spans="1:10" x14ac:dyDescent="0.2">
      <c r="C46" s="12"/>
      <c r="I46" s="2"/>
    </row>
    <row r="47" spans="1:10" x14ac:dyDescent="0.2">
      <c r="A47" s="40" t="s">
        <v>270</v>
      </c>
      <c r="B47" t="s">
        <v>344</v>
      </c>
      <c r="D47" s="41">
        <f>D43/D45</f>
        <v>0.20163691016892535</v>
      </c>
      <c r="E47" s="41">
        <f>E43/E45</f>
        <v>0.19174860652630252</v>
      </c>
      <c r="F47" s="41">
        <f>F43/F45</f>
        <v>0.25387907402648568</v>
      </c>
      <c r="I47" s="2"/>
    </row>
    <row r="48" spans="1:10" ht="12" thickBot="1" x14ac:dyDescent="0.25">
      <c r="A48" s="6"/>
      <c r="B48" s="6"/>
      <c r="C48" s="6"/>
      <c r="D48" s="6"/>
      <c r="E48" s="6"/>
      <c r="F48" s="6"/>
      <c r="I48" s="2"/>
    </row>
    <row r="49" spans="1:19" ht="12" thickTop="1" x14ac:dyDescent="0.2">
      <c r="I49" s="2"/>
    </row>
    <row r="50" spans="1:19" x14ac:dyDescent="0.2">
      <c r="A50" t="s">
        <v>17</v>
      </c>
      <c r="I50" s="2"/>
    </row>
    <row r="51" spans="1:19" x14ac:dyDescent="0.2">
      <c r="B51" t="str">
        <f>A10&amp;" Subject premium for TWIA reinsurance contract effective "&amp;TEXT($K$10,"m/d/yyyy")&amp;" through "&amp;TEXT($L$10,"m/d/yyyy")</f>
        <v>(1) Subject premium for TWIA reinsurance contract effective 6/1/2025 through 5/31/2026</v>
      </c>
      <c r="C51" s="12"/>
      <c r="I51" s="2"/>
    </row>
    <row r="52" spans="1:19" x14ac:dyDescent="0.2">
      <c r="B52" t="str">
        <f>A12&amp;" Provided by Aon, based on model results using TWIA exposures as of "&amp;TEXT($K$14,"mm/dd/yyyy")</f>
        <v>(2a) Provided by Aon, based on model results using TWIA exposures as of 11/30/2024</v>
      </c>
      <c r="C52" s="12"/>
      <c r="I52" s="2"/>
      <c r="R52" s="18"/>
      <c r="S52" s="18"/>
    </row>
    <row r="53" spans="1:19" x14ac:dyDescent="0.2">
      <c r="B53" t="str">
        <f>A19&amp;" Provided by Aon, based on model results using TWIA exposures as of "&amp;TEXT($K$14,"mm/dd/yyyy")</f>
        <v>(2b) Provided by Aon, based on model results using TWIA exposures as of 11/30/2024</v>
      </c>
      <c r="C53" s="12"/>
      <c r="I53" s="2"/>
    </row>
    <row r="54" spans="1:19" x14ac:dyDescent="0.2">
      <c r="B54" t="str">
        <f>A26&amp;" Subject premium for TWIA reinsurance contract effective "&amp;TEXT($K$10,"m/d/yyyy")&amp;" through "&amp;TEXT($L$10,"m/d/yyyy")</f>
        <v>(3) Subject premium for TWIA reinsurance contract effective 6/1/2025 through 5/31/2026</v>
      </c>
      <c r="C54" s="12"/>
      <c r="I54" s="2"/>
    </row>
    <row r="55" spans="1:19" x14ac:dyDescent="0.2">
      <c r="B55" t="str">
        <f>A28&amp;" From TWIA data"</f>
        <v>(4) From TWIA data</v>
      </c>
      <c r="I55" s="2"/>
    </row>
    <row r="56" spans="1:19" x14ac:dyDescent="0.2">
      <c r="B56" t="str">
        <f>A30&amp;" Projected exposures as of September 30, 2025 used for reinsurance pricing"</f>
        <v>(5) Projected exposures as of September 30, 2025 used for reinsurance pricing</v>
      </c>
      <c r="I56" s="2"/>
    </row>
    <row r="57" spans="1:19" x14ac:dyDescent="0.2">
      <c r="B57" t="str">
        <f>A32&amp;" Projections updated through May 31, 2025"</f>
        <v>(6) Projections updated through May 31, 2025</v>
      </c>
      <c r="I57" s="2"/>
    </row>
    <row r="58" spans="1:19" x14ac:dyDescent="0.2">
      <c r="B58" t="str">
        <f>A34&amp;" = "&amp;A26&amp;" * "&amp;A32&amp;" / "&amp;A30&amp;" (subject premiums adjusted for difference between initially estimated and actual exposures)"</f>
        <v>(7) = (3) * (6) / (5) (subject premiums adjusted for difference between initially estimated and actual exposures)</v>
      </c>
      <c r="I58" s="2"/>
    </row>
    <row r="59" spans="1:19" x14ac:dyDescent="0.2">
      <c r="B59" t="str">
        <f>A36&amp;" Expected modeled losses in the reinsurance layers up to the 50-year PML"</f>
        <v>(8) Expected modeled losses in the reinsurance layers up to the 50-year PML</v>
      </c>
      <c r="I59" s="2"/>
    </row>
    <row r="60" spans="1:19" x14ac:dyDescent="0.2">
      <c r="B60" t="str">
        <f>B37&amp;" Provided by Aon, based on Verisk model using TWIA exposures as of "&amp;TEXT($K$14,"mm/dd/yyyy")</f>
        <v>(a) Provided by Aon, based on Verisk model using TWIA exposures as of 11/30/2024</v>
      </c>
      <c r="C60" s="12"/>
      <c r="I60" s="2"/>
    </row>
    <row r="61" spans="1:19" x14ac:dyDescent="0.2">
      <c r="B61" t="str">
        <f>B38&amp;" Provided by Aon, based on RMS model using TWIA exposures as of "&amp;TEXT($K$14,"mm/dd/yyyy")</f>
        <v>(b) Provided by Aon, based on RMS model using TWIA exposures as of 11/30/2024</v>
      </c>
      <c r="C61" s="12"/>
      <c r="I61" s="2"/>
    </row>
    <row r="62" spans="1:19" x14ac:dyDescent="0.2">
      <c r="B62" t="str">
        <f>B39&amp;" Selected equal to the average of the RMS and Verisk catastrophe models with an LAE loading of "&amp;J39</f>
        <v>(c) Selected equal to the average of the RMS and Verisk catastrophe models with an LAE loading of 1.164</v>
      </c>
      <c r="C62" s="12"/>
      <c r="I62" s="2"/>
    </row>
    <row r="63" spans="1:19" x14ac:dyDescent="0.2">
      <c r="B63" t="str">
        <f>A41&amp;" = "&amp;A36&amp;B39&amp;" * "&amp;A32&amp;" / "&amp;A28&amp;" (projected loss growth from "&amp;TEXT($K$14,"m/d/yyyy")&amp;" to "&amp;TEXT($M$10,"m/d/yyyy")&amp;")"</f>
        <v>(9) = (8)(c) * (6) / (4) (projected loss growth from 11/30/2024 to 9/30/2025)</v>
      </c>
      <c r="C63" s="12"/>
      <c r="I63" s="2"/>
    </row>
    <row r="64" spans="1:19" x14ac:dyDescent="0.2">
      <c r="B64" t="str">
        <f>A43&amp;" = "&amp;A34&amp;" - "&amp;A41</f>
        <v>(10) = (7) - (9)</v>
      </c>
      <c r="I64" s="2"/>
    </row>
    <row r="65" spans="1:9" x14ac:dyDescent="0.2">
      <c r="B65" t="str">
        <f>A45&amp;" Projections updated through May 31, 2025"</f>
        <v>(11) Projections updated through May 31, 2025</v>
      </c>
      <c r="I65" s="2"/>
    </row>
    <row r="66" spans="1:9" x14ac:dyDescent="0.2">
      <c r="B66" s="12" t="str">
        <f>A47&amp;" = "&amp;A43&amp;" / "&amp;A45</f>
        <v>(12) = (10) / (11)</v>
      </c>
      <c r="I66" s="2"/>
    </row>
    <row r="67" spans="1:9" x14ac:dyDescent="0.2">
      <c r="I67" s="2"/>
    </row>
    <row r="68" spans="1:9" ht="12" thickBot="1" x14ac:dyDescent="0.25"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>
    <tabColor rgb="FF00B050"/>
  </sheetPr>
  <dimension ref="A1:Q38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6" width="14.6640625" customWidth="1"/>
    <col min="7" max="7" width="15.6640625" customWidth="1"/>
    <col min="8" max="8" width="19.33203125" customWidth="1"/>
    <col min="9" max="9" width="12.33203125" customWidth="1"/>
    <col min="11" max="11" width="12" customWidth="1"/>
    <col min="13" max="13" width="18.6640625" customWidth="1"/>
    <col min="15" max="15" width="5.5" customWidth="1"/>
    <col min="16" max="16" width="11.1640625" customWidth="1"/>
    <col min="17" max="17" width="13.6640625" customWidth="1"/>
  </cols>
  <sheetData>
    <row r="1" spans="1:17" x14ac:dyDescent="0.2">
      <c r="A1" s="8" t="str">
        <f>'1'!$A$1</f>
        <v>Texas Windstorm Insurance Association</v>
      </c>
      <c r="B1" s="12"/>
      <c r="I1" s="7" t="s">
        <v>135</v>
      </c>
      <c r="J1" s="1"/>
    </row>
    <row r="2" spans="1:17" x14ac:dyDescent="0.2">
      <c r="A2" s="8" t="str">
        <f>'1'!$A$2</f>
        <v>Commercial Property - Wind &amp; Hail</v>
      </c>
      <c r="B2" s="12"/>
      <c r="I2" s="7" t="s">
        <v>20</v>
      </c>
      <c r="J2" s="2"/>
    </row>
    <row r="3" spans="1:17" x14ac:dyDescent="0.2">
      <c r="A3" s="8" t="str">
        <f>'1'!$A$3</f>
        <v>Rate Level Review</v>
      </c>
      <c r="B3" s="12"/>
      <c r="J3" s="2"/>
    </row>
    <row r="4" spans="1:17" x14ac:dyDescent="0.2">
      <c r="A4" t="s">
        <v>163</v>
      </c>
      <c r="B4" s="12"/>
      <c r="J4" s="2"/>
    </row>
    <row r="5" spans="1:17" x14ac:dyDescent="0.2">
      <c r="B5" s="12"/>
      <c r="J5" s="2"/>
    </row>
    <row r="6" spans="1:17" x14ac:dyDescent="0.2">
      <c r="J6" s="2"/>
    </row>
    <row r="7" spans="1:17" ht="12" thickBot="1" x14ac:dyDescent="0.25">
      <c r="A7" s="6"/>
      <c r="B7" s="6"/>
      <c r="C7" s="6"/>
      <c r="D7" s="6"/>
      <c r="E7" s="6"/>
      <c r="F7" s="6"/>
      <c r="G7" s="6"/>
      <c r="J7" s="2"/>
    </row>
    <row r="8" spans="1:17" ht="12" thickTop="1" x14ac:dyDescent="0.2">
      <c r="J8" s="2"/>
    </row>
    <row r="9" spans="1:17" x14ac:dyDescent="0.2">
      <c r="C9" s="171" t="s">
        <v>164</v>
      </c>
      <c r="D9" s="171"/>
      <c r="F9" s="11" t="s">
        <v>165</v>
      </c>
      <c r="J9" s="2"/>
      <c r="K9" s="24"/>
      <c r="L9" s="10"/>
      <c r="P9" s="106"/>
    </row>
    <row r="10" spans="1:17" x14ac:dyDescent="0.2">
      <c r="A10" t="s">
        <v>155</v>
      </c>
      <c r="C10" s="11" t="s">
        <v>157</v>
      </c>
      <c r="D10" s="11"/>
      <c r="E10" s="11"/>
      <c r="F10" s="11" t="s">
        <v>166</v>
      </c>
      <c r="G10" s="11"/>
      <c r="J10" s="2"/>
      <c r="K10" s="12"/>
    </row>
    <row r="11" spans="1:17" x14ac:dyDescent="0.2">
      <c r="A11" s="9" t="s">
        <v>38</v>
      </c>
      <c r="B11" s="9"/>
      <c r="C11" s="143" t="s">
        <v>167</v>
      </c>
      <c r="D11" s="143" t="s">
        <v>158</v>
      </c>
      <c r="E11" s="143" t="s">
        <v>7</v>
      </c>
      <c r="F11" s="143" t="s">
        <v>39</v>
      </c>
      <c r="G11" s="143" t="s">
        <v>161</v>
      </c>
      <c r="J11" s="2"/>
      <c r="K11" s="36"/>
      <c r="P11" s="18"/>
      <c r="Q11" s="18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  <c r="P12" s="18"/>
      <c r="Q12" s="18"/>
    </row>
    <row r="13" spans="1:17" x14ac:dyDescent="0.2">
      <c r="J13" s="2"/>
    </row>
    <row r="14" spans="1:17" x14ac:dyDescent="0.2">
      <c r="A14">
        <f t="shared" ref="A14:A21" si="0">A15-1</f>
        <v>2015</v>
      </c>
      <c r="B14" s="22"/>
      <c r="C14" s="224">
        <f>ROUND('[1]TWIA 3'!L12,0)</f>
        <v>18718279</v>
      </c>
      <c r="D14" s="224">
        <f>ROUND('[1]TWIA 3'!M12,0)</f>
        <v>120286469</v>
      </c>
      <c r="E14" s="26">
        <f t="shared" ref="E14" si="1">SUM(C14:D14)</f>
        <v>139004748</v>
      </c>
      <c r="F14" s="107">
        <v>138697000</v>
      </c>
      <c r="G14" s="52">
        <f t="shared" ref="G14" si="2">E14-F14</f>
        <v>307748</v>
      </c>
      <c r="H14" s="19"/>
      <c r="J14" s="2"/>
      <c r="L14" s="107"/>
      <c r="M14" s="107"/>
      <c r="P14" s="18"/>
      <c r="Q14" s="18"/>
    </row>
    <row r="15" spans="1:17" x14ac:dyDescent="0.2">
      <c r="A15">
        <f t="shared" si="0"/>
        <v>2016</v>
      </c>
      <c r="C15" s="224">
        <f>ROUND('[1]TWIA 3'!L13,0)</f>
        <v>2551122</v>
      </c>
      <c r="D15" s="224">
        <f>ROUND('[1]TWIA 3'!M13,0)</f>
        <v>25645895</v>
      </c>
      <c r="E15" s="26">
        <f t="shared" ref="E15:E20" si="3">SUM(C15:D15)</f>
        <v>28197017</v>
      </c>
      <c r="F15" s="107">
        <v>28422000</v>
      </c>
      <c r="G15" s="52">
        <f t="shared" ref="G15:G23" si="4">E15-F15</f>
        <v>-224983</v>
      </c>
      <c r="H15" s="19"/>
      <c r="J15" s="2"/>
      <c r="K15" s="22"/>
      <c r="L15" s="107"/>
      <c r="M15" s="107"/>
      <c r="O15" s="22"/>
      <c r="P15" s="18"/>
      <c r="Q15" s="18"/>
    </row>
    <row r="16" spans="1:17" x14ac:dyDescent="0.2">
      <c r="A16">
        <f t="shared" si="0"/>
        <v>2017</v>
      </c>
      <c r="B16" s="22"/>
      <c r="C16" s="224">
        <f>ROUND('[1]TWIA 3'!L14,0)</f>
        <v>471272297</v>
      </c>
      <c r="D16" s="224">
        <f>ROUND('[1]TWIA 3'!M14,0)</f>
        <v>933994575</v>
      </c>
      <c r="E16" s="26">
        <f t="shared" si="3"/>
        <v>1405266872</v>
      </c>
      <c r="F16" s="107">
        <v>1406494000</v>
      </c>
      <c r="G16" s="93">
        <f t="shared" si="4"/>
        <v>-1227128</v>
      </c>
      <c r="H16" s="19"/>
      <c r="J16" s="2"/>
      <c r="K16" s="22"/>
      <c r="L16" s="107"/>
      <c r="M16" s="107"/>
      <c r="O16" s="11"/>
      <c r="P16" s="18"/>
      <c r="Q16" s="18"/>
    </row>
    <row r="17" spans="1:17" x14ac:dyDescent="0.2">
      <c r="A17">
        <f t="shared" si="0"/>
        <v>2018</v>
      </c>
      <c r="B17" s="22"/>
      <c r="C17" s="224">
        <f>ROUND('[1]TWIA 3'!L15,0)</f>
        <v>251357</v>
      </c>
      <c r="D17" s="224">
        <f>ROUND('[1]TWIA 3'!M15,0)</f>
        <v>11862645</v>
      </c>
      <c r="E17" s="26">
        <f t="shared" si="3"/>
        <v>12114002</v>
      </c>
      <c r="F17" s="107">
        <v>12097000</v>
      </c>
      <c r="G17" s="93">
        <f t="shared" si="4"/>
        <v>17002</v>
      </c>
      <c r="H17" s="19"/>
      <c r="J17" s="2"/>
      <c r="K17" s="22"/>
      <c r="L17" s="107"/>
      <c r="M17" s="107"/>
      <c r="O17" s="11"/>
      <c r="P17" s="18"/>
      <c r="Q17" s="18"/>
    </row>
    <row r="18" spans="1:17" x14ac:dyDescent="0.2">
      <c r="A18">
        <f t="shared" si="0"/>
        <v>2019</v>
      </c>
      <c r="B18" s="22"/>
      <c r="C18" s="224">
        <f>ROUND('[1]TWIA 3'!L16,0)</f>
        <v>941867</v>
      </c>
      <c r="D18" s="224">
        <f>ROUND('[1]TWIA 3'!M16,0)</f>
        <v>16664642</v>
      </c>
      <c r="E18" s="26">
        <f t="shared" si="3"/>
        <v>17606509</v>
      </c>
      <c r="F18" s="107">
        <v>17606000</v>
      </c>
      <c r="G18" s="93">
        <f t="shared" si="4"/>
        <v>509</v>
      </c>
      <c r="H18" s="19"/>
      <c r="J18" s="2"/>
      <c r="K18" s="22"/>
      <c r="L18" s="107"/>
      <c r="M18" s="107"/>
      <c r="O18" s="11"/>
      <c r="P18" s="18"/>
      <c r="Q18" s="18"/>
    </row>
    <row r="19" spans="1:17" x14ac:dyDescent="0.2">
      <c r="A19">
        <f t="shared" si="0"/>
        <v>2020</v>
      </c>
      <c r="B19" s="22"/>
      <c r="C19" s="224">
        <f>ROUND('[1]TWIA 3'!L17,0)</f>
        <v>7220763</v>
      </c>
      <c r="D19" s="224">
        <f>ROUND('[1]TWIA 3'!M17,0)</f>
        <v>57079319</v>
      </c>
      <c r="E19" s="26">
        <f t="shared" si="3"/>
        <v>64300082</v>
      </c>
      <c r="F19" s="107">
        <v>64174000</v>
      </c>
      <c r="G19" s="93">
        <f t="shared" si="4"/>
        <v>126082</v>
      </c>
      <c r="H19" s="19"/>
      <c r="J19" s="2"/>
      <c r="K19" s="22"/>
      <c r="L19" s="107"/>
      <c r="M19" s="107"/>
      <c r="O19" s="11"/>
      <c r="P19" s="18"/>
      <c r="Q19" s="18"/>
    </row>
    <row r="20" spans="1:17" x14ac:dyDescent="0.2">
      <c r="A20">
        <f t="shared" si="0"/>
        <v>2021</v>
      </c>
      <c r="B20" s="22"/>
      <c r="C20" s="224">
        <f>ROUND('[1]TWIA 3'!L18,0)</f>
        <v>8162442</v>
      </c>
      <c r="D20" s="224">
        <f>ROUND('[1]TWIA 3'!M18,0)</f>
        <v>58248471</v>
      </c>
      <c r="E20" s="26">
        <f t="shared" si="3"/>
        <v>66410913</v>
      </c>
      <c r="F20" s="107">
        <v>65295000</v>
      </c>
      <c r="G20" s="93">
        <f t="shared" si="4"/>
        <v>1115913</v>
      </c>
      <c r="H20" s="19"/>
      <c r="J20" s="2"/>
      <c r="K20" s="22"/>
      <c r="L20" s="107"/>
      <c r="M20" s="107"/>
      <c r="O20" s="11"/>
      <c r="P20" s="18"/>
      <c r="Q20" s="18"/>
    </row>
    <row r="21" spans="1:17" x14ac:dyDescent="0.2">
      <c r="A21">
        <f t="shared" si="0"/>
        <v>2022</v>
      </c>
      <c r="B21" s="22"/>
      <c r="C21" s="224">
        <f>ROUND('[1]TWIA 3'!L19,0)</f>
        <v>1447225</v>
      </c>
      <c r="D21" s="224">
        <f>ROUND('[1]TWIA 3'!M19,0)</f>
        <v>26347578</v>
      </c>
      <c r="E21" s="26">
        <f t="shared" ref="E21" si="5">SUM(C21:D21)</f>
        <v>27794803</v>
      </c>
      <c r="F21" s="107">
        <v>28828000</v>
      </c>
      <c r="G21" s="93">
        <f t="shared" si="4"/>
        <v>-1033197</v>
      </c>
      <c r="H21" s="19"/>
      <c r="J21" s="2"/>
      <c r="K21" s="22"/>
      <c r="L21" s="107"/>
      <c r="M21" s="107"/>
      <c r="O21" s="11"/>
      <c r="P21" s="18"/>
      <c r="Q21" s="18"/>
    </row>
    <row r="22" spans="1:17" x14ac:dyDescent="0.2">
      <c r="A22">
        <f>A23-1</f>
        <v>2023</v>
      </c>
      <c r="B22" s="22"/>
      <c r="C22" s="224">
        <f>ROUND('[1]TWIA 3'!L20,0)</f>
        <v>6000143</v>
      </c>
      <c r="D22" s="224">
        <f>ROUND('[1]TWIA 3'!M20,0)</f>
        <v>69689984</v>
      </c>
      <c r="E22" s="26">
        <f t="shared" ref="E22:E23" si="6">SUM(C22:D22)</f>
        <v>75690127</v>
      </c>
      <c r="F22" s="107">
        <v>75666000</v>
      </c>
      <c r="G22" s="93">
        <f t="shared" si="4"/>
        <v>24127</v>
      </c>
      <c r="H22" s="19"/>
      <c r="J22" s="2"/>
      <c r="K22" s="22"/>
      <c r="L22" s="107"/>
      <c r="M22" s="107"/>
      <c r="O22" s="11"/>
      <c r="P22" s="18"/>
      <c r="Q22" s="18"/>
    </row>
    <row r="23" spans="1:17" x14ac:dyDescent="0.2">
      <c r="A23" s="9">
        <f>YEAR(K30)</f>
        <v>2024</v>
      </c>
      <c r="B23" s="23"/>
      <c r="C23" s="226">
        <f>ROUND('[1]TWIA 3'!L21,0)</f>
        <v>29833984</v>
      </c>
      <c r="D23" s="226">
        <f>ROUND('[1]TWIA 3'!M21,0)</f>
        <v>364740425</v>
      </c>
      <c r="E23" s="27">
        <f t="shared" si="6"/>
        <v>394574409</v>
      </c>
      <c r="F23" s="108">
        <v>395045000</v>
      </c>
      <c r="G23" s="53">
        <f t="shared" si="4"/>
        <v>-470591</v>
      </c>
      <c r="H23" s="19"/>
      <c r="J23" s="2"/>
      <c r="K23" s="22"/>
      <c r="L23" s="107"/>
      <c r="M23" s="107"/>
      <c r="O23" s="11"/>
      <c r="P23" s="18"/>
      <c r="Q23" s="18"/>
    </row>
    <row r="24" spans="1:17" x14ac:dyDescent="0.2">
      <c r="C24" s="18"/>
      <c r="D24" s="12"/>
      <c r="E24" s="18"/>
      <c r="F24" s="18"/>
      <c r="G24" s="54"/>
      <c r="H24" s="19"/>
      <c r="J24" s="2"/>
      <c r="K24" s="19"/>
    </row>
    <row r="25" spans="1:17" x14ac:dyDescent="0.2">
      <c r="A25" t="s">
        <v>7</v>
      </c>
      <c r="C25" s="46">
        <f>SUM(C14:C21)</f>
        <v>510565352</v>
      </c>
      <c r="D25" s="46">
        <f>SUM(D14:D21)</f>
        <v>1250129594</v>
      </c>
      <c r="E25" s="46">
        <f>SUM(E14:E21)</f>
        <v>1760694946</v>
      </c>
      <c r="F25" s="46">
        <f>SUM(F14:F23)</f>
        <v>2232324000</v>
      </c>
      <c r="G25" s="52">
        <f>SUM(G14:G23)</f>
        <v>-1364518</v>
      </c>
      <c r="H25" s="19"/>
      <c r="J25" s="2"/>
      <c r="L25" s="46"/>
      <c r="M25" s="46"/>
    </row>
    <row r="26" spans="1:17" ht="12" thickBot="1" x14ac:dyDescent="0.25">
      <c r="A26" s="6"/>
      <c r="B26" s="6"/>
      <c r="C26" s="6"/>
      <c r="D26" s="6"/>
      <c r="E26" s="6"/>
      <c r="F26" s="6"/>
      <c r="G26" s="6"/>
      <c r="J26" s="2"/>
    </row>
    <row r="27" spans="1:17" ht="12" thickTop="1" x14ac:dyDescent="0.2">
      <c r="J27" s="2"/>
    </row>
    <row r="28" spans="1:17" x14ac:dyDescent="0.2">
      <c r="A28" t="s">
        <v>17</v>
      </c>
      <c r="J28" s="2"/>
    </row>
    <row r="29" spans="1:17" x14ac:dyDescent="0.2">
      <c r="B29" s="12" t="str">
        <f>C12&amp;", "&amp;D12&amp;" Provided by TWIA, as of "&amp;TEXT($K$30,"m/d/yyyy")</f>
        <v>(2), (3) Provided by TWIA, as of 12/31/2024</v>
      </c>
      <c r="J29" s="2"/>
      <c r="K29" t="s">
        <v>207</v>
      </c>
    </row>
    <row r="30" spans="1:17" x14ac:dyDescent="0.2">
      <c r="B30" s="12" t="str">
        <f>E12&amp;" = "&amp;C12&amp;" + "&amp;D12</f>
        <v>(4) = (2) + (3)</v>
      </c>
      <c r="J30" s="2"/>
      <c r="K30" s="63">
        <v>45657</v>
      </c>
    </row>
    <row r="31" spans="1:17" x14ac:dyDescent="0.2">
      <c r="B31" s="12" t="str">
        <f>F12&amp;" Based on TWIA "&amp;TEXT(YEAR(K30),"#")&amp;" Annual Statement"</f>
        <v>(5) Based on TWIA 2024 Annual Statement</v>
      </c>
      <c r="J31" s="2"/>
    </row>
    <row r="32" spans="1:17" x14ac:dyDescent="0.2">
      <c r="B32" s="12" t="str">
        <f>G12&amp;" = "&amp;E12&amp;" - "&amp;F12</f>
        <v>(6) = (4) - (5)</v>
      </c>
      <c r="J32" s="2"/>
    </row>
    <row r="33" spans="1:13" x14ac:dyDescent="0.2">
      <c r="B33" s="12"/>
      <c r="J33" s="2"/>
      <c r="L33" s="18"/>
      <c r="M33" s="18"/>
    </row>
    <row r="34" spans="1:13" x14ac:dyDescent="0.2">
      <c r="D34" s="41"/>
      <c r="E34" s="41"/>
      <c r="F34" s="41"/>
      <c r="G34" s="21"/>
      <c r="J34" s="2"/>
      <c r="L34" s="18"/>
      <c r="M34" s="18"/>
    </row>
    <row r="35" spans="1:13" x14ac:dyDescent="0.2">
      <c r="B35" s="22"/>
      <c r="C35" s="41"/>
      <c r="D35" s="41"/>
      <c r="E35" s="41"/>
      <c r="F35" s="41"/>
      <c r="G35" s="21"/>
      <c r="J35" s="2"/>
    </row>
    <row r="36" spans="1:13" x14ac:dyDescent="0.2">
      <c r="B36" s="22"/>
      <c r="C36" s="41"/>
      <c r="D36" s="41"/>
      <c r="E36" s="41"/>
      <c r="F36" s="41"/>
      <c r="G36" s="21"/>
      <c r="J36" s="2"/>
    </row>
    <row r="37" spans="1:13" ht="12" thickBot="1" x14ac:dyDescent="0.25">
      <c r="J37" s="2"/>
    </row>
    <row r="38" spans="1:13" ht="12" thickBot="1" x14ac:dyDescent="0.25">
      <c r="A38" s="4"/>
      <c r="B38" s="5"/>
      <c r="C38" s="5"/>
      <c r="D38" s="5"/>
      <c r="E38" s="5"/>
      <c r="F38" s="5"/>
      <c r="G38" s="5"/>
      <c r="H38" s="5"/>
      <c r="I38" s="5"/>
      <c r="J3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>
    <tabColor rgb="FF00B050"/>
  </sheetPr>
  <dimension ref="A1:L74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  <col min="12" max="12" width="10" customWidth="1"/>
    <col min="14" max="14" width="25.8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135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55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154</v>
      </c>
      <c r="B4" s="12"/>
      <c r="K4" s="2"/>
    </row>
    <row r="5" spans="1:12" x14ac:dyDescent="0.2">
      <c r="B5" s="12"/>
      <c r="D5" t="s">
        <v>277</v>
      </c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K7" s="2"/>
    </row>
    <row r="8" spans="1:12" ht="12" thickTop="1" x14ac:dyDescent="0.2">
      <c r="K8" s="2"/>
    </row>
    <row r="9" spans="1:12" x14ac:dyDescent="0.2">
      <c r="C9" s="171" t="s">
        <v>156</v>
      </c>
      <c r="D9" s="171"/>
      <c r="F9" s="11" t="s">
        <v>114</v>
      </c>
      <c r="K9" s="2"/>
      <c r="L9" s="24"/>
    </row>
    <row r="10" spans="1:12" x14ac:dyDescent="0.2">
      <c r="A10" t="s">
        <v>155</v>
      </c>
      <c r="F10" t="s">
        <v>160</v>
      </c>
      <c r="K10" s="2"/>
      <c r="L10" s="12"/>
    </row>
    <row r="11" spans="1:12" x14ac:dyDescent="0.2">
      <c r="A11" s="9" t="s">
        <v>38</v>
      </c>
      <c r="B11" s="9"/>
      <c r="C11" s="143" t="s">
        <v>157</v>
      </c>
      <c r="D11" s="143" t="s">
        <v>158</v>
      </c>
      <c r="E11" s="143" t="s">
        <v>7</v>
      </c>
      <c r="F11" s="143" t="s">
        <v>159</v>
      </c>
      <c r="G11" s="143" t="s">
        <v>161</v>
      </c>
      <c r="K11" s="2"/>
      <c r="L11" s="36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11"/>
      <c r="I12" s="11"/>
      <c r="K12" s="2"/>
    </row>
    <row r="13" spans="1:12" x14ac:dyDescent="0.2">
      <c r="K13" s="2"/>
    </row>
    <row r="14" spans="1:12" x14ac:dyDescent="0.2">
      <c r="A14" s="60">
        <v>1994</v>
      </c>
      <c r="B14" s="12"/>
      <c r="C14" s="31">
        <v>10672677</v>
      </c>
      <c r="D14" s="31">
        <v>15758330</v>
      </c>
      <c r="E14" s="26">
        <f>SUM(C14:D14)</f>
        <v>26431007</v>
      </c>
      <c r="F14" s="31">
        <v>26510501</v>
      </c>
      <c r="G14" s="52">
        <f>E14-F14</f>
        <v>-79494</v>
      </c>
      <c r="H14" s="52"/>
      <c r="I14" s="52"/>
      <c r="K14" s="2"/>
      <c r="L14" s="19">
        <f>G14/F14</f>
        <v>-2.9985853530267118E-3</v>
      </c>
    </row>
    <row r="15" spans="1:12" x14ac:dyDescent="0.2">
      <c r="A15" t="str">
        <f>TEXT(A14+1,"#")</f>
        <v>1995</v>
      </c>
      <c r="B15" s="12"/>
      <c r="C15" s="31">
        <v>12865905</v>
      </c>
      <c r="D15" s="31">
        <v>19259265</v>
      </c>
      <c r="E15" s="26">
        <f t="shared" ref="E15:E30" si="0">SUM(C15:D15)</f>
        <v>32125170</v>
      </c>
      <c r="F15" s="31">
        <v>32419287</v>
      </c>
      <c r="G15" s="52">
        <f t="shared" ref="G15:G44" si="1">E15-F15</f>
        <v>-294117</v>
      </c>
      <c r="H15" s="52"/>
      <c r="I15" s="52"/>
      <c r="K15" s="2"/>
      <c r="L15" s="19">
        <f t="shared" ref="L15:L35" si="2">G15/F15</f>
        <v>-9.0722846557359516E-3</v>
      </c>
    </row>
    <row r="16" spans="1:12" x14ac:dyDescent="0.2">
      <c r="A16" t="str">
        <f t="shared" ref="A16:A44" si="3">TEXT(A15+1,"#")</f>
        <v>1996</v>
      </c>
      <c r="C16" s="31">
        <v>15640660</v>
      </c>
      <c r="D16" s="31">
        <v>24504127</v>
      </c>
      <c r="E16" s="26">
        <f t="shared" si="0"/>
        <v>40144787</v>
      </c>
      <c r="F16" s="31">
        <v>40358575</v>
      </c>
      <c r="G16" s="52">
        <f t="shared" si="1"/>
        <v>-213788</v>
      </c>
      <c r="H16" s="52"/>
      <c r="I16" s="52"/>
      <c r="K16" s="2"/>
      <c r="L16" s="19">
        <f t="shared" si="2"/>
        <v>-5.2972137891389871E-3</v>
      </c>
    </row>
    <row r="17" spans="1:12" x14ac:dyDescent="0.2">
      <c r="A17" t="str">
        <f t="shared" si="3"/>
        <v>1997</v>
      </c>
      <c r="C17" s="31">
        <v>16536186</v>
      </c>
      <c r="D17" s="31">
        <v>25783455</v>
      </c>
      <c r="E17" s="26">
        <f t="shared" si="0"/>
        <v>42319641</v>
      </c>
      <c r="F17" s="31">
        <v>42462844</v>
      </c>
      <c r="G17" s="52">
        <f t="shared" si="1"/>
        <v>-143203</v>
      </c>
      <c r="H17" s="52"/>
      <c r="I17" s="52"/>
      <c r="K17" s="2"/>
      <c r="L17" s="19">
        <f t="shared" si="2"/>
        <v>-3.3724307302638512E-3</v>
      </c>
    </row>
    <row r="18" spans="1:12" x14ac:dyDescent="0.2">
      <c r="A18" t="str">
        <f t="shared" si="3"/>
        <v>1998</v>
      </c>
      <c r="C18" s="31">
        <v>16558977</v>
      </c>
      <c r="D18" s="31">
        <v>27833800</v>
      </c>
      <c r="E18" s="26">
        <f t="shared" si="0"/>
        <v>44392777</v>
      </c>
      <c r="F18" s="31">
        <v>44410914</v>
      </c>
      <c r="G18" s="52">
        <f t="shared" si="1"/>
        <v>-18137</v>
      </c>
      <c r="H18" s="52"/>
      <c r="I18" s="52"/>
      <c r="K18" s="2"/>
      <c r="L18" s="19">
        <f t="shared" si="2"/>
        <v>-4.0839060416545357E-4</v>
      </c>
    </row>
    <row r="19" spans="1:12" x14ac:dyDescent="0.2">
      <c r="A19" t="str">
        <f t="shared" si="3"/>
        <v>1999</v>
      </c>
      <c r="C19" s="31">
        <v>17394142.049999997</v>
      </c>
      <c r="D19" s="31">
        <v>27168992</v>
      </c>
      <c r="E19" s="26">
        <f t="shared" si="0"/>
        <v>44563134.049999997</v>
      </c>
      <c r="F19" s="31">
        <v>44581218</v>
      </c>
      <c r="G19" s="52">
        <f t="shared" si="1"/>
        <v>-18083.95000000298</v>
      </c>
      <c r="H19" s="52"/>
      <c r="I19" s="52"/>
      <c r="K19" s="2"/>
      <c r="L19" s="19">
        <f t="shared" si="2"/>
        <v>-4.0564055472874203E-4</v>
      </c>
    </row>
    <row r="20" spans="1:12" x14ac:dyDescent="0.2">
      <c r="A20" t="str">
        <f t="shared" si="3"/>
        <v>2000</v>
      </c>
      <c r="C20" s="31">
        <v>17332561</v>
      </c>
      <c r="D20" s="31">
        <v>29762296</v>
      </c>
      <c r="E20" s="26">
        <f t="shared" si="0"/>
        <v>47094857</v>
      </c>
      <c r="F20" s="31">
        <v>48012426</v>
      </c>
      <c r="G20" s="52">
        <f t="shared" si="1"/>
        <v>-917569</v>
      </c>
      <c r="H20" s="52"/>
      <c r="I20" s="52"/>
      <c r="K20" s="2"/>
      <c r="L20" s="19">
        <f t="shared" si="2"/>
        <v>-1.911107345419288E-2</v>
      </c>
    </row>
    <row r="21" spans="1:12" x14ac:dyDescent="0.2">
      <c r="A21" t="str">
        <f t="shared" si="3"/>
        <v>2001</v>
      </c>
      <c r="C21" s="31">
        <v>17544251</v>
      </c>
      <c r="D21" s="31">
        <v>36220622.519999996</v>
      </c>
      <c r="E21" s="26">
        <f t="shared" si="0"/>
        <v>53764873.519999996</v>
      </c>
      <c r="F21" s="31">
        <v>54630727</v>
      </c>
      <c r="G21" s="52">
        <f t="shared" si="1"/>
        <v>-865853.48000000417</v>
      </c>
      <c r="H21" s="52"/>
      <c r="I21" s="52"/>
      <c r="K21" s="2"/>
      <c r="L21" s="19">
        <f t="shared" si="2"/>
        <v>-1.584920295862078E-2</v>
      </c>
    </row>
    <row r="22" spans="1:12" x14ac:dyDescent="0.2">
      <c r="A22" t="str">
        <f t="shared" si="3"/>
        <v>2002</v>
      </c>
      <c r="C22" s="107">
        <v>24013525</v>
      </c>
      <c r="D22" s="107">
        <v>48856422.25</v>
      </c>
      <c r="E22" s="26">
        <f>SUM(C22:D22)</f>
        <v>72869947.25</v>
      </c>
      <c r="F22" s="31">
        <v>72967831</v>
      </c>
      <c r="G22" s="52">
        <f t="shared" si="1"/>
        <v>-97883.75</v>
      </c>
      <c r="H22" s="52"/>
      <c r="I22" s="52"/>
      <c r="K22" s="2"/>
      <c r="L22" s="19">
        <f t="shared" si="2"/>
        <v>-1.3414644324565438E-3</v>
      </c>
    </row>
    <row r="23" spans="1:12" x14ac:dyDescent="0.2">
      <c r="A23" t="str">
        <f t="shared" si="3"/>
        <v>2003</v>
      </c>
      <c r="C23" s="224">
        <f>'[1]TWIA 5'!C308</f>
        <v>29220514</v>
      </c>
      <c r="D23" s="224">
        <f>'[1]TWIA 5'!D308</f>
        <v>58573191</v>
      </c>
      <c r="E23" s="26">
        <f>SUM(C23:D23)</f>
        <v>87793705</v>
      </c>
      <c r="F23" s="31">
        <v>87987279</v>
      </c>
      <c r="G23" s="52">
        <f t="shared" si="1"/>
        <v>-193574</v>
      </c>
      <c r="H23" s="52"/>
      <c r="I23" s="52"/>
      <c r="K23" s="2"/>
      <c r="L23" s="19">
        <f t="shared" si="2"/>
        <v>-2.2000225737177303E-3</v>
      </c>
    </row>
    <row r="24" spans="1:12" x14ac:dyDescent="0.2">
      <c r="A24" t="str">
        <f t="shared" si="3"/>
        <v>2004</v>
      </c>
      <c r="C24" s="224">
        <f>'[1]TWIA 5'!C309</f>
        <v>31009323</v>
      </c>
      <c r="D24" s="224">
        <f>'[1]TWIA 5'!D309</f>
        <v>71292702</v>
      </c>
      <c r="E24" s="26">
        <f>SUM(C24:D24)</f>
        <v>102302025</v>
      </c>
      <c r="F24" s="31">
        <v>102384351</v>
      </c>
      <c r="G24" s="52">
        <f t="shared" si="1"/>
        <v>-82326</v>
      </c>
      <c r="H24" s="52"/>
      <c r="I24" s="52"/>
      <c r="K24" s="2"/>
      <c r="L24" s="19">
        <f t="shared" si="2"/>
        <v>-8.0408772625808805E-4</v>
      </c>
    </row>
    <row r="25" spans="1:12" x14ac:dyDescent="0.2">
      <c r="A25" t="str">
        <f t="shared" si="3"/>
        <v>2005</v>
      </c>
      <c r="C25" s="224">
        <f>'[1]TWIA 5'!C310</f>
        <v>35740174</v>
      </c>
      <c r="D25" s="224">
        <f>'[1]TWIA 5'!D310</f>
        <v>78094458</v>
      </c>
      <c r="E25" s="26">
        <f t="shared" si="0"/>
        <v>113834632</v>
      </c>
      <c r="F25" s="31">
        <v>113927701</v>
      </c>
      <c r="G25" s="52">
        <f t="shared" si="1"/>
        <v>-93069</v>
      </c>
      <c r="H25" s="52"/>
      <c r="I25" s="52"/>
      <c r="K25" s="2"/>
      <c r="L25" s="19">
        <f t="shared" si="2"/>
        <v>-8.169128243885129E-4</v>
      </c>
    </row>
    <row r="26" spans="1:12" x14ac:dyDescent="0.2">
      <c r="A26" t="str">
        <f t="shared" si="3"/>
        <v>2006</v>
      </c>
      <c r="C26" s="224">
        <f>'[1]TWIA 5'!C311</f>
        <v>76847840</v>
      </c>
      <c r="D26" s="224">
        <f>'[1]TWIA 5'!D311</f>
        <v>119658576</v>
      </c>
      <c r="E26" s="26">
        <f>SUM(C26:D26)</f>
        <v>196506416</v>
      </c>
      <c r="F26" s="31">
        <v>196833235</v>
      </c>
      <c r="G26" s="52">
        <f t="shared" si="1"/>
        <v>-326819</v>
      </c>
      <c r="H26" s="52"/>
      <c r="I26" s="52"/>
      <c r="K26" s="2"/>
      <c r="L26" s="19">
        <f t="shared" si="2"/>
        <v>-1.6603852494727325E-3</v>
      </c>
    </row>
    <row r="27" spans="1:12" x14ac:dyDescent="0.2">
      <c r="A27" t="str">
        <f t="shared" si="3"/>
        <v>2007</v>
      </c>
      <c r="C27" s="224">
        <f>'[1]TWIA 5'!C312</f>
        <v>110951718</v>
      </c>
      <c r="D27" s="224">
        <f>'[1]TWIA 5'!D312</f>
        <v>203561196</v>
      </c>
      <c r="E27" s="26">
        <f t="shared" si="0"/>
        <v>314512914</v>
      </c>
      <c r="F27" s="31">
        <v>315139307</v>
      </c>
      <c r="G27" s="52">
        <f t="shared" si="1"/>
        <v>-626393</v>
      </c>
      <c r="H27" s="52"/>
      <c r="I27" s="52"/>
      <c r="K27" s="2"/>
      <c r="L27" s="19">
        <f t="shared" si="2"/>
        <v>-1.9876701702590213E-3</v>
      </c>
    </row>
    <row r="28" spans="1:12" x14ac:dyDescent="0.2">
      <c r="A28" t="str">
        <f t="shared" si="3"/>
        <v>2008</v>
      </c>
      <c r="B28" s="22"/>
      <c r="C28" s="224">
        <f>'[1]TWIA 5'!C313</f>
        <v>98036118.420000017</v>
      </c>
      <c r="D28" s="224">
        <f>'[1]TWIA 5'!D313</f>
        <v>232925989.76999998</v>
      </c>
      <c r="E28" s="26">
        <f t="shared" si="0"/>
        <v>330962108.19</v>
      </c>
      <c r="F28" s="31">
        <v>331057645</v>
      </c>
      <c r="G28" s="52">
        <f t="shared" si="1"/>
        <v>-95536.810000002384</v>
      </c>
      <c r="H28" s="52"/>
      <c r="I28" s="93"/>
      <c r="K28" s="2"/>
      <c r="L28" s="19">
        <f t="shared" si="2"/>
        <v>-2.8858058843499109E-4</v>
      </c>
    </row>
    <row r="29" spans="1:12" x14ac:dyDescent="0.2">
      <c r="A29" t="str">
        <f t="shared" si="3"/>
        <v>2009</v>
      </c>
      <c r="C29" s="224">
        <f>'[1]TWIA 5'!C314</f>
        <v>111269572.63</v>
      </c>
      <c r="D29" s="224">
        <f>'[1]TWIA 5'!D314</f>
        <v>269535059.02999997</v>
      </c>
      <c r="E29" s="26">
        <f t="shared" si="0"/>
        <v>380804631.65999997</v>
      </c>
      <c r="F29" s="31">
        <v>382342402</v>
      </c>
      <c r="G29" s="52">
        <f t="shared" si="1"/>
        <v>-1537770.3400000334</v>
      </c>
      <c r="H29" s="52"/>
      <c r="K29" s="2"/>
      <c r="L29" s="19">
        <f t="shared" si="2"/>
        <v>-4.021971750860197E-3</v>
      </c>
    </row>
    <row r="30" spans="1:12" x14ac:dyDescent="0.2">
      <c r="A30" t="str">
        <f t="shared" si="3"/>
        <v>2010</v>
      </c>
      <c r="C30" s="224">
        <f>'[1]TWIA 5'!C315</f>
        <v>102174679.52999991</v>
      </c>
      <c r="D30" s="224">
        <f>'[1]TWIA 5'!D315</f>
        <v>278116922.00999999</v>
      </c>
      <c r="E30" s="26">
        <f t="shared" si="0"/>
        <v>380291601.5399999</v>
      </c>
      <c r="F30" s="31">
        <v>385549582</v>
      </c>
      <c r="G30" s="52">
        <f t="shared" si="1"/>
        <v>-5257980.4600000978</v>
      </c>
      <c r="H30" s="52"/>
      <c r="K30" s="2"/>
      <c r="L30" s="19">
        <f t="shared" si="2"/>
        <v>-1.3637624589617887E-2</v>
      </c>
    </row>
    <row r="31" spans="1:12" x14ac:dyDescent="0.2">
      <c r="A31" t="str">
        <f t="shared" si="3"/>
        <v>2011</v>
      </c>
      <c r="C31" s="224">
        <f>'[1]TWIA 5'!C316</f>
        <v>100017021</v>
      </c>
      <c r="D31" s="224">
        <f>'[1]TWIA 5'!D316</f>
        <v>307494236.20000005</v>
      </c>
      <c r="E31" s="26">
        <f t="shared" ref="E31:E44" si="4">SUM(C31:D31)</f>
        <v>407511257.20000005</v>
      </c>
      <c r="F31" s="31">
        <v>403748164</v>
      </c>
      <c r="G31" s="52">
        <f t="shared" si="1"/>
        <v>3763093.2000000477</v>
      </c>
      <c r="H31" s="52"/>
      <c r="K31" s="2"/>
      <c r="L31" s="19">
        <f t="shared" si="2"/>
        <v>9.3203970582019721E-3</v>
      </c>
    </row>
    <row r="32" spans="1:12" x14ac:dyDescent="0.2">
      <c r="A32" t="str">
        <f t="shared" si="3"/>
        <v>2012</v>
      </c>
      <c r="C32" s="224">
        <f>'[1]TWIA 5'!C317</f>
        <v>110524396.51999998</v>
      </c>
      <c r="D32" s="224">
        <f>'[1]TWIA 5'!D317</f>
        <v>335795725.19999981</v>
      </c>
      <c r="E32" s="26">
        <f t="shared" si="4"/>
        <v>446320121.71999979</v>
      </c>
      <c r="F32" s="31">
        <v>443479701</v>
      </c>
      <c r="G32" s="52">
        <f t="shared" si="1"/>
        <v>2840420.7199997902</v>
      </c>
      <c r="H32" s="52"/>
      <c r="I32" s="93"/>
      <c r="K32" s="2"/>
      <c r="L32" s="19">
        <f t="shared" si="2"/>
        <v>6.4048494521732127E-3</v>
      </c>
    </row>
    <row r="33" spans="1:12" x14ac:dyDescent="0.2">
      <c r="A33" t="str">
        <f t="shared" si="3"/>
        <v>2013</v>
      </c>
      <c r="B33" s="22"/>
      <c r="C33" s="224">
        <f>'[1]TWIA 5'!C318</f>
        <v>112904624</v>
      </c>
      <c r="D33" s="224">
        <f>'[1]TWIA 5'!D318</f>
        <v>360838080.7099998</v>
      </c>
      <c r="E33" s="26">
        <f t="shared" si="4"/>
        <v>473742704.7099998</v>
      </c>
      <c r="F33" s="31">
        <v>472739474</v>
      </c>
      <c r="G33" s="52">
        <f t="shared" si="1"/>
        <v>1003230.7099997997</v>
      </c>
      <c r="H33" s="52"/>
      <c r="K33" s="2"/>
      <c r="L33" s="19">
        <f t="shared" si="2"/>
        <v>2.1221640357449814E-3</v>
      </c>
    </row>
    <row r="34" spans="1:12" x14ac:dyDescent="0.2">
      <c r="A34" t="str">
        <f t="shared" si="3"/>
        <v>2014</v>
      </c>
      <c r="B34" s="22"/>
      <c r="C34" s="224">
        <f>'[1]TWIA 5'!C319</f>
        <v>104642688</v>
      </c>
      <c r="D34" s="224">
        <f>'[1]TWIA 5'!D319</f>
        <v>389333918.13999987</v>
      </c>
      <c r="E34" s="26">
        <f t="shared" si="4"/>
        <v>493976606.13999987</v>
      </c>
      <c r="F34" s="31">
        <v>494036010</v>
      </c>
      <c r="G34" s="52">
        <f t="shared" si="1"/>
        <v>-59403.860000133514</v>
      </c>
      <c r="H34" s="52"/>
      <c r="K34" s="2"/>
      <c r="L34" s="19">
        <f t="shared" si="2"/>
        <v>-1.2024196373890541E-4</v>
      </c>
    </row>
    <row r="35" spans="1:12" x14ac:dyDescent="0.2">
      <c r="A35" t="str">
        <f t="shared" si="3"/>
        <v>2015</v>
      </c>
      <c r="B35" s="22"/>
      <c r="C35" s="224">
        <f>'[1]TWIA 5'!C320</f>
        <v>98715934</v>
      </c>
      <c r="D35" s="224">
        <f>'[1]TWIA 5'!D320</f>
        <v>407969846.0800004</v>
      </c>
      <c r="E35" s="26">
        <f t="shared" si="4"/>
        <v>506685780.0800004</v>
      </c>
      <c r="F35" s="31">
        <v>503824316</v>
      </c>
      <c r="G35" s="52">
        <f t="shared" si="1"/>
        <v>2861464.0800004005</v>
      </c>
      <c r="H35" s="52"/>
      <c r="K35" s="2"/>
      <c r="L35" s="19">
        <f t="shared" si="2"/>
        <v>5.6794878475067501E-3</v>
      </c>
    </row>
    <row r="36" spans="1:12" x14ac:dyDescent="0.2">
      <c r="A36" t="str">
        <f t="shared" si="3"/>
        <v>2016</v>
      </c>
      <c r="B36" s="22"/>
      <c r="C36" s="224">
        <f>'[1]TWIA 5'!C321</f>
        <v>88278690</v>
      </c>
      <c r="D36" s="224">
        <f>'[1]TWIA 5'!D321</f>
        <v>399074847</v>
      </c>
      <c r="E36" s="26">
        <f t="shared" si="4"/>
        <v>487353537</v>
      </c>
      <c r="F36" s="31">
        <v>487353537</v>
      </c>
      <c r="G36" s="93">
        <f t="shared" si="1"/>
        <v>0</v>
      </c>
      <c r="H36" s="52"/>
      <c r="K36" s="2"/>
      <c r="L36" s="19">
        <f>G36/F36</f>
        <v>0</v>
      </c>
    </row>
    <row r="37" spans="1:12" x14ac:dyDescent="0.2">
      <c r="A37" t="str">
        <f t="shared" si="3"/>
        <v>2017</v>
      </c>
      <c r="B37" s="22"/>
      <c r="C37" s="224">
        <f>'[1]TWIA 5'!C322</f>
        <v>70749081</v>
      </c>
      <c r="D37" s="224">
        <f>'[1]TWIA 5'!D322</f>
        <v>352368052</v>
      </c>
      <c r="E37" s="26">
        <f t="shared" si="4"/>
        <v>423117133</v>
      </c>
      <c r="F37" s="31">
        <v>423074138</v>
      </c>
      <c r="G37" s="93">
        <f t="shared" si="1"/>
        <v>42995</v>
      </c>
      <c r="H37" s="52"/>
      <c r="K37" s="2"/>
      <c r="L37" s="19">
        <f t="shared" ref="L37:L40" si="5">G37/F37</f>
        <v>1.0162521444409348E-4</v>
      </c>
    </row>
    <row r="38" spans="1:12" x14ac:dyDescent="0.2">
      <c r="A38" t="str">
        <f t="shared" si="3"/>
        <v>2018</v>
      </c>
      <c r="C38" s="224">
        <f>'[1]TWIA 5'!C323</f>
        <v>65696833</v>
      </c>
      <c r="D38" s="224">
        <f>'[1]TWIA 5'!D323</f>
        <v>331676957</v>
      </c>
      <c r="E38" s="26">
        <f t="shared" si="4"/>
        <v>397373790</v>
      </c>
      <c r="F38" s="107">
        <v>395551679</v>
      </c>
      <c r="G38" s="93">
        <f t="shared" si="1"/>
        <v>1822111</v>
      </c>
      <c r="K38" s="2"/>
      <c r="L38" s="19">
        <f t="shared" si="5"/>
        <v>4.6065055383066643E-3</v>
      </c>
    </row>
    <row r="39" spans="1:12" x14ac:dyDescent="0.2">
      <c r="A39" t="str">
        <f t="shared" si="3"/>
        <v>2019</v>
      </c>
      <c r="C39" s="224">
        <f>'[1]TWIA 5'!C324</f>
        <v>59123729</v>
      </c>
      <c r="D39" s="224">
        <f>'[1]TWIA 5'!D324</f>
        <v>314907158.99999952</v>
      </c>
      <c r="E39" s="26">
        <f t="shared" si="4"/>
        <v>374030887.99999952</v>
      </c>
      <c r="F39" s="107">
        <v>372016601</v>
      </c>
      <c r="G39" s="93">
        <f t="shared" si="1"/>
        <v>2014286.9999995232</v>
      </c>
      <c r="H39" s="179"/>
      <c r="K39" s="2"/>
      <c r="L39" s="19">
        <f t="shared" si="5"/>
        <v>5.4145083702851291E-3</v>
      </c>
    </row>
    <row r="40" spans="1:12" x14ac:dyDescent="0.2">
      <c r="A40" t="str">
        <f t="shared" si="3"/>
        <v>2020</v>
      </c>
      <c r="C40" s="224">
        <f>'[1]TWIA 5'!C325</f>
        <v>60327052</v>
      </c>
      <c r="D40" s="224">
        <f>'[1]TWIA 5'!D325</f>
        <v>310312753</v>
      </c>
      <c r="E40" s="26">
        <f t="shared" si="4"/>
        <v>370639805</v>
      </c>
      <c r="F40" s="107">
        <v>369600488</v>
      </c>
      <c r="G40" s="93">
        <f t="shared" si="1"/>
        <v>1039317</v>
      </c>
      <c r="H40" s="179"/>
      <c r="K40" s="2"/>
      <c r="L40" s="19">
        <f t="shared" si="5"/>
        <v>2.8120011573144893E-3</v>
      </c>
    </row>
    <row r="41" spans="1:12" x14ac:dyDescent="0.2">
      <c r="A41" t="str">
        <f t="shared" si="3"/>
        <v>2021</v>
      </c>
      <c r="C41" s="224">
        <f>'[1]TWIA 5'!C326</f>
        <v>63366551</v>
      </c>
      <c r="D41" s="224">
        <f>'[1]TWIA 5'!D326</f>
        <v>331736850</v>
      </c>
      <c r="E41" s="26">
        <f t="shared" si="4"/>
        <v>395103401</v>
      </c>
      <c r="F41" s="107">
        <v>395112773</v>
      </c>
      <c r="G41" s="93">
        <f t="shared" si="1"/>
        <v>-9372</v>
      </c>
      <c r="H41" s="179"/>
      <c r="K41" s="2"/>
      <c r="L41" s="19">
        <f>G41/F41</f>
        <v>-2.3719810242631666E-5</v>
      </c>
    </row>
    <row r="42" spans="1:12" x14ac:dyDescent="0.2">
      <c r="A42" t="str">
        <f t="shared" si="3"/>
        <v>2022</v>
      </c>
      <c r="C42" s="224">
        <f>'[1]TWIA 5'!C327</f>
        <v>88784127</v>
      </c>
      <c r="D42" s="224">
        <f>'[1]TWIA 5'!D327</f>
        <v>429663068</v>
      </c>
      <c r="E42" s="26">
        <f t="shared" si="4"/>
        <v>518447195</v>
      </c>
      <c r="F42" s="107">
        <v>518299032</v>
      </c>
      <c r="G42" s="93">
        <f t="shared" si="1"/>
        <v>148163</v>
      </c>
      <c r="H42" s="179"/>
      <c r="K42" s="2"/>
      <c r="L42" s="19">
        <f>G42/F42</f>
        <v>2.8586393346765888E-4</v>
      </c>
    </row>
    <row r="43" spans="1:12" x14ac:dyDescent="0.2">
      <c r="A43" t="str">
        <f t="shared" si="3"/>
        <v>2023</v>
      </c>
      <c r="C43" s="224">
        <f>'[1]TWIA 5'!C328</f>
        <v>130162738</v>
      </c>
      <c r="D43" s="224">
        <f>'[1]TWIA 5'!D328</f>
        <v>522931821</v>
      </c>
      <c r="E43" s="26">
        <f t="shared" si="4"/>
        <v>653094559</v>
      </c>
      <c r="F43" s="107">
        <v>653043231</v>
      </c>
      <c r="G43" s="93">
        <f t="shared" si="1"/>
        <v>51328</v>
      </c>
      <c r="H43" s="179"/>
      <c r="K43" s="2"/>
      <c r="L43" s="19">
        <f>G43/F43</f>
        <v>7.8598165578413294E-5</v>
      </c>
    </row>
    <row r="44" spans="1:12" x14ac:dyDescent="0.2">
      <c r="A44" s="23" t="str">
        <f t="shared" si="3"/>
        <v>2024</v>
      </c>
      <c r="B44" s="9"/>
      <c r="C44" s="226">
        <f>'[1]TWIA 5'!C329</f>
        <v>130434727</v>
      </c>
      <c r="D44" s="226">
        <f>'[1]TWIA 5'!D329</f>
        <v>628410118</v>
      </c>
      <c r="E44" s="27">
        <f t="shared" si="4"/>
        <v>758844845</v>
      </c>
      <c r="F44" s="108">
        <v>758845192</v>
      </c>
      <c r="G44" s="53">
        <f t="shared" si="1"/>
        <v>-347</v>
      </c>
      <c r="H44" s="179"/>
      <c r="K44" s="2"/>
      <c r="L44" s="19">
        <f>G44/F44</f>
        <v>-4.5727376763823522E-7</v>
      </c>
    </row>
    <row r="45" spans="1:12" x14ac:dyDescent="0.2">
      <c r="C45" s="18"/>
      <c r="D45" s="12"/>
      <c r="E45" s="18"/>
      <c r="F45" s="18"/>
      <c r="G45" s="18"/>
      <c r="H45" s="54"/>
      <c r="I45" s="54"/>
      <c r="K45" s="2"/>
    </row>
    <row r="46" spans="1:12" x14ac:dyDescent="0.2">
      <c r="A46" t="s">
        <v>7</v>
      </c>
      <c r="C46" s="46">
        <f>SUM(C14:C45)</f>
        <v>2027537015.1499999</v>
      </c>
      <c r="D46" s="46">
        <f t="shared" ref="D46:G46" si="6">SUM(D14:D45)</f>
        <v>6989418834.9099998</v>
      </c>
      <c r="E46" s="46">
        <f t="shared" si="6"/>
        <v>9016955850.0599995</v>
      </c>
      <c r="F46" s="46">
        <f t="shared" si="6"/>
        <v>9012300161</v>
      </c>
      <c r="G46" s="46">
        <f t="shared" si="6"/>
        <v>4655689.0599992871</v>
      </c>
      <c r="H46" s="52"/>
      <c r="I46" s="52"/>
      <c r="K46" s="2"/>
    </row>
    <row r="47" spans="1:12" ht="12" thickBot="1" x14ac:dyDescent="0.25">
      <c r="A47" s="6"/>
      <c r="B47" s="6"/>
      <c r="C47" s="6"/>
      <c r="D47" s="6"/>
      <c r="E47" s="6"/>
      <c r="F47" s="6"/>
      <c r="G47" s="6"/>
      <c r="K47" s="2"/>
    </row>
    <row r="48" spans="1:12" ht="12" thickTop="1" x14ac:dyDescent="0.2">
      <c r="K48" s="2"/>
      <c r="L48" t="s">
        <v>207</v>
      </c>
    </row>
    <row r="49" spans="1:12" x14ac:dyDescent="0.2">
      <c r="A49" t="s">
        <v>17</v>
      </c>
      <c r="K49" s="2"/>
      <c r="L49" s="64">
        <v>45657</v>
      </c>
    </row>
    <row r="50" spans="1:12" x14ac:dyDescent="0.2">
      <c r="B50" s="12" t="str">
        <f>C12&amp;", "&amp;D12&amp;" Provided by TWIA, as of "&amp;TEXT($L$49,"m/d/yyyy")</f>
        <v>(2), (3) Provided by TWIA, as of 12/31/2024</v>
      </c>
      <c r="K50" s="2"/>
    </row>
    <row r="51" spans="1:12" x14ac:dyDescent="0.2">
      <c r="B51" s="12" t="str">
        <f>E12&amp;" = "&amp;C12&amp;" + "&amp;D12</f>
        <v>(4) = (2) + (3)</v>
      </c>
      <c r="K51" s="2"/>
    </row>
    <row r="52" spans="1:12" x14ac:dyDescent="0.2">
      <c r="B52" s="12" t="str">
        <f>F12&amp;" Based on TWIA Annual Statements"</f>
        <v>(5) Based on TWIA Annual Statements</v>
      </c>
      <c r="K52" s="2"/>
    </row>
    <row r="53" spans="1:12" x14ac:dyDescent="0.2">
      <c r="B53" s="12" t="str">
        <f>G12&amp;" = "&amp;E12&amp;" - "&amp;F12</f>
        <v>(6) = (4) - (5)</v>
      </c>
      <c r="K53" s="2"/>
    </row>
    <row r="54" spans="1:12" x14ac:dyDescent="0.2">
      <c r="B54" s="12"/>
      <c r="K54" s="2"/>
    </row>
    <row r="55" spans="1:12" x14ac:dyDescent="0.2">
      <c r="K55" s="2"/>
    </row>
    <row r="56" spans="1:12" x14ac:dyDescent="0.2">
      <c r="K56" s="2"/>
    </row>
    <row r="57" spans="1:12" x14ac:dyDescent="0.2">
      <c r="K57" s="2"/>
    </row>
    <row r="58" spans="1:12" x14ac:dyDescent="0.2">
      <c r="K58" s="2"/>
    </row>
    <row r="59" spans="1:12" x14ac:dyDescent="0.2">
      <c r="K59" s="2"/>
    </row>
    <row r="60" spans="1:12" x14ac:dyDescent="0.2">
      <c r="K60" s="2"/>
    </row>
    <row r="61" spans="1:12" x14ac:dyDescent="0.2">
      <c r="C61" s="12"/>
      <c r="K61" s="2"/>
    </row>
    <row r="62" spans="1:12" x14ac:dyDescent="0.2">
      <c r="K62" s="2"/>
    </row>
    <row r="63" spans="1:12" x14ac:dyDescent="0.2">
      <c r="K63" s="2"/>
    </row>
    <row r="64" spans="1:12" x14ac:dyDescent="0.2">
      <c r="K64" s="2"/>
    </row>
    <row r="65" spans="1:11" x14ac:dyDescent="0.2">
      <c r="A65" s="40"/>
      <c r="C65" s="31"/>
      <c r="E65" s="31"/>
      <c r="F65" s="31"/>
      <c r="G65" s="18"/>
      <c r="H65" s="18"/>
      <c r="I65" s="18"/>
      <c r="K65" s="2"/>
    </row>
    <row r="66" spans="1:11" x14ac:dyDescent="0.2">
      <c r="A66" s="40"/>
      <c r="C66" s="19"/>
      <c r="E66" s="19"/>
      <c r="F66" s="19"/>
      <c r="G66" s="19"/>
      <c r="H66" s="19"/>
      <c r="I66" s="19"/>
      <c r="K66" s="2"/>
    </row>
    <row r="67" spans="1:11" x14ac:dyDescent="0.2">
      <c r="B67" s="22"/>
      <c r="C67" s="41"/>
      <c r="E67" s="41"/>
      <c r="F67" s="41"/>
      <c r="G67" s="21"/>
      <c r="K67" s="2"/>
    </row>
    <row r="68" spans="1:11" x14ac:dyDescent="0.2">
      <c r="B68" s="22"/>
      <c r="C68" s="41"/>
      <c r="E68" s="41"/>
      <c r="F68" s="41"/>
      <c r="G68" s="21"/>
      <c r="K68" s="2"/>
    </row>
    <row r="69" spans="1:11" x14ac:dyDescent="0.2">
      <c r="B69" s="22"/>
      <c r="C69" s="41"/>
      <c r="E69" s="41"/>
      <c r="F69" s="41"/>
      <c r="G69" s="21"/>
      <c r="K69" s="2"/>
    </row>
    <row r="70" spans="1:11" x14ac:dyDescent="0.2">
      <c r="B70" s="22"/>
      <c r="C70" s="41"/>
      <c r="E70" s="41"/>
      <c r="F70" s="41"/>
      <c r="G70" s="21"/>
      <c r="K70" s="2"/>
    </row>
    <row r="71" spans="1:11" x14ac:dyDescent="0.2">
      <c r="B71" s="22"/>
      <c r="C71" s="41"/>
      <c r="E71" s="41"/>
      <c r="F71" s="41"/>
      <c r="G71" s="21"/>
      <c r="K71" s="2"/>
    </row>
    <row r="72" spans="1:11" ht="12" thickBot="1" x14ac:dyDescent="0.25">
      <c r="B72" s="22"/>
      <c r="C72" s="41"/>
      <c r="E72" s="41"/>
      <c r="F72" s="41"/>
      <c r="G72" s="21"/>
      <c r="K72" s="2"/>
    </row>
    <row r="73" spans="1:11" ht="12" hidden="1" thickBot="1" x14ac:dyDescent="0.25">
      <c r="B73" s="22"/>
      <c r="C73" s="41"/>
      <c r="E73" s="41"/>
      <c r="F73" s="41"/>
      <c r="G73" s="21"/>
      <c r="K73" s="2"/>
    </row>
    <row r="74" spans="1:11" ht="12" thickBot="1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L69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19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20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18</v>
      </c>
      <c r="B4" s="12"/>
      <c r="K4" s="2"/>
    </row>
    <row r="5" spans="1:12" x14ac:dyDescent="0.2">
      <c r="A5" t="s">
        <v>477</v>
      </c>
      <c r="B5" s="12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K7" s="2"/>
      <c r="L7" t="s">
        <v>208</v>
      </c>
    </row>
    <row r="8" spans="1:12" ht="12" thickTop="1" x14ac:dyDescent="0.2">
      <c r="A8" t="s">
        <v>37</v>
      </c>
      <c r="K8" s="2"/>
      <c r="L8" s="64">
        <v>45657</v>
      </c>
    </row>
    <row r="9" spans="1:12" x14ac:dyDescent="0.2">
      <c r="A9" t="s">
        <v>38</v>
      </c>
      <c r="C9" s="133" t="s">
        <v>26</v>
      </c>
      <c r="D9" s="11"/>
      <c r="E9" s="11" t="s">
        <v>29</v>
      </c>
      <c r="F9" s="11" t="s">
        <v>31</v>
      </c>
      <c r="G9" s="11" t="s">
        <v>35</v>
      </c>
      <c r="H9" s="11" t="s">
        <v>11</v>
      </c>
      <c r="K9" s="2"/>
      <c r="L9" s="24"/>
    </row>
    <row r="10" spans="1:12" x14ac:dyDescent="0.2">
      <c r="A10" t="s">
        <v>25</v>
      </c>
      <c r="C10" s="11" t="s">
        <v>6</v>
      </c>
      <c r="D10" s="11" t="s">
        <v>27</v>
      </c>
      <c r="E10" s="11" t="s">
        <v>30</v>
      </c>
      <c r="F10" s="11" t="s">
        <v>6</v>
      </c>
      <c r="G10" s="11" t="s">
        <v>33</v>
      </c>
      <c r="H10" s="11" t="s">
        <v>6</v>
      </c>
      <c r="K10" s="2"/>
    </row>
    <row r="11" spans="1:12" x14ac:dyDescent="0.2">
      <c r="A11" s="9" t="str">
        <f>TEXT($L$8,"m/d")</f>
        <v>12/31</v>
      </c>
      <c r="B11" s="9"/>
      <c r="C11" s="143" t="s">
        <v>32</v>
      </c>
      <c r="D11" s="143" t="s">
        <v>28</v>
      </c>
      <c r="E11" s="143" t="s">
        <v>28</v>
      </c>
      <c r="F11" s="143" t="s">
        <v>9</v>
      </c>
      <c r="G11" s="143" t="s">
        <v>86</v>
      </c>
      <c r="H11" s="143" t="s">
        <v>23</v>
      </c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t="str">
        <f t="shared" ref="A14:A22" si="1">TEXT(A15-1,"#")</f>
        <v>2015</v>
      </c>
      <c r="B14" s="22"/>
      <c r="C14" s="18">
        <f>'2.2'!G14</f>
        <v>18736093</v>
      </c>
      <c r="D14" s="29">
        <f>'4'!$E$65</f>
        <v>0.28899999999999998</v>
      </c>
      <c r="E14" s="28">
        <f>'2.4'!G36</f>
        <v>0.88400000000000001</v>
      </c>
      <c r="F14" s="18">
        <f>ROUND(C14*(1+D14)*E14,0)</f>
        <v>21349328</v>
      </c>
      <c r="G14" s="225">
        <f>VLOOKUP(A14,'9.1'!$A$14:$F$44,6,FALSE)</f>
        <v>120726959</v>
      </c>
      <c r="H14" s="19">
        <f>ROUND(F14/G14,3)</f>
        <v>0.17699999999999999</v>
      </c>
      <c r="I14" s="19"/>
      <c r="K14" s="2"/>
    </row>
    <row r="15" spans="1:12" x14ac:dyDescent="0.2">
      <c r="A15" t="str">
        <f t="shared" si="1"/>
        <v>2016</v>
      </c>
      <c r="B15" s="22"/>
      <c r="C15" s="18">
        <f>'2.2'!G15</f>
        <v>2551122</v>
      </c>
      <c r="D15" s="29">
        <f t="shared" ref="D15:D23" si="2">D$14</f>
        <v>0.28899999999999998</v>
      </c>
      <c r="E15" s="28">
        <f>'2.4'!G37</f>
        <v>0.88900000000000001</v>
      </c>
      <c r="F15" s="18">
        <f t="shared" ref="F15:F23" si="3">ROUND(C15*(1+D15)*E15,0)</f>
        <v>2923384</v>
      </c>
      <c r="G15" s="225">
        <f>VLOOKUP(A15,'9.1'!$A$14:$F$44,6,FALSE)</f>
        <v>105842224</v>
      </c>
      <c r="H15" s="19">
        <f t="shared" ref="H15:H22" si="4">ROUND(F15/G15,3)</f>
        <v>2.8000000000000001E-2</v>
      </c>
      <c r="I15" s="19"/>
      <c r="K15" s="2"/>
    </row>
    <row r="16" spans="1:12" x14ac:dyDescent="0.2">
      <c r="A16" t="str">
        <f t="shared" si="1"/>
        <v>2017</v>
      </c>
      <c r="B16" s="22"/>
      <c r="C16" s="18">
        <f>'2.2'!G16</f>
        <v>2005524</v>
      </c>
      <c r="D16" s="29">
        <f t="shared" si="2"/>
        <v>0.28899999999999998</v>
      </c>
      <c r="E16" s="28">
        <f>'2.4'!G38</f>
        <v>0.84</v>
      </c>
      <c r="F16" s="18">
        <f t="shared" si="3"/>
        <v>2171501</v>
      </c>
      <c r="G16" s="225">
        <f>VLOOKUP(A16,'9.1'!$A$14:$F$44,6,FALSE)</f>
        <v>87703816</v>
      </c>
      <c r="H16" s="19">
        <f t="shared" si="4"/>
        <v>2.5000000000000001E-2</v>
      </c>
      <c r="I16" s="19"/>
      <c r="K16" s="2"/>
    </row>
    <row r="17" spans="1:11" x14ac:dyDescent="0.2">
      <c r="A17" t="str">
        <f t="shared" si="1"/>
        <v>2018</v>
      </c>
      <c r="B17" s="22"/>
      <c r="C17" s="18">
        <f>'2.2'!G17</f>
        <v>251544</v>
      </c>
      <c r="D17" s="29">
        <f t="shared" si="2"/>
        <v>0.28899999999999998</v>
      </c>
      <c r="E17" s="28">
        <f>'2.4'!G39</f>
        <v>0.81799999999999995</v>
      </c>
      <c r="F17" s="18">
        <f t="shared" si="3"/>
        <v>265228</v>
      </c>
      <c r="G17" s="225">
        <f>VLOOKUP(A17,'9.1'!$A$14:$F$44,6,FALSE)</f>
        <v>73508956</v>
      </c>
      <c r="H17" s="19">
        <f t="shared" si="4"/>
        <v>4.0000000000000001E-3</v>
      </c>
      <c r="I17" s="19"/>
      <c r="K17" s="2"/>
    </row>
    <row r="18" spans="1:11" x14ac:dyDescent="0.2">
      <c r="A18" t="str">
        <f t="shared" si="1"/>
        <v>2019</v>
      </c>
      <c r="B18" s="22"/>
      <c r="C18" s="18">
        <f>'2.2'!G18</f>
        <v>942991</v>
      </c>
      <c r="D18" s="29">
        <f t="shared" si="2"/>
        <v>0.28899999999999998</v>
      </c>
      <c r="E18" s="28">
        <f>'2.4'!G40</f>
        <v>0.82399999999999995</v>
      </c>
      <c r="F18" s="18">
        <f t="shared" si="3"/>
        <v>1001585</v>
      </c>
      <c r="G18" s="225">
        <f>VLOOKUP(A18,'9.1'!$A$14:$F$44,6,FALSE)</f>
        <v>65530795</v>
      </c>
      <c r="H18" s="19">
        <f t="shared" si="4"/>
        <v>1.4999999999999999E-2</v>
      </c>
      <c r="I18" s="19"/>
      <c r="K18" s="2"/>
    </row>
    <row r="19" spans="1:11" x14ac:dyDescent="0.2">
      <c r="A19" t="str">
        <f t="shared" si="1"/>
        <v>2020</v>
      </c>
      <c r="B19" s="22"/>
      <c r="C19" s="18">
        <f>'2.2'!G19</f>
        <v>852706</v>
      </c>
      <c r="D19" s="29">
        <f t="shared" si="2"/>
        <v>0.28899999999999998</v>
      </c>
      <c r="E19" s="28">
        <f>'2.4'!G41</f>
        <v>0.872</v>
      </c>
      <c r="F19" s="18">
        <f t="shared" si="3"/>
        <v>958448</v>
      </c>
      <c r="G19" s="225">
        <f>VLOOKUP(A19,'9.1'!$A$14:$F$44,6,FALSE)</f>
        <v>62711660</v>
      </c>
      <c r="H19" s="19">
        <f t="shared" si="4"/>
        <v>1.4999999999999999E-2</v>
      </c>
      <c r="I19" s="19"/>
      <c r="K19" s="2"/>
    </row>
    <row r="20" spans="1:11" x14ac:dyDescent="0.2">
      <c r="A20" t="str">
        <f t="shared" si="1"/>
        <v>2021</v>
      </c>
      <c r="B20" s="22"/>
      <c r="C20" s="18">
        <f>'2.2'!G20</f>
        <v>824923</v>
      </c>
      <c r="D20" s="29">
        <f t="shared" si="2"/>
        <v>0.28899999999999998</v>
      </c>
      <c r="E20" s="28">
        <f>'2.4'!G42</f>
        <v>0.77700000000000002</v>
      </c>
      <c r="F20" s="18">
        <f t="shared" si="3"/>
        <v>826204</v>
      </c>
      <c r="G20" s="225">
        <f>VLOOKUP(A20,'9.1'!$A$14:$F$44,6,FALSE)</f>
        <v>64939142</v>
      </c>
      <c r="H20" s="19">
        <f t="shared" si="4"/>
        <v>1.2999999999999999E-2</v>
      </c>
      <c r="I20" s="19"/>
      <c r="K20" s="2"/>
    </row>
    <row r="21" spans="1:11" x14ac:dyDescent="0.2">
      <c r="A21" t="str">
        <f t="shared" si="1"/>
        <v>2022</v>
      </c>
      <c r="B21" s="22"/>
      <c r="C21" s="18">
        <f>'2.2'!G21</f>
        <v>1466703</v>
      </c>
      <c r="D21" s="29">
        <f t="shared" si="2"/>
        <v>0.28899999999999998</v>
      </c>
      <c r="E21" s="28">
        <f>'2.4'!G43</f>
        <v>0.77</v>
      </c>
      <c r="F21" s="18">
        <f t="shared" si="3"/>
        <v>1455747</v>
      </c>
      <c r="G21" s="225">
        <f>VLOOKUP(A21,'9.1'!$A$14:$F$44,6,FALSE)</f>
        <v>77659503</v>
      </c>
      <c r="H21" s="19">
        <f t="shared" si="4"/>
        <v>1.9E-2</v>
      </c>
      <c r="I21" s="19"/>
      <c r="K21" s="2"/>
    </row>
    <row r="22" spans="1:11" x14ac:dyDescent="0.2">
      <c r="A22" t="str">
        <f t="shared" si="1"/>
        <v>2023</v>
      </c>
      <c r="B22" s="22"/>
      <c r="C22" s="18">
        <f>'2.2'!G22</f>
        <v>6446906</v>
      </c>
      <c r="D22" s="29">
        <f t="shared" si="2"/>
        <v>0.28899999999999998</v>
      </c>
      <c r="E22" s="28">
        <f>'2.4'!G44</f>
        <v>0.88800000000000001</v>
      </c>
      <c r="F22" s="18">
        <f t="shared" si="3"/>
        <v>7379335</v>
      </c>
      <c r="G22" s="225">
        <f>VLOOKUP(A22,'9.1'!$A$14:$F$44,6,FALSE)</f>
        <v>109473433</v>
      </c>
      <c r="H22" s="19">
        <f t="shared" si="4"/>
        <v>6.7000000000000004E-2</v>
      </c>
      <c r="I22" s="19"/>
      <c r="K22" s="2"/>
    </row>
    <row r="23" spans="1:11" x14ac:dyDescent="0.2">
      <c r="A23" t="str">
        <f>TEXT(YEAR($L$8),"#")</f>
        <v>2024</v>
      </c>
      <c r="B23" s="22"/>
      <c r="C23" s="18">
        <f>'2.2'!G23</f>
        <v>6253200</v>
      </c>
      <c r="D23" s="29">
        <f t="shared" si="2"/>
        <v>0.28899999999999998</v>
      </c>
      <c r="E23" s="28">
        <f>'2.4'!G45</f>
        <v>0.92600000000000005</v>
      </c>
      <c r="F23" s="18">
        <f t="shared" si="3"/>
        <v>7463907</v>
      </c>
      <c r="G23" s="225">
        <f>VLOOKUP(A23,'9.1'!$A$14:$F$44,6,FALSE)</f>
        <v>130298733</v>
      </c>
      <c r="H23" s="19">
        <f>ROUND(F23/G23,3)</f>
        <v>5.7000000000000002E-2</v>
      </c>
      <c r="I23" s="19"/>
      <c r="K23" s="2"/>
    </row>
    <row r="24" spans="1:11" x14ac:dyDescent="0.2">
      <c r="A24" s="9"/>
      <c r="B24" s="23"/>
      <c r="C24" s="25"/>
      <c r="D24" s="30"/>
      <c r="E24" s="47"/>
      <c r="F24" s="25"/>
      <c r="G24" s="25"/>
      <c r="H24" s="20"/>
      <c r="K24" s="2"/>
    </row>
    <row r="25" spans="1:11" x14ac:dyDescent="0.2">
      <c r="I25" s="19"/>
      <c r="K25" s="2"/>
    </row>
    <row r="26" spans="1:11" x14ac:dyDescent="0.2">
      <c r="A26" t="s">
        <v>7</v>
      </c>
      <c r="C26" s="18">
        <f>SUM(C14:C24)</f>
        <v>40331712</v>
      </c>
      <c r="F26" s="18">
        <f>SUM(F14:F24)</f>
        <v>45794667</v>
      </c>
      <c r="G26" s="18">
        <f>SUM(G14:G24)</f>
        <v>898395221</v>
      </c>
      <c r="H26" s="19">
        <f>ROUND(F26/G26,3)</f>
        <v>5.0999999999999997E-2</v>
      </c>
      <c r="I26" s="19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17</v>
      </c>
      <c r="K29" s="2"/>
    </row>
    <row r="30" spans="1:11" x14ac:dyDescent="0.2">
      <c r="B30" s="12" t="str">
        <f>C12&amp;" "&amp;'2.2'!$M$1&amp;", "&amp;'2.2'!$M$2</f>
        <v>(2) Exhibit 2, Sheet 2</v>
      </c>
      <c r="K30" s="2"/>
    </row>
    <row r="31" spans="1:11" x14ac:dyDescent="0.2">
      <c r="B31" s="12" t="str">
        <f>D12&amp;" "&amp;'4'!$J$1</f>
        <v>(3) Exhibit 4</v>
      </c>
      <c r="K31" s="2"/>
    </row>
    <row r="32" spans="1:11" x14ac:dyDescent="0.2">
      <c r="B32" s="12" t="str">
        <f>E12&amp;" = "&amp;'2.4'!$L$1&amp;", "&amp;'2.4'!$L$2</f>
        <v>(4) = Exhibit 2, Sheet 4</v>
      </c>
      <c r="K32" s="2"/>
    </row>
    <row r="33" spans="2:11" x14ac:dyDescent="0.2">
      <c r="B33" s="12" t="str">
        <f>F12&amp;" = "&amp;C12&amp;" * [1 + "&amp;D12&amp;"] * "&amp;E12</f>
        <v>(5) = (2) * [1 + (3)] * (4)</v>
      </c>
      <c r="K33" s="2"/>
    </row>
    <row r="34" spans="2:11" x14ac:dyDescent="0.2">
      <c r="B34" s="12" t="str">
        <f>G12&amp;" "&amp;'9.1'!$J$1&amp;", "&amp;'9.1'!$J$2</f>
        <v>(6) Exhibit 9, Sheet 1</v>
      </c>
      <c r="K34" s="2"/>
    </row>
    <row r="35" spans="2:11" x14ac:dyDescent="0.2">
      <c r="B35" s="12" t="str">
        <f>H12&amp;" = "&amp;F12&amp;" / "&amp;G12</f>
        <v>(7) = (5) / (6)</v>
      </c>
      <c r="K35" s="2"/>
    </row>
    <row r="36" spans="2:11" x14ac:dyDescent="0.2">
      <c r="B36" s="22"/>
      <c r="K36" s="2"/>
    </row>
    <row r="37" spans="2:11" x14ac:dyDescent="0.2">
      <c r="B37" s="22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O60"/>
  <sheetViews>
    <sheetView showGridLines="0" zoomScaleNormal="100" workbookViewId="0"/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4" width="15.33203125" customWidth="1"/>
    <col min="5" max="6" width="12.83203125" customWidth="1"/>
    <col min="7" max="7" width="12" customWidth="1"/>
    <col min="8" max="8" width="7.5" customWidth="1"/>
    <col min="9" max="9" width="5.6640625" customWidth="1"/>
    <col min="10" max="10" width="5.5" customWidth="1"/>
    <col min="11" max="11" width="5.1640625" customWidth="1"/>
    <col min="12" max="12" width="10" customWidth="1"/>
    <col min="13" max="13" width="2.33203125" customWidth="1"/>
  </cols>
  <sheetData>
    <row r="1" spans="1:15" x14ac:dyDescent="0.2">
      <c r="A1" s="8" t="str">
        <f>'1'!$A$1</f>
        <v>Texas Windstorm Insurance Association</v>
      </c>
      <c r="B1" s="12"/>
      <c r="M1" s="7" t="s">
        <v>19</v>
      </c>
      <c r="N1" s="1"/>
    </row>
    <row r="2" spans="1:15" x14ac:dyDescent="0.2">
      <c r="A2" s="8" t="str">
        <f>'1'!$A$2</f>
        <v>Commercial Property - Wind &amp; Hail</v>
      </c>
      <c r="B2" s="12"/>
      <c r="M2" s="7" t="s">
        <v>55</v>
      </c>
      <c r="N2" s="2"/>
    </row>
    <row r="3" spans="1:15" x14ac:dyDescent="0.2">
      <c r="A3" s="8" t="str">
        <f>'1'!$A$3</f>
        <v>Rate Level Review</v>
      </c>
      <c r="B3" s="12"/>
      <c r="N3" s="2"/>
    </row>
    <row r="4" spans="1:15" x14ac:dyDescent="0.2">
      <c r="A4" t="s">
        <v>36</v>
      </c>
      <c r="B4" s="12"/>
      <c r="N4" s="2"/>
    </row>
    <row r="5" spans="1:15" x14ac:dyDescent="0.2">
      <c r="A5" t="s">
        <v>477</v>
      </c>
      <c r="B5" s="12"/>
      <c r="N5" s="2"/>
    </row>
    <row r="6" spans="1:15" x14ac:dyDescent="0.2">
      <c r="N6" s="2"/>
    </row>
    <row r="7" spans="1:15" ht="12" thickBot="1" x14ac:dyDescent="0.25">
      <c r="A7" s="6"/>
      <c r="B7" s="6"/>
      <c r="C7" s="6"/>
      <c r="D7" s="6"/>
      <c r="E7" s="6"/>
      <c r="F7" s="6"/>
      <c r="G7" s="6"/>
      <c r="N7" s="2"/>
    </row>
    <row r="8" spans="1:15" ht="12" thickTop="1" x14ac:dyDescent="0.2">
      <c r="A8" t="s">
        <v>37</v>
      </c>
      <c r="E8" s="11" t="s">
        <v>165</v>
      </c>
      <c r="N8" s="2"/>
    </row>
    <row r="9" spans="1:15" x14ac:dyDescent="0.2">
      <c r="A9" t="s">
        <v>38</v>
      </c>
      <c r="C9" s="133" t="s">
        <v>165</v>
      </c>
      <c r="D9" s="133" t="s">
        <v>165</v>
      </c>
      <c r="E9" s="11" t="s">
        <v>452</v>
      </c>
      <c r="F9" s="133" t="s">
        <v>199</v>
      </c>
      <c r="G9" s="11" t="s">
        <v>26</v>
      </c>
      <c r="N9" s="2"/>
      <c r="O9" s="24"/>
    </row>
    <row r="10" spans="1:15" x14ac:dyDescent="0.2">
      <c r="A10" t="s">
        <v>25</v>
      </c>
      <c r="C10" s="11" t="s">
        <v>166</v>
      </c>
      <c r="D10" s="11" t="s">
        <v>166</v>
      </c>
      <c r="E10" s="11" t="s">
        <v>40</v>
      </c>
      <c r="F10" s="11" t="s">
        <v>6</v>
      </c>
      <c r="G10" s="11" t="s">
        <v>6</v>
      </c>
      <c r="N10" s="2"/>
    </row>
    <row r="11" spans="1:15" x14ac:dyDescent="0.2">
      <c r="A11" s="9" t="str">
        <f>TEXT(O29,"m/d")</f>
        <v>12/31</v>
      </c>
      <c r="B11" s="9"/>
      <c r="C11" s="143" t="s">
        <v>39</v>
      </c>
      <c r="D11" s="143" t="s">
        <v>451</v>
      </c>
      <c r="E11" s="143" t="s">
        <v>28</v>
      </c>
      <c r="F11" s="143" t="s">
        <v>39</v>
      </c>
      <c r="G11" s="143" t="s">
        <v>32</v>
      </c>
      <c r="N11" s="2"/>
    </row>
    <row r="12" spans="1:15" x14ac:dyDescent="0.2">
      <c r="A12" s="13" t="str">
        <f>TEXT(COLUMN(),"(#)")</f>
        <v>(1)</v>
      </c>
      <c r="B12" s="13"/>
      <c r="C12" s="11" t="str">
        <f t="shared" ref="C12:D12" si="0">TEXT(COLUMN()-1,"(#)")</f>
        <v>(2)</v>
      </c>
      <c r="D12" s="11" t="str">
        <f t="shared" si="0"/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N12" s="2"/>
    </row>
    <row r="13" spans="1:15" x14ac:dyDescent="0.2">
      <c r="E13" s="11"/>
      <c r="N13" s="2"/>
    </row>
    <row r="14" spans="1:15" x14ac:dyDescent="0.2">
      <c r="A14" t="str">
        <f t="shared" ref="A14:A22" si="1">TEXT(A15-1,"#")</f>
        <v>2015</v>
      </c>
      <c r="B14" s="22"/>
      <c r="C14" s="18">
        <f>'11.1'!F14</f>
        <v>138697000</v>
      </c>
      <c r="D14" s="18">
        <f>'4'!Q28*1000</f>
        <v>138829000</v>
      </c>
      <c r="E14" s="128">
        <f>D14/C14</f>
        <v>1.000951714889291</v>
      </c>
      <c r="F14" s="18">
        <f>'2.3'!C14</f>
        <v>18718278.780000001</v>
      </c>
      <c r="G14" s="26">
        <f t="shared" ref="G14:G23" si="2">ROUND(F14*E14,0)</f>
        <v>18736093</v>
      </c>
      <c r="N14" s="2"/>
      <c r="O14" s="28"/>
    </row>
    <row r="15" spans="1:15" x14ac:dyDescent="0.2">
      <c r="A15" t="str">
        <f t="shared" si="1"/>
        <v>2016</v>
      </c>
      <c r="B15" s="22"/>
      <c r="C15" s="18">
        <f>'11.1'!F15</f>
        <v>28422000</v>
      </c>
      <c r="D15" s="18">
        <f>'4'!Q29*1000</f>
        <v>28422000</v>
      </c>
      <c r="E15" s="128">
        <f t="shared" ref="E15:E23" si="3">D15/C15</f>
        <v>1</v>
      </c>
      <c r="F15" s="18">
        <f>'2.3'!C15</f>
        <v>2551121.67</v>
      </c>
      <c r="G15" s="26">
        <f t="shared" si="2"/>
        <v>2551122</v>
      </c>
      <c r="N15" s="2"/>
      <c r="O15" s="28"/>
    </row>
    <row r="16" spans="1:15" x14ac:dyDescent="0.2">
      <c r="A16" t="str">
        <f t="shared" si="1"/>
        <v>2017</v>
      </c>
      <c r="B16" s="22"/>
      <c r="C16" s="18">
        <f>'11.1'!F16</f>
        <v>1406494000</v>
      </c>
      <c r="D16" s="18">
        <f>'4'!Q30*1000</f>
        <v>1410222000</v>
      </c>
      <c r="E16" s="128">
        <f t="shared" si="3"/>
        <v>1.0026505623202089</v>
      </c>
      <c r="F16" s="18">
        <f>'2.3'!C16</f>
        <v>2000222</v>
      </c>
      <c r="G16" s="26">
        <f t="shared" si="2"/>
        <v>2005524</v>
      </c>
      <c r="N16" s="2"/>
      <c r="O16" s="28"/>
    </row>
    <row r="17" spans="1:15" x14ac:dyDescent="0.2">
      <c r="A17" t="str">
        <f t="shared" si="1"/>
        <v>2018</v>
      </c>
      <c r="B17" s="22"/>
      <c r="C17" s="18">
        <f>'11.1'!F17</f>
        <v>12097000</v>
      </c>
      <c r="D17" s="18">
        <f>'4'!Q31*1000</f>
        <v>12106000</v>
      </c>
      <c r="E17" s="128">
        <f t="shared" si="3"/>
        <v>1.0007439861122593</v>
      </c>
      <c r="F17" s="18">
        <f>'2.3'!C17</f>
        <v>251357.35</v>
      </c>
      <c r="G17" s="26">
        <f t="shared" si="2"/>
        <v>251544</v>
      </c>
      <c r="N17" s="2"/>
      <c r="O17" s="28"/>
    </row>
    <row r="18" spans="1:15" x14ac:dyDescent="0.2">
      <c r="A18" t="str">
        <f t="shared" si="1"/>
        <v>2019</v>
      </c>
      <c r="B18" s="22"/>
      <c r="C18" s="18">
        <f>'11.1'!F18</f>
        <v>17606000</v>
      </c>
      <c r="D18" s="18">
        <f>'4'!Q32*1000</f>
        <v>17627000</v>
      </c>
      <c r="E18" s="128">
        <f t="shared" si="3"/>
        <v>1.0011927751902761</v>
      </c>
      <c r="F18" s="18">
        <f>'2.3'!C18</f>
        <v>941867.1</v>
      </c>
      <c r="G18" s="26">
        <f t="shared" si="2"/>
        <v>942991</v>
      </c>
      <c r="N18" s="2"/>
      <c r="O18" s="28"/>
    </row>
    <row r="19" spans="1:15" x14ac:dyDescent="0.2">
      <c r="A19" t="str">
        <f t="shared" si="1"/>
        <v>2020</v>
      </c>
      <c r="B19" s="22"/>
      <c r="C19" s="18">
        <f>'11.1'!F19</f>
        <v>64174000</v>
      </c>
      <c r="D19" s="18">
        <f>'4'!Q33*1000</f>
        <v>64679000</v>
      </c>
      <c r="E19" s="128">
        <f t="shared" si="3"/>
        <v>1.0078692305294978</v>
      </c>
      <c r="F19" s="18">
        <f>'2.3'!C19</f>
        <v>846048.33</v>
      </c>
      <c r="G19" s="26">
        <f t="shared" si="2"/>
        <v>852706</v>
      </c>
      <c r="N19" s="2"/>
      <c r="O19" s="28"/>
    </row>
    <row r="20" spans="1:15" x14ac:dyDescent="0.2">
      <c r="A20" t="str">
        <f t="shared" si="1"/>
        <v>2021</v>
      </c>
      <c r="B20" s="22"/>
      <c r="C20" s="18">
        <f>'11.1'!F20</f>
        <v>65295000</v>
      </c>
      <c r="D20" s="18">
        <f>'4'!Q34*1000</f>
        <v>67503000</v>
      </c>
      <c r="E20" s="128">
        <f t="shared" si="3"/>
        <v>1.0338157592464967</v>
      </c>
      <c r="F20" s="18">
        <f>'2.3'!C20</f>
        <v>797940.1</v>
      </c>
      <c r="G20" s="26">
        <f t="shared" si="2"/>
        <v>824923</v>
      </c>
      <c r="N20" s="2"/>
      <c r="O20" s="28"/>
    </row>
    <row r="21" spans="1:15" x14ac:dyDescent="0.2">
      <c r="A21" t="str">
        <f t="shared" si="1"/>
        <v>2022</v>
      </c>
      <c r="B21" s="22"/>
      <c r="C21" s="18">
        <f>'11.1'!F21</f>
        <v>28828000</v>
      </c>
      <c r="D21" s="18">
        <f>'4'!Q35*1000</f>
        <v>29216000</v>
      </c>
      <c r="E21" s="128">
        <f t="shared" si="3"/>
        <v>1.0134591369501873</v>
      </c>
      <c r="F21" s="18">
        <f>'2.3'!C21</f>
        <v>1447224.99</v>
      </c>
      <c r="G21" s="26">
        <f t="shared" si="2"/>
        <v>1466703</v>
      </c>
      <c r="N21" s="2"/>
      <c r="O21" s="28"/>
    </row>
    <row r="22" spans="1:15" x14ac:dyDescent="0.2">
      <c r="A22" t="str">
        <f t="shared" si="1"/>
        <v>2023</v>
      </c>
      <c r="B22" s="22"/>
      <c r="C22" s="18">
        <f>'11.1'!F22</f>
        <v>75666000</v>
      </c>
      <c r="D22" s="18">
        <f>'4'!Q36*1000</f>
        <v>81300000</v>
      </c>
      <c r="E22" s="128">
        <f t="shared" si="3"/>
        <v>1.0744588058044564</v>
      </c>
      <c r="F22" s="18">
        <f>'2.3'!C22</f>
        <v>6000142.5299999993</v>
      </c>
      <c r="G22" s="26">
        <f t="shared" si="2"/>
        <v>6446906</v>
      </c>
      <c r="N22" s="2"/>
      <c r="O22" s="28"/>
    </row>
    <row r="23" spans="1:15" x14ac:dyDescent="0.2">
      <c r="A23" s="22">
        <f>YEAR(O29)</f>
        <v>2024</v>
      </c>
      <c r="B23" s="22"/>
      <c r="C23" s="18">
        <f>'11.1'!F23</f>
        <v>395045000</v>
      </c>
      <c r="D23" s="18">
        <f>'4'!Q37*1000</f>
        <v>515817000</v>
      </c>
      <c r="E23" s="128">
        <f t="shared" si="3"/>
        <v>1.3057170702071916</v>
      </c>
      <c r="F23" s="18">
        <f>'2.3'!C23</f>
        <v>4789092.28</v>
      </c>
      <c r="G23" s="26">
        <f t="shared" si="2"/>
        <v>6253200</v>
      </c>
      <c r="N23" s="2"/>
      <c r="O23" s="28"/>
    </row>
    <row r="24" spans="1:15" x14ac:dyDescent="0.2">
      <c r="A24" s="9"/>
      <c r="B24" s="23"/>
      <c r="C24" s="25"/>
      <c r="D24" s="25"/>
      <c r="E24" s="105"/>
      <c r="F24" s="25"/>
      <c r="G24" s="27"/>
      <c r="N24" s="2"/>
    </row>
    <row r="25" spans="1:15" x14ac:dyDescent="0.2">
      <c r="N25" s="2"/>
    </row>
    <row r="26" spans="1:15" x14ac:dyDescent="0.2">
      <c r="A26" t="s">
        <v>7</v>
      </c>
      <c r="C26" s="18"/>
      <c r="D26" s="18"/>
      <c r="F26" s="18">
        <f>SUM(F14:F24)</f>
        <v>38343295.130000003</v>
      </c>
      <c r="G26" s="18">
        <f>SUM(G14:G24)</f>
        <v>40331712</v>
      </c>
      <c r="N26" s="2"/>
    </row>
    <row r="27" spans="1:15" ht="12" thickBot="1" x14ac:dyDescent="0.25">
      <c r="A27" s="6"/>
      <c r="B27" s="6"/>
      <c r="C27" s="6"/>
      <c r="D27" s="6"/>
      <c r="E27" s="6"/>
      <c r="F27" s="6"/>
      <c r="G27" s="6"/>
      <c r="N27" s="2"/>
    </row>
    <row r="28" spans="1:15" ht="12" thickTop="1" x14ac:dyDescent="0.2">
      <c r="N28" s="2"/>
    </row>
    <row r="29" spans="1:15" x14ac:dyDescent="0.2">
      <c r="A29" t="s">
        <v>17</v>
      </c>
      <c r="N29" s="2"/>
      <c r="O29" s="36">
        <f>'2.1'!L8</f>
        <v>45657</v>
      </c>
    </row>
    <row r="30" spans="1:15" x14ac:dyDescent="0.2">
      <c r="N30" s="2"/>
      <c r="O30" s="36"/>
    </row>
    <row r="31" spans="1:15" x14ac:dyDescent="0.2">
      <c r="B31" s="12" t="str">
        <f>C12&amp;" Based on TWIA "&amp;TEXT(YEAR(O29),"#")&amp;" Annual Statement"</f>
        <v>(2) Based on TWIA 2024 Annual Statement</v>
      </c>
      <c r="N31" s="2"/>
      <c r="O31" s="36"/>
    </row>
    <row r="32" spans="1:15" x14ac:dyDescent="0.2">
      <c r="B32" s="12" t="str">
        <f>D12&amp;" Based on TWIA "&amp;TEXT(YEAR(O29),"#")&amp;" Annual Statement"</f>
        <v>(3) Based on TWIA 2024 Annual Statement</v>
      </c>
      <c r="N32" s="2"/>
      <c r="O32" s="36"/>
    </row>
    <row r="33" spans="2:15" x14ac:dyDescent="0.2">
      <c r="B33" s="12" t="str">
        <f>E12&amp;" = "&amp;D12&amp;" / "&amp;C12</f>
        <v>(4) = (3) / (2)</v>
      </c>
      <c r="N33" s="2"/>
      <c r="O33" s="36"/>
    </row>
    <row r="34" spans="2:15" x14ac:dyDescent="0.2">
      <c r="B34" s="12" t="str">
        <f>F12&amp;" "&amp;'2.3'!$K$1&amp;", "&amp;'2.3'!$K$2&amp;", as of "&amp;TEXT(O29,"m/d/yy")</f>
        <v>(5) Exhibit 2, Sheet 3, as of 12/31/24</v>
      </c>
      <c r="N34" s="2"/>
    </row>
    <row r="35" spans="2:15" x14ac:dyDescent="0.2">
      <c r="B35" s="12" t="str">
        <f>G12&amp;" = "&amp;E12&amp;" * "&amp;F12</f>
        <v>(6) = (4) * (5)</v>
      </c>
      <c r="N35" s="2"/>
    </row>
    <row r="36" spans="2:15" x14ac:dyDescent="0.2">
      <c r="B36" s="12"/>
      <c r="N36" s="2"/>
    </row>
    <row r="37" spans="2:15" x14ac:dyDescent="0.2">
      <c r="B37" s="12"/>
      <c r="N37" s="2"/>
    </row>
    <row r="38" spans="2:15" x14ac:dyDescent="0.2">
      <c r="N38" s="2"/>
    </row>
    <row r="39" spans="2:15" x14ac:dyDescent="0.2">
      <c r="N39" s="2"/>
    </row>
    <row r="40" spans="2:15" x14ac:dyDescent="0.2">
      <c r="N40" s="2"/>
    </row>
    <row r="41" spans="2:15" x14ac:dyDescent="0.2">
      <c r="N41" s="2"/>
    </row>
    <row r="42" spans="2:15" x14ac:dyDescent="0.2">
      <c r="N42" s="2"/>
    </row>
    <row r="43" spans="2:15" x14ac:dyDescent="0.2">
      <c r="N43" s="2"/>
    </row>
    <row r="44" spans="2:15" x14ac:dyDescent="0.2">
      <c r="N44" s="2"/>
    </row>
    <row r="45" spans="2:15" x14ac:dyDescent="0.2">
      <c r="N45" s="2"/>
    </row>
    <row r="46" spans="2:15" x14ac:dyDescent="0.2">
      <c r="N46" s="2"/>
    </row>
    <row r="47" spans="2:15" x14ac:dyDescent="0.2">
      <c r="N47" s="2"/>
    </row>
    <row r="48" spans="2:15" x14ac:dyDescent="0.2">
      <c r="N48" s="2"/>
    </row>
    <row r="49" spans="1:14" x14ac:dyDescent="0.2">
      <c r="N49" s="2"/>
    </row>
    <row r="50" spans="1:14" x14ac:dyDescent="0.2">
      <c r="N50" s="2"/>
    </row>
    <row r="51" spans="1:14" x14ac:dyDescent="0.2">
      <c r="N51" s="2"/>
    </row>
    <row r="52" spans="1:14" x14ac:dyDescent="0.2">
      <c r="N52" s="2"/>
    </row>
    <row r="53" spans="1:14" x14ac:dyDescent="0.2">
      <c r="N53" s="2"/>
    </row>
    <row r="54" spans="1:14" x14ac:dyDescent="0.2">
      <c r="N54" s="2"/>
    </row>
    <row r="55" spans="1:14" x14ac:dyDescent="0.2">
      <c r="N55" s="2"/>
    </row>
    <row r="56" spans="1:14" x14ac:dyDescent="0.2">
      <c r="N56" s="2"/>
    </row>
    <row r="57" spans="1:14" x14ac:dyDescent="0.2">
      <c r="N57" s="2"/>
    </row>
    <row r="58" spans="1:14" x14ac:dyDescent="0.2">
      <c r="N58" s="2"/>
    </row>
    <row r="59" spans="1:14" ht="12" thickBot="1" x14ac:dyDescent="0.25">
      <c r="N59" s="2"/>
    </row>
    <row r="60" spans="1:14" ht="12" thickBot="1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N69"/>
  <sheetViews>
    <sheetView showGridLines="0" zoomScaleNormal="100" workbookViewId="0"/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2" max="12" width="11.33203125" customWidth="1"/>
    <col min="13" max="13" width="12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19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57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tr">
        <f>"Summary of TWIA Historical Paid Loss as of "&amp;TEXT(M26,"m/d/yy")</f>
        <v>Summary of TWIA Historical Paid Loss as of 12/31/24</v>
      </c>
      <c r="B4" s="12"/>
      <c r="L4" s="2"/>
    </row>
    <row r="5" spans="1:13" x14ac:dyDescent="0.2">
      <c r="A5" t="s">
        <v>477</v>
      </c>
      <c r="B5" s="12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A8" t="s">
        <v>37</v>
      </c>
      <c r="L8" s="2"/>
    </row>
    <row r="9" spans="1:13" x14ac:dyDescent="0.2">
      <c r="A9" t="s">
        <v>38</v>
      </c>
      <c r="C9" s="10" t="s">
        <v>41</v>
      </c>
      <c r="L9" s="2"/>
      <c r="M9" s="10"/>
    </row>
    <row r="10" spans="1:13" x14ac:dyDescent="0.2">
      <c r="A10" t="s">
        <v>25</v>
      </c>
      <c r="L10" s="2"/>
    </row>
    <row r="11" spans="1:13" x14ac:dyDescent="0.2">
      <c r="A11" s="9" t="str">
        <f>TEXT($M$26,"m/d")</f>
        <v>12/31</v>
      </c>
      <c r="B11" s="9"/>
      <c r="C11" s="143" t="s">
        <v>6</v>
      </c>
      <c r="D11" s="143" t="s">
        <v>4</v>
      </c>
      <c r="E11" s="143" t="s">
        <v>7</v>
      </c>
      <c r="L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L13" s="2"/>
    </row>
    <row r="14" spans="1:13" x14ac:dyDescent="0.2">
      <c r="A14" t="str">
        <f>TEXT(A15-1,"#")</f>
        <v>2015</v>
      </c>
      <c r="B14" s="22"/>
      <c r="C14" s="224">
        <f>'[1]TWIA 3'!H12</f>
        <v>18718278.780000001</v>
      </c>
      <c r="D14" s="224">
        <f>'[1]TWIA 3'!J12</f>
        <v>0</v>
      </c>
      <c r="E14" s="26">
        <f>C14+D14</f>
        <v>18718278.780000001</v>
      </c>
      <c r="L14" s="2"/>
    </row>
    <row r="15" spans="1:13" x14ac:dyDescent="0.2">
      <c r="A15" t="str">
        <f t="shared" ref="A15:A22" si="0">TEXT(A16-1,"#")</f>
        <v>2016</v>
      </c>
      <c r="B15" s="22"/>
      <c r="C15" s="224">
        <f>'[1]TWIA 3'!H13</f>
        <v>2551121.67</v>
      </c>
      <c r="D15" s="224">
        <f>'[1]TWIA 3'!J13</f>
        <v>0</v>
      </c>
      <c r="E15" s="26">
        <f t="shared" ref="E15:E23" si="1">C15+D15</f>
        <v>2551121.67</v>
      </c>
      <c r="L15" s="2"/>
    </row>
    <row r="16" spans="1:13" x14ac:dyDescent="0.2">
      <c r="A16" t="str">
        <f t="shared" si="0"/>
        <v>2017</v>
      </c>
      <c r="B16" s="22"/>
      <c r="C16" s="224">
        <f>'[1]TWIA 3'!H14</f>
        <v>2000222</v>
      </c>
      <c r="D16" s="224">
        <f>'[1]TWIA 3'!J14</f>
        <v>469272075.27999997</v>
      </c>
      <c r="E16" s="26">
        <f t="shared" si="1"/>
        <v>471272297.27999997</v>
      </c>
      <c r="L16" s="2"/>
    </row>
    <row r="17" spans="1:14" x14ac:dyDescent="0.2">
      <c r="A17" t="str">
        <f t="shared" si="0"/>
        <v>2018</v>
      </c>
      <c r="B17" s="22"/>
      <c r="C17" s="224">
        <f>'[1]TWIA 3'!H15</f>
        <v>251357.35</v>
      </c>
      <c r="D17" s="224">
        <f>'[1]TWIA 3'!J15</f>
        <v>0</v>
      </c>
      <c r="E17" s="26">
        <f t="shared" si="1"/>
        <v>251357.35</v>
      </c>
      <c r="L17" s="2"/>
    </row>
    <row r="18" spans="1:14" x14ac:dyDescent="0.2">
      <c r="A18" t="str">
        <f t="shared" si="0"/>
        <v>2019</v>
      </c>
      <c r="B18" s="22"/>
      <c r="C18" s="224">
        <f>'[1]TWIA 3'!H16</f>
        <v>941867.1</v>
      </c>
      <c r="D18" s="224">
        <f>'[1]TWIA 3'!J16</f>
        <v>0</v>
      </c>
      <c r="E18" s="26">
        <f t="shared" si="1"/>
        <v>941867.1</v>
      </c>
      <c r="L18" s="2"/>
    </row>
    <row r="19" spans="1:14" x14ac:dyDescent="0.2">
      <c r="A19" t="str">
        <f t="shared" si="0"/>
        <v>2020</v>
      </c>
      <c r="B19" s="22"/>
      <c r="C19" s="224">
        <f>'[1]TWIA 3'!H17</f>
        <v>846048.33</v>
      </c>
      <c r="D19" s="224">
        <f>'[1]TWIA 3'!J17</f>
        <v>6374715.1299999999</v>
      </c>
      <c r="E19" s="26">
        <f t="shared" si="1"/>
        <v>7220763.46</v>
      </c>
      <c r="L19" s="2"/>
    </row>
    <row r="20" spans="1:14" x14ac:dyDescent="0.2">
      <c r="A20" t="str">
        <f t="shared" si="0"/>
        <v>2021</v>
      </c>
      <c r="B20" s="22"/>
      <c r="C20" s="224">
        <f>'[1]TWIA 3'!H18</f>
        <v>797940.1</v>
      </c>
      <c r="D20" s="224">
        <f>'[1]TWIA 3'!J18</f>
        <v>7364502.3700000001</v>
      </c>
      <c r="E20" s="26">
        <f t="shared" si="1"/>
        <v>8162442.4699999997</v>
      </c>
      <c r="L20" s="2"/>
    </row>
    <row r="21" spans="1:14" x14ac:dyDescent="0.2">
      <c r="A21" t="str">
        <f t="shared" si="0"/>
        <v>2022</v>
      </c>
      <c r="B21" s="22"/>
      <c r="C21" s="224">
        <f>'[1]TWIA 3'!H19</f>
        <v>1447224.99</v>
      </c>
      <c r="D21" s="224">
        <f>'[1]TWIA 3'!J19</f>
        <v>0</v>
      </c>
      <c r="E21" s="26">
        <f t="shared" si="1"/>
        <v>1447224.99</v>
      </c>
      <c r="L21" s="2"/>
    </row>
    <row r="22" spans="1:14" x14ac:dyDescent="0.2">
      <c r="A22" t="str">
        <f t="shared" si="0"/>
        <v>2023</v>
      </c>
      <c r="B22" s="22"/>
      <c r="C22" s="224">
        <f>'[1]TWIA 3'!H20</f>
        <v>6000142.5299999993</v>
      </c>
      <c r="D22" s="224">
        <f>'[1]TWIA 3'!J20</f>
        <v>0</v>
      </c>
      <c r="E22" s="26">
        <f t="shared" si="1"/>
        <v>6000142.5299999993</v>
      </c>
      <c r="L22" s="2"/>
    </row>
    <row r="23" spans="1:14" x14ac:dyDescent="0.2">
      <c r="A23" t="str">
        <f>TEXT(YEAR($M$26),"#")</f>
        <v>2024</v>
      </c>
      <c r="B23" s="22"/>
      <c r="C23" s="224">
        <f>'[1]TWIA 3'!H21</f>
        <v>4789092.28</v>
      </c>
      <c r="D23" s="224">
        <f>'[1]TWIA 3'!J21</f>
        <v>25044891.93</v>
      </c>
      <c r="E23" s="26">
        <f t="shared" si="1"/>
        <v>29833984.210000001</v>
      </c>
      <c r="L23" s="2"/>
    </row>
    <row r="24" spans="1:14" x14ac:dyDescent="0.2">
      <c r="A24" s="23"/>
      <c r="B24" s="23"/>
      <c r="C24" s="48"/>
      <c r="D24" s="48"/>
      <c r="E24" s="27"/>
      <c r="L24" s="2"/>
    </row>
    <row r="25" spans="1:14" x14ac:dyDescent="0.2">
      <c r="L25" s="2"/>
      <c r="M25" t="s">
        <v>207</v>
      </c>
    </row>
    <row r="26" spans="1:14" x14ac:dyDescent="0.2">
      <c r="A26" t="s">
        <v>7</v>
      </c>
      <c r="C26" s="18">
        <f>SUM(C14:C24)</f>
        <v>38343295.130000003</v>
      </c>
      <c r="D26" s="18">
        <f>SUM(D14:D24)</f>
        <v>508056184.70999998</v>
      </c>
      <c r="E26" s="18">
        <f>SUM(E14:E24)</f>
        <v>546399479.84000003</v>
      </c>
      <c r="L26" s="2"/>
      <c r="M26" s="64">
        <v>45657</v>
      </c>
      <c r="N26" s="63"/>
    </row>
    <row r="27" spans="1:14" ht="12" thickBot="1" x14ac:dyDescent="0.25">
      <c r="A27" s="6"/>
      <c r="B27" s="6"/>
      <c r="C27" s="6"/>
      <c r="D27" s="6"/>
      <c r="E27" s="6"/>
      <c r="L27" s="2"/>
    </row>
    <row r="28" spans="1:14" ht="12" thickTop="1" x14ac:dyDescent="0.2">
      <c r="L28" s="2"/>
    </row>
    <row r="29" spans="1:14" x14ac:dyDescent="0.2">
      <c r="A29" t="s">
        <v>17</v>
      </c>
      <c r="L29" s="2"/>
    </row>
    <row r="30" spans="1:14" x14ac:dyDescent="0.2">
      <c r="B30" s="12" t="str">
        <f>C12&amp;", "&amp;D12&amp;" Provided by TWIA"</f>
        <v>(2), (3) Provided by TWIA</v>
      </c>
      <c r="L30" s="2"/>
    </row>
    <row r="31" spans="1:14" x14ac:dyDescent="0.2">
      <c r="B31" s="12" t="str">
        <f>E12&amp;" = "&amp;C12&amp;" + "&amp;D12</f>
        <v>(4) = (2) + (3)</v>
      </c>
      <c r="L31" s="2"/>
    </row>
    <row r="32" spans="1:14" x14ac:dyDescent="0.2">
      <c r="L32" s="2"/>
    </row>
    <row r="33" spans="12:12" x14ac:dyDescent="0.2">
      <c r="L33" s="2"/>
    </row>
    <row r="34" spans="12:12" x14ac:dyDescent="0.2">
      <c r="L34" s="2"/>
    </row>
    <row r="35" spans="12:12" x14ac:dyDescent="0.2">
      <c r="L35" s="2"/>
    </row>
    <row r="36" spans="12:12" x14ac:dyDescent="0.2">
      <c r="L36" s="2"/>
    </row>
    <row r="37" spans="12:12" x14ac:dyDescent="0.2">
      <c r="L37" s="2"/>
    </row>
    <row r="38" spans="12:12" x14ac:dyDescent="0.2">
      <c r="L38" s="2"/>
    </row>
    <row r="39" spans="12:12" x14ac:dyDescent="0.2">
      <c r="L39" s="2"/>
    </row>
    <row r="40" spans="12:12" x14ac:dyDescent="0.2">
      <c r="L40" s="2"/>
    </row>
    <row r="41" spans="12:12" x14ac:dyDescent="0.2">
      <c r="L41" s="2"/>
    </row>
    <row r="42" spans="12:12" x14ac:dyDescent="0.2">
      <c r="L42" s="2"/>
    </row>
    <row r="43" spans="12:12" x14ac:dyDescent="0.2">
      <c r="L43" s="2"/>
    </row>
    <row r="44" spans="12:12" x14ac:dyDescent="0.2">
      <c r="L44" s="2"/>
    </row>
    <row r="45" spans="12:12" x14ac:dyDescent="0.2">
      <c r="L45" s="2"/>
    </row>
    <row r="46" spans="12:12" x14ac:dyDescent="0.2">
      <c r="L46" s="2"/>
    </row>
    <row r="47" spans="12:12" x14ac:dyDescent="0.2">
      <c r="L47" s="2"/>
    </row>
    <row r="48" spans="12:12" x14ac:dyDescent="0.2">
      <c r="L48" s="2"/>
    </row>
    <row r="49" spans="3:12" x14ac:dyDescent="0.2">
      <c r="L49" s="2"/>
    </row>
    <row r="50" spans="3:12" x14ac:dyDescent="0.2">
      <c r="L50" s="2"/>
    </row>
    <row r="51" spans="3:12" x14ac:dyDescent="0.2">
      <c r="L51" s="2"/>
    </row>
    <row r="52" spans="3:12" x14ac:dyDescent="0.2">
      <c r="L52" s="2"/>
    </row>
    <row r="53" spans="3:12" x14ac:dyDescent="0.2">
      <c r="L53" s="2"/>
    </row>
    <row r="54" spans="3:12" x14ac:dyDescent="0.2">
      <c r="L54" s="2"/>
    </row>
    <row r="55" spans="3:12" x14ac:dyDescent="0.2">
      <c r="L55" s="2"/>
    </row>
    <row r="56" spans="3:12" x14ac:dyDescent="0.2">
      <c r="L56" s="2"/>
    </row>
    <row r="57" spans="3:12" x14ac:dyDescent="0.2">
      <c r="L57" s="2"/>
    </row>
    <row r="58" spans="3:12" x14ac:dyDescent="0.2">
      <c r="L58" s="2"/>
    </row>
    <row r="59" spans="3:12" x14ac:dyDescent="0.2">
      <c r="L59" s="2"/>
    </row>
    <row r="60" spans="3:12" x14ac:dyDescent="0.2">
      <c r="L60" s="2"/>
    </row>
    <row r="61" spans="3:12" x14ac:dyDescent="0.2">
      <c r="L61" s="2"/>
    </row>
    <row r="62" spans="3:12" x14ac:dyDescent="0.2">
      <c r="L62" s="2"/>
    </row>
    <row r="63" spans="3:12" x14ac:dyDescent="0.2">
      <c r="L63" s="2"/>
    </row>
    <row r="64" spans="3:12" x14ac:dyDescent="0.2">
      <c r="C64" s="12"/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T66"/>
  <sheetViews>
    <sheetView showGridLines="0" zoomScaleNormal="100" workbookViewId="0"/>
  </sheetViews>
  <sheetFormatPr defaultColWidth="11.33203125" defaultRowHeight="11.25" x14ac:dyDescent="0.2"/>
  <cols>
    <col min="1" max="1" width="8.33203125" style="80" bestFit="1" customWidth="1"/>
    <col min="2" max="2" width="10.6640625" style="80" customWidth="1"/>
    <col min="3" max="3" width="15" style="80" bestFit="1" customWidth="1"/>
    <col min="4" max="9" width="11.33203125" style="80" customWidth="1"/>
    <col min="10" max="10" width="6.5" style="80" customWidth="1"/>
    <col min="11" max="11" width="11.33203125" style="80" customWidth="1"/>
    <col min="12" max="12" width="0.6640625" style="80" customWidth="1"/>
    <col min="13" max="13" width="11.33203125" style="80" customWidth="1"/>
    <col min="14" max="14" width="11.33203125" customWidth="1"/>
    <col min="15" max="16384" width="11.33203125" style="80"/>
  </cols>
  <sheetData>
    <row r="1" spans="1:20" x14ac:dyDescent="0.2">
      <c r="A1" s="8" t="str">
        <f>'1'!$A$1</f>
        <v>Texas Windstorm Insurance Association</v>
      </c>
      <c r="B1"/>
      <c r="C1"/>
      <c r="D1"/>
      <c r="E1"/>
      <c r="F1"/>
      <c r="G1"/>
      <c r="H1"/>
      <c r="I1"/>
      <c r="J1"/>
      <c r="K1"/>
      <c r="L1" s="7" t="s">
        <v>19</v>
      </c>
      <c r="M1" s="79"/>
      <c r="N1" s="80"/>
      <c r="P1"/>
      <c r="Q1"/>
      <c r="R1"/>
      <c r="S1"/>
      <c r="T1"/>
    </row>
    <row r="2" spans="1:20" x14ac:dyDescent="0.2">
      <c r="A2" s="8" t="str">
        <f>'1'!$A$2</f>
        <v>Commercial Property - Wind &amp; Hail</v>
      </c>
      <c r="B2"/>
      <c r="C2"/>
      <c r="D2"/>
      <c r="E2"/>
      <c r="F2"/>
      <c r="G2"/>
      <c r="H2"/>
      <c r="I2"/>
      <c r="J2"/>
      <c r="K2"/>
      <c r="L2" s="7" t="s">
        <v>58</v>
      </c>
      <c r="M2" s="81"/>
      <c r="N2" s="80"/>
      <c r="P2"/>
      <c r="Q2"/>
      <c r="R2"/>
      <c r="S2"/>
      <c r="T2"/>
    </row>
    <row r="3" spans="1:20" x14ac:dyDescent="0.2">
      <c r="A3" s="8" t="str">
        <f>'1'!$A$3</f>
        <v>Rate Level Review</v>
      </c>
      <c r="B3"/>
      <c r="C3"/>
      <c r="D3"/>
      <c r="E3"/>
      <c r="F3"/>
      <c r="G3"/>
      <c r="H3"/>
      <c r="I3"/>
      <c r="J3"/>
      <c r="K3"/>
      <c r="L3" s="7"/>
      <c r="M3" s="81"/>
      <c r="N3" s="80"/>
      <c r="P3"/>
      <c r="Q3"/>
      <c r="R3"/>
      <c r="S3"/>
      <c r="T3"/>
    </row>
    <row r="4" spans="1:20" x14ac:dyDescent="0.2">
      <c r="A4" t="s">
        <v>264</v>
      </c>
      <c r="B4"/>
      <c r="C4"/>
      <c r="D4"/>
      <c r="E4"/>
      <c r="F4"/>
      <c r="G4"/>
      <c r="H4"/>
      <c r="I4"/>
      <c r="J4"/>
      <c r="K4"/>
      <c r="L4"/>
      <c r="M4" s="81"/>
      <c r="N4" s="80"/>
      <c r="P4"/>
      <c r="Q4"/>
      <c r="R4"/>
      <c r="S4"/>
      <c r="T4"/>
    </row>
    <row r="5" spans="1:20" x14ac:dyDescent="0.2">
      <c r="A5"/>
      <c r="B5"/>
      <c r="C5"/>
      <c r="D5"/>
      <c r="E5"/>
      <c r="F5"/>
      <c r="G5"/>
      <c r="H5"/>
      <c r="I5"/>
      <c r="J5"/>
      <c r="K5"/>
      <c r="L5"/>
      <c r="M5" s="81"/>
      <c r="N5" s="80"/>
      <c r="P5"/>
      <c r="Q5"/>
      <c r="R5"/>
      <c r="S5"/>
      <c r="T5"/>
    </row>
    <row r="6" spans="1:20" x14ac:dyDescent="0.2">
      <c r="A6"/>
      <c r="B6"/>
      <c r="C6"/>
      <c r="D6"/>
      <c r="E6"/>
      <c r="F6"/>
      <c r="G6"/>
      <c r="H6"/>
      <c r="I6"/>
      <c r="J6"/>
      <c r="K6"/>
      <c r="L6"/>
      <c r="M6" s="81"/>
      <c r="N6" s="80"/>
    </row>
    <row r="7" spans="1:20" ht="12" thickBot="1" x14ac:dyDescent="0.25">
      <c r="A7" s="6"/>
      <c r="B7" s="6"/>
      <c r="C7" s="6"/>
      <c r="D7" s="6"/>
      <c r="E7" s="6"/>
      <c r="F7" s="6"/>
      <c r="G7" s="6"/>
      <c r="H7" s="6"/>
      <c r="I7" s="6"/>
      <c r="J7"/>
      <c r="K7"/>
      <c r="L7"/>
      <c r="M7" s="81"/>
      <c r="N7" t="s">
        <v>207</v>
      </c>
    </row>
    <row r="8" spans="1:20" ht="12" thickTop="1" x14ac:dyDescent="0.2">
      <c r="A8"/>
      <c r="B8"/>
      <c r="C8" s="11"/>
      <c r="D8"/>
      <c r="E8"/>
      <c r="F8"/>
      <c r="G8"/>
      <c r="H8"/>
      <c r="I8"/>
      <c r="J8"/>
      <c r="K8"/>
      <c r="L8"/>
      <c r="M8" s="81"/>
      <c r="N8" s="64">
        <v>45657</v>
      </c>
    </row>
    <row r="9" spans="1:20" x14ac:dyDescent="0.2">
      <c r="A9"/>
      <c r="B9"/>
      <c r="C9" s="11" t="s">
        <v>43</v>
      </c>
      <c r="D9"/>
      <c r="E9"/>
      <c r="F9"/>
      <c r="G9"/>
      <c r="H9"/>
      <c r="I9"/>
      <c r="J9"/>
      <c r="K9"/>
      <c r="L9"/>
      <c r="M9" s="81"/>
    </row>
    <row r="10" spans="1:20" x14ac:dyDescent="0.2">
      <c r="A10" t="s">
        <v>230</v>
      </c>
      <c r="B10"/>
      <c r="C10" s="243" t="s">
        <v>159</v>
      </c>
      <c r="D10"/>
      <c r="E10"/>
      <c r="F10"/>
      <c r="G10"/>
      <c r="H10"/>
      <c r="I10"/>
      <c r="J10"/>
      <c r="K10"/>
      <c r="L10"/>
      <c r="M10" s="81"/>
    </row>
    <row r="11" spans="1:20" x14ac:dyDescent="0.2">
      <c r="A11" s="9" t="s">
        <v>232</v>
      </c>
      <c r="B11" s="9"/>
      <c r="C11" s="244" t="s">
        <v>473</v>
      </c>
      <c r="D11"/>
      <c r="E11"/>
      <c r="F11"/>
      <c r="G11"/>
      <c r="H11"/>
      <c r="I11"/>
      <c r="J11"/>
      <c r="K11"/>
      <c r="L11"/>
      <c r="M11" s="81"/>
    </row>
    <row r="12" spans="1:20" x14ac:dyDescent="0.2">
      <c r="A12" s="82" t="s">
        <v>137</v>
      </c>
      <c r="B12" s="13"/>
      <c r="C12" s="43" t="s">
        <v>138</v>
      </c>
      <c r="J12"/>
      <c r="K12"/>
      <c r="L12"/>
      <c r="M12" s="81"/>
    </row>
    <row r="13" spans="1:20" x14ac:dyDescent="0.2">
      <c r="A13"/>
      <c r="B13"/>
      <c r="C13"/>
      <c r="D13" s="83" t="s">
        <v>139</v>
      </c>
      <c r="E13" t="s">
        <v>265</v>
      </c>
      <c r="F13"/>
      <c r="G13"/>
      <c r="H13"/>
      <c r="I13" s="84">
        <v>45474</v>
      </c>
      <c r="J13"/>
      <c r="K13"/>
      <c r="L13"/>
      <c r="M13" s="81"/>
    </row>
    <row r="14" spans="1:20" x14ac:dyDescent="0.2">
      <c r="A14" t="str">
        <f>A36&amp;" / 4"</f>
        <v>2015 / 4</v>
      </c>
      <c r="C14" s="92">
        <f>ROUND('3.1'!H16,2)</f>
        <v>4581.34</v>
      </c>
      <c r="D14" s="83" t="s">
        <v>89</v>
      </c>
      <c r="E14" t="s">
        <v>266</v>
      </c>
      <c r="I14" s="49">
        <f>'3.2a'!O32</f>
        <v>45474</v>
      </c>
      <c r="J14"/>
      <c r="K14"/>
      <c r="L14"/>
      <c r="M14" s="81"/>
    </row>
    <row r="15" spans="1:20" x14ac:dyDescent="0.2">
      <c r="A15" t="str">
        <f t="shared" ref="A15:A23" si="0">A37&amp;" / 4"</f>
        <v>2016 / 4</v>
      </c>
      <c r="C15" s="92">
        <f>ROUND('3.1'!$H$20,2)</f>
        <v>4581.38</v>
      </c>
      <c r="D15" s="83" t="s">
        <v>70</v>
      </c>
      <c r="E15" t="s">
        <v>267</v>
      </c>
      <c r="F15"/>
      <c r="G15"/>
      <c r="H15"/>
      <c r="I15" s="84">
        <v>46388</v>
      </c>
      <c r="J15"/>
      <c r="K15"/>
      <c r="L15"/>
      <c r="M15" s="81"/>
    </row>
    <row r="16" spans="1:20" x14ac:dyDescent="0.2">
      <c r="A16" t="str">
        <f t="shared" si="0"/>
        <v>2017 / 4</v>
      </c>
      <c r="B16" s="22"/>
      <c r="C16" s="92">
        <f>ROUND('3.1'!$H$24,2)</f>
        <v>4426</v>
      </c>
      <c r="D16" s="83" t="s">
        <v>74</v>
      </c>
      <c r="E16" t="s">
        <v>268</v>
      </c>
      <c r="F16"/>
      <c r="G16"/>
      <c r="H16"/>
      <c r="I16" s="29">
        <f>YEAR(I15)-YEAR(I13+1)+(MONTH(I15)-MONTH(I13+1))/12</f>
        <v>2.5</v>
      </c>
      <c r="J16"/>
      <c r="K16"/>
      <c r="L16"/>
      <c r="M16" s="81"/>
      <c r="N16" s="49"/>
    </row>
    <row r="17" spans="1:13" x14ac:dyDescent="0.2">
      <c r="A17" t="str">
        <f t="shared" si="0"/>
        <v>2018 / 4</v>
      </c>
      <c r="B17" s="22"/>
      <c r="C17" s="92">
        <f>ROUND('3.1'!$H$28,2)</f>
        <v>4497.78</v>
      </c>
      <c r="D17" s="83" t="s">
        <v>73</v>
      </c>
      <c r="E17" s="80" t="s">
        <v>269</v>
      </c>
      <c r="I17" s="29">
        <f>YEAR(I15)-YEAR(I14+1)+(MONTH(I15)-MONTH(I14+1))/12</f>
        <v>2.5</v>
      </c>
      <c r="J17"/>
      <c r="K17"/>
      <c r="L17"/>
      <c r="M17" s="81"/>
    </row>
    <row r="18" spans="1:13" x14ac:dyDescent="0.2">
      <c r="A18" t="str">
        <f t="shared" si="0"/>
        <v>2019 / 4</v>
      </c>
      <c r="B18" s="22"/>
      <c r="C18" s="92">
        <f>ROUND('3.1'!$H$32,2)</f>
        <v>4601.7700000000004</v>
      </c>
      <c r="D18" s="83" t="s">
        <v>72</v>
      </c>
      <c r="E18" t="s">
        <v>227</v>
      </c>
      <c r="F18"/>
      <c r="G18"/>
      <c r="H18"/>
      <c r="I18" s="41">
        <f>'3.1'!$L$58</f>
        <v>0.125</v>
      </c>
      <c r="J18"/>
      <c r="K18"/>
      <c r="L18"/>
      <c r="M18" s="81"/>
    </row>
    <row r="19" spans="1:13" x14ac:dyDescent="0.2">
      <c r="A19" t="str">
        <f t="shared" si="0"/>
        <v>2020 / 4</v>
      </c>
      <c r="B19" s="22"/>
      <c r="C19" s="92">
        <f>ROUND('3.1'!$H$36,2)</f>
        <v>4930.8500000000004</v>
      </c>
      <c r="D19" s="83" t="s">
        <v>71</v>
      </c>
      <c r="E19" t="s">
        <v>284</v>
      </c>
      <c r="F19"/>
      <c r="G19"/>
      <c r="H19"/>
      <c r="I19" s="41">
        <f>'3.2a'!$H$28</f>
        <v>9.0999999999999998E-2</v>
      </c>
      <c r="J19"/>
      <c r="K19"/>
      <c r="L19"/>
      <c r="M19" s="81"/>
    </row>
    <row r="20" spans="1:13" x14ac:dyDescent="0.2">
      <c r="A20" t="str">
        <f t="shared" si="0"/>
        <v>2021 / 4</v>
      </c>
      <c r="B20" s="22"/>
      <c r="C20" s="92">
        <f>ROUND('3.1'!$H$40,2)</f>
        <v>5052.8999999999996</v>
      </c>
      <c r="D20"/>
      <c r="E20"/>
      <c r="F20"/>
      <c r="G20"/>
      <c r="H20"/>
      <c r="I20"/>
      <c r="J20"/>
      <c r="K20"/>
      <c r="L20"/>
      <c r="M20" s="81"/>
    </row>
    <row r="21" spans="1:13" x14ac:dyDescent="0.2">
      <c r="A21" t="str">
        <f t="shared" si="0"/>
        <v>2022 / 4</v>
      </c>
      <c r="C21" s="92">
        <f>ROUND('3.1'!$H$44,2)</f>
        <v>5864.06</v>
      </c>
      <c r="J21"/>
      <c r="K21"/>
      <c r="L21"/>
      <c r="M21" s="81"/>
    </row>
    <row r="22" spans="1:13" x14ac:dyDescent="0.2">
      <c r="A22" t="str">
        <f t="shared" si="0"/>
        <v>2023 / 4</v>
      </c>
      <c r="B22"/>
      <c r="C22" s="92">
        <f>ROUND('3.1'!$H$48,2)</f>
        <v>6826.29</v>
      </c>
      <c r="I22" s="116"/>
      <c r="J22"/>
      <c r="K22"/>
      <c r="L22"/>
      <c r="M22" s="81"/>
    </row>
    <row r="23" spans="1:13" x14ac:dyDescent="0.2">
      <c r="A23" t="str">
        <f t="shared" si="0"/>
        <v>2024 / 4</v>
      </c>
      <c r="B23"/>
      <c r="C23" s="92">
        <f>ROUND('3.1'!$H$52,2)</f>
        <v>7192.12</v>
      </c>
      <c r="J23"/>
      <c r="K23"/>
      <c r="L23"/>
      <c r="M23" s="81"/>
    </row>
    <row r="24" spans="1:13" x14ac:dyDescent="0.2">
      <c r="A24" s="9"/>
      <c r="B24" s="23"/>
      <c r="C24" s="85"/>
      <c r="K24"/>
      <c r="L24"/>
      <c r="M24" s="81"/>
    </row>
    <row r="25" spans="1:13" x14ac:dyDescent="0.2">
      <c r="K25"/>
      <c r="L25"/>
      <c r="M25" s="81"/>
    </row>
    <row r="26" spans="1:13" x14ac:dyDescent="0.2">
      <c r="K26"/>
      <c r="L26"/>
      <c r="M26" s="81"/>
    </row>
    <row r="27" spans="1:13" x14ac:dyDescent="0.2">
      <c r="K27"/>
      <c r="L27"/>
      <c r="M27" s="81"/>
    </row>
    <row r="28" spans="1:13" x14ac:dyDescent="0.2">
      <c r="K28"/>
      <c r="L28"/>
      <c r="M28" s="81"/>
    </row>
    <row r="29" spans="1:13" x14ac:dyDescent="0.2">
      <c r="K29"/>
      <c r="L29"/>
      <c r="M29" s="81"/>
    </row>
    <row r="30" spans="1:13" x14ac:dyDescent="0.2">
      <c r="A30" t="s">
        <v>37</v>
      </c>
      <c r="B30" s="22"/>
      <c r="C30" s="86"/>
      <c r="D30" s="29"/>
      <c r="E30" s="29"/>
      <c r="F30" s="29"/>
      <c r="G30" s="29"/>
      <c r="H30"/>
      <c r="I30"/>
      <c r="J30"/>
      <c r="K30"/>
      <c r="L30"/>
      <c r="M30" s="81"/>
    </row>
    <row r="31" spans="1:13" x14ac:dyDescent="0.2">
      <c r="A31" t="s">
        <v>38</v>
      </c>
      <c r="B31"/>
      <c r="C31" s="11" t="s">
        <v>189</v>
      </c>
      <c r="D31" s="11" t="s">
        <v>189</v>
      </c>
      <c r="E31" s="11" t="s">
        <v>228</v>
      </c>
      <c r="F31" s="11" t="s">
        <v>228</v>
      </c>
      <c r="G31" s="11" t="s">
        <v>29</v>
      </c>
      <c r="H31"/>
      <c r="I31"/>
      <c r="J31"/>
      <c r="K31"/>
      <c r="L31"/>
      <c r="M31" s="81"/>
    </row>
    <row r="32" spans="1:13" x14ac:dyDescent="0.2">
      <c r="A32" t="s">
        <v>25</v>
      </c>
      <c r="B32"/>
      <c r="C32" s="11" t="s">
        <v>77</v>
      </c>
      <c r="D32" s="11" t="s">
        <v>32</v>
      </c>
      <c r="E32" s="11" t="s">
        <v>77</v>
      </c>
      <c r="F32" s="11" t="s">
        <v>32</v>
      </c>
      <c r="G32" s="11" t="s">
        <v>30</v>
      </c>
      <c r="H32"/>
      <c r="I32"/>
      <c r="J32"/>
      <c r="K32"/>
      <c r="L32"/>
      <c r="M32" s="81"/>
    </row>
    <row r="33" spans="1:13" x14ac:dyDescent="0.2">
      <c r="A33" s="9" t="str">
        <f>TEXT(N8,"m/d")</f>
        <v>12/31</v>
      </c>
      <c r="B33" s="9"/>
      <c r="C33" s="143" t="s">
        <v>30</v>
      </c>
      <c r="D33" s="143" t="s">
        <v>30</v>
      </c>
      <c r="E33" s="143" t="s">
        <v>30</v>
      </c>
      <c r="F33" s="143" t="s">
        <v>30</v>
      </c>
      <c r="G33" s="143" t="s">
        <v>28</v>
      </c>
      <c r="H33"/>
      <c r="I33"/>
      <c r="J33"/>
      <c r="K33"/>
      <c r="L33"/>
      <c r="M33" s="81"/>
    </row>
    <row r="34" spans="1:13" x14ac:dyDescent="0.2">
      <c r="A34" s="82" t="s">
        <v>66</v>
      </c>
      <c r="B34" s="13"/>
      <c r="C34" s="82" t="s">
        <v>153</v>
      </c>
      <c r="D34" s="82" t="s">
        <v>270</v>
      </c>
      <c r="E34" s="43" t="s">
        <v>271</v>
      </c>
      <c r="F34" s="43" t="s">
        <v>272</v>
      </c>
      <c r="G34" s="43" t="s">
        <v>234</v>
      </c>
      <c r="H34"/>
      <c r="I34"/>
      <c r="J34"/>
      <c r="K34"/>
      <c r="L34"/>
      <c r="M34" s="81"/>
    </row>
    <row r="35" spans="1:13" x14ac:dyDescent="0.2">
      <c r="A35"/>
      <c r="B35"/>
      <c r="C35"/>
      <c r="D35"/>
      <c r="E35"/>
      <c r="F35"/>
      <c r="G35"/>
      <c r="H35"/>
      <c r="I35"/>
      <c r="J35"/>
      <c r="K35"/>
      <c r="L35"/>
      <c r="M35" s="81"/>
    </row>
    <row r="36" spans="1:13" x14ac:dyDescent="0.2">
      <c r="A36" t="str">
        <f t="shared" ref="A36:A44" si="1">TEXT(A37-1,"#")</f>
        <v>2015</v>
      </c>
      <c r="B36" s="22"/>
      <c r="C36" s="28">
        <f>C$23/C14</f>
        <v>1.5698725700340947</v>
      </c>
      <c r="D36" s="28">
        <f>'3.2a'!H14</f>
        <v>1.4990000000000001</v>
      </c>
      <c r="E36" s="29">
        <f>(1+I$18)^I$16</f>
        <v>1.3423980299088363</v>
      </c>
      <c r="F36" s="29">
        <f t="shared" ref="F36:F45" si="2">(1+I$19)^I$17</f>
        <v>1.2432597577040974</v>
      </c>
      <c r="G36" s="29">
        <f>ROUND(PRODUCT(D36,F36)/PRODUCT(C36,E36),3)</f>
        <v>0.88400000000000001</v>
      </c>
      <c r="H36"/>
      <c r="I36"/>
      <c r="J36"/>
      <c r="K36"/>
      <c r="L36"/>
      <c r="M36" s="81"/>
    </row>
    <row r="37" spans="1:13" x14ac:dyDescent="0.2">
      <c r="A37" t="str">
        <f t="shared" si="1"/>
        <v>2016</v>
      </c>
      <c r="B37"/>
      <c r="C37" s="28">
        <f t="shared" ref="C37:C45" si="3">C$23/C15</f>
        <v>1.5698588634865476</v>
      </c>
      <c r="D37" s="28">
        <f>'3.2a'!H15</f>
        <v>1.5069999999999999</v>
      </c>
      <c r="E37" s="29">
        <f t="shared" ref="E37:E45" si="4">(1+I$18)^I$16</f>
        <v>1.3423980299088363</v>
      </c>
      <c r="F37" s="29">
        <f>(1+I$19)^I$17</f>
        <v>1.2432597577040974</v>
      </c>
      <c r="G37" s="29">
        <f t="shared" ref="G37:G44" si="5">ROUND(PRODUCT(D37,F37)/PRODUCT(C37,E37),3)</f>
        <v>0.88900000000000001</v>
      </c>
      <c r="H37"/>
      <c r="I37"/>
      <c r="J37"/>
      <c r="K37"/>
      <c r="L37"/>
      <c r="M37" s="81"/>
    </row>
    <row r="38" spans="1:13" x14ac:dyDescent="0.2">
      <c r="A38" t="str">
        <f t="shared" si="1"/>
        <v>2017</v>
      </c>
      <c r="B38"/>
      <c r="C38" s="28">
        <f t="shared" si="3"/>
        <v>1.6249706281066425</v>
      </c>
      <c r="D38" s="28">
        <f>'3.2a'!H16</f>
        <v>1.474</v>
      </c>
      <c r="E38" s="29">
        <f t="shared" si="4"/>
        <v>1.3423980299088363</v>
      </c>
      <c r="F38" s="29">
        <f t="shared" si="2"/>
        <v>1.2432597577040974</v>
      </c>
      <c r="G38" s="29">
        <f t="shared" si="5"/>
        <v>0.84</v>
      </c>
      <c r="H38"/>
      <c r="I38"/>
      <c r="J38"/>
      <c r="K38"/>
      <c r="L38"/>
      <c r="M38" s="81"/>
    </row>
    <row r="39" spans="1:13" x14ac:dyDescent="0.2">
      <c r="A39" t="str">
        <f t="shared" si="1"/>
        <v>2018</v>
      </c>
      <c r="B39"/>
      <c r="C39" s="28">
        <f t="shared" si="3"/>
        <v>1.5990377475109945</v>
      </c>
      <c r="D39" s="28">
        <f>'3.2a'!H17</f>
        <v>1.4119999999999999</v>
      </c>
      <c r="E39" s="29">
        <f t="shared" si="4"/>
        <v>1.3423980299088363</v>
      </c>
      <c r="F39" s="29">
        <f t="shared" si="2"/>
        <v>1.2432597577040974</v>
      </c>
      <c r="G39" s="29">
        <f t="shared" si="5"/>
        <v>0.81799999999999995</v>
      </c>
      <c r="H39"/>
      <c r="I39"/>
      <c r="J39"/>
      <c r="K39"/>
      <c r="L39"/>
      <c r="M39" s="81"/>
    </row>
    <row r="40" spans="1:13" x14ac:dyDescent="0.2">
      <c r="A40" t="str">
        <f t="shared" si="1"/>
        <v>2019</v>
      </c>
      <c r="B40"/>
      <c r="C40" s="28">
        <f t="shared" si="3"/>
        <v>1.5629029699441734</v>
      </c>
      <c r="D40" s="28">
        <f>'3.2a'!H18</f>
        <v>1.39</v>
      </c>
      <c r="E40" s="29">
        <f t="shared" si="4"/>
        <v>1.3423980299088363</v>
      </c>
      <c r="F40" s="29">
        <f t="shared" si="2"/>
        <v>1.2432597577040974</v>
      </c>
      <c r="G40" s="29">
        <f t="shared" si="5"/>
        <v>0.82399999999999995</v>
      </c>
      <c r="H40"/>
      <c r="I40"/>
      <c r="J40"/>
      <c r="K40"/>
      <c r="L40"/>
      <c r="M40" s="81"/>
    </row>
    <row r="41" spans="1:13" x14ac:dyDescent="0.2">
      <c r="A41" t="str">
        <f t="shared" si="1"/>
        <v>2020</v>
      </c>
      <c r="B41"/>
      <c r="C41" s="28">
        <f t="shared" si="3"/>
        <v>1.4585963880466855</v>
      </c>
      <c r="D41" s="28">
        <f>'3.2a'!H19</f>
        <v>1.3740000000000001</v>
      </c>
      <c r="E41" s="29">
        <f t="shared" si="4"/>
        <v>1.3423980299088363</v>
      </c>
      <c r="F41" s="29">
        <f t="shared" si="2"/>
        <v>1.2432597577040974</v>
      </c>
      <c r="G41" s="29">
        <f t="shared" si="5"/>
        <v>0.872</v>
      </c>
      <c r="H41"/>
      <c r="I41"/>
      <c r="J41"/>
      <c r="K41"/>
      <c r="L41"/>
      <c r="M41" s="81"/>
    </row>
    <row r="42" spans="1:13" x14ac:dyDescent="0.2">
      <c r="A42" t="str">
        <f t="shared" si="1"/>
        <v>2021</v>
      </c>
      <c r="B42"/>
      <c r="C42" s="28">
        <f t="shared" si="3"/>
        <v>1.4233648004116448</v>
      </c>
      <c r="D42" s="28">
        <f>'3.2a'!H20</f>
        <v>1.194</v>
      </c>
      <c r="E42" s="29">
        <f t="shared" si="4"/>
        <v>1.3423980299088363</v>
      </c>
      <c r="F42" s="29">
        <f t="shared" si="2"/>
        <v>1.2432597577040974</v>
      </c>
      <c r="G42" s="29">
        <f t="shared" si="5"/>
        <v>0.77700000000000002</v>
      </c>
      <c r="H42"/>
      <c r="I42"/>
      <c r="J42"/>
      <c r="K42"/>
      <c r="L42"/>
      <c r="M42" s="81"/>
    </row>
    <row r="43" spans="1:13" x14ac:dyDescent="0.2">
      <c r="A43" t="str">
        <f t="shared" si="1"/>
        <v>2022</v>
      </c>
      <c r="B43"/>
      <c r="C43" s="28">
        <f t="shared" si="3"/>
        <v>1.226474490370153</v>
      </c>
      <c r="D43" s="28">
        <f>'3.2a'!H21</f>
        <v>1.02</v>
      </c>
      <c r="E43" s="29">
        <f t="shared" si="4"/>
        <v>1.3423980299088363</v>
      </c>
      <c r="F43" s="29">
        <f t="shared" si="2"/>
        <v>1.2432597577040974</v>
      </c>
      <c r="G43" s="29">
        <f t="shared" si="5"/>
        <v>0.77</v>
      </c>
      <c r="H43"/>
      <c r="I43"/>
      <c r="J43"/>
      <c r="K43"/>
      <c r="L43"/>
      <c r="M43" s="81"/>
    </row>
    <row r="44" spans="1:13" x14ac:dyDescent="0.2">
      <c r="A44" t="str">
        <f t="shared" si="1"/>
        <v>2023</v>
      </c>
      <c r="B44"/>
      <c r="C44" s="28">
        <f t="shared" si="3"/>
        <v>1.0535913358500737</v>
      </c>
      <c r="D44" s="28">
        <f>'3.2a'!H22</f>
        <v>1.01</v>
      </c>
      <c r="E44" s="29">
        <f t="shared" si="4"/>
        <v>1.3423980299088363</v>
      </c>
      <c r="F44" s="29">
        <f t="shared" si="2"/>
        <v>1.2432597577040974</v>
      </c>
      <c r="G44" s="29">
        <f t="shared" si="5"/>
        <v>0.88800000000000001</v>
      </c>
      <c r="H44"/>
      <c r="I44"/>
      <c r="J44"/>
      <c r="K44"/>
      <c r="L44"/>
      <c r="M44" s="81"/>
    </row>
    <row r="45" spans="1:13" x14ac:dyDescent="0.2">
      <c r="A45" t="str">
        <f>TEXT(YEAR($N$8),"#")</f>
        <v>2024</v>
      </c>
      <c r="B45"/>
      <c r="C45" s="28">
        <f t="shared" si="3"/>
        <v>1</v>
      </c>
      <c r="D45" s="28">
        <f>'3.2a'!H23</f>
        <v>1</v>
      </c>
      <c r="E45" s="29">
        <f t="shared" si="4"/>
        <v>1.3423980299088363</v>
      </c>
      <c r="F45" s="29">
        <f t="shared" si="2"/>
        <v>1.2432597577040974</v>
      </c>
      <c r="G45" s="29">
        <f>ROUND(PRODUCT(D45,F45)/PRODUCT(C45,E45),3)</f>
        <v>0.92600000000000005</v>
      </c>
      <c r="H45"/>
      <c r="I45"/>
      <c r="J45"/>
      <c r="K45"/>
      <c r="L45"/>
      <c r="M45" s="81"/>
    </row>
    <row r="46" spans="1:13" ht="12" thickBot="1" x14ac:dyDescent="0.25">
      <c r="A46" s="6"/>
      <c r="B46" s="6"/>
      <c r="C46" s="112"/>
      <c r="D46" s="112"/>
      <c r="E46" s="112"/>
      <c r="F46" s="112"/>
      <c r="G46" s="112"/>
      <c r="H46" s="6"/>
      <c r="I46" s="6"/>
      <c r="J46"/>
      <c r="K46"/>
      <c r="L46"/>
      <c r="M46" s="81"/>
    </row>
    <row r="47" spans="1:13" ht="12" thickTop="1" x14ac:dyDescent="0.2">
      <c r="A47"/>
      <c r="B47"/>
      <c r="C47"/>
      <c r="D47"/>
      <c r="E47"/>
      <c r="F47"/>
      <c r="G47"/>
      <c r="H47"/>
      <c r="I47"/>
      <c r="J47"/>
      <c r="K47"/>
      <c r="L47"/>
      <c r="M47" s="81"/>
    </row>
    <row r="48" spans="1:13" x14ac:dyDescent="0.2">
      <c r="A48" t="s">
        <v>17</v>
      </c>
      <c r="B48"/>
      <c r="C48"/>
      <c r="D48"/>
      <c r="E48"/>
      <c r="F48"/>
      <c r="G48"/>
      <c r="H48"/>
      <c r="I48"/>
      <c r="J48"/>
      <c r="K48"/>
      <c r="L48"/>
      <c r="M48" s="81"/>
    </row>
    <row r="49" spans="1:13" x14ac:dyDescent="0.2">
      <c r="A49"/>
      <c r="B49" t="str">
        <f>C12&amp;" Average written premium per exposure at present rates from "&amp;'3.1'!$L$1&amp;", "&amp;'3.1'!$L$2&amp;", Column "&amp;'3.1'!$H$12</f>
        <v>(2) Average written premium per exposure at present rates from Exhibit 3, Sheet 1, Column (7)</v>
      </c>
      <c r="C49"/>
      <c r="D49"/>
      <c r="E49"/>
      <c r="F49"/>
      <c r="G49"/>
      <c r="H49"/>
      <c r="I49"/>
      <c r="J49"/>
      <c r="K49"/>
      <c r="L49"/>
      <c r="M49" s="81"/>
    </row>
    <row r="50" spans="1:13" x14ac:dyDescent="0.2">
      <c r="A50"/>
      <c r="B50" t="str">
        <f>D13&amp;" Latest Year / Quarter Ending Date - 6 Months"</f>
        <v>(3) Latest Year / Quarter Ending Date - 6 Months</v>
      </c>
      <c r="C50"/>
      <c r="D50"/>
      <c r="E50"/>
      <c r="F50"/>
      <c r="G50"/>
      <c r="H50"/>
      <c r="I50"/>
      <c r="J50"/>
      <c r="K50"/>
      <c r="L50"/>
      <c r="M50" s="81"/>
    </row>
    <row r="51" spans="1:13" x14ac:dyDescent="0.2">
      <c r="A51"/>
      <c r="B51" t="str">
        <f>D14&amp;" Latest Accident Year Ending Date - 6 Months"</f>
        <v>(4) Latest Accident Year Ending Date - 6 Months</v>
      </c>
      <c r="C51"/>
      <c r="D51"/>
      <c r="E51"/>
      <c r="F51"/>
      <c r="G51"/>
      <c r="H51"/>
      <c r="I51"/>
      <c r="J51"/>
      <c r="K51"/>
      <c r="L51"/>
      <c r="M51" s="81"/>
    </row>
    <row r="52" spans="1:13" x14ac:dyDescent="0.2">
      <c r="A52"/>
      <c r="B52" t="str">
        <f>D15&amp;" Rate Effective Date + 12 Months"</f>
        <v>(5) Rate Effective Date + 12 Months</v>
      </c>
      <c r="C52"/>
      <c r="D52"/>
      <c r="E52"/>
      <c r="F52"/>
      <c r="G52"/>
      <c r="H52"/>
      <c r="I52"/>
      <c r="J52"/>
      <c r="K52"/>
      <c r="L52"/>
      <c r="M52" s="81"/>
    </row>
    <row r="53" spans="1:13" x14ac:dyDescent="0.2">
      <c r="A53"/>
      <c r="B53" t="str">
        <f>D16&amp;" = "&amp;D15&amp;" - "&amp;D13</f>
        <v>(6) = (5) - (3)</v>
      </c>
      <c r="C53"/>
      <c r="D53"/>
      <c r="E53"/>
      <c r="F53"/>
      <c r="G53"/>
      <c r="H53"/>
      <c r="I53"/>
      <c r="J53"/>
      <c r="K53"/>
      <c r="L53"/>
      <c r="M53" s="81"/>
    </row>
    <row r="54" spans="1:13" x14ac:dyDescent="0.2">
      <c r="A54"/>
      <c r="B54" t="str">
        <f>D17&amp;" = "&amp;D15&amp;" - "&amp;D14</f>
        <v>(7) = (5) - (4)</v>
      </c>
      <c r="C54"/>
      <c r="D54"/>
      <c r="E54"/>
      <c r="F54"/>
      <c r="G54"/>
      <c r="H54"/>
      <c r="I54"/>
      <c r="J54"/>
      <c r="K54"/>
      <c r="L54"/>
      <c r="M54" s="81"/>
    </row>
    <row r="55" spans="1:13" x14ac:dyDescent="0.2">
      <c r="A55"/>
      <c r="B55" t="str">
        <f>D18&amp;" "&amp;'3.1'!$L$1&amp;", "&amp;'3.1'!$L$2</f>
        <v>(8) Exhibit 3, Sheet 1</v>
      </c>
      <c r="C55"/>
      <c r="D55"/>
      <c r="E55"/>
      <c r="F55"/>
      <c r="G55"/>
      <c r="H55"/>
      <c r="I55"/>
      <c r="J55"/>
      <c r="K55"/>
      <c r="L55"/>
      <c r="M55" s="81"/>
    </row>
    <row r="56" spans="1:13" x14ac:dyDescent="0.2">
      <c r="A56"/>
      <c r="B56" t="str">
        <f>D19&amp;" "&amp;'3.2a'!$L$1&amp;", "&amp;'3.2a'!$L$2</f>
        <v>(9) Exhibit 3, Sheet 2a</v>
      </c>
      <c r="C56"/>
      <c r="D56"/>
      <c r="E56"/>
      <c r="F56"/>
      <c r="G56"/>
      <c r="H56"/>
      <c r="I56"/>
      <c r="J56"/>
      <c r="K56"/>
      <c r="L56"/>
      <c r="M56" s="81"/>
    </row>
    <row r="57" spans="1:13" x14ac:dyDescent="0.2">
      <c r="A57"/>
      <c r="B57" s="110" t="str">
        <f>C34&amp;" = "&amp;C12&amp;" Indexed to "&amp;A23</f>
        <v>(11) = (2) Indexed to 2024 / 4</v>
      </c>
      <c r="C57" s="111"/>
      <c r="D57" s="111"/>
      <c r="E57"/>
      <c r="F57"/>
      <c r="G57"/>
      <c r="H57"/>
      <c r="I57"/>
      <c r="J57"/>
      <c r="K57"/>
      <c r="L57"/>
      <c r="M57" s="81"/>
    </row>
    <row r="58" spans="1:13" x14ac:dyDescent="0.2">
      <c r="A58"/>
      <c r="B58" t="str">
        <f>D34&amp;" "&amp;'3.2a'!$L$1&amp;", "&amp;'3.2a'!$L$2</f>
        <v>(12) Exhibit 3, Sheet 2a</v>
      </c>
      <c r="C58"/>
      <c r="D58"/>
      <c r="E58"/>
      <c r="F58"/>
      <c r="G58"/>
      <c r="H58"/>
      <c r="I58"/>
      <c r="J58"/>
      <c r="K58"/>
      <c r="L58"/>
      <c r="M58" s="81"/>
    </row>
    <row r="59" spans="1:13" x14ac:dyDescent="0.2">
      <c r="A59"/>
      <c r="B59" t="str">
        <f>E34&amp;" = [1 + "&amp;D18&amp;"] ^ "&amp;D16</f>
        <v>(13) = [1 + (8)] ^ (6)</v>
      </c>
      <c r="C59"/>
      <c r="D59"/>
      <c r="E59"/>
      <c r="F59"/>
      <c r="G59"/>
      <c r="H59"/>
      <c r="I59"/>
      <c r="J59"/>
      <c r="K59"/>
      <c r="L59"/>
      <c r="M59" s="81"/>
    </row>
    <row r="60" spans="1:13" x14ac:dyDescent="0.2">
      <c r="A60"/>
      <c r="B60" t="str">
        <f>F34&amp;" = [1 + "&amp;D19&amp;"] ^ "&amp;D17</f>
        <v>(14) = [1 + (9)] ^ (7)</v>
      </c>
      <c r="C60"/>
      <c r="D60"/>
      <c r="E60"/>
      <c r="F60"/>
      <c r="G60"/>
      <c r="H60"/>
      <c r="I60"/>
      <c r="J60"/>
      <c r="K60"/>
      <c r="L60"/>
      <c r="M60" s="81"/>
    </row>
    <row r="61" spans="1:13" x14ac:dyDescent="0.2">
      <c r="A61"/>
      <c r="B61" t="str">
        <f>G34&amp;" = ["&amp;D34&amp;" * "&amp;F34&amp;"] / ["&amp;C34&amp;" * "&amp;E34&amp;"]"</f>
        <v>(15) = [(12) * (14)] / [(11) * (13)]</v>
      </c>
      <c r="C61"/>
      <c r="D61"/>
      <c r="E61"/>
      <c r="F61"/>
      <c r="G61"/>
      <c r="H61"/>
      <c r="I61"/>
      <c r="J61"/>
      <c r="K61"/>
      <c r="L61"/>
      <c r="M61" s="81"/>
    </row>
    <row r="62" spans="1:13" ht="12" thickBot="1" x14ac:dyDescent="0.25">
      <c r="A62"/>
      <c r="C62"/>
      <c r="D62"/>
      <c r="E62"/>
      <c r="F62"/>
      <c r="G62"/>
      <c r="H62"/>
      <c r="I62"/>
      <c r="J62"/>
      <c r="K62"/>
      <c r="L62"/>
      <c r="M62" s="81"/>
    </row>
    <row r="63" spans="1:13" ht="12" thickBot="1" x14ac:dyDescent="0.25">
      <c r="A63" s="87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9"/>
    </row>
    <row r="66" spans="2:2" x14ac:dyDescent="0.2">
      <c r="B66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D13:D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0">
    <tabColor rgb="FF00B050"/>
  </sheetPr>
  <dimension ref="A1:AD76"/>
  <sheetViews>
    <sheetView showGridLines="0" zoomScaleNormal="100" workbookViewId="0"/>
  </sheetViews>
  <sheetFormatPr defaultColWidth="11.33203125" defaultRowHeight="11.25" x14ac:dyDescent="0.2"/>
  <cols>
    <col min="1" max="1" width="5.33203125" customWidth="1"/>
    <col min="2" max="2" width="2.6640625" customWidth="1"/>
    <col min="3" max="3" width="12.6640625" style="11" customWidth="1"/>
    <col min="4" max="4" width="10.1640625" customWidth="1"/>
    <col min="5" max="5" width="9.83203125" customWidth="1"/>
    <col min="6" max="6" width="14.6640625" customWidth="1"/>
    <col min="7" max="7" width="12.5" style="11" customWidth="1"/>
    <col min="8" max="8" width="10.5" customWidth="1"/>
    <col min="9" max="9" width="11.83203125" customWidth="1"/>
    <col min="10" max="10" width="8.5" customWidth="1"/>
    <col min="11" max="11" width="9.83203125" customWidth="1"/>
    <col min="12" max="12" width="11.33203125" customWidth="1"/>
    <col min="17" max="17" width="11.6640625" customWidth="1"/>
    <col min="20" max="22" width="11.5" bestFit="1" customWidth="1"/>
    <col min="23" max="23" width="12.6640625" bestFit="1" customWidth="1"/>
    <col min="30" max="30" width="13.83203125" bestFit="1" customWidth="1"/>
  </cols>
  <sheetData>
    <row r="1" spans="1:18" x14ac:dyDescent="0.2">
      <c r="A1" s="8" t="str">
        <f>'1'!$A$1</f>
        <v>Texas Windstorm Insurance Association</v>
      </c>
      <c r="L1" s="7" t="s">
        <v>42</v>
      </c>
      <c r="M1" s="1"/>
    </row>
    <row r="2" spans="1:18" x14ac:dyDescent="0.2">
      <c r="A2" s="8" t="str">
        <f>'1'!$A$2</f>
        <v>Commercial Property - Wind &amp; Hail</v>
      </c>
      <c r="L2" s="7" t="s">
        <v>20</v>
      </c>
      <c r="M2" s="2"/>
    </row>
    <row r="3" spans="1:18" x14ac:dyDescent="0.2">
      <c r="A3" s="8" t="str">
        <f>'1'!$A$3</f>
        <v>Rate Level Review</v>
      </c>
      <c r="M3" s="2"/>
    </row>
    <row r="4" spans="1:18" x14ac:dyDescent="0.2">
      <c r="A4" t="s">
        <v>229</v>
      </c>
      <c r="M4" s="2"/>
    </row>
    <row r="5" spans="1:18" x14ac:dyDescent="0.2">
      <c r="A5" s="12" t="s">
        <v>479</v>
      </c>
      <c r="M5" s="2"/>
    </row>
    <row r="6" spans="1:18" hidden="1" x14ac:dyDescent="0.2">
      <c r="M6" s="2"/>
    </row>
    <row r="7" spans="1:18" ht="12" thickBot="1" x14ac:dyDescent="0.25">
      <c r="A7" s="6"/>
      <c r="B7" s="6"/>
      <c r="C7" s="142"/>
      <c r="D7" s="6"/>
      <c r="E7" s="6"/>
      <c r="F7" s="6"/>
      <c r="G7" s="142"/>
      <c r="H7" s="6"/>
      <c r="I7" s="6"/>
      <c r="J7" s="6"/>
      <c r="K7" s="6"/>
      <c r="L7" s="6"/>
      <c r="M7" s="2"/>
    </row>
    <row r="8" spans="1:18" ht="12" thickTop="1" x14ac:dyDescent="0.2">
      <c r="D8" s="11"/>
      <c r="E8" s="11"/>
      <c r="F8" s="11"/>
      <c r="H8" s="11"/>
      <c r="M8" s="2"/>
    </row>
    <row r="9" spans="1:18" x14ac:dyDescent="0.2">
      <c r="D9" s="133"/>
      <c r="E9" s="11"/>
      <c r="F9" s="11"/>
      <c r="G9" s="11" t="s">
        <v>400</v>
      </c>
      <c r="H9" s="11" t="s">
        <v>481</v>
      </c>
      <c r="M9" s="2"/>
    </row>
    <row r="10" spans="1:18" x14ac:dyDescent="0.2">
      <c r="A10" t="s">
        <v>230</v>
      </c>
      <c r="C10" s="11" t="s">
        <v>399</v>
      </c>
      <c r="D10" s="11" t="s">
        <v>200</v>
      </c>
      <c r="E10" s="11" t="s">
        <v>482</v>
      </c>
      <c r="F10" s="11" t="s">
        <v>159</v>
      </c>
      <c r="G10" s="11" t="s">
        <v>43</v>
      </c>
      <c r="H10" s="11" t="s">
        <v>43</v>
      </c>
      <c r="I10" s="171" t="s">
        <v>290</v>
      </c>
      <c r="J10" s="171"/>
      <c r="K10" s="171"/>
      <c r="L10" s="255"/>
      <c r="M10" s="2"/>
      <c r="N10" t="s">
        <v>231</v>
      </c>
    </row>
    <row r="11" spans="1:18" x14ac:dyDescent="0.2">
      <c r="A11" s="9" t="s">
        <v>232</v>
      </c>
      <c r="B11" s="9"/>
      <c r="C11" s="143" t="s">
        <v>200</v>
      </c>
      <c r="D11" s="143" t="s">
        <v>77</v>
      </c>
      <c r="E11" s="143" t="s">
        <v>322</v>
      </c>
      <c r="F11" s="143" t="s">
        <v>289</v>
      </c>
      <c r="G11" s="143" t="s">
        <v>480</v>
      </c>
      <c r="H11" s="143" t="s">
        <v>480</v>
      </c>
      <c r="I11" s="143" t="s">
        <v>291</v>
      </c>
      <c r="J11" s="143" t="s">
        <v>281</v>
      </c>
      <c r="K11" s="143" t="s">
        <v>282</v>
      </c>
      <c r="L11" s="143" t="s">
        <v>283</v>
      </c>
      <c r="M11" s="2"/>
      <c r="N11" t="s">
        <v>25</v>
      </c>
      <c r="O11" s="49" t="s">
        <v>233</v>
      </c>
    </row>
    <row r="12" spans="1:18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43" t="s">
        <v>73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8" x14ac:dyDescent="0.2">
      <c r="B13" s="13"/>
      <c r="C13" s="220"/>
      <c r="D13" s="220"/>
      <c r="E13" s="221"/>
      <c r="F13" s="126"/>
      <c r="G13" s="134"/>
      <c r="H13" s="11"/>
      <c r="I13" s="11"/>
      <c r="J13" s="11"/>
      <c r="K13" s="11"/>
      <c r="L13" s="11"/>
      <c r="M13" s="2"/>
      <c r="N13" s="49"/>
      <c r="R13" s="34"/>
    </row>
    <row r="14" spans="1:18" x14ac:dyDescent="0.2">
      <c r="A14" t="str">
        <f>YEAR(N14)&amp;" / "&amp;MONTH(N14)/3</f>
        <v>2015 / 2</v>
      </c>
      <c r="B14" s="13"/>
      <c r="C14" s="220">
        <f>'[1]TWIA 4 Premium Trend'!C38</f>
        <v>7870</v>
      </c>
      <c r="D14" s="220">
        <f>'[1]TWIA 4 Premium Trend'!B38</f>
        <v>33339199</v>
      </c>
      <c r="E14" s="221">
        <f>'[1]TWIA 5'!I380</f>
        <v>1.1951789688713677</v>
      </c>
      <c r="F14" s="126">
        <f t="shared" ref="F14:F18" si="1">D14*E14</f>
        <v>39846309.483817331</v>
      </c>
      <c r="G14" s="134">
        <f>F14/C14</f>
        <v>5063.063466812876</v>
      </c>
      <c r="H14" s="11"/>
      <c r="I14" s="11"/>
      <c r="J14" s="11"/>
      <c r="K14" s="11"/>
      <c r="L14" s="11"/>
      <c r="M14" s="2"/>
      <c r="N14" s="49">
        <f t="shared" ref="N14:N21" si="2">DATE(YEAR(N15+1),MONTH(N15+1)-3,1)-1</f>
        <v>42185</v>
      </c>
      <c r="O14">
        <f t="shared" ref="O14:O21" si="3">YEAR(N14)+MONTH(N14)/12</f>
        <v>2015.5</v>
      </c>
      <c r="R14" s="34"/>
    </row>
    <row r="15" spans="1:18" x14ac:dyDescent="0.2">
      <c r="A15" t="str">
        <f>YEAR(N15)&amp;" / "&amp;MONTH(N15)/3</f>
        <v>2015 / 3</v>
      </c>
      <c r="B15" s="13"/>
      <c r="C15" s="220">
        <f>'[1]TWIA 4 Premium Trend'!C39</f>
        <v>7657</v>
      </c>
      <c r="D15" s="220">
        <f>'[1]TWIA 4 Premium Trend'!B39</f>
        <v>28055666</v>
      </c>
      <c r="E15" s="221">
        <f>'[1]TWIA 5'!I381</f>
        <v>1.1766787394611087</v>
      </c>
      <c r="F15" s="126">
        <f t="shared" si="1"/>
        <v>33012505.703621887</v>
      </c>
      <c r="G15" s="134">
        <f t="shared" ref="G15:G52" si="4">F15/C15</f>
        <v>4311.415136949443</v>
      </c>
      <c r="H15" s="11"/>
      <c r="I15" s="11"/>
      <c r="J15" s="11"/>
      <c r="K15" s="11"/>
      <c r="L15" s="11"/>
      <c r="M15" s="2"/>
      <c r="N15" s="49">
        <f t="shared" si="2"/>
        <v>42277</v>
      </c>
      <c r="O15">
        <f t="shared" si="3"/>
        <v>2015.75</v>
      </c>
      <c r="R15" s="34"/>
    </row>
    <row r="16" spans="1:18" x14ac:dyDescent="0.2">
      <c r="A16" t="str">
        <f>YEAR(N16)&amp;" / "&amp;MONTH(N16)/3</f>
        <v>2015 / 4</v>
      </c>
      <c r="B16" s="13"/>
      <c r="C16" s="220">
        <f>'[1]TWIA 4 Premium Trend'!C40</f>
        <v>4802</v>
      </c>
      <c r="D16" s="220">
        <f>'[1]TWIA 4 Premium Trend'!B40</f>
        <v>17430504</v>
      </c>
      <c r="E16" s="221">
        <f>'[1]TWIA 5'!I382</f>
        <v>1.1632081489641464</v>
      </c>
      <c r="F16" s="126">
        <f t="shared" si="1"/>
        <v>20275304.293352149</v>
      </c>
      <c r="G16" s="134">
        <f t="shared" si="4"/>
        <v>4222.2624517601307</v>
      </c>
      <c r="H16" s="158">
        <f>IFERROR(SUM(F13:F16)/SUM(C13:C16),0)</f>
        <v>4581.3428836042776</v>
      </c>
      <c r="I16" s="11"/>
      <c r="J16" s="11"/>
      <c r="K16" s="11"/>
      <c r="L16" s="11"/>
      <c r="M16" s="2"/>
      <c r="N16" s="49">
        <f t="shared" si="2"/>
        <v>42369</v>
      </c>
      <c r="O16">
        <f t="shared" si="3"/>
        <v>2016</v>
      </c>
      <c r="R16" s="34"/>
    </row>
    <row r="17" spans="1:23" x14ac:dyDescent="0.2">
      <c r="A17" t="str">
        <f>YEAR(N17)&amp;" / "&amp;MONTH(N17)/3</f>
        <v>2016 / 1</v>
      </c>
      <c r="C17" s="220">
        <f>'[1]TWIA 4 Premium Trend'!C41</f>
        <v>5512</v>
      </c>
      <c r="D17" s="220">
        <f>'[1]TWIA 4 Premium Trend'!B41</f>
        <v>22487925</v>
      </c>
      <c r="E17" s="221">
        <f>'[1]TWIA 5'!I383</f>
        <v>1.1513095053377946</v>
      </c>
      <c r="F17" s="126">
        <f t="shared" si="1"/>
        <v>25890561.807823427</v>
      </c>
      <c r="G17" s="134">
        <f t="shared" si="4"/>
        <v>4697.1265979360351</v>
      </c>
      <c r="H17" s="158">
        <f>IFERROR(SUM(F14:F17)/SUM(C14:C17),0)</f>
        <v>4606.040063798413</v>
      </c>
      <c r="I17" s="151">
        <f>GROWTH($H$17:$H$52,$O$17:$O$52,$O17,1)</f>
        <v>4023.2019604119946</v>
      </c>
      <c r="M17" s="2"/>
      <c r="N17" s="49">
        <f t="shared" si="2"/>
        <v>42460</v>
      </c>
      <c r="O17">
        <f t="shared" si="3"/>
        <v>2016.25</v>
      </c>
      <c r="Q17" s="18"/>
      <c r="R17" s="18"/>
      <c r="S17" s="18"/>
    </row>
    <row r="18" spans="1:23" x14ac:dyDescent="0.2">
      <c r="A18" t="str">
        <f t="shared" ref="A18:A21" si="5">YEAR(N18)&amp;" / "&amp;MONTH(N18)/3</f>
        <v>2016 / 2</v>
      </c>
      <c r="C18" s="220">
        <f>'[1]TWIA 4 Premium Trend'!C42</f>
        <v>6522</v>
      </c>
      <c r="D18" s="220">
        <f>'[1]TWIA 4 Premium Trend'!B42</f>
        <v>28623450</v>
      </c>
      <c r="E18" s="221">
        <f>'[1]TWIA 5'!I384</f>
        <v>1.1378553171391943</v>
      </c>
      <c r="F18" s="126">
        <f t="shared" si="1"/>
        <v>32569344.777367871</v>
      </c>
      <c r="G18" s="134">
        <f t="shared" si="4"/>
        <v>4993.7664485384657</v>
      </c>
      <c r="H18" s="158">
        <f t="shared" ref="H18:H51" si="6">IFERROR(SUM(F15:F18)/SUM(C15:C18),0)</f>
        <v>4562.4348418799391</v>
      </c>
      <c r="I18" s="151">
        <f t="shared" ref="I18:I20" si="7">GROWTH($H$17:$H$52,$O$17:$O$52,$O18,1)</f>
        <v>4079.9295619431073</v>
      </c>
      <c r="M18" s="2"/>
      <c r="N18" s="49">
        <f t="shared" si="2"/>
        <v>42551</v>
      </c>
      <c r="O18">
        <f t="shared" si="3"/>
        <v>2016.5</v>
      </c>
      <c r="Q18" s="18"/>
      <c r="R18" s="18"/>
      <c r="S18" s="18"/>
    </row>
    <row r="19" spans="1:23" x14ac:dyDescent="0.2">
      <c r="A19" t="str">
        <f t="shared" si="5"/>
        <v>2016 / 3</v>
      </c>
      <c r="C19" s="220">
        <f>'[1]TWIA 4 Premium Trend'!C43</f>
        <v>6507</v>
      </c>
      <c r="D19" s="220">
        <f>'[1]TWIA 4 Premium Trend'!B43</f>
        <v>25417054</v>
      </c>
      <c r="E19" s="221">
        <f>'[1]TWIA 5'!I385</f>
        <v>1.119959045602978</v>
      </c>
      <c r="F19" s="126">
        <f t="shared" ref="F19:F51" si="8">D19*E19</f>
        <v>28466059.539879356</v>
      </c>
      <c r="G19" s="134">
        <f t="shared" si="4"/>
        <v>4374.6825787427933</v>
      </c>
      <c r="H19" s="158">
        <f t="shared" si="6"/>
        <v>4592.4375795066098</v>
      </c>
      <c r="I19" s="151">
        <f t="shared" si="7"/>
        <v>4137.4570290557576</v>
      </c>
      <c r="J19" s="18"/>
      <c r="K19" s="18"/>
      <c r="L19" s="18"/>
      <c r="M19" s="2"/>
      <c r="N19" s="49">
        <f t="shared" si="2"/>
        <v>42643</v>
      </c>
      <c r="O19">
        <f t="shared" si="3"/>
        <v>2016.75</v>
      </c>
      <c r="Q19" s="18"/>
      <c r="R19" s="18"/>
      <c r="S19" s="18"/>
    </row>
    <row r="20" spans="1:23" x14ac:dyDescent="0.2">
      <c r="A20" t="str">
        <f t="shared" si="5"/>
        <v>2016 / 4</v>
      </c>
      <c r="C20" s="220">
        <f>'[1]TWIA 4 Premium Trend'!C44</f>
        <v>4047</v>
      </c>
      <c r="D20" s="220">
        <f>'[1]TWIA 4 Premium Trend'!B44</f>
        <v>14955154</v>
      </c>
      <c r="E20" s="221">
        <f>'[1]TWIA 5'!I386</f>
        <v>1.1071889513986732</v>
      </c>
      <c r="F20" s="126">
        <f t="shared" si="8"/>
        <v>16558181.275265673</v>
      </c>
      <c r="G20" s="134">
        <f t="shared" si="4"/>
        <v>4091.4705399717504</v>
      </c>
      <c r="H20" s="158">
        <f t="shared" si="6"/>
        <v>4581.3771648811899</v>
      </c>
      <c r="I20" s="151">
        <f t="shared" si="7"/>
        <v>4195.7956399448267</v>
      </c>
      <c r="J20" s="18"/>
      <c r="K20" s="18"/>
      <c r="L20" s="18"/>
      <c r="M20" s="2"/>
      <c r="N20" s="49">
        <f t="shared" si="2"/>
        <v>42735</v>
      </c>
      <c r="O20">
        <f t="shared" si="3"/>
        <v>2017</v>
      </c>
      <c r="Q20" s="18"/>
      <c r="R20" s="18"/>
      <c r="S20" s="18"/>
    </row>
    <row r="21" spans="1:23" x14ac:dyDescent="0.2">
      <c r="A21" t="str">
        <f t="shared" si="5"/>
        <v>2017 / 1</v>
      </c>
      <c r="C21" s="220">
        <f>'[1]TWIA 4 Premium Trend'!C45</f>
        <v>4263</v>
      </c>
      <c r="D21" s="220">
        <f>'[1]TWIA 4 Premium Trend'!B45</f>
        <v>17482209</v>
      </c>
      <c r="E21" s="221">
        <f>'[1]TWIA 5'!I387</f>
        <v>1.1025</v>
      </c>
      <c r="F21" s="126">
        <f>D21*E21</f>
        <v>19274135.422499999</v>
      </c>
      <c r="G21" s="134">
        <f t="shared" si="4"/>
        <v>4521.2609482758617</v>
      </c>
      <c r="H21" s="158">
        <f>IFERROR(SUM(F18:F21)/SUM(C18:C21),0)</f>
        <v>4539.4686262248888</v>
      </c>
      <c r="I21" s="151">
        <f t="shared" ref="I21:I52" si="9">GROWTH($H$17:$H$52,$O$17:$O$52,$O21,1)</f>
        <v>4254.956831829074</v>
      </c>
      <c r="M21" s="2"/>
      <c r="N21" s="49">
        <f t="shared" si="2"/>
        <v>42825</v>
      </c>
      <c r="O21">
        <f t="shared" si="3"/>
        <v>2017.25</v>
      </c>
      <c r="Q21" s="18"/>
      <c r="R21" s="18"/>
      <c r="S21" s="18"/>
      <c r="T21" s="18"/>
      <c r="U21" s="18"/>
      <c r="V21" s="18"/>
      <c r="W21" s="18"/>
    </row>
    <row r="22" spans="1:23" x14ac:dyDescent="0.2">
      <c r="A22" t="str">
        <f t="shared" ref="A22:A52" si="10">YEAR(N22)&amp;" / "&amp;MONTH(N22)/3</f>
        <v>2017 / 2</v>
      </c>
      <c r="B22" s="22"/>
      <c r="C22" s="220">
        <f>'[1]TWIA 4 Premium Trend'!C46</f>
        <v>5717</v>
      </c>
      <c r="D22" s="220">
        <f>'[1]TWIA 4 Premium Trend'!B46</f>
        <v>25224489</v>
      </c>
      <c r="E22" s="221">
        <f>'[1]TWIA 5'!I388</f>
        <v>1.1025000000000003</v>
      </c>
      <c r="F22" s="126">
        <f t="shared" si="8"/>
        <v>27809999.122500006</v>
      </c>
      <c r="G22" s="134">
        <f t="shared" si="4"/>
        <v>4864.4392377995464</v>
      </c>
      <c r="H22" s="158">
        <f>IFERROR(SUM(F19:F22)/SUM(C19:C22),0)</f>
        <v>4485.6518632582565</v>
      </c>
      <c r="I22" s="151">
        <f t="shared" si="9"/>
        <v>4314.9522031932711</v>
      </c>
      <c r="J22" s="29"/>
      <c r="K22" s="29"/>
      <c r="L22" s="29"/>
      <c r="M22" s="2"/>
      <c r="N22" s="49">
        <f t="shared" ref="N22:N47" si="11">DATE(YEAR(N23+1),MONTH(N23+1)-3,1)-1</f>
        <v>42916</v>
      </c>
      <c r="O22">
        <f t="shared" ref="O22:O47" si="12">YEAR(N22)+MONTH(N22)/12</f>
        <v>2017.5</v>
      </c>
      <c r="Q22" s="18"/>
      <c r="R22" s="18"/>
      <c r="S22" s="18"/>
      <c r="T22" s="18"/>
      <c r="U22" s="18"/>
      <c r="V22" s="18"/>
      <c r="W22" s="18"/>
    </row>
    <row r="23" spans="1:23" x14ac:dyDescent="0.2">
      <c r="A23" t="str">
        <f t="shared" si="10"/>
        <v>2017 / 3</v>
      </c>
      <c r="C23" s="220">
        <f>'[1]TWIA 4 Premium Trend'!C47</f>
        <v>5172</v>
      </c>
      <c r="D23" s="220">
        <f>'[1]TWIA 4 Premium Trend'!B47</f>
        <v>19050031</v>
      </c>
      <c r="E23" s="221">
        <f>'[1]TWIA 5'!I389</f>
        <v>1.1024999999999998</v>
      </c>
      <c r="F23" s="126">
        <f t="shared" si="8"/>
        <v>21002659.177499995</v>
      </c>
      <c r="G23" s="134">
        <f t="shared" si="4"/>
        <v>4060.8389747679803</v>
      </c>
      <c r="H23" s="158">
        <f>IFERROR(SUM(F20:F23)/SUM(C20:C23),0)</f>
        <v>4408.8220739499802</v>
      </c>
      <c r="I23" s="151">
        <f t="shared" si="9"/>
        <v>4375.7935160623201</v>
      </c>
      <c r="M23" s="2"/>
      <c r="N23" s="49">
        <f t="shared" si="11"/>
        <v>43008</v>
      </c>
      <c r="O23">
        <f t="shared" si="12"/>
        <v>2017.75</v>
      </c>
      <c r="Q23" s="18"/>
      <c r="R23" s="18"/>
      <c r="S23" s="18"/>
      <c r="T23" s="18"/>
      <c r="U23" s="18"/>
      <c r="V23" s="18"/>
      <c r="W23" s="18"/>
    </row>
    <row r="24" spans="1:23" x14ac:dyDescent="0.2">
      <c r="A24" t="str">
        <f t="shared" si="10"/>
        <v>2017 / 4</v>
      </c>
      <c r="C24" s="220">
        <f>'[1]TWIA 4 Premium Trend'!C48</f>
        <v>3489</v>
      </c>
      <c r="D24" s="220">
        <f>'[1]TWIA 4 Premium Trend'!B48</f>
        <v>13077837</v>
      </c>
      <c r="E24" s="221">
        <f>'[1]TWIA 5'!I390</f>
        <v>1.1024999999999998</v>
      </c>
      <c r="F24" s="126">
        <f t="shared" si="8"/>
        <v>14418315.292499997</v>
      </c>
      <c r="G24" s="134">
        <f t="shared" si="4"/>
        <v>4132.5065326741178</v>
      </c>
      <c r="H24" s="158">
        <f t="shared" si="6"/>
        <v>4426.0023075478775</v>
      </c>
      <c r="I24" s="151">
        <f t="shared" si="9"/>
        <v>4437.4926983068135</v>
      </c>
      <c r="J24" s="18"/>
      <c r="K24" s="18"/>
      <c r="L24" s="18"/>
      <c r="M24" s="2"/>
      <c r="N24" s="49">
        <f t="shared" si="11"/>
        <v>43100</v>
      </c>
      <c r="O24">
        <f t="shared" si="12"/>
        <v>2018</v>
      </c>
      <c r="Q24" s="18"/>
      <c r="R24" s="18"/>
      <c r="S24" s="18"/>
      <c r="T24" s="18"/>
      <c r="U24" s="18"/>
      <c r="V24" s="18"/>
      <c r="W24" s="18"/>
    </row>
    <row r="25" spans="1:23" x14ac:dyDescent="0.2">
      <c r="A25" t="str">
        <f t="shared" si="10"/>
        <v>2018 / 1</v>
      </c>
      <c r="C25" s="220">
        <f>'[1]TWIA 4 Premium Trend'!C49</f>
        <v>3663</v>
      </c>
      <c r="D25" s="220">
        <f>'[1]TWIA 4 Premium Trend'!B49</f>
        <v>15807970</v>
      </c>
      <c r="E25" s="221">
        <f>'[1]TWIA 5'!I391</f>
        <v>1.0963494619655838</v>
      </c>
      <c r="F25" s="126">
        <f>D25*E25</f>
        <v>17331059.40426809</v>
      </c>
      <c r="G25" s="134">
        <f t="shared" si="4"/>
        <v>4731.3839487491368</v>
      </c>
      <c r="H25" s="158">
        <f t="shared" si="6"/>
        <v>4465.4970897826115</v>
      </c>
      <c r="I25" s="151">
        <f t="shared" si="9"/>
        <v>4500.0618459816651</v>
      </c>
      <c r="J25" s="18"/>
      <c r="K25" s="18"/>
      <c r="L25" s="18"/>
      <c r="M25" s="2"/>
      <c r="N25" s="49">
        <f t="shared" si="11"/>
        <v>43190</v>
      </c>
      <c r="O25">
        <f t="shared" si="12"/>
        <v>2018.25</v>
      </c>
      <c r="Q25" s="18"/>
      <c r="R25" s="18"/>
      <c r="S25" s="18"/>
      <c r="T25" s="18"/>
      <c r="U25" s="18"/>
      <c r="V25" s="18"/>
      <c r="W25" s="18"/>
    </row>
    <row r="26" spans="1:23" x14ac:dyDescent="0.2">
      <c r="A26" t="str">
        <f t="shared" si="10"/>
        <v>2018 / 2</v>
      </c>
      <c r="B26" s="22"/>
      <c r="C26" s="220">
        <f>'[1]TWIA 4 Premium Trend'!C50</f>
        <v>5108</v>
      </c>
      <c r="D26" s="220">
        <f>'[1]TWIA 4 Premium Trend'!B50</f>
        <v>22862777</v>
      </c>
      <c r="E26" s="221">
        <f>'[1]TWIA 5'!I392</f>
        <v>1.0835713915824325</v>
      </c>
      <c r="F26" s="126">
        <f t="shared" si="8"/>
        <v>24773451.089328833</v>
      </c>
      <c r="G26" s="134">
        <f t="shared" si="4"/>
        <v>4849.9316932906877</v>
      </c>
      <c r="H26" s="158">
        <f t="shared" si="6"/>
        <v>4447.3086830883958</v>
      </c>
      <c r="I26" s="151">
        <f t="shared" si="9"/>
        <v>4563.5132256977195</v>
      </c>
      <c r="J26" s="18"/>
      <c r="K26" s="18"/>
      <c r="L26" s="18"/>
      <c r="M26" s="2"/>
      <c r="N26" s="49">
        <f t="shared" si="11"/>
        <v>43281</v>
      </c>
      <c r="O26">
        <f t="shared" si="12"/>
        <v>2018.5</v>
      </c>
      <c r="Q26" s="18"/>
      <c r="R26" s="18"/>
      <c r="S26" s="18"/>
      <c r="T26" s="18"/>
      <c r="U26" s="18"/>
      <c r="V26" s="18"/>
      <c r="W26" s="18"/>
    </row>
    <row r="27" spans="1:23" x14ac:dyDescent="0.2">
      <c r="A27" t="str">
        <f t="shared" si="10"/>
        <v>2018 / 3</v>
      </c>
      <c r="B27" s="22"/>
      <c r="C27" s="220">
        <f>'[1]TWIA 4 Premium Trend'!C51</f>
        <v>4612</v>
      </c>
      <c r="D27" s="220">
        <f>'[1]TWIA 4 Premium Trend'!B51</f>
        <v>17927115</v>
      </c>
      <c r="E27" s="221">
        <f>'[1]TWIA 5'!I393</f>
        <v>1.0664454028906998</v>
      </c>
      <c r="F27" s="126">
        <f t="shared" si="8"/>
        <v>19118289.378842909</v>
      </c>
      <c r="G27" s="134">
        <f>F27/C27</f>
        <v>4145.3359451090437</v>
      </c>
      <c r="H27" s="158">
        <f>IFERROR(SUM(F24:F27)/SUM(C24:C27),0)</f>
        <v>4483.2334735028344</v>
      </c>
      <c r="I27" s="151">
        <f t="shared" si="9"/>
        <v>4627.859277026223</v>
      </c>
      <c r="J27" s="18"/>
      <c r="K27" s="18"/>
      <c r="L27" s="18"/>
      <c r="M27" s="2"/>
      <c r="N27" s="49">
        <f t="shared" si="11"/>
        <v>43373</v>
      </c>
      <c r="O27">
        <f t="shared" si="12"/>
        <v>2018.75</v>
      </c>
      <c r="Q27" s="18"/>
      <c r="R27" s="18"/>
      <c r="S27" s="18"/>
      <c r="T27" s="18"/>
      <c r="U27" s="18"/>
      <c r="V27" s="18"/>
      <c r="W27" s="18"/>
    </row>
    <row r="28" spans="1:23" x14ac:dyDescent="0.2">
      <c r="A28" t="str">
        <f t="shared" si="10"/>
        <v>2018 / 4</v>
      </c>
      <c r="B28" s="22"/>
      <c r="C28" s="220">
        <f>'[1]TWIA 4 Premium Trend'!C52</f>
        <v>3109</v>
      </c>
      <c r="D28" s="220">
        <f>'[1]TWIA 4 Premium Trend'!B52</f>
        <v>12284401</v>
      </c>
      <c r="E28" s="221">
        <f>'[1]TWIA 5'!I394</f>
        <v>1.0545559318545092</v>
      </c>
      <c r="F28" s="126">
        <f t="shared" si="8"/>
        <v>12954587.943829466</v>
      </c>
      <c r="G28" s="134">
        <f t="shared" si="4"/>
        <v>4166.8021691313816</v>
      </c>
      <c r="H28" s="158">
        <f t="shared" si="6"/>
        <v>4497.7800034119145</v>
      </c>
      <c r="I28" s="151">
        <f t="shared" si="9"/>
        <v>4693.1126149377806</v>
      </c>
      <c r="J28" s="18"/>
      <c r="K28" s="18"/>
      <c r="L28" s="18"/>
      <c r="M28" s="2"/>
      <c r="N28" s="49">
        <f t="shared" si="11"/>
        <v>43465</v>
      </c>
      <c r="O28">
        <f t="shared" si="12"/>
        <v>2019</v>
      </c>
      <c r="Q28" s="18"/>
      <c r="R28" s="18"/>
      <c r="S28" s="18"/>
      <c r="T28" s="18"/>
      <c r="U28" s="18"/>
      <c r="V28" s="18"/>
      <c r="W28" s="18"/>
    </row>
    <row r="29" spans="1:23" x14ac:dyDescent="0.2">
      <c r="A29" t="str">
        <f t="shared" si="10"/>
        <v>2019 / 1</v>
      </c>
      <c r="B29" s="22"/>
      <c r="C29" s="220">
        <f>'[1]TWIA 4 Premium Trend'!C53</f>
        <v>2933</v>
      </c>
      <c r="D29" s="220">
        <f>'[1]TWIA 4 Premium Trend'!B53</f>
        <v>14759154</v>
      </c>
      <c r="E29" s="221">
        <f>'[1]TWIA 5'!I395</f>
        <v>1.05</v>
      </c>
      <c r="F29" s="126">
        <f t="shared" si="8"/>
        <v>15497111.700000001</v>
      </c>
      <c r="G29" s="134">
        <f t="shared" si="4"/>
        <v>5283.7066825775664</v>
      </c>
      <c r="H29" s="158">
        <f t="shared" si="6"/>
        <v>4589.7373500825533</v>
      </c>
      <c r="I29" s="151">
        <f t="shared" si="9"/>
        <v>4759.2860322757051</v>
      </c>
      <c r="J29" s="92"/>
      <c r="K29" s="92"/>
      <c r="L29" s="92"/>
      <c r="M29" s="2"/>
      <c r="N29" s="49">
        <f t="shared" si="11"/>
        <v>43555</v>
      </c>
      <c r="O29">
        <f t="shared" si="12"/>
        <v>2019.25</v>
      </c>
      <c r="Q29" s="18"/>
      <c r="R29" s="18"/>
      <c r="S29" s="18"/>
      <c r="T29" s="18"/>
      <c r="U29" s="18"/>
      <c r="V29" s="18"/>
      <c r="W29" s="18"/>
    </row>
    <row r="30" spans="1:23" x14ac:dyDescent="0.2">
      <c r="A30" t="str">
        <f t="shared" si="10"/>
        <v>2019 / 2</v>
      </c>
      <c r="B30" s="22"/>
      <c r="C30" s="220">
        <f>'[1]TWIA 4 Premium Trend'!C54</f>
        <v>4431</v>
      </c>
      <c r="D30" s="220">
        <f>'[1]TWIA 4 Premium Trend'!B54</f>
        <v>20959587</v>
      </c>
      <c r="E30" s="221">
        <f>'[1]TWIA 5'!I396</f>
        <v>1.0499999999999998</v>
      </c>
      <c r="F30" s="126">
        <f t="shared" si="8"/>
        <v>22007566.349999998</v>
      </c>
      <c r="G30" s="134">
        <f t="shared" si="4"/>
        <v>4966.7267772511841</v>
      </c>
      <c r="H30" s="158">
        <f t="shared" si="6"/>
        <v>4612.3669454870651</v>
      </c>
      <c r="I30" s="151">
        <f t="shared" si="9"/>
        <v>4826.392502263644</v>
      </c>
      <c r="J30" s="92"/>
      <c r="K30" s="92"/>
      <c r="L30" s="92"/>
      <c r="M30" s="2"/>
      <c r="N30" s="49">
        <f t="shared" si="11"/>
        <v>43646</v>
      </c>
      <c r="O30">
        <f t="shared" si="12"/>
        <v>2019.5</v>
      </c>
      <c r="Q30" s="18"/>
      <c r="R30" s="18"/>
      <c r="S30" s="18"/>
      <c r="T30" s="18"/>
      <c r="U30" s="18"/>
      <c r="V30" s="18"/>
      <c r="W30" s="18"/>
    </row>
    <row r="31" spans="1:23" x14ac:dyDescent="0.2">
      <c r="A31" t="str">
        <f t="shared" si="10"/>
        <v>2019 / 3</v>
      </c>
      <c r="B31" s="22"/>
      <c r="C31" s="220">
        <f>'[1]TWIA 4 Premium Trend'!C55</f>
        <v>3993</v>
      </c>
      <c r="D31" s="220">
        <f>'[1]TWIA 4 Premium Trend'!B55</f>
        <v>14943999</v>
      </c>
      <c r="E31" s="221">
        <f>'[1]TWIA 5'!I397</f>
        <v>1.0500000000000003</v>
      </c>
      <c r="F31" s="126">
        <f t="shared" si="8"/>
        <v>15691198.950000005</v>
      </c>
      <c r="G31" s="134">
        <f t="shared" si="4"/>
        <v>3929.6766716754332</v>
      </c>
      <c r="H31" s="158">
        <f t="shared" si="6"/>
        <v>4572.8235133298394</v>
      </c>
      <c r="I31" s="151">
        <f t="shared" si="9"/>
        <v>4894.4451810492255</v>
      </c>
      <c r="J31" s="92"/>
      <c r="K31" s="92"/>
      <c r="L31" s="92"/>
      <c r="M31" s="2"/>
      <c r="N31" s="49">
        <f t="shared" si="11"/>
        <v>43738</v>
      </c>
      <c r="O31">
        <f t="shared" si="12"/>
        <v>2019.75</v>
      </c>
      <c r="Q31" s="18"/>
      <c r="R31" s="18"/>
      <c r="S31" s="18"/>
      <c r="T31" s="18"/>
      <c r="U31" s="18"/>
      <c r="V31" s="18"/>
      <c r="W31" s="18"/>
    </row>
    <row r="32" spans="1:23" x14ac:dyDescent="0.2">
      <c r="A32" t="str">
        <f t="shared" si="10"/>
        <v>2019 / 4</v>
      </c>
      <c r="B32" s="22"/>
      <c r="C32" s="220">
        <f>'[1]TWIA 4 Premium Trend'!C56</f>
        <v>2966</v>
      </c>
      <c r="D32" s="220">
        <f>'[1]TWIA 4 Premium Trend'!B56</f>
        <v>12109737</v>
      </c>
      <c r="E32" s="221">
        <f>'[1]TWIA 5'!I398</f>
        <v>1.05</v>
      </c>
      <c r="F32" s="126">
        <f t="shared" si="8"/>
        <v>12715223.85</v>
      </c>
      <c r="G32" s="134">
        <f t="shared" si="4"/>
        <v>4286.9938806473365</v>
      </c>
      <c r="H32" s="158">
        <f t="shared" si="6"/>
        <v>4601.7664490679326</v>
      </c>
      <c r="I32" s="151">
        <f t="shared" si="9"/>
        <v>4963.4574102831766</v>
      </c>
      <c r="J32" s="92"/>
      <c r="K32" s="92"/>
      <c r="L32" s="92"/>
      <c r="M32" s="2"/>
      <c r="N32" s="49">
        <f t="shared" si="11"/>
        <v>43830</v>
      </c>
      <c r="O32">
        <f t="shared" si="12"/>
        <v>2020</v>
      </c>
      <c r="Q32" s="18"/>
      <c r="R32" s="18"/>
      <c r="S32" s="18"/>
      <c r="T32" s="18"/>
      <c r="U32" s="18"/>
      <c r="V32" s="18"/>
      <c r="W32" s="18"/>
    </row>
    <row r="33" spans="1:30" x14ac:dyDescent="0.2">
      <c r="A33" t="str">
        <f t="shared" si="10"/>
        <v>2020 / 1</v>
      </c>
      <c r="B33" s="22"/>
      <c r="C33" s="220">
        <f>'[1]TWIA 4 Premium Trend'!C57</f>
        <v>2719</v>
      </c>
      <c r="D33" s="220">
        <f>'[1]TWIA 4 Premium Trend'!B57</f>
        <v>14566185</v>
      </c>
      <c r="E33" s="221">
        <f>'[1]TWIA 5'!I399</f>
        <v>1.0500000000000003</v>
      </c>
      <c r="F33" s="126">
        <f t="shared" si="8"/>
        <v>15294494.250000004</v>
      </c>
      <c r="G33" s="134">
        <f t="shared" si="4"/>
        <v>5625.0438580360442</v>
      </c>
      <c r="H33" s="158">
        <f t="shared" si="6"/>
        <v>4657.2034446098241</v>
      </c>
      <c r="I33" s="151">
        <f t="shared" si="9"/>
        <v>5033.4427197352152</v>
      </c>
      <c r="J33" s="26">
        <f>GROWTH($H$33:$H$52,$O$33:$O$52,$O33,1)</f>
        <v>4403.8594029948972</v>
      </c>
      <c r="K33" s="26"/>
      <c r="L33" s="26"/>
      <c r="M33" s="2"/>
      <c r="N33" s="49">
        <f t="shared" si="11"/>
        <v>43921</v>
      </c>
      <c r="O33">
        <f t="shared" si="12"/>
        <v>2020.25</v>
      </c>
      <c r="Q33" s="18"/>
      <c r="R33" s="18"/>
      <c r="S33" s="18"/>
      <c r="T33" s="18"/>
      <c r="U33" s="18"/>
      <c r="V33" s="18"/>
      <c r="W33" s="18"/>
    </row>
    <row r="34" spans="1:30" x14ac:dyDescent="0.2">
      <c r="A34" t="str">
        <f t="shared" si="10"/>
        <v>2020 / 2</v>
      </c>
      <c r="B34" s="22"/>
      <c r="C34" s="220">
        <f>'[1]TWIA 4 Premium Trend'!C58</f>
        <v>3982</v>
      </c>
      <c r="D34" s="220">
        <f>'[1]TWIA 4 Premium Trend'!B58</f>
        <v>18776705</v>
      </c>
      <c r="E34" s="221">
        <f>'[1]TWIA 5'!I400</f>
        <v>1.05</v>
      </c>
      <c r="F34" s="126">
        <f t="shared" si="8"/>
        <v>19715540.25</v>
      </c>
      <c r="G34" s="134">
        <f t="shared" si="4"/>
        <v>4951.1653063787044</v>
      </c>
      <c r="H34" s="158">
        <f t="shared" si="6"/>
        <v>4642.493213762812</v>
      </c>
      <c r="I34" s="151">
        <f t="shared" si="9"/>
        <v>5104.4148299461258</v>
      </c>
      <c r="J34" s="26">
        <f t="shared" ref="J34:J52" si="13">GROWTH($H$33:$H$52,$O$33:$O$52,$O34,1)</f>
        <v>4524.0984768147564</v>
      </c>
      <c r="K34" s="26"/>
      <c r="L34" s="26"/>
      <c r="M34" s="2"/>
      <c r="N34" s="49">
        <f t="shared" si="11"/>
        <v>44012</v>
      </c>
      <c r="O34">
        <f t="shared" si="12"/>
        <v>2020.5</v>
      </c>
      <c r="Q34" s="18"/>
      <c r="R34" s="18"/>
      <c r="S34" s="18"/>
      <c r="T34" s="18"/>
      <c r="U34" s="18"/>
      <c r="V34" s="18"/>
      <c r="W34" s="18"/>
    </row>
    <row r="35" spans="1:30" x14ac:dyDescent="0.2">
      <c r="A35" t="str">
        <f t="shared" si="10"/>
        <v>2020 / 3</v>
      </c>
      <c r="B35" s="22"/>
      <c r="C35" s="220">
        <f>'[1]TWIA 4 Premium Trend'!C59</f>
        <v>3970</v>
      </c>
      <c r="D35" s="220">
        <f>'[1]TWIA 4 Premium Trend'!B59</f>
        <v>15951658</v>
      </c>
      <c r="E35" s="221">
        <f>'[1]TWIA 5'!I401</f>
        <v>1.05</v>
      </c>
      <c r="F35" s="126">
        <f t="shared" si="8"/>
        <v>16749240.9</v>
      </c>
      <c r="G35" s="134">
        <f t="shared" si="4"/>
        <v>4218.9523677581865</v>
      </c>
      <c r="H35" s="158">
        <f t="shared" si="6"/>
        <v>4727.9093092322355</v>
      </c>
      <c r="I35" s="151">
        <f t="shared" si="9"/>
        <v>5176.387654917864</v>
      </c>
      <c r="J35" s="26">
        <f t="shared" si="13"/>
        <v>4647.6204517332853</v>
      </c>
      <c r="K35" s="26"/>
      <c r="L35" s="26"/>
      <c r="M35" s="2"/>
      <c r="N35" s="49">
        <f t="shared" si="11"/>
        <v>44104</v>
      </c>
      <c r="O35">
        <f t="shared" si="12"/>
        <v>2020.75</v>
      </c>
      <c r="Q35" s="18"/>
      <c r="R35" s="18"/>
      <c r="S35" s="18"/>
      <c r="T35" s="18"/>
      <c r="U35" s="18"/>
      <c r="V35" s="18"/>
      <c r="W35" s="18"/>
    </row>
    <row r="36" spans="1:30" x14ac:dyDescent="0.2">
      <c r="A36" t="str">
        <f t="shared" si="10"/>
        <v>2020 / 4</v>
      </c>
      <c r="C36" s="220">
        <f>'[1]TWIA 4 Premium Trend'!C60</f>
        <v>2710</v>
      </c>
      <c r="D36" s="220">
        <f>'[1]TWIA 4 Premium Trend'!B60</f>
        <v>13543203</v>
      </c>
      <c r="E36" s="221">
        <f>'[1]TWIA 5'!I402</f>
        <v>1.05</v>
      </c>
      <c r="F36" s="126">
        <f t="shared" si="8"/>
        <v>14220363.15</v>
      </c>
      <c r="G36" s="134">
        <f t="shared" si="4"/>
        <v>5247.3664760147603</v>
      </c>
      <c r="H36" s="158">
        <f t="shared" si="6"/>
        <v>4930.8451199461924</v>
      </c>
      <c r="I36" s="151">
        <f t="shared" si="9"/>
        <v>5249.3753048416029</v>
      </c>
      <c r="J36" s="26">
        <f t="shared" si="13"/>
        <v>4774.514961172441</v>
      </c>
      <c r="K36" s="26"/>
      <c r="L36" s="26"/>
      <c r="M36" s="2"/>
      <c r="N36" s="49">
        <f t="shared" si="11"/>
        <v>44196</v>
      </c>
      <c r="O36">
        <f t="shared" si="12"/>
        <v>2021</v>
      </c>
      <c r="Q36" s="18"/>
      <c r="R36" s="18"/>
      <c r="S36" s="18"/>
      <c r="T36" s="18"/>
      <c r="U36" s="18"/>
      <c r="V36" s="18"/>
      <c r="W36" s="18"/>
    </row>
    <row r="37" spans="1:30" x14ac:dyDescent="0.2">
      <c r="A37" t="str">
        <f t="shared" si="10"/>
        <v>2021 / 1</v>
      </c>
      <c r="C37" s="220">
        <f>'[1]TWIA 4 Premium Trend'!C61</f>
        <v>2521</v>
      </c>
      <c r="D37" s="220">
        <f>'[1]TWIA 4 Premium Trend'!B61</f>
        <v>12672604</v>
      </c>
      <c r="E37" s="221">
        <f>'[1]TWIA 5'!I403</f>
        <v>1.05</v>
      </c>
      <c r="F37" s="126">
        <f t="shared" si="8"/>
        <v>13306234.200000001</v>
      </c>
      <c r="G37" s="134">
        <f t="shared" si="4"/>
        <v>5278.1571598572</v>
      </c>
      <c r="H37" s="158">
        <f t="shared" si="6"/>
        <v>4854.0831753015245</v>
      </c>
      <c r="I37" s="151">
        <f t="shared" si="9"/>
        <v>5323.392088863583</v>
      </c>
      <c r="J37" s="26">
        <f t="shared" si="13"/>
        <v>4904.8740858255596</v>
      </c>
      <c r="K37" s="26">
        <f>GROWTH($H$37:$H$52,$O$37:$O$52,$O37,1)</f>
        <v>4721.9988282325621</v>
      </c>
      <c r="L37" s="26"/>
      <c r="M37" s="2"/>
      <c r="N37" s="49">
        <f t="shared" si="11"/>
        <v>44286</v>
      </c>
      <c r="O37">
        <f>YEAR(N37)+MONTH(N37)/12</f>
        <v>2021.25</v>
      </c>
      <c r="Q37" s="18"/>
      <c r="R37" s="18"/>
      <c r="S37" s="18"/>
      <c r="T37" s="18"/>
      <c r="U37" s="18"/>
      <c r="V37" s="18"/>
      <c r="W37" s="18"/>
    </row>
    <row r="38" spans="1:30" x14ac:dyDescent="0.2">
      <c r="A38" t="str">
        <f t="shared" si="10"/>
        <v>2021 / 2</v>
      </c>
      <c r="C38" s="220">
        <f>'[1]TWIA 4 Premium Trend'!C62</f>
        <v>4228</v>
      </c>
      <c r="D38" s="220">
        <f>'[1]TWIA 4 Premium Trend'!B62</f>
        <v>20348072</v>
      </c>
      <c r="E38" s="221">
        <f>'[1]TWIA 5'!I404</f>
        <v>1.05</v>
      </c>
      <c r="F38" s="126">
        <f t="shared" si="8"/>
        <v>21365475.600000001</v>
      </c>
      <c r="G38" s="134">
        <f t="shared" si="4"/>
        <v>5053.3291390728482</v>
      </c>
      <c r="H38" s="158">
        <f t="shared" si="6"/>
        <v>4888.0269454166355</v>
      </c>
      <c r="I38" s="151">
        <f t="shared" si="9"/>
        <v>5398.4525178906169</v>
      </c>
      <c r="J38" s="26">
        <f t="shared" si="13"/>
        <v>5038.7924204756155</v>
      </c>
      <c r="K38" s="26">
        <f t="shared" ref="K38:K52" si="14">GROWTH($H$37:$H$52,$O$37:$O$52,$O38,1)</f>
        <v>4870.2385199324799</v>
      </c>
      <c r="L38" s="26"/>
      <c r="M38" s="2"/>
      <c r="N38" s="49">
        <f t="shared" si="11"/>
        <v>44377</v>
      </c>
      <c r="O38">
        <f t="shared" si="12"/>
        <v>2021.5</v>
      </c>
      <c r="Q38" s="18"/>
      <c r="R38" s="18"/>
      <c r="S38" s="18"/>
      <c r="T38" s="18"/>
      <c r="U38" s="18"/>
      <c r="V38" s="18"/>
      <c r="W38" s="18"/>
    </row>
    <row r="39" spans="1:30" x14ac:dyDescent="0.2">
      <c r="A39" t="str">
        <f t="shared" si="10"/>
        <v>2021 / 3</v>
      </c>
      <c r="C39" s="220">
        <f>'[1]TWIA 4 Premium Trend'!C63</f>
        <v>3892</v>
      </c>
      <c r="D39" s="220">
        <f>'[1]TWIA 4 Premium Trend'!B63</f>
        <v>16793147</v>
      </c>
      <c r="E39" s="221">
        <f>'[1]TWIA 5'!I405</f>
        <v>1.0499999999999998</v>
      </c>
      <c r="F39" s="126">
        <f t="shared" si="8"/>
        <v>17632804.349999998</v>
      </c>
      <c r="G39" s="134">
        <f t="shared" si="4"/>
        <v>4530.5252697841725</v>
      </c>
      <c r="H39" s="158">
        <f t="shared" si="6"/>
        <v>4982.7636356827197</v>
      </c>
      <c r="I39" s="151">
        <f t="shared" si="9"/>
        <v>5474.5713074351734</v>
      </c>
      <c r="J39" s="26">
        <f t="shared" si="13"/>
        <v>5176.3671426376914</v>
      </c>
      <c r="K39" s="26">
        <f t="shared" si="14"/>
        <v>5023.1319625109236</v>
      </c>
      <c r="L39" s="26"/>
      <c r="M39" s="2"/>
      <c r="N39" s="49">
        <f t="shared" si="11"/>
        <v>44469</v>
      </c>
      <c r="O39">
        <f t="shared" si="12"/>
        <v>2021.75</v>
      </c>
      <c r="Q39" s="18"/>
      <c r="R39" s="18"/>
      <c r="S39" s="18"/>
      <c r="T39" s="18"/>
      <c r="U39" s="18"/>
      <c r="V39" s="18"/>
      <c r="W39" s="18"/>
    </row>
    <row r="40" spans="1:30" x14ac:dyDescent="0.2">
      <c r="A40" t="str">
        <f t="shared" si="10"/>
        <v>2021 / 4</v>
      </c>
      <c r="C40" s="220">
        <f>'[1]TWIA 4 Premium Trend'!C64</f>
        <v>3112</v>
      </c>
      <c r="D40" s="220">
        <f>'[1]TWIA 4 Premium Trend'!B64</f>
        <v>16369478</v>
      </c>
      <c r="E40" s="221">
        <f>'[1]TWIA 5'!I406</f>
        <v>1.05</v>
      </c>
      <c r="F40" s="126">
        <f t="shared" si="8"/>
        <v>17187951.900000002</v>
      </c>
      <c r="G40" s="134">
        <f t="shared" si="4"/>
        <v>5523.1207904884322</v>
      </c>
      <c r="H40" s="158">
        <f t="shared" si="6"/>
        <v>5052.8950810732213</v>
      </c>
      <c r="I40" s="151">
        <f t="shared" si="9"/>
        <v>5551.7633804998713</v>
      </c>
      <c r="J40" s="26">
        <f t="shared" si="13"/>
        <v>5317.6980830756111</v>
      </c>
      <c r="K40" s="26">
        <f t="shared" si="14"/>
        <v>5180.8252531230555</v>
      </c>
      <c r="L40" s="26"/>
      <c r="M40" s="2"/>
      <c r="N40" s="49">
        <f t="shared" si="11"/>
        <v>44561</v>
      </c>
      <c r="O40">
        <f t="shared" si="12"/>
        <v>2022</v>
      </c>
      <c r="Q40" s="18"/>
      <c r="R40" s="18"/>
      <c r="S40" s="18"/>
      <c r="T40" s="18"/>
      <c r="U40" s="18"/>
      <c r="V40" s="18"/>
      <c r="W40" s="18"/>
    </row>
    <row r="41" spans="1:30" x14ac:dyDescent="0.2">
      <c r="A41" t="str">
        <f t="shared" si="10"/>
        <v>2022 / 1</v>
      </c>
      <c r="C41" s="220">
        <f>'[1]TWIA 4 Premium Trend'!C65</f>
        <v>2725</v>
      </c>
      <c r="D41" s="220">
        <f>'[1]TWIA 4 Premium Trend'!B65</f>
        <v>15396927</v>
      </c>
      <c r="E41" s="221">
        <f>'[1]TWIA 5'!I407</f>
        <v>1.044300410003699</v>
      </c>
      <c r="F41" s="126">
        <f t="shared" si="8"/>
        <v>16079017.178897023</v>
      </c>
      <c r="G41" s="134">
        <f t="shared" si="4"/>
        <v>5900.5567628979898</v>
      </c>
      <c r="H41" s="158">
        <f t="shared" si="6"/>
        <v>5177.7064576124549</v>
      </c>
      <c r="I41" s="151">
        <f t="shared" si="9"/>
        <v>5630.043870503433</v>
      </c>
      <c r="J41" s="26">
        <f t="shared" si="13"/>
        <v>5462.8877982440436</v>
      </c>
      <c r="K41" s="26">
        <f t="shared" si="14"/>
        <v>5343.4690754135172</v>
      </c>
      <c r="L41" s="26">
        <f>GROWTH($H$41:$H$52,$O$41:$O$52,$O41,1)</f>
        <v>5329.9104300200743</v>
      </c>
      <c r="M41" s="2"/>
      <c r="N41" s="49">
        <f t="shared" si="11"/>
        <v>44651</v>
      </c>
      <c r="O41">
        <f t="shared" si="12"/>
        <v>2022.25</v>
      </c>
      <c r="Q41" s="18"/>
      <c r="R41" s="18"/>
      <c r="S41" s="18"/>
      <c r="T41" s="18"/>
      <c r="U41" s="18"/>
      <c r="V41" s="18"/>
      <c r="W41" s="18"/>
    </row>
    <row r="42" spans="1:30" x14ac:dyDescent="0.2">
      <c r="A42" t="str">
        <f t="shared" si="10"/>
        <v>2022 / 2</v>
      </c>
      <c r="C42" s="220">
        <f>'[1]TWIA 4 Premium Trend'!C66</f>
        <v>4642</v>
      </c>
      <c r="D42" s="220">
        <f>'[1]TWIA 4 Premium Trend'!B66</f>
        <v>25560832</v>
      </c>
      <c r="E42" s="221">
        <f>'[1]TWIA 5'!I408</f>
        <v>1.0317032711155398</v>
      </c>
      <c r="F42" s="126">
        <f t="shared" si="8"/>
        <v>26371193.986834764</v>
      </c>
      <c r="G42" s="134">
        <f t="shared" si="4"/>
        <v>5680.9982737687988</v>
      </c>
      <c r="H42" s="158">
        <f t="shared" si="6"/>
        <v>5376.8678182264139</v>
      </c>
      <c r="I42" s="151">
        <f t="shared" si="9"/>
        <v>5709.428124247408</v>
      </c>
      <c r="J42" s="26">
        <f t="shared" si="13"/>
        <v>5612.0416447077323</v>
      </c>
      <c r="K42" s="26">
        <f t="shared" si="14"/>
        <v>5511.2188435014159</v>
      </c>
      <c r="L42" s="26">
        <f t="shared" ref="L42:L52" si="15">GROWTH($H$41:$H$52,$O$41:$O$52,$O42,1)</f>
        <v>5499.9276722727036</v>
      </c>
      <c r="M42" s="2"/>
      <c r="N42" s="49">
        <f t="shared" si="11"/>
        <v>44742</v>
      </c>
      <c r="O42">
        <f t="shared" si="12"/>
        <v>2022.5</v>
      </c>
      <c r="Q42" s="18"/>
      <c r="R42" s="18"/>
      <c r="S42" s="18"/>
      <c r="T42" s="18"/>
      <c r="U42" s="18"/>
      <c r="V42" s="18"/>
      <c r="W42" s="18"/>
    </row>
    <row r="43" spans="1:30" x14ac:dyDescent="0.2">
      <c r="A43" t="str">
        <f>YEAR(N43)&amp;" / "&amp;MONTH(N43)/3</f>
        <v>2022 / 3</v>
      </c>
      <c r="B43" s="13"/>
      <c r="C43" s="220">
        <f>'[1]TWIA 4 Premium Trend'!C67</f>
        <v>5337</v>
      </c>
      <c r="D43" s="220">
        <f>'[1]TWIA 4 Premium Trend'!B67</f>
        <v>29199819</v>
      </c>
      <c r="E43" s="221">
        <f>'[1]TWIA 5'!I409</f>
        <v>1.015232887108092</v>
      </c>
      <c r="F43" s="126">
        <f t="shared" si="8"/>
        <v>29644616.546403721</v>
      </c>
      <c r="G43" s="134">
        <f t="shared" si="4"/>
        <v>5554.5468514902977</v>
      </c>
      <c r="H43" s="158">
        <f>IFERROR(SUM(F40:F43)/SUM(C40:C43),0)</f>
        <v>5645.092287059656</v>
      </c>
      <c r="I43" s="151">
        <f t="shared" si="9"/>
        <v>5789.9317049252222</v>
      </c>
      <c r="J43" s="26">
        <f t="shared" si="13"/>
        <v>5765.2678555941466</v>
      </c>
      <c r="K43" s="26">
        <f t="shared" si="14"/>
        <v>5684.2348504870051</v>
      </c>
      <c r="L43" s="26">
        <f t="shared" si="15"/>
        <v>5675.3682444372907</v>
      </c>
      <c r="M43" s="2"/>
      <c r="N43" s="49">
        <f t="shared" si="11"/>
        <v>44834</v>
      </c>
      <c r="O43">
        <f t="shared" si="12"/>
        <v>2022.75</v>
      </c>
      <c r="Q43" s="18"/>
      <c r="R43" s="18"/>
      <c r="S43" s="18"/>
      <c r="T43" s="18"/>
      <c r="U43" s="18"/>
      <c r="V43" s="18"/>
      <c r="W43" s="18"/>
    </row>
    <row r="44" spans="1:30" x14ac:dyDescent="0.2">
      <c r="A44" t="str">
        <f t="shared" si="10"/>
        <v>2022 / 4</v>
      </c>
      <c r="C44" s="220">
        <f>'[1]TWIA 4 Premium Trend'!C68</f>
        <v>3496</v>
      </c>
      <c r="D44" s="220">
        <f>'[1]TWIA 4 Premium Trend'!B68</f>
        <v>22787093</v>
      </c>
      <c r="E44" s="221">
        <f>'[1]TWIA 5'!I410</f>
        <v>1.0050875291673478</v>
      </c>
      <c r="F44" s="126">
        <f t="shared" si="8"/>
        <v>22903023.000276566</v>
      </c>
      <c r="G44" s="134">
        <f t="shared" si="4"/>
        <v>6551.2079520241896</v>
      </c>
      <c r="H44" s="158">
        <f t="shared" si="6"/>
        <v>5864.064858790869</v>
      </c>
      <c r="I44" s="151">
        <f t="shared" si="9"/>
        <v>5871.570395172841</v>
      </c>
      <c r="J44" s="26">
        <f t="shared" si="13"/>
        <v>5922.6776191319832</v>
      </c>
      <c r="K44" s="26">
        <f t="shared" si="14"/>
        <v>5862.6824216189771</v>
      </c>
      <c r="L44" s="26">
        <f t="shared" si="15"/>
        <v>5856.4051437166172</v>
      </c>
      <c r="M44" s="2"/>
      <c r="N44" s="49">
        <f t="shared" si="11"/>
        <v>44926</v>
      </c>
      <c r="O44">
        <f t="shared" si="12"/>
        <v>2023</v>
      </c>
      <c r="Q44" s="18"/>
      <c r="R44" s="18"/>
      <c r="S44" s="18"/>
      <c r="T44" s="18"/>
      <c r="U44" s="18"/>
      <c r="V44" s="18"/>
      <c r="W44" s="18"/>
    </row>
    <row r="45" spans="1:30" x14ac:dyDescent="0.2">
      <c r="A45" t="str">
        <f t="shared" si="10"/>
        <v>2023 / 1</v>
      </c>
      <c r="B45" s="22"/>
      <c r="C45" s="220">
        <f>'[1]TWIA 4 Premium Trend'!C69</f>
        <v>3273</v>
      </c>
      <c r="D45" s="220">
        <f>'[1]TWIA 4 Premium Trend'!B69</f>
        <v>22499113</v>
      </c>
      <c r="E45" s="221">
        <f>'[1]TWIA 5'!I411</f>
        <v>1</v>
      </c>
      <c r="F45" s="126">
        <f t="shared" si="8"/>
        <v>22499113</v>
      </c>
      <c r="G45" s="134">
        <f t="shared" si="4"/>
        <v>6874.1561258783986</v>
      </c>
      <c r="H45" s="158">
        <f t="shared" si="6"/>
        <v>6055.5258259801203</v>
      </c>
      <c r="I45" s="151">
        <f t="shared" si="9"/>
        <v>5954.3602001631762</v>
      </c>
      <c r="J45" s="26">
        <f t="shared" si="13"/>
        <v>6084.3851593347845</v>
      </c>
      <c r="K45" s="26">
        <f t="shared" si="14"/>
        <v>6046.732072270971</v>
      </c>
      <c r="L45" s="26">
        <f t="shared" si="15"/>
        <v>6043.2168857002553</v>
      </c>
      <c r="M45" s="2"/>
      <c r="N45" s="49">
        <f t="shared" si="11"/>
        <v>45016</v>
      </c>
      <c r="O45">
        <f t="shared" si="12"/>
        <v>2023.25</v>
      </c>
      <c r="Q45" s="18"/>
      <c r="R45" s="18"/>
      <c r="S45" s="18"/>
      <c r="T45" s="18"/>
      <c r="U45" s="18"/>
      <c r="V45" s="18"/>
    </row>
    <row r="46" spans="1:30" x14ac:dyDescent="0.2">
      <c r="A46" t="str">
        <f t="shared" si="10"/>
        <v>2023 / 2</v>
      </c>
      <c r="B46" s="22"/>
      <c r="C46" s="220">
        <f>'[1]TWIA 4 Premium Trend'!C70</f>
        <v>6379</v>
      </c>
      <c r="D46" s="220">
        <f>'[1]TWIA 4 Premium Trend'!B70</f>
        <v>44485048</v>
      </c>
      <c r="E46" s="221">
        <f>'[1]TWIA 5'!I412</f>
        <v>1</v>
      </c>
      <c r="F46" s="126">
        <f t="shared" si="8"/>
        <v>44485048</v>
      </c>
      <c r="G46" s="134">
        <f t="shared" si="4"/>
        <v>6973.6711083241889</v>
      </c>
      <c r="H46" s="158">
        <f t="shared" si="6"/>
        <v>6466.4214523494884</v>
      </c>
      <c r="I46" s="151">
        <f t="shared" si="9"/>
        <v>6038.3173507441343</v>
      </c>
      <c r="J46" s="26">
        <f t="shared" si="13"/>
        <v>6250.5078188873149</v>
      </c>
      <c r="K46" s="26">
        <f t="shared" si="14"/>
        <v>6236.5596708773355</v>
      </c>
      <c r="L46" s="26">
        <f t="shared" si="15"/>
        <v>6235.9876803939678</v>
      </c>
      <c r="M46" s="2"/>
      <c r="N46" s="49">
        <f t="shared" si="11"/>
        <v>45107</v>
      </c>
      <c r="O46">
        <f t="shared" si="12"/>
        <v>2023.5</v>
      </c>
      <c r="Q46" s="18"/>
      <c r="R46" s="18"/>
      <c r="S46" s="18"/>
      <c r="T46" s="18"/>
      <c r="U46" s="18"/>
      <c r="V46" s="18"/>
      <c r="W46" s="49"/>
      <c r="Y46" s="18"/>
      <c r="Z46" s="18"/>
      <c r="AC46" s="18"/>
      <c r="AD46" s="18"/>
    </row>
    <row r="47" spans="1:30" x14ac:dyDescent="0.2">
      <c r="A47" t="str">
        <f t="shared" si="10"/>
        <v>2023 / 3</v>
      </c>
      <c r="B47" s="22"/>
      <c r="C47" s="220">
        <f>'[1]TWIA 4 Premium Trend'!C71</f>
        <v>6029</v>
      </c>
      <c r="D47" s="220">
        <f>'[1]TWIA 4 Premium Trend'!B71</f>
        <v>38901087</v>
      </c>
      <c r="E47" s="221">
        <f>'[1]TWIA 5'!I413</f>
        <v>1</v>
      </c>
      <c r="F47" s="126">
        <f t="shared" si="8"/>
        <v>38901087</v>
      </c>
      <c r="G47" s="134">
        <f t="shared" si="4"/>
        <v>6452.3282468070993</v>
      </c>
      <c r="H47" s="158">
        <f t="shared" si="6"/>
        <v>6715.7673776021575</v>
      </c>
      <c r="I47" s="151">
        <f t="shared" si="9"/>
        <v>6123.4583066201585</v>
      </c>
      <c r="J47" s="26">
        <f t="shared" si="13"/>
        <v>6421.1661442951827</v>
      </c>
      <c r="K47" s="26">
        <f t="shared" si="14"/>
        <v>6432.3466069841998</v>
      </c>
      <c r="L47" s="26">
        <f t="shared" si="15"/>
        <v>6434.9076138642113</v>
      </c>
      <c r="M47" s="2"/>
      <c r="N47" s="49">
        <f t="shared" si="11"/>
        <v>45199</v>
      </c>
      <c r="O47">
        <f t="shared" si="12"/>
        <v>2023.75</v>
      </c>
      <c r="Q47" s="18"/>
      <c r="R47" s="18"/>
      <c r="S47" s="18"/>
      <c r="T47" s="18"/>
      <c r="U47" s="18"/>
      <c r="V47" s="18"/>
      <c r="W47" s="49"/>
      <c r="Y47" s="18"/>
      <c r="Z47" s="18"/>
      <c r="AC47" s="18"/>
      <c r="AD47" s="18"/>
    </row>
    <row r="48" spans="1:30" x14ac:dyDescent="0.2">
      <c r="A48" t="str">
        <f t="shared" si="10"/>
        <v>2023 / 4</v>
      </c>
      <c r="C48" s="220">
        <f>'[1]TWIA 4 Premium Trend'!C72</f>
        <v>4278</v>
      </c>
      <c r="D48" s="220">
        <f>'[1]TWIA 4 Premium Trend'!B72</f>
        <v>30360734</v>
      </c>
      <c r="E48" s="221">
        <f>'[1]TWIA 5'!I414</f>
        <v>1</v>
      </c>
      <c r="F48" s="126">
        <f t="shared" si="8"/>
        <v>30360734</v>
      </c>
      <c r="G48" s="134">
        <f t="shared" si="4"/>
        <v>7096.945769050958</v>
      </c>
      <c r="H48" s="158">
        <f t="shared" si="6"/>
        <v>6826.2930006513352</v>
      </c>
      <c r="I48" s="151">
        <f t="shared" si="9"/>
        <v>6209.7997595793722</v>
      </c>
      <c r="J48" s="26">
        <f t="shared" si="13"/>
        <v>6596.4839733583922</v>
      </c>
      <c r="K48" s="26">
        <f t="shared" si="14"/>
        <v>6634.279964575323</v>
      </c>
      <c r="L48" s="26">
        <f t="shared" si="15"/>
        <v>6640.1728356768626</v>
      </c>
      <c r="M48" s="2"/>
      <c r="N48" s="49">
        <f>DATE(YEAR(N49+1),MONTH(N49+1)-3,1)-1</f>
        <v>45291</v>
      </c>
      <c r="O48">
        <f>YEAR(N48)+MONTH(N48)/12</f>
        <v>2024</v>
      </c>
      <c r="Q48" s="18"/>
      <c r="R48" s="18"/>
      <c r="S48" s="18"/>
      <c r="T48" s="18"/>
      <c r="U48" s="18"/>
      <c r="V48" s="18"/>
      <c r="W48" s="49"/>
      <c r="Y48" s="18"/>
      <c r="Z48" s="18"/>
      <c r="AC48" s="18"/>
      <c r="AD48" s="18"/>
    </row>
    <row r="49" spans="1:30" x14ac:dyDescent="0.2">
      <c r="A49" t="str">
        <f t="shared" si="10"/>
        <v>2024 / 1</v>
      </c>
      <c r="B49" s="22"/>
      <c r="C49" s="220">
        <f>'[1]TWIA 4 Premium Trend'!C73</f>
        <v>3555</v>
      </c>
      <c r="D49" s="220">
        <f>'[1]TWIA 4 Premium Trend'!B73</f>
        <v>27201729</v>
      </c>
      <c r="E49" s="221">
        <f>'[1]TWIA 5'!I415</f>
        <v>1</v>
      </c>
      <c r="F49" s="126">
        <f>D49*E49</f>
        <v>27201729</v>
      </c>
      <c r="G49" s="134">
        <f t="shared" si="4"/>
        <v>7651.6818565400845</v>
      </c>
      <c r="H49" s="158">
        <f t="shared" si="6"/>
        <v>6963.5194901437681</v>
      </c>
      <c r="I49" s="151">
        <f t="shared" si="9"/>
        <v>6297.3586367662638</v>
      </c>
      <c r="J49" s="26">
        <f t="shared" si="13"/>
        <v>6776.588525035022</v>
      </c>
      <c r="K49" s="26">
        <f t="shared" si="14"/>
        <v>6842.5527008410563</v>
      </c>
      <c r="L49" s="26">
        <f t="shared" si="15"/>
        <v>6851.9857523150031</v>
      </c>
      <c r="M49" s="2"/>
      <c r="N49" s="49">
        <f>DATE(YEAR(N50+1),MONTH(N50+1)-3,1)-1</f>
        <v>45382</v>
      </c>
      <c r="O49">
        <f>YEAR(N49)+MONTH(N49)/12</f>
        <v>2024.25</v>
      </c>
      <c r="Q49" s="18"/>
      <c r="R49" s="18"/>
      <c r="S49" s="18"/>
      <c r="T49" s="18"/>
      <c r="U49" s="18"/>
      <c r="V49" s="18"/>
      <c r="W49" s="49"/>
      <c r="Y49" s="18"/>
      <c r="Z49" s="18"/>
      <c r="AC49" s="18"/>
      <c r="AD49" s="18"/>
    </row>
    <row r="50" spans="1:30" x14ac:dyDescent="0.2">
      <c r="A50" t="str">
        <f t="shared" si="10"/>
        <v>2024 / 2</v>
      </c>
      <c r="B50" s="22"/>
      <c r="C50" s="220">
        <f>'[1]TWIA 4 Premium Trend'!C74</f>
        <v>6073</v>
      </c>
      <c r="D50" s="220">
        <f>'[1]TWIA 4 Premium Trend'!B74</f>
        <v>44703204</v>
      </c>
      <c r="E50" s="221">
        <f>'[1]TWIA 5'!I416</f>
        <v>1</v>
      </c>
      <c r="F50" s="126">
        <f t="shared" si="8"/>
        <v>44703204</v>
      </c>
      <c r="G50" s="134">
        <f t="shared" si="4"/>
        <v>7360.9754651737194</v>
      </c>
      <c r="H50" s="158">
        <f t="shared" si="6"/>
        <v>7081.3520943064959</v>
      </c>
      <c r="I50" s="151">
        <f t="shared" si="9"/>
        <v>6386.1521039997042</v>
      </c>
      <c r="J50" s="26">
        <f t="shared" si="13"/>
        <v>6961.6104917566445</v>
      </c>
      <c r="K50" s="26">
        <f t="shared" si="14"/>
        <v>7057.3638305576615</v>
      </c>
      <c r="L50" s="26">
        <f t="shared" si="15"/>
        <v>7070.5552267664752</v>
      </c>
      <c r="M50" s="2"/>
      <c r="N50" s="49">
        <f>DATE(YEAR(N51+1),MONTH(N51+1)-3,1)-1</f>
        <v>45473</v>
      </c>
      <c r="O50">
        <f>YEAR(N50)+MONTH(N50)/12</f>
        <v>2024.5</v>
      </c>
      <c r="Q50" s="18"/>
      <c r="R50" s="18"/>
      <c r="S50" s="18"/>
      <c r="T50" s="18"/>
      <c r="U50" s="18"/>
      <c r="V50" s="18"/>
      <c r="W50" s="49"/>
      <c r="Y50" s="18"/>
      <c r="Z50" s="18"/>
      <c r="AC50" s="18"/>
      <c r="AD50" s="18"/>
    </row>
    <row r="51" spans="1:30" x14ac:dyDescent="0.2">
      <c r="A51" t="str">
        <f t="shared" si="10"/>
        <v>2024 / 3</v>
      </c>
      <c r="B51" s="22"/>
      <c r="C51" s="220">
        <f>'[1]TWIA 4 Premium Trend'!C75</f>
        <v>5734</v>
      </c>
      <c r="D51" s="220">
        <f>'[1]TWIA 4 Premium Trend'!B75</f>
        <v>37497228</v>
      </c>
      <c r="E51" s="221">
        <f>'[1]TWIA 5'!I417</f>
        <v>1</v>
      </c>
      <c r="F51" s="126">
        <f t="shared" si="8"/>
        <v>37497228</v>
      </c>
      <c r="G51" s="134">
        <f t="shared" si="4"/>
        <v>6539.4537844436691</v>
      </c>
      <c r="H51" s="158">
        <f t="shared" si="6"/>
        <v>7116.2370162932793</v>
      </c>
      <c r="I51" s="151">
        <f t="shared" si="9"/>
        <v>6476.1975691386306</v>
      </c>
      <c r="J51" s="26">
        <f t="shared" si="13"/>
        <v>7151.6841342651433</v>
      </c>
      <c r="K51" s="26">
        <f t="shared" si="14"/>
        <v>7278.9186162558181</v>
      </c>
      <c r="L51" s="26">
        <f t="shared" si="15"/>
        <v>7296.0967844780216</v>
      </c>
      <c r="M51" s="2"/>
      <c r="N51" s="49">
        <f>DATE(YEAR(N52+1),MONTH(N52+1)-3,1)-1</f>
        <v>45565</v>
      </c>
      <c r="O51">
        <f>YEAR(N51)+MONTH(N51)/12</f>
        <v>2024.75</v>
      </c>
      <c r="Q51" s="18"/>
      <c r="R51" s="18"/>
      <c r="S51" s="18"/>
      <c r="T51" s="18"/>
      <c r="U51" s="18"/>
      <c r="V51" s="18"/>
      <c r="W51" s="49"/>
      <c r="Y51" s="18"/>
      <c r="Z51" s="18"/>
      <c r="AC51" s="18"/>
      <c r="AD51" s="18"/>
    </row>
    <row r="52" spans="1:30" x14ac:dyDescent="0.2">
      <c r="A52" t="str">
        <f t="shared" si="10"/>
        <v>2024 / 4</v>
      </c>
      <c r="B52" s="22"/>
      <c r="C52" s="220">
        <f>'[1]TWIA 4 Premium Trend'!C76</f>
        <v>3996</v>
      </c>
      <c r="D52" s="220">
        <f>'[1]TWIA 4 Premium Trend'!B76</f>
        <v>29822911</v>
      </c>
      <c r="E52" s="221">
        <f>'[1]TWIA 5'!I418</f>
        <v>1</v>
      </c>
      <c r="F52" s="126">
        <f>D52*E52</f>
        <v>29822911</v>
      </c>
      <c r="G52" s="134">
        <f t="shared" si="4"/>
        <v>7463.1909409409409</v>
      </c>
      <c r="H52" s="158">
        <f>IFERROR(SUM(F49:F52)/SUM(C49:C52),0)</f>
        <v>7192.120673623308</v>
      </c>
      <c r="I52" s="151">
        <f t="shared" si="9"/>
        <v>6567.5126854946675</v>
      </c>
      <c r="J52" s="26">
        <f t="shared" si="13"/>
        <v>7346.9473790386955</v>
      </c>
      <c r="K52" s="26">
        <f t="shared" si="14"/>
        <v>7507.4287643590169</v>
      </c>
      <c r="L52" s="26">
        <f t="shared" si="15"/>
        <v>7528.8328258791062</v>
      </c>
      <c r="M52" s="2"/>
      <c r="N52" s="64">
        <v>45657</v>
      </c>
      <c r="O52">
        <f>YEAR(N52)+MONTH(N52)/12</f>
        <v>2025</v>
      </c>
      <c r="Q52" s="18"/>
      <c r="R52" s="18"/>
      <c r="S52" s="18"/>
      <c r="T52" s="18"/>
      <c r="U52" s="18"/>
      <c r="V52" s="18"/>
      <c r="W52" s="49"/>
      <c r="Y52" s="18"/>
      <c r="Z52" s="18"/>
      <c r="AC52" s="18"/>
      <c r="AD52" s="18"/>
    </row>
    <row r="53" spans="1:30" x14ac:dyDescent="0.2">
      <c r="A53" s="9"/>
      <c r="B53" s="23"/>
      <c r="C53" s="145"/>
      <c r="D53" s="58"/>
      <c r="E53" s="33"/>
      <c r="F53" s="58"/>
      <c r="G53" s="152"/>
      <c r="H53" s="95"/>
      <c r="I53" s="97"/>
      <c r="J53" s="97"/>
      <c r="K53" s="97"/>
      <c r="L53" s="97"/>
      <c r="M53" s="2"/>
    </row>
    <row r="54" spans="1:30" x14ac:dyDescent="0.2">
      <c r="B54" s="22"/>
      <c r="C54" s="144"/>
      <c r="D54" s="29"/>
      <c r="E54" s="29"/>
      <c r="F54" s="29"/>
      <c r="G54" s="128"/>
      <c r="H54" s="29"/>
      <c r="I54" s="29"/>
      <c r="J54" s="29"/>
      <c r="K54" s="29"/>
      <c r="L54" s="29"/>
      <c r="M54" s="2"/>
    </row>
    <row r="55" spans="1:30" x14ac:dyDescent="0.2">
      <c r="A55" s="69" t="s">
        <v>272</v>
      </c>
      <c r="B55" t="s">
        <v>292</v>
      </c>
      <c r="H55" s="41"/>
      <c r="I55" s="203">
        <f>LOGEST($I$17:$I$52,$O$17:$O$52,1,1)-1</f>
        <v>5.7604583040453239E-2</v>
      </c>
      <c r="J55" s="41">
        <f>LOGEST($J$33:$J$52,$O$33:$O$52,1,1)-1</f>
        <v>0.11376718395911678</v>
      </c>
      <c r="K55" s="41">
        <f>LOGEST($K$37:$K$52,$O$37:$O$52,1,1)-1</f>
        <v>0.13161169025819408</v>
      </c>
      <c r="L55" s="41">
        <f>LOGEST($L$41:$L$52,$O$41:$O$52,1,1)-1</f>
        <v>0.13383085232775538</v>
      </c>
      <c r="M55" s="2"/>
      <c r="Q55" s="203"/>
      <c r="R55" s="41"/>
      <c r="S55" s="41"/>
      <c r="T55" s="41"/>
    </row>
    <row r="56" spans="1:30" x14ac:dyDescent="0.2">
      <c r="A56" s="69" t="s">
        <v>234</v>
      </c>
      <c r="B56" t="s">
        <v>293</v>
      </c>
      <c r="I56" s="203">
        <f>INDEX(LOGEST($H$16:$H$52,$O$16:$O$52,1,1),3,1)</f>
        <v>0.76992421038150982</v>
      </c>
      <c r="J56" s="41">
        <f>INDEX(LOGEST($H$33:$H$52,$O$33:$O$52,1,1),3,1)</f>
        <v>0.95764573748269999</v>
      </c>
      <c r="K56" s="41">
        <f>INDEX(LOGEST($H$37:$H$52,$O$37:$O$52,1,1),3,1)</f>
        <v>0.9708020846958394</v>
      </c>
      <c r="L56" s="41">
        <f>INDEX(LOGEST($H$41:$H$52,$O$41:$O$52,1,1),3,1)</f>
        <v>0.94458764457829025</v>
      </c>
      <c r="M56" s="2"/>
    </row>
    <row r="57" spans="1:30" x14ac:dyDescent="0.2">
      <c r="M57" s="2"/>
      <c r="N57" t="s">
        <v>445</v>
      </c>
    </row>
    <row r="58" spans="1:30" x14ac:dyDescent="0.2">
      <c r="A58" s="69" t="s">
        <v>294</v>
      </c>
      <c r="B58" s="12" t="s">
        <v>227</v>
      </c>
      <c r="L58" s="44">
        <v>0.125</v>
      </c>
      <c r="M58" s="2"/>
      <c r="N58" s="19">
        <f>AVERAGE(J55:L55)</f>
        <v>0.12640324218168875</v>
      </c>
    </row>
    <row r="59" spans="1:30" ht="12" thickBot="1" x14ac:dyDescent="0.25">
      <c r="A59" s="6"/>
      <c r="B59" s="6"/>
      <c r="C59" s="142"/>
      <c r="D59" s="6"/>
      <c r="E59" s="6"/>
      <c r="F59" s="6"/>
      <c r="G59" s="142"/>
      <c r="H59" s="6"/>
      <c r="I59" s="6"/>
      <c r="J59" s="6"/>
      <c r="K59" s="6"/>
      <c r="L59" s="6"/>
      <c r="M59" s="2"/>
    </row>
    <row r="60" spans="1:30" ht="12" thickTop="1" x14ac:dyDescent="0.2">
      <c r="M60" s="2"/>
    </row>
    <row r="61" spans="1:30" x14ac:dyDescent="0.2">
      <c r="A61" s="22" t="s">
        <v>17</v>
      </c>
      <c r="B61" s="22"/>
      <c r="C61" s="123" t="str">
        <f>C12&amp;" Provided by TWIA. Exposures written on inception"</f>
        <v>(2) Provided by TWIA. Exposures written on inception</v>
      </c>
      <c r="D61" s="22"/>
      <c r="E61" s="96"/>
      <c r="I61" s="19"/>
      <c r="J61" s="19"/>
      <c r="K61" s="19"/>
      <c r="L61" s="19"/>
      <c r="M61" s="2"/>
    </row>
    <row r="62" spans="1:30" x14ac:dyDescent="0.2">
      <c r="A62" s="22"/>
      <c r="B62" s="22"/>
      <c r="C62" s="123" t="str">
        <f>D12&amp;" Provided by TWIA. Premium written on inception"</f>
        <v>(3) Provided by TWIA. Premium written on inception</v>
      </c>
      <c r="D62" s="22"/>
      <c r="E62" s="96"/>
      <c r="I62" s="19"/>
      <c r="J62" s="19"/>
      <c r="K62" s="19"/>
      <c r="L62" s="19"/>
      <c r="M62" s="2"/>
    </row>
    <row r="63" spans="1:30" x14ac:dyDescent="0.2">
      <c r="A63" s="22"/>
      <c r="B63" s="22"/>
      <c r="C63" s="123" t="str">
        <f>E12&amp;" Factors to bring written premium to current rate level"</f>
        <v>(4) Factors to bring written premium to current rate level</v>
      </c>
      <c r="D63" s="147"/>
      <c r="M63" s="2"/>
    </row>
    <row r="64" spans="1:30" x14ac:dyDescent="0.2">
      <c r="A64" s="148"/>
      <c r="B64" s="22"/>
      <c r="C64" s="123" t="str">
        <f>F12&amp;" = "&amp;D12&amp;" * "&amp;E12</f>
        <v>(5) = (3) * (4)</v>
      </c>
      <c r="D64" s="22"/>
      <c r="M64" s="2"/>
    </row>
    <row r="65" spans="1:13" x14ac:dyDescent="0.2">
      <c r="A65" s="22"/>
      <c r="B65" s="22"/>
      <c r="C65" s="148" t="s">
        <v>484</v>
      </c>
      <c r="D65" s="22"/>
      <c r="M65" s="2"/>
    </row>
    <row r="66" spans="1:13" x14ac:dyDescent="0.2">
      <c r="A66" s="22"/>
      <c r="B66" s="22"/>
      <c r="C66" s="40" t="s">
        <v>483</v>
      </c>
      <c r="D66" s="22"/>
      <c r="M66" s="2"/>
    </row>
    <row r="67" spans="1:13" x14ac:dyDescent="0.2">
      <c r="A67" s="22"/>
      <c r="B67" s="22"/>
      <c r="C67" s="123" t="str">
        <f>I12&amp;" - "&amp;L12&amp;" = "&amp;H12&amp;" Fitted to an exponential distribution"</f>
        <v>(8) - (11) = (7) Fitted to an exponential distribution</v>
      </c>
      <c r="D67" s="149"/>
      <c r="E67" s="29"/>
      <c r="M67" s="2"/>
    </row>
    <row r="68" spans="1:13" x14ac:dyDescent="0.2">
      <c r="A68" s="22"/>
      <c r="B68" s="22"/>
      <c r="C68" s="22" t="str">
        <f>A55&amp;" Fitted average annual change"</f>
        <v>(14) Fitted average annual change</v>
      </c>
      <c r="D68" s="22"/>
      <c r="F68" s="29"/>
      <c r="G68" s="128"/>
      <c r="H68" s="29"/>
      <c r="I68" s="29"/>
      <c r="J68" s="29"/>
      <c r="K68" s="29"/>
      <c r="L68" s="29"/>
      <c r="M68" s="2"/>
    </row>
    <row r="69" spans="1:13" x14ac:dyDescent="0.2">
      <c r="A69" s="22"/>
      <c r="B69" s="22"/>
      <c r="C69" s="22" t="str">
        <f>A56&amp;" Evaluates the predictability of the fitted curve"</f>
        <v>(15) Evaluates the predictability of the fitted curve</v>
      </c>
      <c r="D69" s="22"/>
      <c r="F69" s="29"/>
      <c r="G69" s="128"/>
      <c r="H69" s="29"/>
      <c r="I69" s="29"/>
      <c r="J69" s="29"/>
      <c r="K69" s="29"/>
      <c r="L69" s="29"/>
      <c r="M69" s="2"/>
    </row>
    <row r="70" spans="1:13" x14ac:dyDescent="0.2">
      <c r="A70" s="22"/>
      <c r="B70" s="22"/>
      <c r="C70" s="22" t="str">
        <f>A58&amp;" Selected based on judgment, with weight given to 3-year, 4-year, and 5-year exponential fitted trends"</f>
        <v>(16) Selected based on judgment, with weight given to 3-year, 4-year, and 5-year exponential fitted trends</v>
      </c>
      <c r="D70" s="150"/>
      <c r="G70" s="134"/>
      <c r="H70" s="18"/>
      <c r="I70" s="18"/>
      <c r="J70" s="18"/>
      <c r="K70" s="18"/>
      <c r="L70" s="18"/>
      <c r="M70" s="2"/>
    </row>
    <row r="71" spans="1:13" ht="12" thickBot="1" x14ac:dyDescent="0.25">
      <c r="A71" s="22"/>
      <c r="B71" s="22"/>
      <c r="G71" s="134"/>
      <c r="H71" s="18"/>
      <c r="I71" s="18"/>
      <c r="J71" s="18"/>
      <c r="K71" s="18"/>
      <c r="L71" s="18"/>
      <c r="M71" s="2"/>
    </row>
    <row r="72" spans="1:13" ht="12" hidden="1" thickBot="1" x14ac:dyDescent="0.25">
      <c r="A72" s="22"/>
      <c r="B72" s="22"/>
      <c r="F72" s="18"/>
      <c r="G72" s="134"/>
      <c r="H72" s="18"/>
      <c r="I72" s="18"/>
      <c r="J72" s="18"/>
      <c r="K72" s="18"/>
      <c r="L72" s="18"/>
      <c r="M72" s="2"/>
    </row>
    <row r="73" spans="1:13" ht="12" thickBot="1" x14ac:dyDescent="0.25">
      <c r="A73" s="4"/>
      <c r="B73" s="5"/>
      <c r="C73" s="146"/>
      <c r="D73" s="5"/>
      <c r="E73" s="5"/>
      <c r="F73" s="5"/>
      <c r="G73" s="146"/>
      <c r="H73" s="5"/>
      <c r="I73" s="5"/>
      <c r="J73" s="5"/>
      <c r="K73" s="5"/>
      <c r="L73" s="5"/>
      <c r="M73" s="3"/>
    </row>
    <row r="76" spans="1:13" x14ac:dyDescent="0.2">
      <c r="A76" t="s">
        <v>359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rgb="FF00B050"/>
  </sheetPr>
  <dimension ref="A1:S69"/>
  <sheetViews>
    <sheetView showGridLines="0" zoomScaleNormal="100" workbookViewId="0"/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9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42</v>
      </c>
      <c r="M1" s="1"/>
      <c r="P1"/>
      <c r="Q1"/>
      <c r="R1"/>
      <c r="S1"/>
    </row>
    <row r="2" spans="1:19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459</v>
      </c>
      <c r="M2" s="2"/>
      <c r="P2"/>
      <c r="Q2"/>
      <c r="R2"/>
      <c r="S2"/>
    </row>
    <row r="3" spans="1:19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9" x14ac:dyDescent="0.2">
      <c r="A4" s="70" t="s">
        <v>235</v>
      </c>
      <c r="C4"/>
      <c r="D4"/>
      <c r="E4"/>
      <c r="F4"/>
      <c r="G4"/>
      <c r="H4"/>
      <c r="I4"/>
      <c r="J4"/>
      <c r="K4"/>
      <c r="L4"/>
      <c r="M4" s="2"/>
    </row>
    <row r="5" spans="1:19" x14ac:dyDescent="0.2">
      <c r="A5" s="70" t="s">
        <v>236</v>
      </c>
      <c r="C5"/>
      <c r="D5"/>
      <c r="E5"/>
      <c r="F5"/>
      <c r="G5"/>
      <c r="H5"/>
      <c r="I5"/>
      <c r="J5"/>
      <c r="K5"/>
      <c r="L5"/>
      <c r="M5" s="2"/>
    </row>
    <row r="6" spans="1:19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/>
      <c r="J7"/>
      <c r="K7"/>
      <c r="L7"/>
      <c r="M7" s="2"/>
    </row>
    <row r="8" spans="1:19" ht="12" thickTop="1" x14ac:dyDescent="0.2">
      <c r="A8" t="s">
        <v>37</v>
      </c>
      <c r="B8"/>
      <c r="C8"/>
      <c r="D8"/>
      <c r="E8"/>
      <c r="F8"/>
      <c r="G8"/>
      <c r="H8"/>
      <c r="I8"/>
      <c r="J8"/>
      <c r="K8"/>
      <c r="L8"/>
      <c r="M8" s="2"/>
      <c r="N8" t="s">
        <v>209</v>
      </c>
    </row>
    <row r="9" spans="1:19" x14ac:dyDescent="0.2">
      <c r="A9" t="s">
        <v>38</v>
      </c>
      <c r="B9"/>
      <c r="C9" s="10" t="s">
        <v>157</v>
      </c>
      <c r="D9"/>
      <c r="E9" s="10" t="s">
        <v>158</v>
      </c>
      <c r="F9"/>
      <c r="G9"/>
      <c r="H9"/>
      <c r="I9"/>
      <c r="J9"/>
      <c r="K9"/>
      <c r="L9"/>
      <c r="M9" s="2"/>
      <c r="N9" s="61">
        <v>45657</v>
      </c>
      <c r="O9" t="s">
        <v>240</v>
      </c>
    </row>
    <row r="10" spans="1:19" x14ac:dyDescent="0.2">
      <c r="A10" t="s">
        <v>25</v>
      </c>
      <c r="B10"/>
      <c r="C10" s="11" t="s">
        <v>237</v>
      </c>
      <c r="D10" s="11" t="s">
        <v>238</v>
      </c>
      <c r="E10" s="11" t="s">
        <v>237</v>
      </c>
      <c r="F10" s="11" t="s">
        <v>238</v>
      </c>
      <c r="G10" s="11" t="s">
        <v>239</v>
      </c>
      <c r="H10" s="11" t="s">
        <v>83</v>
      </c>
      <c r="I10"/>
      <c r="J10"/>
      <c r="K10"/>
      <c r="L10"/>
      <c r="M10" s="2"/>
      <c r="O10" s="10" t="s">
        <v>157</v>
      </c>
      <c r="Q10" s="10" t="s">
        <v>158</v>
      </c>
      <c r="S10"/>
    </row>
    <row r="11" spans="1:19" x14ac:dyDescent="0.2">
      <c r="A11" s="9" t="str">
        <f>TEXT($N$9,"m/d/xx")</f>
        <v>12/31/xx</v>
      </c>
      <c r="B11" s="9"/>
      <c r="C11" s="143" t="s">
        <v>241</v>
      </c>
      <c r="D11" s="143" t="s">
        <v>241</v>
      </c>
      <c r="E11" s="143" t="s">
        <v>241</v>
      </c>
      <c r="F11" s="143" t="s">
        <v>241</v>
      </c>
      <c r="G11" s="143" t="s">
        <v>242</v>
      </c>
      <c r="H11" s="143" t="s">
        <v>43</v>
      </c>
      <c r="I11"/>
      <c r="J11"/>
      <c r="K11"/>
      <c r="L11"/>
      <c r="M11" s="2"/>
      <c r="N11" s="9"/>
      <c r="O11" s="143" t="s">
        <v>237</v>
      </c>
      <c r="P11" s="143" t="s">
        <v>238</v>
      </c>
      <c r="Q11" s="143" t="s">
        <v>237</v>
      </c>
      <c r="R11" s="143" t="s">
        <v>238</v>
      </c>
      <c r="S11" s="143" t="s">
        <v>243</v>
      </c>
    </row>
    <row r="12" spans="1:19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J12"/>
      <c r="K12"/>
      <c r="L12"/>
      <c r="M12" s="2"/>
    </row>
    <row r="13" spans="1:19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9" x14ac:dyDescent="0.2">
      <c r="A14" t="str">
        <f t="shared" ref="A14:A22" si="1">TEXT(A15-1,"#")</f>
        <v>2015</v>
      </c>
      <c r="B14" s="22"/>
      <c r="C14" s="29">
        <f>ROUND('3.2b'!$C$53/'3.2b'!$C$17,3)</f>
        <v>1.496</v>
      </c>
      <c r="D14" s="29">
        <f>ROUND('3.2c'!$C$53/'3.2c'!$C$17,3)</f>
        <v>1.5</v>
      </c>
      <c r="E14" s="223">
        <f>'[2]3.3a'!C14</f>
        <v>1.4239999999999999</v>
      </c>
      <c r="F14" s="223">
        <f>'[2]3.3a'!D14</f>
        <v>1.44</v>
      </c>
      <c r="G14" s="29">
        <f>ROUND('3.2d'!$C$55/'3.2d'!$C$19,3)</f>
        <v>1.206</v>
      </c>
      <c r="H14" s="29">
        <f>ROUND(SUMPRODUCT(C14:G14,$O14:$S14)/SUMIF(C14:G14,"&gt;0",$O14:$S14),3)</f>
        <v>1.4990000000000001</v>
      </c>
      <c r="I14" s="29"/>
      <c r="J14"/>
      <c r="K14" s="29"/>
      <c r="M14" s="2"/>
      <c r="N14" s="133"/>
      <c r="O14" s="78">
        <v>0.25</v>
      </c>
      <c r="P14" s="78">
        <v>0.75</v>
      </c>
      <c r="Q14" s="78">
        <v>0</v>
      </c>
      <c r="R14" s="78">
        <v>0</v>
      </c>
      <c r="S14" s="78">
        <v>0</v>
      </c>
    </row>
    <row r="15" spans="1:19" x14ac:dyDescent="0.2">
      <c r="A15" t="str">
        <f t="shared" si="1"/>
        <v>2016</v>
      </c>
      <c r="B15" s="22"/>
      <c r="C15" s="29">
        <f>ROUND('3.2b'!$C$53/'3.2b'!$C$21,3)</f>
        <v>1.5049999999999999</v>
      </c>
      <c r="D15" s="29">
        <f>ROUND('3.2c'!$C$53/'3.2c'!$C$21,3)</f>
        <v>1.508</v>
      </c>
      <c r="E15" s="223">
        <f>'[2]3.3a'!C15</f>
        <v>1.4330000000000001</v>
      </c>
      <c r="F15" s="223">
        <f>'[2]3.3a'!D15</f>
        <v>1.45</v>
      </c>
      <c r="G15" s="29">
        <f>ROUND('3.2d'!$C$55/'3.2d'!$C$23,3)</f>
        <v>1.1870000000000001</v>
      </c>
      <c r="H15" s="29">
        <f t="shared" ref="H15:H23" si="2">ROUND(SUMPRODUCT(C15:G15,$O15:$S15)/SUMIF(C15:G15,"&gt;0",$O15:$S15),3)</f>
        <v>1.5069999999999999</v>
      </c>
      <c r="I15" s="29"/>
      <c r="J15"/>
      <c r="K15" s="29"/>
      <c r="L15"/>
      <c r="M15" s="2"/>
      <c r="N15" s="133"/>
      <c r="O15" s="78">
        <v>0.25</v>
      </c>
      <c r="P15" s="78">
        <v>0.75</v>
      </c>
      <c r="Q15" s="78">
        <v>0</v>
      </c>
      <c r="R15" s="78">
        <v>0</v>
      </c>
      <c r="S15" s="78">
        <v>0</v>
      </c>
    </row>
    <row r="16" spans="1:19" x14ac:dyDescent="0.2">
      <c r="A16" t="str">
        <f t="shared" si="1"/>
        <v>2017</v>
      </c>
      <c r="B16" s="22"/>
      <c r="C16" s="29">
        <f>ROUND('3.2b'!$C$53/'3.2b'!$C$25,3)</f>
        <v>1.4690000000000001</v>
      </c>
      <c r="D16" s="29">
        <f>ROUND('3.2c'!$C$53/'3.2c'!$C$25,3)</f>
        <v>1.4750000000000001</v>
      </c>
      <c r="E16" s="223">
        <f>'[2]3.3a'!C16</f>
        <v>1.417</v>
      </c>
      <c r="F16" s="223">
        <f>'[2]3.3a'!D16</f>
        <v>1.4330000000000001</v>
      </c>
      <c r="G16" s="29">
        <f>ROUND('3.2d'!$C$55/'3.2d'!$C$27,3)</f>
        <v>1.1830000000000001</v>
      </c>
      <c r="H16" s="29">
        <f t="shared" si="2"/>
        <v>1.474</v>
      </c>
      <c r="I16" s="29"/>
      <c r="J16"/>
      <c r="K16" s="29"/>
      <c r="L16"/>
      <c r="M16" s="2"/>
      <c r="N16" s="133"/>
      <c r="O16" s="78">
        <v>0.25</v>
      </c>
      <c r="P16" s="78">
        <v>0.75</v>
      </c>
      <c r="Q16" s="78">
        <v>0</v>
      </c>
      <c r="R16" s="78">
        <v>0</v>
      </c>
      <c r="S16" s="78">
        <v>0</v>
      </c>
    </row>
    <row r="17" spans="1:19" x14ac:dyDescent="0.2">
      <c r="A17" t="str">
        <f t="shared" si="1"/>
        <v>2018</v>
      </c>
      <c r="B17" s="22"/>
      <c r="C17" s="29">
        <f>ROUND('3.2b'!$C$53/'3.2b'!$C$29,3)</f>
        <v>1.41</v>
      </c>
      <c r="D17" s="29">
        <f>ROUND('3.2c'!$C$53/'3.2c'!$C$29,3)</f>
        <v>1.413</v>
      </c>
      <c r="E17" s="223">
        <f>'[2]3.3a'!C17</f>
        <v>1.3660000000000001</v>
      </c>
      <c r="F17" s="223">
        <f>'[2]3.3a'!D17</f>
        <v>1.379</v>
      </c>
      <c r="G17" s="29">
        <f>ROUND('3.2d'!$C$55/'3.2d'!$C$31,3)</f>
        <v>1.171</v>
      </c>
      <c r="H17" s="29">
        <f t="shared" si="2"/>
        <v>1.4119999999999999</v>
      </c>
      <c r="I17" s="29"/>
      <c r="J17"/>
      <c r="K17" s="29"/>
      <c r="L17"/>
      <c r="M17" s="2"/>
      <c r="N17" s="133"/>
      <c r="O17" s="78">
        <v>0.25</v>
      </c>
      <c r="P17" s="78">
        <v>0.75</v>
      </c>
      <c r="Q17" s="78">
        <v>0</v>
      </c>
      <c r="R17" s="78">
        <v>0</v>
      </c>
      <c r="S17" s="78">
        <v>0</v>
      </c>
    </row>
    <row r="18" spans="1:19" x14ac:dyDescent="0.2">
      <c r="A18" t="str">
        <f t="shared" si="1"/>
        <v>2019</v>
      </c>
      <c r="B18" s="22"/>
      <c r="C18" s="29">
        <f>ROUND('3.2b'!$C$53/'3.2b'!$C$33,3)</f>
        <v>1.391</v>
      </c>
      <c r="D18" s="29">
        <f>ROUND('3.2c'!$C$53/'3.2c'!$C$33,3)</f>
        <v>1.389</v>
      </c>
      <c r="E18" s="223">
        <f>'[2]3.3a'!C18</f>
        <v>1.3340000000000001</v>
      </c>
      <c r="F18" s="223">
        <f>'[2]3.3a'!D18</f>
        <v>1.3360000000000001</v>
      </c>
      <c r="G18" s="29">
        <f>ROUND('3.2d'!$C$55/'3.2d'!$C$35,3)</f>
        <v>1.147</v>
      </c>
      <c r="H18" s="29">
        <f t="shared" si="2"/>
        <v>1.39</v>
      </c>
      <c r="I18" s="29"/>
      <c r="J18"/>
      <c r="K18" s="29"/>
      <c r="L18"/>
      <c r="M18" s="2"/>
      <c r="N18" s="133"/>
      <c r="O18" s="78">
        <v>0.25</v>
      </c>
      <c r="P18" s="78">
        <v>0.75</v>
      </c>
      <c r="Q18" s="78">
        <v>0</v>
      </c>
      <c r="R18" s="78">
        <v>0</v>
      </c>
      <c r="S18" s="78">
        <v>0</v>
      </c>
    </row>
    <row r="19" spans="1:19" x14ac:dyDescent="0.2">
      <c r="A19" t="str">
        <f t="shared" si="1"/>
        <v>2020</v>
      </c>
      <c r="B19" s="22"/>
      <c r="C19" s="29">
        <f>ROUND('3.2b'!$C$53/'3.2b'!$C$37,3)</f>
        <v>1.371</v>
      </c>
      <c r="D19" s="29">
        <f>ROUND('3.2c'!$C$53/'3.2c'!$C$37,3)</f>
        <v>1.375</v>
      </c>
      <c r="E19" s="223">
        <f>'[2]3.3a'!C19</f>
        <v>1.325</v>
      </c>
      <c r="F19" s="223">
        <f>'[2]3.3a'!D19</f>
        <v>1.337</v>
      </c>
      <c r="G19" s="29">
        <f>ROUND('3.2d'!$C$55/'3.2d'!$C$39,3)</f>
        <v>1.179</v>
      </c>
      <c r="H19" s="29">
        <f t="shared" si="2"/>
        <v>1.3740000000000001</v>
      </c>
      <c r="I19" s="29"/>
      <c r="J19"/>
      <c r="K19" s="29"/>
      <c r="L19"/>
      <c r="M19" s="2"/>
      <c r="N19" s="133"/>
      <c r="O19" s="78">
        <v>0.25</v>
      </c>
      <c r="P19" s="78">
        <v>0.75</v>
      </c>
      <c r="Q19" s="78">
        <v>0</v>
      </c>
      <c r="R19" s="78">
        <v>0</v>
      </c>
      <c r="S19" s="78">
        <v>0</v>
      </c>
    </row>
    <row r="20" spans="1:19" x14ac:dyDescent="0.2">
      <c r="A20" t="str">
        <f t="shared" si="1"/>
        <v>2021</v>
      </c>
      <c r="B20" s="22"/>
      <c r="C20" s="29">
        <f>ROUND('3.2b'!$C$53/'3.2b'!$C$41,3)</f>
        <v>1.194</v>
      </c>
      <c r="D20" s="29">
        <f>ROUND('3.2c'!$C$53/'3.2c'!$C$41,3)</f>
        <v>1.194</v>
      </c>
      <c r="E20" s="223">
        <f>'[2]3.3a'!C20</f>
        <v>1.1870000000000001</v>
      </c>
      <c r="F20" s="223">
        <f>'[2]3.3a'!D20</f>
        <v>1.1990000000000001</v>
      </c>
      <c r="G20" s="29">
        <f>ROUND('3.2d'!$C$55/'3.2d'!$C$43,3)</f>
        <v>1.111</v>
      </c>
      <c r="H20" s="29">
        <f>ROUND(SUMPRODUCT(C20:G20,$O20:$S20)/SUMIF(C20:G20,"&gt;0",$O20:$S20),3)</f>
        <v>1.194</v>
      </c>
      <c r="I20" s="29"/>
      <c r="J20"/>
      <c r="K20" s="29"/>
      <c r="L20"/>
      <c r="M20" s="2"/>
      <c r="N20" s="133"/>
      <c r="O20" s="78">
        <v>0.25</v>
      </c>
      <c r="P20" s="78">
        <v>0.75</v>
      </c>
      <c r="Q20" s="78">
        <v>0</v>
      </c>
      <c r="R20" s="78">
        <v>0</v>
      </c>
      <c r="S20" s="78">
        <v>0</v>
      </c>
    </row>
    <row r="21" spans="1:19" x14ac:dyDescent="0.2">
      <c r="A21" t="str">
        <f t="shared" si="1"/>
        <v>2022</v>
      </c>
      <c r="B21" s="22"/>
      <c r="C21" s="29">
        <f>ROUND('3.2b'!$C$53/'3.2b'!$C$45,3)</f>
        <v>1.022</v>
      </c>
      <c r="D21" s="29">
        <f>ROUND('3.2c'!$C$53/'3.2c'!$C$45,3)</f>
        <v>1.0189999999999999</v>
      </c>
      <c r="E21" s="223">
        <f>'[2]3.3a'!C21</f>
        <v>1.0249999999999999</v>
      </c>
      <c r="F21" s="223">
        <f>'[2]3.3a'!D21</f>
        <v>1.018</v>
      </c>
      <c r="G21" s="29">
        <f>ROUND('3.2d'!$C$55/'3.2d'!$C$47,3)</f>
        <v>1.03</v>
      </c>
      <c r="H21" s="29">
        <f t="shared" si="2"/>
        <v>1.02</v>
      </c>
      <c r="I21" s="29"/>
      <c r="J21"/>
      <c r="K21" s="29"/>
      <c r="L21"/>
      <c r="M21" s="2"/>
      <c r="N21" s="133"/>
      <c r="O21" s="78">
        <v>0.25</v>
      </c>
      <c r="P21" s="78">
        <v>0.75</v>
      </c>
      <c r="Q21" s="78">
        <v>0</v>
      </c>
      <c r="R21" s="78">
        <v>0</v>
      </c>
      <c r="S21" s="78">
        <v>0</v>
      </c>
    </row>
    <row r="22" spans="1:19" x14ac:dyDescent="0.2">
      <c r="A22" t="str">
        <f t="shared" si="1"/>
        <v>2023</v>
      </c>
      <c r="B22" s="22"/>
      <c r="C22" s="29">
        <f>ROUND('3.2b'!$C$53/'3.2b'!$C$49,3)</f>
        <v>1.0109999999999999</v>
      </c>
      <c r="D22" s="29">
        <f>ROUND('3.2c'!$C$53/'3.2c'!$C$49,3)</f>
        <v>1.01</v>
      </c>
      <c r="E22" s="223">
        <f>'[2]3.3a'!C22</f>
        <v>0.997</v>
      </c>
      <c r="F22" s="223">
        <f>'[2]3.3a'!D22</f>
        <v>0.99399999999999999</v>
      </c>
      <c r="G22" s="29">
        <f>ROUND('3.2d'!$C$55/'3.2d'!$C$51,3)</f>
        <v>1.002</v>
      </c>
      <c r="H22" s="29">
        <f>ROUND(SUMPRODUCT(C22:G22,$O22:$S22)/SUMIF(C22:G22,"&gt;0",$O22:$S22),3)</f>
        <v>1.01</v>
      </c>
      <c r="I22" s="29"/>
      <c r="J22"/>
      <c r="K22" s="29"/>
      <c r="L22"/>
      <c r="M22" s="2"/>
      <c r="N22" s="133"/>
      <c r="O22" s="78">
        <v>0.25</v>
      </c>
      <c r="P22" s="78">
        <v>0.75</v>
      </c>
      <c r="Q22" s="78">
        <v>0</v>
      </c>
      <c r="R22" s="78">
        <v>0</v>
      </c>
      <c r="S22" s="78">
        <v>0</v>
      </c>
    </row>
    <row r="23" spans="1:19" x14ac:dyDescent="0.2">
      <c r="A23" t="str">
        <f>TEXT(YEAR($N$9),"#")</f>
        <v>2024</v>
      </c>
      <c r="B23" s="22"/>
      <c r="C23" s="29">
        <f>ROUND('3.2b'!$C$53/'3.2b'!$C$53,3)</f>
        <v>1</v>
      </c>
      <c r="D23" s="29">
        <f>ROUND('3.2c'!$C$53/'3.2c'!$C$53,3)</f>
        <v>1</v>
      </c>
      <c r="E23" s="223">
        <f>'[2]3.3a'!C23</f>
        <v>1</v>
      </c>
      <c r="F23" s="223">
        <f>'[2]3.3a'!D23</f>
        <v>1</v>
      </c>
      <c r="G23" s="29">
        <f>ROUND('3.2d'!$C$55/'3.2d'!$C$55,3)</f>
        <v>1</v>
      </c>
      <c r="H23" s="29">
        <f t="shared" si="2"/>
        <v>1</v>
      </c>
      <c r="I23" s="29"/>
      <c r="J23"/>
      <c r="K23" s="29"/>
      <c r="L23"/>
      <c r="M23" s="2"/>
      <c r="N23" s="133"/>
      <c r="O23" s="78">
        <v>0.25</v>
      </c>
      <c r="P23" s="78">
        <v>0.75</v>
      </c>
      <c r="Q23" s="78">
        <v>0</v>
      </c>
      <c r="R23" s="78">
        <v>0</v>
      </c>
      <c r="S23" s="78">
        <v>0</v>
      </c>
    </row>
    <row r="24" spans="1:19" x14ac:dyDescent="0.2">
      <c r="A24" s="9"/>
      <c r="B24" s="23"/>
      <c r="C24" s="30"/>
      <c r="D24" s="30"/>
      <c r="E24" s="101"/>
      <c r="F24" s="101"/>
      <c r="G24" s="30"/>
      <c r="H24" s="30"/>
      <c r="I24"/>
      <c r="J24"/>
      <c r="K24"/>
      <c r="L24"/>
      <c r="M24" s="2"/>
      <c r="S24"/>
    </row>
    <row r="25" spans="1:19" x14ac:dyDescent="0.2">
      <c r="A25"/>
      <c r="B25"/>
      <c r="C25" s="18"/>
      <c r="D25"/>
      <c r="E25" s="18"/>
      <c r="F25"/>
      <c r="G25"/>
      <c r="H25"/>
      <c r="I25"/>
      <c r="J25"/>
      <c r="K25"/>
      <c r="L25"/>
      <c r="M25" s="2"/>
      <c r="S25"/>
    </row>
    <row r="26" spans="1:19" x14ac:dyDescent="0.2">
      <c r="A26" s="12" t="s">
        <v>244</v>
      </c>
      <c r="J26"/>
      <c r="K26"/>
      <c r="L26"/>
      <c r="M26" s="2"/>
    </row>
    <row r="27" spans="1:19" x14ac:dyDescent="0.2">
      <c r="B27"/>
      <c r="C27" s="71"/>
      <c r="D27" s="71"/>
      <c r="E27" s="71"/>
      <c r="F27" s="71"/>
      <c r="G27" s="71"/>
      <c r="H27" s="71"/>
      <c r="I27" s="71"/>
      <c r="J27"/>
      <c r="K27"/>
      <c r="L27"/>
      <c r="M27" s="2"/>
    </row>
    <row r="28" spans="1:19" x14ac:dyDescent="0.2">
      <c r="A28" s="69" t="s">
        <v>72</v>
      </c>
      <c r="B28" t="s">
        <v>245</v>
      </c>
      <c r="C28" s="41">
        <f>'3.2b'!$E$56</f>
        <v>9.0577453136805319E-2</v>
      </c>
      <c r="D28" s="41">
        <f>'3.2c'!$E$56</f>
        <v>9.1467493162162405E-2</v>
      </c>
      <c r="E28" s="261">
        <f>'[2]3.3a'!C28</f>
        <v>7.9000000000000001E-2</v>
      </c>
      <c r="F28" s="261">
        <f>'[2]3.3a'!D28</f>
        <v>8.2000000000000003E-2</v>
      </c>
      <c r="G28" s="41">
        <f>'3.2d'!$G$58</f>
        <v>4.3587568858029391E-2</v>
      </c>
      <c r="H28" s="41">
        <f>ROUND(SUMPRODUCT(C28:G28,$O28:$S28)/SUMIF(C28:G28,"&gt;0",$O28:$S28),3)</f>
        <v>9.0999999999999998E-2</v>
      </c>
      <c r="I28" s="41"/>
      <c r="J28"/>
      <c r="K28"/>
      <c r="L28"/>
      <c r="M28" s="2"/>
      <c r="O28" s="78">
        <v>0.25</v>
      </c>
      <c r="P28" s="78">
        <v>0.75</v>
      </c>
      <c r="Q28" s="78">
        <v>0</v>
      </c>
      <c r="R28" s="78">
        <v>0</v>
      </c>
      <c r="S28" s="78">
        <v>0</v>
      </c>
    </row>
    <row r="29" spans="1:19" x14ac:dyDescent="0.2">
      <c r="A29" s="69"/>
      <c r="B29"/>
      <c r="C29"/>
      <c r="D29"/>
      <c r="E29"/>
      <c r="F29"/>
      <c r="G29"/>
      <c r="H29" s="19"/>
      <c r="I29" s="19"/>
      <c r="J29"/>
      <c r="K29"/>
      <c r="L29"/>
      <c r="M29" s="2"/>
    </row>
    <row r="30" spans="1:19" x14ac:dyDescent="0.2">
      <c r="A30" s="69" t="s">
        <v>71</v>
      </c>
      <c r="B30" t="s">
        <v>247</v>
      </c>
      <c r="C30" s="29">
        <f>ROUND((1+C28)^$N$32,3)</f>
        <v>1.242</v>
      </c>
      <c r="D30" s="29">
        <f t="shared" ref="D30:H30" si="3">ROUND((1+D28)^$N$32,3)</f>
        <v>1.2450000000000001</v>
      </c>
      <c r="E30" s="29">
        <f t="shared" si="3"/>
        <v>1.2090000000000001</v>
      </c>
      <c r="F30" s="29">
        <f t="shared" si="3"/>
        <v>1.218</v>
      </c>
      <c r="G30" s="29">
        <f t="shared" si="3"/>
        <v>1.113</v>
      </c>
      <c r="H30" s="29">
        <f t="shared" si="3"/>
        <v>1.2430000000000001</v>
      </c>
      <c r="I30" s="29"/>
      <c r="J30"/>
      <c r="K30"/>
      <c r="L30"/>
      <c r="M30" s="2"/>
      <c r="O30" s="12" t="s">
        <v>246</v>
      </c>
    </row>
    <row r="31" spans="1:19" ht="12" thickBot="1" x14ac:dyDescent="0.25">
      <c r="A31" s="6"/>
      <c r="B31" s="6"/>
      <c r="C31" s="6"/>
      <c r="D31" s="6"/>
      <c r="E31" s="6"/>
      <c r="F31" s="6"/>
      <c r="G31" s="6"/>
      <c r="H31" s="6"/>
      <c r="I31"/>
      <c r="J31"/>
      <c r="K31"/>
      <c r="L31"/>
      <c r="M31" s="2"/>
      <c r="N31" s="12" t="s">
        <v>226</v>
      </c>
      <c r="O31" s="12" t="s">
        <v>189</v>
      </c>
      <c r="P31" s="12" t="s">
        <v>228</v>
      </c>
    </row>
    <row r="32" spans="1:19" ht="12" thickTop="1" x14ac:dyDescent="0.2">
      <c r="A32"/>
      <c r="B32"/>
      <c r="C32"/>
      <c r="D32"/>
      <c r="E32"/>
      <c r="F32"/>
      <c r="G32"/>
      <c r="H32"/>
      <c r="I32"/>
      <c r="J32"/>
      <c r="K32"/>
      <c r="L32"/>
      <c r="M32" s="2"/>
      <c r="N32" s="100">
        <f>YEAR(P32)-YEAR(O32)+(MONTH(P32)-MONTH(O32))/12</f>
        <v>2.5</v>
      </c>
      <c r="O32" s="36">
        <f>DATE(YEAR(N9+1),MONTH(N9+1)-6,1)</f>
        <v>45474</v>
      </c>
      <c r="P32" s="36">
        <f>'2.4'!I15</f>
        <v>46388</v>
      </c>
      <c r="Q32" s="36"/>
      <c r="R32" s="36"/>
    </row>
    <row r="33" spans="1:19" x14ac:dyDescent="0.2">
      <c r="A33" t="s">
        <v>17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9" x14ac:dyDescent="0.2">
      <c r="A34"/>
      <c r="B34" s="12" t="str">
        <f>C12&amp;" = "&amp;'3.2b'!$L$1&amp;", "&amp;'3.2b'!$L$2&amp;" trended forward to "&amp;TEXT($N$9,"m/d/yyyy")</f>
        <v>(2) = Exhibit 3, Sheet 2b trended forward to 12/31/2024</v>
      </c>
      <c r="F34"/>
      <c r="G34"/>
      <c r="K34"/>
      <c r="L34"/>
      <c r="M34" s="2"/>
    </row>
    <row r="35" spans="1:19" x14ac:dyDescent="0.2">
      <c r="A35"/>
      <c r="B35" s="12" t="str">
        <f>D12&amp;" = "&amp;'3.2c'!$L$1&amp;", "&amp;'3.2c'!$L$2&amp;" trended forward to "&amp;TEXT($N$9,"m/d/yyyy")</f>
        <v>(3) = Exhibit 3, Sheet 2c trended forward to 12/31/2024</v>
      </c>
      <c r="C35"/>
      <c r="E35"/>
      <c r="F35"/>
      <c r="H35"/>
      <c r="I35"/>
      <c r="J35"/>
      <c r="K35"/>
      <c r="L35"/>
      <c r="M35" s="2"/>
    </row>
    <row r="36" spans="1:19" x14ac:dyDescent="0.2">
      <c r="A36"/>
      <c r="B36" t="str">
        <f>E12&amp;" = Residential Exhibit 3, Sheet 3b trended forward to "&amp;TEXT($N$9,"m/d/yyyy")</f>
        <v>(4) = Residential Exhibit 3, Sheet 3b trended forward to 12/31/2024</v>
      </c>
      <c r="D36"/>
      <c r="E36"/>
      <c r="F36"/>
      <c r="H36"/>
      <c r="I36"/>
      <c r="J36"/>
      <c r="K36"/>
      <c r="L36"/>
      <c r="M36" s="2"/>
    </row>
    <row r="37" spans="1:19" x14ac:dyDescent="0.2">
      <c r="A37"/>
      <c r="B37" t="str">
        <f>F12&amp;" = Residential Exhibit 3, Sheet 3c trended forward to "&amp;TEXT($N$9,"m/d/yyyy")</f>
        <v>(5) = Residential Exhibit 3, Sheet 3c trended forward to 12/31/2024</v>
      </c>
      <c r="C37"/>
      <c r="D37"/>
      <c r="E37"/>
      <c r="F37"/>
      <c r="H37"/>
      <c r="I37"/>
      <c r="J37"/>
      <c r="K37"/>
      <c r="L37"/>
      <c r="M37" s="2"/>
    </row>
    <row r="38" spans="1:19" x14ac:dyDescent="0.2">
      <c r="B38" s="12" t="str">
        <f>G12&amp;" = "&amp;'3.2d'!$L$1&amp;", "&amp;'3.2d'!$L$2</f>
        <v>(6) = Exhibit 3, Sheet 2d</v>
      </c>
      <c r="L38"/>
      <c r="M38" s="2"/>
    </row>
    <row r="39" spans="1:19" x14ac:dyDescent="0.2">
      <c r="A39" s="40"/>
      <c r="B39" s="12" t="str">
        <f>H12&amp;" = 25% "&amp;C10&amp;" "&amp;C11&amp;" and 75% "&amp;D10&amp;" "&amp;D11&amp;" (most appropriate available by year)"</f>
        <v>(7) = 25% Statewide Boeckh and 75% Coastal Boeckh (most appropriate available by year)</v>
      </c>
      <c r="C39" s="59"/>
      <c r="D39" s="28"/>
      <c r="E39" s="28"/>
      <c r="F39" s="29"/>
      <c r="G39" s="29"/>
      <c r="H39" s="18"/>
      <c r="I39" s="18"/>
      <c r="J39" s="18"/>
      <c r="K39" s="19"/>
      <c r="L39" s="19"/>
      <c r="M39" s="2"/>
    </row>
    <row r="40" spans="1:19" x14ac:dyDescent="0.2">
      <c r="A40" s="40"/>
      <c r="B40" s="12" t="str">
        <f>A28&amp;" = "&amp;C12&amp;" - "&amp;H12&amp;" fitted to an exponential curve using 5 years' data"</f>
        <v>(8) = (2) - (7) fitted to an exponential curve using 5 years' data</v>
      </c>
      <c r="C40" s="59"/>
      <c r="D40" s="28"/>
      <c r="E40" s="28"/>
      <c r="F40" s="19"/>
      <c r="G40" s="29"/>
      <c r="H40" s="18"/>
      <c r="I40" s="18"/>
      <c r="J40" s="18"/>
      <c r="K40" s="19"/>
      <c r="L40" s="19"/>
      <c r="M40" s="2"/>
    </row>
    <row r="41" spans="1:19" x14ac:dyDescent="0.2">
      <c r="A41" s="40"/>
      <c r="B41" t="str">
        <f>A30&amp;" = [1 + "&amp;A28&amp;"] ^ "&amp;$N$32&amp;" (trended from "&amp;TEXT($O$32,"m/d/yyyy")&amp;" to "&amp;TEXT($P$32,"m/d/yyyy")&amp;")"</f>
        <v>(9) = [1 + (8)] ^ 2.5 (trended from 7/1/2024 to 1/1/2027)</v>
      </c>
      <c r="C41" s="59"/>
      <c r="D41" s="28"/>
      <c r="E41" s="28"/>
      <c r="F41" s="19"/>
      <c r="G41" s="29"/>
      <c r="H41" s="18"/>
      <c r="I41" s="18"/>
      <c r="J41" s="18"/>
      <c r="K41" s="19"/>
      <c r="L41" s="19"/>
      <c r="M41" s="2"/>
    </row>
    <row r="42" spans="1:19" x14ac:dyDescent="0.2">
      <c r="A42" s="40"/>
      <c r="B42"/>
      <c r="C42" s="59"/>
      <c r="D42" s="28"/>
      <c r="E42" s="28"/>
      <c r="F42" s="19"/>
      <c r="G42" s="29"/>
      <c r="H42" s="18"/>
      <c r="I42" s="18"/>
      <c r="J42" s="18"/>
      <c r="K42" s="19"/>
      <c r="L42" s="19"/>
      <c r="M42" s="2"/>
    </row>
    <row r="43" spans="1:19" x14ac:dyDescent="0.2">
      <c r="A43"/>
      <c r="B43"/>
      <c r="C43" s="19"/>
      <c r="D43" s="19"/>
      <c r="E43" s="19"/>
      <c r="F43" s="19"/>
      <c r="G43"/>
      <c r="H43"/>
      <c r="I43"/>
      <c r="J43"/>
      <c r="K43"/>
      <c r="L43"/>
      <c r="M43" s="2"/>
      <c r="S43"/>
    </row>
    <row r="44" spans="1:19" x14ac:dyDescent="0.2">
      <c r="A44" s="40"/>
      <c r="B44"/>
      <c r="C44" s="59"/>
      <c r="D44" s="28"/>
      <c r="E44" s="28"/>
      <c r="F44" s="19"/>
      <c r="G44" s="29"/>
      <c r="H44" s="18"/>
      <c r="I44" s="18"/>
      <c r="J44" s="18"/>
      <c r="K44" s="19"/>
      <c r="L44" s="19"/>
      <c r="M44" s="2"/>
    </row>
    <row r="45" spans="1:19" x14ac:dyDescent="0.2">
      <c r="A45"/>
      <c r="B45" s="22"/>
      <c r="C45" s="59"/>
      <c r="D45" s="28"/>
      <c r="E45" s="28"/>
      <c r="F45" s="19"/>
      <c r="G45" s="29"/>
      <c r="H45" s="18"/>
      <c r="I45" s="18"/>
      <c r="J45" s="18"/>
      <c r="K45" s="19"/>
      <c r="L45" s="19"/>
      <c r="M45" s="2"/>
    </row>
    <row r="46" spans="1:19" x14ac:dyDescent="0.2">
      <c r="A46"/>
      <c r="C46"/>
      <c r="D46"/>
      <c r="E46"/>
      <c r="F46"/>
      <c r="G46"/>
      <c r="H46"/>
      <c r="I46"/>
      <c r="J46"/>
      <c r="L46"/>
      <c r="M46" s="2"/>
    </row>
    <row r="47" spans="1:19" x14ac:dyDescent="0.2">
      <c r="A47"/>
      <c r="C47"/>
      <c r="D47"/>
      <c r="E47"/>
      <c r="F47"/>
      <c r="H47"/>
      <c r="I47"/>
      <c r="J47"/>
      <c r="K47"/>
      <c r="L47"/>
      <c r="M47" s="2"/>
    </row>
    <row r="48" spans="1:19" x14ac:dyDescent="0.2">
      <c r="A48"/>
      <c r="C48" s="59"/>
      <c r="D48" s="28"/>
      <c r="E48" s="28"/>
      <c r="F48" s="29"/>
      <c r="G48" s="29"/>
      <c r="H48" s="18"/>
      <c r="I48" s="18"/>
      <c r="J48" s="18"/>
      <c r="K48" s="19"/>
      <c r="L48" s="19"/>
      <c r="M48" s="2"/>
    </row>
    <row r="49" spans="1:13" x14ac:dyDescent="0.2">
      <c r="A49"/>
      <c r="C49" s="59"/>
      <c r="D49" s="28"/>
      <c r="E49" s="28"/>
      <c r="F49" s="29"/>
      <c r="G49" s="29"/>
      <c r="H49" s="18"/>
      <c r="I49" s="18"/>
      <c r="J49" s="18"/>
      <c r="K49" s="19"/>
      <c r="L49" s="19"/>
      <c r="M49" s="2"/>
    </row>
    <row r="50" spans="1:13" x14ac:dyDescent="0.2">
      <c r="A50"/>
      <c r="C50" s="59"/>
      <c r="D50" s="28"/>
      <c r="E50" s="28"/>
      <c r="F50" s="29"/>
      <c r="G50" s="29"/>
      <c r="H50" s="18"/>
      <c r="I50" s="18"/>
      <c r="J50" s="18"/>
      <c r="K50" s="19"/>
      <c r="L50" s="19"/>
      <c r="M50" s="2"/>
    </row>
    <row r="51" spans="1:13" x14ac:dyDescent="0.2">
      <c r="A51"/>
      <c r="C51" s="18"/>
      <c r="D51"/>
      <c r="E51"/>
      <c r="F51"/>
      <c r="G51" s="18"/>
      <c r="H51" s="18"/>
      <c r="I51" s="18"/>
      <c r="J51" s="18"/>
      <c r="K51" s="18"/>
      <c r="L51"/>
      <c r="M51" s="2"/>
    </row>
    <row r="52" spans="1:13" x14ac:dyDescent="0.2">
      <c r="A52"/>
      <c r="C52" s="18"/>
      <c r="D52" s="18"/>
      <c r="E52"/>
      <c r="F52" s="18"/>
      <c r="G52" s="18"/>
      <c r="H52" s="18"/>
      <c r="I52" s="18"/>
      <c r="J52" s="18"/>
      <c r="K52" s="19"/>
      <c r="L52"/>
      <c r="M52" s="2"/>
    </row>
    <row r="53" spans="1:13" x14ac:dyDescent="0.2">
      <c r="A53" s="40"/>
      <c r="B5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F64"/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5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31</vt:i4>
      </vt:variant>
    </vt:vector>
  </HeadingPairs>
  <TitlesOfParts>
    <vt:vector size="64" baseType="lpstr">
      <vt:lpstr>Cover Page</vt:lpstr>
      <vt:lpstr>Table of Contents</vt:lpstr>
      <vt:lpstr>1</vt:lpstr>
      <vt:lpstr>2.1</vt:lpstr>
      <vt:lpstr>2.2</vt:lpstr>
      <vt:lpstr>2.3</vt:lpstr>
      <vt:lpstr>2.4</vt:lpstr>
      <vt:lpstr>3.1</vt:lpstr>
      <vt:lpstr>3.2a</vt:lpstr>
      <vt:lpstr>3.2b</vt:lpstr>
      <vt:lpstr>3.2c</vt:lpstr>
      <vt:lpstr>3.2d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</vt:lpstr>
      <vt:lpstr>9.1</vt:lpstr>
      <vt:lpstr>9.2</vt:lpstr>
      <vt:lpstr>9.3</vt:lpstr>
      <vt:lpstr>10.1</vt:lpstr>
      <vt:lpstr>10.2</vt:lpstr>
      <vt:lpstr>11.1</vt:lpstr>
      <vt:lpstr>11.2</vt:lpstr>
      <vt:lpstr>'1'!Print_Area</vt:lpstr>
      <vt:lpstr>'10.1'!Print_Area</vt:lpstr>
      <vt:lpstr>'10.2'!Print_Area</vt:lpstr>
      <vt:lpstr>'11.1'!Print_Area</vt:lpstr>
      <vt:lpstr>'11.2'!Print_Area</vt:lpstr>
      <vt:lpstr>'2.1'!Print_Area</vt:lpstr>
      <vt:lpstr>'2.2'!Print_Area</vt:lpstr>
      <vt:lpstr>'2.3'!Print_Area</vt:lpstr>
      <vt:lpstr>'2.4'!Print_Area</vt:lpstr>
      <vt:lpstr>'3.1'!Print_Area</vt:lpstr>
      <vt:lpstr>'3.2a'!Print_Area</vt:lpstr>
      <vt:lpstr>'3.2b'!Print_Area</vt:lpstr>
      <vt:lpstr>'3.2c'!Print_Area</vt:lpstr>
      <vt:lpstr>'3.2d'!Print_Area</vt:lpstr>
      <vt:lpstr>'4'!Print_Area</vt:lpstr>
      <vt:lpstr>'5'!Print_Area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'7.3'!Print_Area</vt:lpstr>
      <vt:lpstr>'7.4'!Print_Area</vt:lpstr>
      <vt:lpstr>'8'!Print_Area</vt:lpstr>
      <vt:lpstr>'9.1'!Print_Area</vt:lpstr>
      <vt:lpstr>'9.2'!Print_Area</vt:lpstr>
      <vt:lpstr>'9.3'!Print_Area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Angela Fang</cp:lastModifiedBy>
  <cp:lastPrinted>2025-06-30T22:18:55Z</cp:lastPrinted>
  <dcterms:created xsi:type="dcterms:W3CDTF">2001-12-17T21:49:07Z</dcterms:created>
  <dcterms:modified xsi:type="dcterms:W3CDTF">2025-07-01T14:34:51Z</dcterms:modified>
</cp:coreProperties>
</file>