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S:\Actuarial\Tier 3 - Internal Use Secured\TWIA\Reviews\2026 Rate Review\"/>
    </mc:Choice>
  </mc:AlternateContent>
  <xr:revisionPtr revIDLastSave="0" documentId="13_ncr:1_{2BA6DDA1-25FD-4A78-AEB6-6AD64C107097}" xr6:coauthVersionLast="47" xr6:coauthVersionMax="47" xr10:uidLastSave="{00000000-0000-0000-0000-000000000000}"/>
  <bookViews>
    <workbookView xWindow="-120" yWindow="-120" windowWidth="29040" windowHeight="15720" tabRatio="930" xr2:uid="{B012DC09-D67D-4D0A-BED9-E2C6C7FB96C4}"/>
  </bookViews>
  <sheets>
    <sheet name="Cover Page" sheetId="61" r:id="rId1"/>
    <sheet name="Table of Contents" sheetId="62" r:id="rId2"/>
    <sheet name="1" sheetId="1" r:id="rId3"/>
    <sheet name="2.1" sheetId="2" r:id="rId4"/>
    <sheet name="2.2a" sheetId="3" r:id="rId5"/>
    <sheet name="2.2b" sheetId="4" r:id="rId6"/>
    <sheet name="2.2c" sheetId="5" r:id="rId7"/>
    <sheet name="2.2d" sheetId="6" r:id="rId8"/>
    <sheet name="2.3a" sheetId="7" r:id="rId9"/>
    <sheet name="2.3b" sheetId="68" r:id="rId10"/>
    <sheet name="2.3c" sheetId="8" r:id="rId11"/>
    <sheet name="2.3d" sheetId="9" r:id="rId12"/>
    <sheet name="2.3e" sheetId="10" r:id="rId13"/>
    <sheet name="2.4a" sheetId="11" r:id="rId14"/>
    <sheet name="2.4b" sheetId="12" r:id="rId15"/>
    <sheet name="2.4c" sheetId="13" r:id="rId16"/>
    <sheet name="2.4d" sheetId="14" r:id="rId17"/>
    <sheet name="2.5" sheetId="15" r:id="rId18"/>
    <sheet name="3.1" sheetId="60" r:id="rId19"/>
    <sheet name="3.2" sheetId="17" r:id="rId20"/>
    <sheet name="3.3a" sheetId="18" r:id="rId21"/>
    <sheet name="3.3b" sheetId="19" r:id="rId22"/>
    <sheet name="3.3c" sheetId="20" r:id="rId23"/>
    <sheet name="3.3d" sheetId="21" r:id="rId24"/>
    <sheet name="4" sheetId="22" r:id="rId25"/>
    <sheet name="5" sheetId="27" r:id="rId26"/>
    <sheet name="6.1" sheetId="28" r:id="rId27"/>
    <sheet name="6.2" sheetId="29" r:id="rId28"/>
    <sheet name="6.3" sheetId="30" r:id="rId29"/>
    <sheet name="6.4" sheetId="31" r:id="rId30"/>
    <sheet name="6.5" sheetId="32" r:id="rId31"/>
    <sheet name="6.6" sheetId="33" r:id="rId32"/>
    <sheet name="6.7" sheetId="34" r:id="rId33"/>
    <sheet name="7.1" sheetId="35" r:id="rId34"/>
    <sheet name="7.2" sheetId="37" r:id="rId35"/>
    <sheet name="7.3" sheetId="65" r:id="rId36"/>
    <sheet name="7.4" sheetId="66" r:id="rId37"/>
    <sheet name="8" sheetId="40" r:id="rId38"/>
    <sheet name="9.1a" sheetId="41" r:id="rId39"/>
    <sheet name="9.1b" sheetId="42" r:id="rId40"/>
    <sheet name="9.1c" sheetId="43" r:id="rId41"/>
    <sheet name="9.1d" sheetId="44" r:id="rId42"/>
    <sheet name="9.2" sheetId="45" r:id="rId43"/>
    <sheet name="10.1" sheetId="46" r:id="rId44"/>
    <sheet name="10.2" sheetId="69" r:id="rId45"/>
    <sheet name="11" sheetId="48" r:id="rId46"/>
  </sheets>
  <externalReferences>
    <externalReference r:id="rId47"/>
    <externalReference r:id="rId48"/>
    <externalReference r:id="rId49"/>
  </externalReferences>
  <definedNames>
    <definedName name="_xlnm.Print_Area" localSheetId="2">'1'!$A$1:$K$71</definedName>
    <definedName name="_xlnm.Print_Area" localSheetId="43">'10.1'!$A$1:$K$67</definedName>
    <definedName name="_xlnm.Print_Area" localSheetId="44">'10.2'!$A$1:$G$50</definedName>
    <definedName name="_xlnm.Print_Area" localSheetId="45">'11'!$A$1:$J$69</definedName>
    <definedName name="_xlnm.Print_Area" localSheetId="3">'2.1'!$A$1:$J$68</definedName>
    <definedName name="_xlnm.Print_Area" localSheetId="4">'2.2a'!$A$1:$J$68</definedName>
    <definedName name="_xlnm.Print_Area" localSheetId="5">'2.2b'!$A$1:$J$68</definedName>
    <definedName name="_xlnm.Print_Area" localSheetId="6">'2.2c'!$A$1:$J$68</definedName>
    <definedName name="_xlnm.Print_Area" localSheetId="7">'2.2d'!$A$1:$J$56</definedName>
    <definedName name="_xlnm.Print_Area" localSheetId="8">'2.3a'!$A$1:$M$68</definedName>
    <definedName name="_xlnm.Print_Area" localSheetId="9">'2.3b'!$A$1:$J$68</definedName>
    <definedName name="_xlnm.Print_Area" localSheetId="10">'2.3c'!$A$1:$J$68</definedName>
    <definedName name="_xlnm.Print_Area" localSheetId="11">'2.3d'!$A$1:$J$68</definedName>
    <definedName name="_xlnm.Print_Area" localSheetId="12">'2.3e'!$A$1:$J$68</definedName>
    <definedName name="_xlnm.Print_Area" localSheetId="13">'2.4a'!$A$1:$J$68</definedName>
    <definedName name="_xlnm.Print_Area" localSheetId="14">'2.4b'!$A$1:$J$68</definedName>
    <definedName name="_xlnm.Print_Area" localSheetId="15">'2.4c'!$A$1:$J$68</definedName>
    <definedName name="_xlnm.Print_Area" localSheetId="16">'2.4d'!$A$1:$J$68</definedName>
    <definedName name="_xlnm.Print_Area" localSheetId="17">'2.5'!$A$1:$L$64</definedName>
    <definedName name="_xlnm.Print_Area" localSheetId="18">'3.1'!$A$1:$L$50</definedName>
    <definedName name="_xlnm.Print_Area" localSheetId="19">'3.2'!$A$1:$L$70</definedName>
    <definedName name="_xlnm.Print_Area" localSheetId="20">'3.3a'!$A$1:$L$68</definedName>
    <definedName name="_xlnm.Print_Area" localSheetId="21">'3.3b'!$A$1:$L$62</definedName>
    <definedName name="_xlnm.Print_Area" localSheetId="22">'3.3c'!$A$1:$L$68</definedName>
    <definedName name="_xlnm.Print_Area" localSheetId="23">'3.3d'!$A$1:$L$69</definedName>
    <definedName name="_xlnm.Print_Area" localSheetId="24">'4'!$A$1:$J$72</definedName>
    <definedName name="_xlnm.Print_Area" localSheetId="25">'5'!$A$1:$H$44</definedName>
    <definedName name="_xlnm.Print_Area" localSheetId="26">'6.1'!$A$1:$J$50</definedName>
    <definedName name="_xlnm.Print_Area" localSheetId="27">'6.2'!$A$1:$J$83</definedName>
    <definedName name="_xlnm.Print_Area" localSheetId="28">'6.3'!$A$1:$I$77</definedName>
    <definedName name="_xlnm.Print_Area" localSheetId="29">'6.4'!$A$1:$I$67</definedName>
    <definedName name="_xlnm.Print_Area" localSheetId="30">'6.5'!$A$1:$I$68</definedName>
    <definedName name="_xlnm.Print_Area" localSheetId="31">'6.6'!$A$1:$I$67</definedName>
    <definedName name="_xlnm.Print_Area" localSheetId="32">'6.7'!$A$1:$I$67</definedName>
    <definedName name="_xlnm.Print_Area" localSheetId="33">'7.1'!$A$1:$K$68</definedName>
    <definedName name="_xlnm.Print_Area" localSheetId="34">'7.2'!$A$1:$K$68</definedName>
    <definedName name="_xlnm.Print_Area" localSheetId="35">'7.3'!$A$1:$K$68</definedName>
    <definedName name="_xlnm.Print_Area" localSheetId="36">'7.4'!$A$1:$K$68</definedName>
    <definedName name="_xlnm.Print_Area" localSheetId="37">'8'!$A$1:$J$69</definedName>
    <definedName name="_xlnm.Print_Area" localSheetId="38">'9.1a'!$A$1:$J$66</definedName>
    <definedName name="_xlnm.Print_Area" localSheetId="39">'9.1b'!$A$1:$J$62</definedName>
    <definedName name="_xlnm.Print_Area" localSheetId="40">'9.1c'!$A$1:$J$66</definedName>
    <definedName name="_xlnm.Print_Area" localSheetId="41">'9.1d'!$A$1:$J$66</definedName>
    <definedName name="_xlnm.Print_Area" localSheetId="42">'9.2'!$A$1:$J$45</definedName>
    <definedName name="_xlnm.Print_Area" localSheetId="1">'Table of Contents'!$A$2:$G$52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3" i="61" l="1"/>
  <c r="B40" i="66" l="1"/>
  <c r="A53" i="21"/>
  <c r="A52" i="21" s="1"/>
  <c r="A51" i="21" s="1"/>
  <c r="A50" i="21" s="1"/>
  <c r="A49" i="21" s="1"/>
  <c r="A48" i="21" s="1"/>
  <c r="A47" i="21" s="1"/>
  <c r="A46" i="21" s="1"/>
  <c r="A45" i="21" s="1"/>
  <c r="A44" i="21" s="1"/>
  <c r="A43" i="21" s="1"/>
  <c r="A42" i="21" s="1"/>
  <c r="A41" i="21" s="1"/>
  <c r="A40" i="21" s="1"/>
  <c r="A39" i="21" s="1"/>
  <c r="A38" i="21" s="1"/>
  <c r="A37" i="21" s="1"/>
  <c r="A36" i="21" s="1"/>
  <c r="A35" i="21" s="1"/>
  <c r="A34" i="21" s="1"/>
  <c r="A33" i="21" s="1"/>
  <c r="A32" i="21" s="1"/>
  <c r="A31" i="21" s="1"/>
  <c r="A30" i="21" s="1"/>
  <c r="A29" i="21" s="1"/>
  <c r="A28" i="21" s="1"/>
  <c r="A27" i="21" s="1"/>
  <c r="A26" i="21" s="1"/>
  <c r="A25" i="21" s="1"/>
  <c r="A24" i="21" s="1"/>
  <c r="A23" i="21" s="1"/>
  <c r="A22" i="21" s="1"/>
  <c r="A21" i="21" s="1"/>
  <c r="A20" i="21" s="1"/>
  <c r="A19" i="21" s="1"/>
  <c r="A18" i="21" s="1"/>
  <c r="A17" i="21" s="1"/>
  <c r="A16" i="21" s="1"/>
  <c r="A15" i="21" s="1"/>
  <c r="A14" i="21" s="1"/>
  <c r="A54" i="21"/>
  <c r="A55" i="21"/>
  <c r="A51" i="20"/>
  <c r="A50" i="20" s="1"/>
  <c r="A49" i="20" s="1"/>
  <c r="A48" i="20" s="1"/>
  <c r="A47" i="20" s="1"/>
  <c r="A46" i="20" s="1"/>
  <c r="A45" i="20" s="1"/>
  <c r="A44" i="20" s="1"/>
  <c r="A43" i="20" s="1"/>
  <c r="A42" i="20" s="1"/>
  <c r="A41" i="20" s="1"/>
  <c r="A40" i="20" s="1"/>
  <c r="A39" i="20" s="1"/>
  <c r="A38" i="20" s="1"/>
  <c r="A37" i="20" s="1"/>
  <c r="A36" i="20" s="1"/>
  <c r="A35" i="20" s="1"/>
  <c r="A34" i="20" s="1"/>
  <c r="A33" i="20" s="1"/>
  <c r="A32" i="20" s="1"/>
  <c r="A31" i="20" s="1"/>
  <c r="A30" i="20" s="1"/>
  <c r="A29" i="20" s="1"/>
  <c r="A28" i="20" s="1"/>
  <c r="A27" i="20" s="1"/>
  <c r="A26" i="20" s="1"/>
  <c r="A25" i="20" s="1"/>
  <c r="A24" i="20" s="1"/>
  <c r="A23" i="20" s="1"/>
  <c r="A22" i="20" s="1"/>
  <c r="A21" i="20" s="1"/>
  <c r="A20" i="20" s="1"/>
  <c r="A19" i="20" s="1"/>
  <c r="A18" i="20" s="1"/>
  <c r="A17" i="20" s="1"/>
  <c r="A16" i="20" s="1"/>
  <c r="A15" i="20" s="1"/>
  <c r="A14" i="20" s="1"/>
  <c r="A52" i="20"/>
  <c r="A53" i="20"/>
  <c r="A51" i="19"/>
  <c r="A50" i="19" s="1"/>
  <c r="A49" i="19" s="1"/>
  <c r="A48" i="19" s="1"/>
  <c r="A47" i="19" s="1"/>
  <c r="A46" i="19" s="1"/>
  <c r="A45" i="19" s="1"/>
  <c r="A44" i="19" s="1"/>
  <c r="A43" i="19" s="1"/>
  <c r="A42" i="19" s="1"/>
  <c r="A41" i="19" s="1"/>
  <c r="A40" i="19" s="1"/>
  <c r="A39" i="19" s="1"/>
  <c r="A38" i="19" s="1"/>
  <c r="A37" i="19" s="1"/>
  <c r="A36" i="19" s="1"/>
  <c r="A35" i="19" s="1"/>
  <c r="A34" i="19" s="1"/>
  <c r="A33" i="19" s="1"/>
  <c r="A32" i="19" s="1"/>
  <c r="A31" i="19" s="1"/>
  <c r="A30" i="19" s="1"/>
  <c r="A29" i="19" s="1"/>
  <c r="A28" i="19" s="1"/>
  <c r="A27" i="19" s="1"/>
  <c r="A26" i="19" s="1"/>
  <c r="A25" i="19" s="1"/>
  <c r="A24" i="19" s="1"/>
  <c r="A23" i="19" s="1"/>
  <c r="A22" i="19" s="1"/>
  <c r="A21" i="19" s="1"/>
  <c r="A20" i="19" s="1"/>
  <c r="A19" i="19" s="1"/>
  <c r="A18" i="19" s="1"/>
  <c r="A17" i="19" s="1"/>
  <c r="A16" i="19" s="1"/>
  <c r="A15" i="19" s="1"/>
  <c r="A14" i="19" s="1"/>
  <c r="A52" i="19"/>
  <c r="A53" i="19"/>
  <c r="C23" i="69"/>
  <c r="C22" i="69"/>
  <c r="C21" i="69"/>
  <c r="A12" i="69"/>
  <c r="A14" i="69"/>
  <c r="A16" i="69"/>
  <c r="A18" i="69"/>
  <c r="A20" i="69"/>
  <c r="A25" i="69"/>
  <c r="A27" i="69"/>
  <c r="A31" i="69"/>
  <c r="A29" i="69"/>
  <c r="B48" i="46"/>
  <c r="B46" i="46"/>
  <c r="B44" i="46"/>
  <c r="B42" i="46"/>
  <c r="B40" i="46"/>
  <c r="A48" i="46"/>
  <c r="A46" i="46"/>
  <c r="A44" i="46"/>
  <c r="A42" i="46"/>
  <c r="A40" i="46"/>
  <c r="B57" i="40"/>
  <c r="B42" i="66"/>
  <c r="B41" i="66"/>
  <c r="B39" i="66"/>
  <c r="B38" i="66"/>
  <c r="B42" i="65"/>
  <c r="B41" i="65"/>
  <c r="B40" i="65"/>
  <c r="B39" i="65"/>
  <c r="B38" i="65"/>
  <c r="B42" i="37"/>
  <c r="B41" i="37"/>
  <c r="B40" i="37"/>
  <c r="B39" i="37"/>
  <c r="B38" i="37"/>
  <c r="B42" i="35"/>
  <c r="B41" i="35"/>
  <c r="B40" i="35"/>
  <c r="B39" i="35"/>
  <c r="B38" i="35"/>
  <c r="D14" i="69"/>
  <c r="B31" i="69"/>
  <c r="B27" i="69"/>
  <c r="B25" i="69"/>
  <c r="B23" i="69"/>
  <c r="B22" i="69"/>
  <c r="B21" i="69"/>
  <c r="B20" i="69"/>
  <c r="B18" i="69"/>
  <c r="J14" i="69"/>
  <c r="L10" i="69"/>
  <c r="K10" i="69"/>
  <c r="J10" i="69"/>
  <c r="B54" i="48" l="1"/>
  <c r="B53" i="48"/>
  <c r="B52" i="48"/>
  <c r="B51" i="48"/>
  <c r="F45" i="48"/>
  <c r="F44" i="48"/>
  <c r="F43" i="48"/>
  <c r="F42" i="48"/>
  <c r="F41" i="48"/>
  <c r="F40" i="48"/>
  <c r="F39" i="48"/>
  <c r="F38" i="48"/>
  <c r="F37" i="48"/>
  <c r="F36" i="48"/>
  <c r="F35" i="48"/>
  <c r="F34" i="48"/>
  <c r="F33" i="48"/>
  <c r="F32" i="48"/>
  <c r="F31" i="48"/>
  <c r="F30" i="48"/>
  <c r="F29" i="48"/>
  <c r="F28" i="48"/>
  <c r="F27" i="48"/>
  <c r="F26" i="48"/>
  <c r="F25" i="48"/>
  <c r="F24" i="48"/>
  <c r="F23" i="48"/>
  <c r="F22" i="48"/>
  <c r="F21" i="48"/>
  <c r="F20" i="48"/>
  <c r="F19" i="48"/>
  <c r="F18" i="48"/>
  <c r="F17" i="48"/>
  <c r="F16" i="48"/>
  <c r="F15" i="48"/>
  <c r="F14" i="48"/>
  <c r="D22" i="48"/>
  <c r="C22" i="48"/>
  <c r="D21" i="48"/>
  <c r="C21" i="48"/>
  <c r="D20" i="48"/>
  <c r="C20" i="48"/>
  <c r="D19" i="48"/>
  <c r="C19" i="48"/>
  <c r="D18" i="48"/>
  <c r="C18" i="48"/>
  <c r="D17" i="48"/>
  <c r="C17" i="48"/>
  <c r="D16" i="48"/>
  <c r="C16" i="48"/>
  <c r="D15" i="48"/>
  <c r="C15" i="48"/>
  <c r="D14" i="48"/>
  <c r="C14" i="48"/>
  <c r="A45" i="48"/>
  <c r="B58" i="46"/>
  <c r="B57" i="46"/>
  <c r="B56" i="46"/>
  <c r="B55" i="46"/>
  <c r="B54" i="46"/>
  <c r="B52" i="46"/>
  <c r="H46" i="46"/>
  <c r="H44" i="46"/>
  <c r="H40" i="46"/>
  <c r="H36" i="46"/>
  <c r="H32" i="46"/>
  <c r="H23" i="46"/>
  <c r="H19" i="46"/>
  <c r="G35" i="46"/>
  <c r="F35" i="46"/>
  <c r="E35" i="46"/>
  <c r="D35" i="46"/>
  <c r="G29" i="46"/>
  <c r="F29" i="46"/>
  <c r="E29" i="46"/>
  <c r="D29" i="46"/>
  <c r="G26" i="46"/>
  <c r="F26" i="46"/>
  <c r="E26" i="46"/>
  <c r="D26" i="46"/>
  <c r="G22" i="46"/>
  <c r="F22" i="46"/>
  <c r="E22" i="46"/>
  <c r="D22" i="46"/>
  <c r="G18" i="46"/>
  <c r="F18" i="46"/>
  <c r="E18" i="46"/>
  <c r="D18" i="46"/>
  <c r="G15" i="46"/>
  <c r="F15" i="46"/>
  <c r="E15" i="46"/>
  <c r="D15" i="46"/>
  <c r="G14" i="46"/>
  <c r="F14" i="46"/>
  <c r="E14" i="46"/>
  <c r="D14" i="46"/>
  <c r="M11" i="46"/>
  <c r="N26" i="1" l="1"/>
  <c r="N24" i="1"/>
  <c r="N23" i="1"/>
  <c r="N22" i="1"/>
  <c r="N21" i="1"/>
  <c r="N15" i="1" l="1"/>
  <c r="N19" i="1"/>
  <c r="E23" i="7" l="1"/>
  <c r="E22" i="7"/>
  <c r="E21" i="7"/>
  <c r="E20" i="7"/>
  <c r="E19" i="7"/>
  <c r="E18" i="7"/>
  <c r="E17" i="7"/>
  <c r="E16" i="7"/>
  <c r="E15" i="7"/>
  <c r="E14" i="7"/>
  <c r="D23" i="7"/>
  <c r="D22" i="7"/>
  <c r="D21" i="7"/>
  <c r="D20" i="7"/>
  <c r="D19" i="7"/>
  <c r="D18" i="7"/>
  <c r="D17" i="7"/>
  <c r="D16" i="7"/>
  <c r="D15" i="7"/>
  <c r="D14" i="7"/>
  <c r="C72" i="29" l="1"/>
  <c r="C71" i="29"/>
  <c r="C70" i="29"/>
  <c r="C69" i="29"/>
  <c r="C68" i="29"/>
  <c r="C67" i="29"/>
  <c r="C66" i="29"/>
  <c r="C65" i="29"/>
  <c r="C64" i="29"/>
  <c r="C63" i="29"/>
  <c r="C62" i="29"/>
  <c r="C61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C48" i="29"/>
  <c r="C47" i="29"/>
  <c r="C46" i="29"/>
  <c r="C45" i="29"/>
  <c r="C44" i="29"/>
  <c r="C43" i="29"/>
  <c r="C42" i="29"/>
  <c r="C41" i="29"/>
  <c r="C40" i="29"/>
  <c r="C39" i="29"/>
  <c r="C38" i="29"/>
  <c r="A72" i="29" l="1"/>
  <c r="B72" i="22"/>
  <c r="B71" i="22"/>
  <c r="B70" i="22"/>
  <c r="D66" i="22"/>
  <c r="C66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E13" i="22"/>
  <c r="D13" i="22"/>
  <c r="C13" i="22"/>
  <c r="A58" i="22"/>
  <c r="C17" i="2" l="1"/>
  <c r="C16" i="2"/>
  <c r="C15" i="2"/>
  <c r="C14" i="2"/>
  <c r="D23" i="11"/>
  <c r="D22" i="11"/>
  <c r="D21" i="11"/>
  <c r="D20" i="11"/>
  <c r="D19" i="11"/>
  <c r="D18" i="11"/>
  <c r="D17" i="11"/>
  <c r="D16" i="11"/>
  <c r="D15" i="11"/>
  <c r="D14" i="11"/>
  <c r="C23" i="11"/>
  <c r="C22" i="11"/>
  <c r="C21" i="11"/>
  <c r="C20" i="11"/>
  <c r="C19" i="11"/>
  <c r="C18" i="11"/>
  <c r="C17" i="11"/>
  <c r="C16" i="11"/>
  <c r="C15" i="11"/>
  <c r="C14" i="11"/>
  <c r="D23" i="12"/>
  <c r="D22" i="12"/>
  <c r="D21" i="12"/>
  <c r="D20" i="12"/>
  <c r="D19" i="12"/>
  <c r="D18" i="12"/>
  <c r="D17" i="12"/>
  <c r="D16" i="12"/>
  <c r="D15" i="12"/>
  <c r="D14" i="12"/>
  <c r="C23" i="12"/>
  <c r="C22" i="12"/>
  <c r="C21" i="12"/>
  <c r="C20" i="12"/>
  <c r="C19" i="12"/>
  <c r="C18" i="12"/>
  <c r="C17" i="12"/>
  <c r="C16" i="12"/>
  <c r="C15" i="12"/>
  <c r="C14" i="12"/>
  <c r="D23" i="13"/>
  <c r="D22" i="13"/>
  <c r="D21" i="13"/>
  <c r="D20" i="13"/>
  <c r="D19" i="13"/>
  <c r="D18" i="13"/>
  <c r="D17" i="13"/>
  <c r="D16" i="13"/>
  <c r="D15" i="13"/>
  <c r="D14" i="13"/>
  <c r="C23" i="13"/>
  <c r="C22" i="13"/>
  <c r="C21" i="13"/>
  <c r="C20" i="13"/>
  <c r="C19" i="13"/>
  <c r="C18" i="13"/>
  <c r="C17" i="13"/>
  <c r="C16" i="13"/>
  <c r="C15" i="13"/>
  <c r="C14" i="13"/>
  <c r="D23" i="14"/>
  <c r="D22" i="14"/>
  <c r="D21" i="14"/>
  <c r="D20" i="14"/>
  <c r="D19" i="14"/>
  <c r="D18" i="14"/>
  <c r="D17" i="14"/>
  <c r="D16" i="14"/>
  <c r="D15" i="14"/>
  <c r="D14" i="14"/>
  <c r="C23" i="14"/>
  <c r="C22" i="14"/>
  <c r="C21" i="14"/>
  <c r="C20" i="14"/>
  <c r="C19" i="14"/>
  <c r="C18" i="14"/>
  <c r="C17" i="14"/>
  <c r="C16" i="14"/>
  <c r="C15" i="14"/>
  <c r="C14" i="14"/>
  <c r="M22" i="14"/>
  <c r="L22" i="14"/>
  <c r="N48" i="30"/>
  <c r="M56" i="30"/>
  <c r="M55" i="30"/>
  <c r="M54" i="30"/>
  <c r="M53" i="30"/>
  <c r="M52" i="30"/>
  <c r="M51" i="30"/>
  <c r="M50" i="30"/>
  <c r="M49" i="30"/>
  <c r="M48" i="30"/>
  <c r="M47" i="30"/>
  <c r="C23" i="60" l="1"/>
  <c r="D22" i="60"/>
  <c r="C22" i="60"/>
  <c r="E21" i="60"/>
  <c r="D21" i="60"/>
  <c r="C21" i="60"/>
  <c r="F20" i="60"/>
  <c r="E20" i="60"/>
  <c r="D20" i="60"/>
  <c r="C20" i="60"/>
  <c r="G19" i="60"/>
  <c r="F19" i="60"/>
  <c r="E19" i="60"/>
  <c r="D19" i="60"/>
  <c r="C19" i="60"/>
  <c r="H18" i="60"/>
  <c r="G18" i="60"/>
  <c r="F18" i="60"/>
  <c r="E18" i="60"/>
  <c r="D18" i="60"/>
  <c r="C18" i="60"/>
  <c r="I17" i="60"/>
  <c r="H17" i="60"/>
  <c r="G17" i="60"/>
  <c r="F17" i="60"/>
  <c r="E17" i="60"/>
  <c r="D17" i="60"/>
  <c r="C17" i="60"/>
  <c r="J16" i="60"/>
  <c r="I16" i="60"/>
  <c r="H16" i="60"/>
  <c r="G16" i="60"/>
  <c r="F16" i="60"/>
  <c r="E16" i="60"/>
  <c r="D16" i="60"/>
  <c r="C16" i="60"/>
  <c r="K15" i="60"/>
  <c r="J15" i="60"/>
  <c r="I15" i="60"/>
  <c r="H15" i="60"/>
  <c r="G15" i="60"/>
  <c r="F15" i="60"/>
  <c r="E15" i="60"/>
  <c r="D15" i="60"/>
  <c r="C15" i="60"/>
  <c r="K14" i="60"/>
  <c r="J14" i="60"/>
  <c r="I14" i="60"/>
  <c r="H14" i="60"/>
  <c r="G14" i="60"/>
  <c r="F14" i="60"/>
  <c r="E14" i="60"/>
  <c r="D14" i="60"/>
  <c r="C14" i="60"/>
  <c r="O23" i="60"/>
  <c r="N23" i="60"/>
  <c r="A56" i="30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56" i="33"/>
  <c r="F55" i="33"/>
  <c r="F54" i="33"/>
  <c r="F53" i="33"/>
  <c r="F52" i="33"/>
  <c r="F51" i="33"/>
  <c r="F50" i="33"/>
  <c r="F49" i="33"/>
  <c r="F48" i="33"/>
  <c r="F47" i="33"/>
  <c r="F46" i="33"/>
  <c r="F45" i="33"/>
  <c r="F44" i="33"/>
  <c r="F43" i="33"/>
  <c r="F42" i="33"/>
  <c r="F41" i="33"/>
  <c r="F40" i="33"/>
  <c r="F39" i="33"/>
  <c r="F38" i="33"/>
  <c r="F37" i="33"/>
  <c r="F36" i="33"/>
  <c r="F35" i="33"/>
  <c r="F34" i="33"/>
  <c r="F33" i="33"/>
  <c r="F32" i="33"/>
  <c r="F31" i="33"/>
  <c r="F30" i="33"/>
  <c r="F29" i="33"/>
  <c r="F28" i="33"/>
  <c r="F27" i="33"/>
  <c r="F26" i="33"/>
  <c r="F25" i="33"/>
  <c r="F24" i="33"/>
  <c r="F23" i="33"/>
  <c r="F22" i="33"/>
  <c r="C56" i="33"/>
  <c r="C55" i="33"/>
  <c r="C54" i="33"/>
  <c r="C53" i="33"/>
  <c r="C52" i="33"/>
  <c r="C51" i="33"/>
  <c r="C50" i="33"/>
  <c r="C49" i="33"/>
  <c r="C48" i="33"/>
  <c r="C47" i="33"/>
  <c r="C46" i="33"/>
  <c r="C45" i="33"/>
  <c r="C44" i="33"/>
  <c r="C43" i="33"/>
  <c r="C42" i="33"/>
  <c r="C41" i="33"/>
  <c r="C40" i="33"/>
  <c r="C39" i="33"/>
  <c r="C38" i="33"/>
  <c r="C37" i="33"/>
  <c r="C36" i="33"/>
  <c r="C35" i="33"/>
  <c r="C34" i="33"/>
  <c r="C33" i="33"/>
  <c r="C32" i="33"/>
  <c r="C31" i="33"/>
  <c r="C30" i="33"/>
  <c r="C29" i="33"/>
  <c r="C28" i="33"/>
  <c r="C27" i="33"/>
  <c r="C26" i="33"/>
  <c r="C25" i="33"/>
  <c r="C24" i="33"/>
  <c r="C23" i="33"/>
  <c r="C22" i="33"/>
  <c r="A56" i="33"/>
  <c r="F56" i="32"/>
  <c r="F55" i="32"/>
  <c r="F54" i="32"/>
  <c r="F53" i="32"/>
  <c r="F52" i="32"/>
  <c r="F51" i="32"/>
  <c r="F50" i="32"/>
  <c r="F49" i="32"/>
  <c r="F48" i="32"/>
  <c r="F47" i="32"/>
  <c r="F46" i="32"/>
  <c r="F45" i="32"/>
  <c r="F44" i="32"/>
  <c r="F43" i="32"/>
  <c r="F42" i="32"/>
  <c r="F41" i="32"/>
  <c r="F40" i="32"/>
  <c r="F39" i="32"/>
  <c r="F38" i="32"/>
  <c r="F37" i="32"/>
  <c r="F36" i="32"/>
  <c r="F35" i="32"/>
  <c r="F34" i="32"/>
  <c r="F33" i="32"/>
  <c r="F32" i="32"/>
  <c r="F31" i="32"/>
  <c r="F30" i="32"/>
  <c r="F29" i="32"/>
  <c r="F28" i="32"/>
  <c r="F27" i="32"/>
  <c r="F26" i="32"/>
  <c r="F25" i="32"/>
  <c r="F24" i="32"/>
  <c r="F23" i="32"/>
  <c r="F22" i="32"/>
  <c r="C56" i="32"/>
  <c r="C55" i="32"/>
  <c r="C54" i="32"/>
  <c r="C53" i="32"/>
  <c r="C52" i="32"/>
  <c r="C51" i="32"/>
  <c r="C50" i="32"/>
  <c r="C49" i="32"/>
  <c r="C48" i="32"/>
  <c r="C47" i="32"/>
  <c r="C46" i="32"/>
  <c r="C45" i="32"/>
  <c r="C44" i="32"/>
  <c r="C43" i="32"/>
  <c r="C42" i="32"/>
  <c r="C41" i="32"/>
  <c r="C40" i="32"/>
  <c r="C39" i="32"/>
  <c r="C38" i="32"/>
  <c r="C37" i="32"/>
  <c r="C36" i="32"/>
  <c r="C35" i="32"/>
  <c r="C34" i="32"/>
  <c r="C33" i="32"/>
  <c r="C32" i="32"/>
  <c r="C31" i="32"/>
  <c r="C30" i="32"/>
  <c r="C29" i="32"/>
  <c r="C28" i="32"/>
  <c r="C27" i="32"/>
  <c r="C26" i="32"/>
  <c r="C25" i="32"/>
  <c r="C24" i="32"/>
  <c r="C23" i="32"/>
  <c r="C22" i="32"/>
  <c r="A56" i="32"/>
  <c r="F39" i="31"/>
  <c r="F56" i="31"/>
  <c r="F55" i="31"/>
  <c r="F54" i="31"/>
  <c r="F53" i="31"/>
  <c r="F52" i="31"/>
  <c r="F51" i="31"/>
  <c r="F50" i="31"/>
  <c r="F49" i="31"/>
  <c r="F48" i="31"/>
  <c r="F47" i="31"/>
  <c r="F46" i="31"/>
  <c r="F45" i="31"/>
  <c r="F44" i="31"/>
  <c r="F43" i="31"/>
  <c r="F42" i="31"/>
  <c r="F41" i="31"/>
  <c r="F40" i="31"/>
  <c r="F38" i="31"/>
  <c r="F37" i="31"/>
  <c r="F36" i="31"/>
  <c r="F35" i="31"/>
  <c r="F34" i="31"/>
  <c r="F33" i="31"/>
  <c r="F32" i="31"/>
  <c r="F31" i="31"/>
  <c r="F30" i="31"/>
  <c r="F29" i="31"/>
  <c r="F28" i="31"/>
  <c r="F27" i="31"/>
  <c r="F26" i="31"/>
  <c r="F25" i="31"/>
  <c r="F24" i="31"/>
  <c r="F23" i="31"/>
  <c r="F22" i="31"/>
  <c r="C56" i="31"/>
  <c r="C55" i="31"/>
  <c r="C54" i="31"/>
  <c r="C53" i="31"/>
  <c r="C52" i="31"/>
  <c r="C51" i="31"/>
  <c r="C50" i="31"/>
  <c r="C49" i="31"/>
  <c r="C48" i="31"/>
  <c r="C47" i="31"/>
  <c r="C46" i="31"/>
  <c r="C45" i="31"/>
  <c r="C44" i="31"/>
  <c r="C43" i="31"/>
  <c r="C42" i="31"/>
  <c r="C41" i="31"/>
  <c r="C40" i="31"/>
  <c r="C39" i="31"/>
  <c r="C38" i="31"/>
  <c r="C37" i="31"/>
  <c r="C36" i="31"/>
  <c r="C35" i="31"/>
  <c r="C34" i="31"/>
  <c r="C33" i="31"/>
  <c r="C32" i="31"/>
  <c r="C31" i="31"/>
  <c r="C30" i="31"/>
  <c r="C29" i="31"/>
  <c r="C28" i="31"/>
  <c r="C27" i="31"/>
  <c r="C26" i="31"/>
  <c r="C25" i="31"/>
  <c r="C24" i="31"/>
  <c r="C23" i="31"/>
  <c r="C22" i="31"/>
  <c r="D56" i="31"/>
  <c r="D56" i="33" s="1"/>
  <c r="D55" i="31"/>
  <c r="D54" i="31"/>
  <c r="D53" i="31"/>
  <c r="D52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9" i="31"/>
  <c r="D38" i="31"/>
  <c r="D37" i="31"/>
  <c r="D36" i="31"/>
  <c r="D35" i="31"/>
  <c r="D34" i="31"/>
  <c r="V53" i="31"/>
  <c r="BM56" i="31"/>
  <c r="BL56" i="31"/>
  <c r="BK56" i="31"/>
  <c r="BJ56" i="31"/>
  <c r="BI56" i="31"/>
  <c r="BH56" i="31"/>
  <c r="BG56" i="31"/>
  <c r="BF56" i="31"/>
  <c r="BE56" i="31"/>
  <c r="BD56" i="31"/>
  <c r="BC56" i="31"/>
  <c r="BB56" i="31"/>
  <c r="BA56" i="31"/>
  <c r="AZ56" i="31"/>
  <c r="AY56" i="31"/>
  <c r="AX56" i="31"/>
  <c r="AW56" i="31"/>
  <c r="AV56" i="31"/>
  <c r="AU56" i="31"/>
  <c r="AT56" i="31"/>
  <c r="AS56" i="31"/>
  <c r="AR56" i="31"/>
  <c r="AQ56" i="31"/>
  <c r="AP56" i="31"/>
  <c r="AO56" i="31"/>
  <c r="AN56" i="31"/>
  <c r="AM56" i="31"/>
  <c r="AL56" i="31"/>
  <c r="AK56" i="31"/>
  <c r="AJ56" i="31"/>
  <c r="AI56" i="31"/>
  <c r="AH56" i="31"/>
  <c r="AG56" i="31"/>
  <c r="AF56" i="31"/>
  <c r="AE56" i="31"/>
  <c r="AD56" i="31"/>
  <c r="AC56" i="31"/>
  <c r="AB56" i="31"/>
  <c r="AA56" i="31"/>
  <c r="Z56" i="31"/>
  <c r="Y56" i="31"/>
  <c r="X56" i="31"/>
  <c r="W56" i="31"/>
  <c r="X55" i="31"/>
  <c r="Y55" i="31"/>
  <c r="Z55" i="31"/>
  <c r="AA55" i="31"/>
  <c r="AB55" i="31"/>
  <c r="AC55" i="31"/>
  <c r="AD55" i="31"/>
  <c r="AE55" i="31"/>
  <c r="AF55" i="31"/>
  <c r="AG55" i="31"/>
  <c r="AH55" i="31"/>
  <c r="AI55" i="31"/>
  <c r="AJ55" i="31"/>
  <c r="AK55" i="31"/>
  <c r="AL55" i="31"/>
  <c r="AM55" i="31"/>
  <c r="AN55" i="31"/>
  <c r="AO55" i="31"/>
  <c r="AP55" i="31"/>
  <c r="AQ55" i="31"/>
  <c r="AR55" i="31"/>
  <c r="AS55" i="31"/>
  <c r="AT55" i="31"/>
  <c r="AU55" i="31"/>
  <c r="AV55" i="31"/>
  <c r="AW55" i="31"/>
  <c r="AX55" i="31"/>
  <c r="AY55" i="31"/>
  <c r="AZ55" i="31"/>
  <c r="BA55" i="31"/>
  <c r="BB55" i="31"/>
  <c r="BC55" i="31"/>
  <c r="BD55" i="31"/>
  <c r="BE55" i="31"/>
  <c r="BF55" i="31"/>
  <c r="BG55" i="31"/>
  <c r="BH55" i="31"/>
  <c r="BI55" i="31"/>
  <c r="BJ55" i="31"/>
  <c r="BK55" i="31"/>
  <c r="BL55" i="31"/>
  <c r="BM55" i="31"/>
  <c r="W55" i="31"/>
  <c r="T53" i="31"/>
  <c r="L57" i="31"/>
  <c r="K57" i="31"/>
  <c r="A56" i="31"/>
  <c r="C56" i="34"/>
  <c r="C55" i="34"/>
  <c r="C54" i="34"/>
  <c r="C53" i="34"/>
  <c r="C52" i="34"/>
  <c r="C51" i="34"/>
  <c r="C50" i="34"/>
  <c r="C49" i="34"/>
  <c r="C48" i="34"/>
  <c r="C47" i="34"/>
  <c r="C46" i="34"/>
  <c r="C45" i="34"/>
  <c r="C44" i="34"/>
  <c r="C43" i="34"/>
  <c r="C42" i="34"/>
  <c r="C41" i="34"/>
  <c r="C40" i="34"/>
  <c r="C39" i="34"/>
  <c r="C38" i="34"/>
  <c r="C37" i="34"/>
  <c r="C36" i="34"/>
  <c r="C35" i="34"/>
  <c r="C34" i="34"/>
  <c r="C33" i="34"/>
  <c r="C32" i="34"/>
  <c r="C31" i="34"/>
  <c r="C30" i="34"/>
  <c r="C29" i="34"/>
  <c r="C28" i="34"/>
  <c r="C27" i="34"/>
  <c r="C26" i="34"/>
  <c r="C25" i="34"/>
  <c r="C24" i="34"/>
  <c r="C23" i="34"/>
  <c r="C22" i="34"/>
  <c r="A56" i="34"/>
  <c r="C23" i="44"/>
  <c r="C22" i="44"/>
  <c r="C21" i="44"/>
  <c r="C20" i="44"/>
  <c r="C19" i="44"/>
  <c r="C18" i="44"/>
  <c r="C17" i="44"/>
  <c r="C16" i="44"/>
  <c r="C15" i="44"/>
  <c r="C14" i="44"/>
  <c r="C23" i="43"/>
  <c r="C22" i="43"/>
  <c r="C21" i="43"/>
  <c r="C20" i="43"/>
  <c r="C19" i="43"/>
  <c r="C18" i="43"/>
  <c r="C17" i="43"/>
  <c r="C16" i="43"/>
  <c r="C15" i="43"/>
  <c r="C14" i="43"/>
  <c r="C23" i="42"/>
  <c r="C22" i="42"/>
  <c r="C21" i="42"/>
  <c r="C20" i="42"/>
  <c r="C19" i="42"/>
  <c r="C18" i="42"/>
  <c r="C17" i="42"/>
  <c r="C16" i="42"/>
  <c r="C15" i="42"/>
  <c r="C14" i="42"/>
  <c r="C23" i="41"/>
  <c r="C22" i="41"/>
  <c r="C21" i="41"/>
  <c r="C20" i="41"/>
  <c r="C19" i="41"/>
  <c r="C18" i="41"/>
  <c r="C17" i="41"/>
  <c r="C16" i="41"/>
  <c r="C15" i="41"/>
  <c r="C14" i="41"/>
  <c r="L23" i="41"/>
  <c r="E28" i="66"/>
  <c r="E27" i="66"/>
  <c r="E26" i="66"/>
  <c r="E25" i="66"/>
  <c r="E24" i="66"/>
  <c r="E23" i="66"/>
  <c r="E22" i="66"/>
  <c r="E21" i="66"/>
  <c r="E20" i="66"/>
  <c r="E19" i="66"/>
  <c r="E18" i="66"/>
  <c r="E17" i="66"/>
  <c r="E16" i="66"/>
  <c r="E15" i="66"/>
  <c r="E14" i="66"/>
  <c r="E28" i="65"/>
  <c r="E27" i="65"/>
  <c r="E26" i="65"/>
  <c r="E25" i="65"/>
  <c r="E24" i="65"/>
  <c r="E23" i="65"/>
  <c r="E22" i="65"/>
  <c r="E21" i="65"/>
  <c r="E20" i="65"/>
  <c r="E19" i="65"/>
  <c r="E18" i="65"/>
  <c r="E17" i="65"/>
  <c r="E16" i="65"/>
  <c r="E15" i="65"/>
  <c r="E14" i="65"/>
  <c r="E28" i="37"/>
  <c r="E27" i="37"/>
  <c r="E26" i="37"/>
  <c r="E25" i="37"/>
  <c r="E24" i="37"/>
  <c r="E23" i="37"/>
  <c r="E22" i="37"/>
  <c r="E21" i="37"/>
  <c r="E20" i="37"/>
  <c r="E19" i="37"/>
  <c r="E18" i="37"/>
  <c r="E17" i="37"/>
  <c r="E16" i="37"/>
  <c r="E15" i="37"/>
  <c r="E14" i="37"/>
  <c r="E33" i="35"/>
  <c r="E28" i="35"/>
  <c r="E27" i="35"/>
  <c r="E26" i="35"/>
  <c r="E25" i="35"/>
  <c r="E24" i="35"/>
  <c r="E23" i="35"/>
  <c r="E22" i="35"/>
  <c r="E21" i="35"/>
  <c r="E20" i="35"/>
  <c r="E19" i="35"/>
  <c r="E18" i="35"/>
  <c r="E17" i="35"/>
  <c r="E16" i="35"/>
  <c r="E15" i="35"/>
  <c r="E14" i="35"/>
  <c r="C28" i="35"/>
  <c r="C27" i="35"/>
  <c r="C26" i="35"/>
  <c r="C25" i="35"/>
  <c r="C24" i="35"/>
  <c r="C23" i="35"/>
  <c r="C22" i="35"/>
  <c r="C21" i="35"/>
  <c r="C20" i="35"/>
  <c r="C19" i="35"/>
  <c r="C18" i="35"/>
  <c r="C17" i="35"/>
  <c r="C16" i="35"/>
  <c r="C15" i="35"/>
  <c r="C14" i="35"/>
  <c r="E56" i="33" l="1"/>
  <c r="G56" i="33" s="1"/>
  <c r="E56" i="30" s="1"/>
  <c r="D56" i="34"/>
  <c r="E56" i="34" s="1"/>
  <c r="G56" i="34" s="1"/>
  <c r="F56" i="30" s="1"/>
  <c r="E56" i="31"/>
  <c r="D56" i="32"/>
  <c r="E56" i="32" s="1"/>
  <c r="G56" i="32" s="1"/>
  <c r="D56" i="30" s="1"/>
  <c r="E31" i="45"/>
  <c r="E30" i="45"/>
  <c r="E29" i="45"/>
  <c r="E28" i="45"/>
  <c r="E27" i="45"/>
  <c r="E26" i="45"/>
  <c r="E25" i="45"/>
  <c r="E24" i="45"/>
  <c r="E23" i="45"/>
  <c r="E22" i="45"/>
  <c r="E21" i="45"/>
  <c r="E20" i="45"/>
  <c r="E19" i="45"/>
  <c r="E18" i="45"/>
  <c r="E17" i="45"/>
  <c r="E16" i="45"/>
  <c r="E15" i="45"/>
  <c r="E14" i="45"/>
  <c r="C31" i="45"/>
  <c r="C30" i="45"/>
  <c r="C29" i="45"/>
  <c r="C28" i="45"/>
  <c r="C27" i="45"/>
  <c r="C26" i="45"/>
  <c r="C25" i="45"/>
  <c r="C24" i="45"/>
  <c r="C23" i="45"/>
  <c r="C22" i="45"/>
  <c r="C21" i="45"/>
  <c r="C20" i="45"/>
  <c r="C19" i="45"/>
  <c r="C18" i="45"/>
  <c r="C17" i="45"/>
  <c r="C16" i="45"/>
  <c r="C15" i="45"/>
  <c r="C14" i="45"/>
  <c r="E52" i="17"/>
  <c r="E51" i="17"/>
  <c r="E50" i="17"/>
  <c r="E49" i="17"/>
  <c r="E48" i="17"/>
  <c r="E47" i="17"/>
  <c r="E46" i="17"/>
  <c r="E45" i="17"/>
  <c r="E44" i="17"/>
  <c r="E43" i="17"/>
  <c r="E42" i="17"/>
  <c r="E41" i="17"/>
  <c r="E40" i="17"/>
  <c r="E39" i="17"/>
  <c r="E38" i="17"/>
  <c r="E37" i="17"/>
  <c r="E36" i="17"/>
  <c r="E35" i="17"/>
  <c r="E34" i="17"/>
  <c r="E33" i="17"/>
  <c r="E32" i="17"/>
  <c r="E31" i="17"/>
  <c r="E30" i="17"/>
  <c r="E29" i="17"/>
  <c r="E28" i="17"/>
  <c r="E27" i="17"/>
  <c r="E26" i="17"/>
  <c r="E25" i="17"/>
  <c r="E24" i="17"/>
  <c r="E23" i="17"/>
  <c r="E22" i="17"/>
  <c r="E21" i="17"/>
  <c r="E20" i="17"/>
  <c r="E19" i="17"/>
  <c r="E18" i="17"/>
  <c r="E17" i="17"/>
  <c r="E16" i="17"/>
  <c r="E15" i="17"/>
  <c r="E14" i="17"/>
  <c r="D52" i="17"/>
  <c r="D51" i="17"/>
  <c r="D50" i="17"/>
  <c r="D49" i="17"/>
  <c r="D48" i="17"/>
  <c r="D47" i="17"/>
  <c r="D46" i="17"/>
  <c r="D45" i="17"/>
  <c r="D44" i="17"/>
  <c r="D43" i="17"/>
  <c r="D42" i="17"/>
  <c r="D41" i="17"/>
  <c r="D40" i="17"/>
  <c r="D39" i="17"/>
  <c r="D38" i="17"/>
  <c r="D37" i="17"/>
  <c r="D36" i="17"/>
  <c r="D35" i="17"/>
  <c r="D34" i="17"/>
  <c r="D33" i="17"/>
  <c r="D32" i="17"/>
  <c r="D31" i="17"/>
  <c r="D30" i="17"/>
  <c r="D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G56" i="31" l="1"/>
  <c r="C56" i="30" s="1"/>
  <c r="E72" i="29"/>
  <c r="D31" i="45"/>
  <c r="C33" i="45"/>
  <c r="E33" i="45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53" i="20"/>
  <c r="C52" i="20"/>
  <c r="C51" i="20"/>
  <c r="C50" i="20"/>
  <c r="C49" i="20"/>
  <c r="C48" i="20"/>
  <c r="C47" i="20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30" i="20"/>
  <c r="C29" i="20"/>
  <c r="C28" i="20"/>
  <c r="C27" i="20"/>
  <c r="C26" i="20"/>
  <c r="C25" i="20"/>
  <c r="C24" i="20"/>
  <c r="C23" i="20"/>
  <c r="C22" i="20"/>
  <c r="C21" i="20"/>
  <c r="C20" i="20"/>
  <c r="C19" i="20"/>
  <c r="C18" i="20"/>
  <c r="C17" i="20"/>
  <c r="C16" i="20"/>
  <c r="C15" i="20"/>
  <c r="C14" i="20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53" i="40"/>
  <c r="A4" i="40" l="1"/>
  <c r="N4" i="40"/>
  <c r="E53" i="40" s="1"/>
  <c r="T16" i="31" l="1"/>
  <c r="T17" i="31"/>
  <c r="T18" i="31"/>
  <c r="T19" i="31"/>
  <c r="T20" i="31"/>
  <c r="T21" i="31"/>
  <c r="T22" i="31"/>
  <c r="T23" i="31"/>
  <c r="T24" i="31"/>
  <c r="T25" i="31"/>
  <c r="T26" i="31"/>
  <c r="T27" i="31"/>
  <c r="T28" i="31"/>
  <c r="T29" i="31"/>
  <c r="T30" i="31"/>
  <c r="T31" i="31"/>
  <c r="T32" i="31"/>
  <c r="T33" i="31"/>
  <c r="T34" i="31"/>
  <c r="T35" i="31"/>
  <c r="T36" i="31"/>
  <c r="T37" i="31"/>
  <c r="T38" i="31"/>
  <c r="T39" i="31"/>
  <c r="T40" i="31"/>
  <c r="T41" i="31"/>
  <c r="T42" i="31"/>
  <c r="T43" i="31"/>
  <c r="T44" i="31"/>
  <c r="T45" i="31"/>
  <c r="T46" i="31"/>
  <c r="T47" i="31"/>
  <c r="T48" i="31"/>
  <c r="T49" i="31"/>
  <c r="T50" i="31"/>
  <c r="T51" i="31"/>
  <c r="T52" i="31"/>
  <c r="G51" i="62" l="1"/>
  <c r="F51" i="62"/>
  <c r="D51" i="62"/>
  <c r="B51" i="62"/>
  <c r="M11" i="35"/>
  <c r="M22" i="12" l="1"/>
  <c r="L22" i="13"/>
  <c r="N9" i="20"/>
  <c r="L22" i="12" l="1"/>
  <c r="L22" i="11"/>
  <c r="M22" i="11"/>
  <c r="M22" i="13"/>
  <c r="E55" i="31" l="1"/>
  <c r="G55" i="31" s="1"/>
  <c r="C55" i="30" s="1"/>
  <c r="D38" i="32"/>
  <c r="E38" i="32" s="1"/>
  <c r="G38" i="32" s="1"/>
  <c r="D38" i="33"/>
  <c r="E38" i="33" s="1"/>
  <c r="G38" i="33" s="1"/>
  <c r="D34" i="32"/>
  <c r="E34" i="32" s="1"/>
  <c r="G34" i="32" s="1"/>
  <c r="D34" i="33"/>
  <c r="E34" i="33" s="1"/>
  <c r="G34" i="33" s="1"/>
  <c r="D47" i="32"/>
  <c r="E47" i="32" s="1"/>
  <c r="G47" i="32" s="1"/>
  <c r="D47" i="33"/>
  <c r="E47" i="33" s="1"/>
  <c r="G47" i="33" s="1"/>
  <c r="D43" i="33"/>
  <c r="E43" i="33" s="1"/>
  <c r="G43" i="33" s="1"/>
  <c r="D43" i="32"/>
  <c r="E43" i="32" s="1"/>
  <c r="G43" i="32" s="1"/>
  <c r="D50" i="32"/>
  <c r="E50" i="32" s="1"/>
  <c r="G50" i="32" s="1"/>
  <c r="D50" i="33"/>
  <c r="E50" i="33" s="1"/>
  <c r="G50" i="33" s="1"/>
  <c r="D49" i="33"/>
  <c r="E49" i="33" s="1"/>
  <c r="G49" i="33" s="1"/>
  <c r="D49" i="32"/>
  <c r="E49" i="32" s="1"/>
  <c r="G49" i="32" s="1"/>
  <c r="D37" i="32"/>
  <c r="E37" i="32" s="1"/>
  <c r="G37" i="32" s="1"/>
  <c r="D37" i="33"/>
  <c r="E37" i="33" s="1"/>
  <c r="G37" i="33" s="1"/>
  <c r="D48" i="32"/>
  <c r="E48" i="32" s="1"/>
  <c r="G48" i="32" s="1"/>
  <c r="D48" i="33"/>
  <c r="E48" i="33" s="1"/>
  <c r="G48" i="33" s="1"/>
  <c r="D46" i="33"/>
  <c r="E46" i="33" s="1"/>
  <c r="G46" i="33" s="1"/>
  <c r="D46" i="32"/>
  <c r="E46" i="32" s="1"/>
  <c r="G46" i="32" s="1"/>
  <c r="D41" i="32"/>
  <c r="E41" i="32" s="1"/>
  <c r="G41" i="32" s="1"/>
  <c r="D41" i="33"/>
  <c r="E41" i="33" s="1"/>
  <c r="G41" i="33" s="1"/>
  <c r="D35" i="32"/>
  <c r="E35" i="32" s="1"/>
  <c r="G35" i="32" s="1"/>
  <c r="D35" i="33"/>
  <c r="E35" i="33" s="1"/>
  <c r="G35" i="33" s="1"/>
  <c r="D44" i="33"/>
  <c r="E44" i="33" s="1"/>
  <c r="G44" i="33" s="1"/>
  <c r="D44" i="32"/>
  <c r="E44" i="32" s="1"/>
  <c r="G44" i="32" s="1"/>
  <c r="D55" i="32"/>
  <c r="E55" i="32" s="1"/>
  <c r="G55" i="32" s="1"/>
  <c r="D55" i="30" s="1"/>
  <c r="D55" i="34"/>
  <c r="E55" i="34" s="1"/>
  <c r="G55" i="34" s="1"/>
  <c r="F55" i="30" s="1"/>
  <c r="D55" i="33"/>
  <c r="E55" i="33" s="1"/>
  <c r="G55" i="33" s="1"/>
  <c r="E55" i="30" s="1"/>
  <c r="D42" i="32"/>
  <c r="E42" i="32" s="1"/>
  <c r="G42" i="32" s="1"/>
  <c r="D42" i="33"/>
  <c r="E42" i="33" s="1"/>
  <c r="G42" i="33" s="1"/>
  <c r="D36" i="33"/>
  <c r="E36" i="33" s="1"/>
  <c r="G36" i="33" s="1"/>
  <c r="D36" i="32"/>
  <c r="E36" i="32" s="1"/>
  <c r="G36" i="32" s="1"/>
  <c r="D45" i="32"/>
  <c r="E45" i="32" s="1"/>
  <c r="G45" i="32" s="1"/>
  <c r="D45" i="33"/>
  <c r="E45" i="33" s="1"/>
  <c r="G45" i="33" s="1"/>
  <c r="D54" i="32"/>
  <c r="E54" i="32" s="1"/>
  <c r="G54" i="32" s="1"/>
  <c r="D54" i="33"/>
  <c r="E54" i="33" s="1"/>
  <c r="G54" i="33" s="1"/>
  <c r="D53" i="32"/>
  <c r="E53" i="32" s="1"/>
  <c r="G53" i="32" s="1"/>
  <c r="D53" i="33"/>
  <c r="E53" i="33" s="1"/>
  <c r="G53" i="33" s="1"/>
  <c r="D52" i="33"/>
  <c r="E52" i="33" s="1"/>
  <c r="G52" i="33" s="1"/>
  <c r="D52" i="32"/>
  <c r="E52" i="32" s="1"/>
  <c r="G52" i="32" s="1"/>
  <c r="D40" i="32"/>
  <c r="E40" i="32" s="1"/>
  <c r="G40" i="32" s="1"/>
  <c r="D40" i="33"/>
  <c r="E40" i="33" s="1"/>
  <c r="G40" i="33" s="1"/>
  <c r="D51" i="33"/>
  <c r="E51" i="33" s="1"/>
  <c r="G51" i="33" s="1"/>
  <c r="D51" i="32"/>
  <c r="E51" i="32" s="1"/>
  <c r="G51" i="32" s="1"/>
  <c r="D39" i="32"/>
  <c r="E39" i="32" s="1"/>
  <c r="G39" i="32" s="1"/>
  <c r="D39" i="33"/>
  <c r="E39" i="33" s="1"/>
  <c r="G39" i="33" s="1"/>
  <c r="E71" i="29" l="1"/>
  <c r="D53" i="40" l="1"/>
  <c r="B10" i="69"/>
  <c r="A3" i="69"/>
  <c r="A2" i="69"/>
  <c r="A1" i="69"/>
  <c r="D15" i="45" l="1"/>
  <c r="D27" i="45"/>
  <c r="D26" i="45"/>
  <c r="D24" i="45"/>
  <c r="D23" i="45"/>
  <c r="D21" i="45"/>
  <c r="D22" i="45"/>
  <c r="D20" i="45"/>
  <c r="D19" i="45"/>
  <c r="D18" i="45"/>
  <c r="D17" i="45"/>
  <c r="D25" i="45"/>
  <c r="D30" i="45"/>
  <c r="D29" i="45"/>
  <c r="D28" i="45"/>
  <c r="D16" i="45"/>
  <c r="C62" i="17" l="1"/>
  <c r="C61" i="17"/>
  <c r="C67" i="17"/>
  <c r="D74" i="29" l="1"/>
  <c r="B29" i="7" l="1"/>
  <c r="B64" i="21" l="1"/>
  <c r="B27" i="27"/>
  <c r="B38" i="18"/>
  <c r="B62" i="19"/>
  <c r="B62" i="20"/>
  <c r="B32" i="6"/>
  <c r="B31" i="6"/>
  <c r="B32" i="5"/>
  <c r="B31" i="5"/>
  <c r="B32" i="4"/>
  <c r="B31" i="4"/>
  <c r="B32" i="3"/>
  <c r="B31" i="3"/>
  <c r="B74" i="30"/>
  <c r="B61" i="20"/>
  <c r="B61" i="19"/>
  <c r="G43" i="62"/>
  <c r="G44" i="62"/>
  <c r="G50" i="62"/>
  <c r="F52" i="62"/>
  <c r="F50" i="62"/>
  <c r="F44" i="62"/>
  <c r="F43" i="62"/>
  <c r="F42" i="62"/>
  <c r="G36" i="62"/>
  <c r="F36" i="62"/>
  <c r="D44" i="62"/>
  <c r="D43" i="62"/>
  <c r="D42" i="62"/>
  <c r="D41" i="62"/>
  <c r="D36" i="62"/>
  <c r="D35" i="62"/>
  <c r="A5" i="28"/>
  <c r="B52" i="62"/>
  <c r="B49" i="62"/>
  <c r="B48" i="62"/>
  <c r="B47" i="62"/>
  <c r="B46" i="62"/>
  <c r="B39" i="62"/>
  <c r="B36" i="62"/>
  <c r="B35" i="62"/>
  <c r="B34" i="62"/>
  <c r="B40" i="62"/>
  <c r="B38" i="62"/>
  <c r="B33" i="62"/>
  <c r="B10" i="62"/>
  <c r="B50" i="62"/>
  <c r="B41" i="62"/>
  <c r="B48" i="28"/>
  <c r="A11" i="18"/>
  <c r="C70" i="17"/>
  <c r="A27" i="60"/>
  <c r="A26" i="60"/>
  <c r="A25" i="60"/>
  <c r="A28" i="15"/>
  <c r="G17" i="62"/>
  <c r="F17" i="62"/>
  <c r="D17" i="62"/>
  <c r="B17" i="62"/>
  <c r="B30" i="3"/>
  <c r="D14" i="68"/>
  <c r="E12" i="68"/>
  <c r="B32" i="68" s="1"/>
  <c r="D12" i="68"/>
  <c r="B31" i="68" s="1"/>
  <c r="C12" i="68"/>
  <c r="A12" i="68"/>
  <c r="A3" i="68"/>
  <c r="A2" i="68"/>
  <c r="A1" i="68"/>
  <c r="D14" i="10"/>
  <c r="D14" i="9"/>
  <c r="D14" i="8"/>
  <c r="G12" i="7"/>
  <c r="H12" i="7"/>
  <c r="G23" i="7"/>
  <c r="C12" i="7"/>
  <c r="G19" i="46" l="1"/>
  <c r="G31" i="46"/>
  <c r="G32" i="46" s="1"/>
  <c r="G36" i="46"/>
  <c r="G23" i="46"/>
  <c r="C22" i="7"/>
  <c r="C21" i="7" l="1"/>
  <c r="G22" i="7"/>
  <c r="C20" i="7" l="1"/>
  <c r="G21" i="7"/>
  <c r="C19" i="7" l="1"/>
  <c r="G20" i="7"/>
  <c r="C18" i="7" l="1"/>
  <c r="G19" i="7"/>
  <c r="C17" i="7" l="1"/>
  <c r="G18" i="7"/>
  <c r="C16" i="7" l="1"/>
  <c r="G17" i="7"/>
  <c r="C15" i="7" l="1"/>
  <c r="G16" i="7"/>
  <c r="C14" i="7" l="1"/>
  <c r="G15" i="7"/>
  <c r="G14" i="7" l="1"/>
  <c r="B37" i="18" l="1"/>
  <c r="G16" i="62" l="1"/>
  <c r="F16" i="62"/>
  <c r="G49" i="62"/>
  <c r="F49" i="62"/>
  <c r="G48" i="62"/>
  <c r="F48" i="62"/>
  <c r="G47" i="62"/>
  <c r="F47" i="62"/>
  <c r="G46" i="62"/>
  <c r="F46" i="62"/>
  <c r="F45" i="62"/>
  <c r="G42" i="62"/>
  <c r="G41" i="62"/>
  <c r="F41" i="62"/>
  <c r="G40" i="62"/>
  <c r="F40" i="62"/>
  <c r="G39" i="62"/>
  <c r="F39" i="62"/>
  <c r="G38" i="62"/>
  <c r="F38" i="62"/>
  <c r="G37" i="62"/>
  <c r="G31" i="62"/>
  <c r="F31" i="62"/>
  <c r="G30" i="62"/>
  <c r="F30" i="62"/>
  <c r="G29" i="62"/>
  <c r="F29" i="62"/>
  <c r="G28" i="62"/>
  <c r="F28" i="62"/>
  <c r="G26" i="62"/>
  <c r="F26" i="62"/>
  <c r="G25" i="62"/>
  <c r="F25" i="62"/>
  <c r="G24" i="62"/>
  <c r="F24" i="62"/>
  <c r="G23" i="62"/>
  <c r="F23" i="62"/>
  <c r="G22" i="62"/>
  <c r="F22" i="62"/>
  <c r="G21" i="62"/>
  <c r="F21" i="62"/>
  <c r="G20" i="62"/>
  <c r="F20" i="62"/>
  <c r="G19" i="62"/>
  <c r="F19" i="62"/>
  <c r="G18" i="62"/>
  <c r="F18" i="62"/>
  <c r="G15" i="62"/>
  <c r="F15" i="62"/>
  <c r="G14" i="62"/>
  <c r="F14" i="62"/>
  <c r="G13" i="62"/>
  <c r="F13" i="62"/>
  <c r="G12" i="62"/>
  <c r="F12" i="62"/>
  <c r="G11" i="62"/>
  <c r="F11" i="62"/>
  <c r="F10" i="62"/>
  <c r="F37" i="62"/>
  <c r="G35" i="62"/>
  <c r="F35" i="62"/>
  <c r="G34" i="62"/>
  <c r="F34" i="62"/>
  <c r="F33" i="62"/>
  <c r="F32" i="62"/>
  <c r="B33" i="1"/>
  <c r="B31" i="1"/>
  <c r="A11" i="60"/>
  <c r="A28" i="60" s="1"/>
  <c r="C74" i="29" l="1"/>
  <c r="N8" i="1"/>
  <c r="B31" i="10"/>
  <c r="B31" i="9"/>
  <c r="B31" i="8"/>
  <c r="C23" i="68"/>
  <c r="C22" i="68"/>
  <c r="C21" i="68"/>
  <c r="C20" i="68"/>
  <c r="C19" i="68"/>
  <c r="C18" i="68"/>
  <c r="C17" i="68"/>
  <c r="C16" i="68"/>
  <c r="C15" i="68"/>
  <c r="C14" i="68"/>
  <c r="M22" i="68"/>
  <c r="B30" i="68" s="1"/>
  <c r="D12" i="7"/>
  <c r="E12" i="7"/>
  <c r="L22" i="68" l="1"/>
  <c r="A11" i="11"/>
  <c r="E14" i="68"/>
  <c r="C14" i="3" s="1"/>
  <c r="C26" i="68"/>
  <c r="F21" i="7"/>
  <c r="F17" i="7"/>
  <c r="F19" i="7"/>
  <c r="F23" i="7"/>
  <c r="F20" i="7"/>
  <c r="F16" i="7"/>
  <c r="F15" i="7"/>
  <c r="H16" i="7" s="1" a="1"/>
  <c r="H16" i="7" s="1"/>
  <c r="F14" i="7"/>
  <c r="H15" i="7" s="1" a="1"/>
  <c r="H15" i="7" s="1"/>
  <c r="F18" i="7"/>
  <c r="F22" i="7"/>
  <c r="H20" i="7" l="1" a="1"/>
  <c r="H20" i="7" s="1"/>
  <c r="D20" i="10" s="1"/>
  <c r="H19" i="7" a="1"/>
  <c r="H19" i="7" s="1"/>
  <c r="D19" i="9" s="1"/>
  <c r="H17" i="7" a="1"/>
  <c r="H17" i="7" s="1"/>
  <c r="D17" i="9" s="1"/>
  <c r="H21" i="7" a="1"/>
  <c r="H21" i="7" s="1"/>
  <c r="D21" i="10" s="1"/>
  <c r="H23" i="7" a="1"/>
  <c r="H23" i="7" s="1"/>
  <c r="D23" i="9" s="1"/>
  <c r="A23" i="68"/>
  <c r="A22" i="68" s="1"/>
  <c r="A21" i="68" s="1"/>
  <c r="A20" i="68" s="1"/>
  <c r="A19" i="68" s="1"/>
  <c r="A18" i="68" s="1"/>
  <c r="A17" i="68" s="1"/>
  <c r="A16" i="68" s="1"/>
  <c r="A15" i="68" s="1"/>
  <c r="A14" i="68" s="1"/>
  <c r="A11" i="68"/>
  <c r="D16" i="9"/>
  <c r="D16" i="8"/>
  <c r="D16" i="68"/>
  <c r="E16" i="68" s="1"/>
  <c r="C16" i="3" s="1"/>
  <c r="D16" i="10"/>
  <c r="D15" i="10"/>
  <c r="D15" i="9"/>
  <c r="D15" i="8"/>
  <c r="D15" i="68"/>
  <c r="E15" i="68" s="1"/>
  <c r="D20" i="8"/>
  <c r="H18" i="7" a="1"/>
  <c r="H18" i="7" s="1"/>
  <c r="H22" i="7" a="1"/>
  <c r="H22" i="7" s="1"/>
  <c r="D19" i="68" l="1"/>
  <c r="E19" i="68" s="1"/>
  <c r="C19" i="3" s="1"/>
  <c r="D19" i="10"/>
  <c r="D19" i="8"/>
  <c r="D20" i="9"/>
  <c r="D20" i="68"/>
  <c r="E20" i="68" s="1"/>
  <c r="C20" i="3" s="1"/>
  <c r="D17" i="68"/>
  <c r="E17" i="68" s="1"/>
  <c r="C17" i="3" s="1"/>
  <c r="D17" i="8"/>
  <c r="D21" i="8"/>
  <c r="D17" i="10"/>
  <c r="D21" i="9"/>
  <c r="D21" i="68"/>
  <c r="E21" i="68" s="1"/>
  <c r="C21" i="3" s="1"/>
  <c r="D23" i="68"/>
  <c r="E23" i="68" s="1"/>
  <c r="C23" i="3" s="1"/>
  <c r="D23" i="8"/>
  <c r="D23" i="10"/>
  <c r="C15" i="3"/>
  <c r="D22" i="10"/>
  <c r="D22" i="68"/>
  <c r="E22" i="68" s="1"/>
  <c r="C22" i="3" s="1"/>
  <c r="D22" i="9"/>
  <c r="D22" i="8"/>
  <c r="D18" i="8"/>
  <c r="D18" i="68"/>
  <c r="E18" i="68" s="1"/>
  <c r="C18" i="3" s="1"/>
  <c r="D18" i="9"/>
  <c r="D18" i="10"/>
  <c r="E26" i="68" l="1"/>
  <c r="D53" i="34"/>
  <c r="D48" i="34"/>
  <c r="D46" i="34"/>
  <c r="D45" i="34"/>
  <c r="D40" i="34"/>
  <c r="D38" i="34"/>
  <c r="D37" i="34"/>
  <c r="A11" i="31"/>
  <c r="C14" i="37"/>
  <c r="C15" i="37"/>
  <c r="C16" i="66"/>
  <c r="C17" i="37"/>
  <c r="C18" i="37"/>
  <c r="C19" i="66"/>
  <c r="C20" i="65"/>
  <c r="C21" i="37"/>
  <c r="C22" i="65"/>
  <c r="C23" i="37"/>
  <c r="C24" i="66"/>
  <c r="C25" i="65"/>
  <c r="C26" i="37"/>
  <c r="C27" i="66"/>
  <c r="C28" i="66"/>
  <c r="C18" i="66" l="1"/>
  <c r="C18" i="65"/>
  <c r="C19" i="65"/>
  <c r="C22" i="66"/>
  <c r="C14" i="66"/>
  <c r="C22" i="37"/>
  <c r="C14" i="65"/>
  <c r="C26" i="65"/>
  <c r="C19" i="37"/>
  <c r="C27" i="37"/>
  <c r="F58" i="31"/>
  <c r="C28" i="37"/>
  <c r="C25" i="37"/>
  <c r="C24" i="65"/>
  <c r="C25" i="66"/>
  <c r="C58" i="32"/>
  <c r="C26" i="66"/>
  <c r="F58" i="32"/>
  <c r="F58" i="34"/>
  <c r="C58" i="31"/>
  <c r="C58" i="33"/>
  <c r="F58" i="33"/>
  <c r="C17" i="65"/>
  <c r="C17" i="66"/>
  <c r="C58" i="34"/>
  <c r="D54" i="34"/>
  <c r="E54" i="34" s="1"/>
  <c r="G54" i="34" s="1"/>
  <c r="F54" i="30" s="1"/>
  <c r="E54" i="31"/>
  <c r="D54" i="30"/>
  <c r="E54" i="30"/>
  <c r="D39" i="34"/>
  <c r="D47" i="34"/>
  <c r="C20" i="66"/>
  <c r="D41" i="34"/>
  <c r="D49" i="34"/>
  <c r="C16" i="65"/>
  <c r="C20" i="37"/>
  <c r="C27" i="65"/>
  <c r="D34" i="34"/>
  <c r="D42" i="34"/>
  <c r="D50" i="34"/>
  <c r="D35" i="34"/>
  <c r="D43" i="34"/>
  <c r="D51" i="34"/>
  <c r="D36" i="34"/>
  <c r="D44" i="34"/>
  <c r="D52" i="34"/>
  <c r="C28" i="65"/>
  <c r="C21" i="66"/>
  <c r="C24" i="37"/>
  <c r="C16" i="37"/>
  <c r="C21" i="65"/>
  <c r="C15" i="66"/>
  <c r="C23" i="66"/>
  <c r="C15" i="65"/>
  <c r="C23" i="65"/>
  <c r="E70" i="29" l="1"/>
  <c r="G54" i="31"/>
  <c r="C54" i="30" s="1"/>
  <c r="A23" i="41" l="1"/>
  <c r="A11" i="41"/>
  <c r="F47" i="48" l="1"/>
  <c r="N7" i="40"/>
  <c r="C68" i="17" l="1"/>
  <c r="E53" i="31" l="1"/>
  <c r="E53" i="34" l="1"/>
  <c r="G53" i="34" s="1"/>
  <c r="F53" i="30" s="1"/>
  <c r="D53" i="30"/>
  <c r="E53" i="30"/>
  <c r="G53" i="31"/>
  <c r="C53" i="30" s="1"/>
  <c r="E69" i="29" l="1"/>
  <c r="L59" i="33" l="1"/>
  <c r="M47" i="29"/>
  <c r="L59" i="32"/>
  <c r="L59" i="34"/>
  <c r="K59" i="33"/>
  <c r="A11" i="33" s="1"/>
  <c r="L9" i="28"/>
  <c r="A11" i="28" s="1"/>
  <c r="K59" i="34"/>
  <c r="A11" i="34" s="1"/>
  <c r="K59" i="32"/>
  <c r="A11" i="32" s="1"/>
  <c r="L47" i="29"/>
  <c r="A10" i="29" s="1"/>
  <c r="K52" i="30"/>
  <c r="A11" i="30" s="1"/>
  <c r="N10" i="1" l="1"/>
  <c r="N11" i="1"/>
  <c r="N9" i="1"/>
  <c r="B14" i="62" l="1"/>
  <c r="G27" i="62"/>
  <c r="F27" i="62"/>
  <c r="D49" i="62"/>
  <c r="D48" i="62"/>
  <c r="D47" i="62"/>
  <c r="D46" i="62"/>
  <c r="D40" i="62"/>
  <c r="D39" i="62"/>
  <c r="D38" i="62"/>
  <c r="D37" i="62"/>
  <c r="B37" i="62"/>
  <c r="B32" i="62"/>
  <c r="D31" i="62"/>
  <c r="B31" i="62"/>
  <c r="D30" i="62"/>
  <c r="B30" i="62"/>
  <c r="D29" i="62"/>
  <c r="B29" i="62"/>
  <c r="D28" i="62"/>
  <c r="B28" i="62"/>
  <c r="D27" i="62"/>
  <c r="B27" i="62"/>
  <c r="D26" i="62"/>
  <c r="B26" i="62"/>
  <c r="B25" i="62"/>
  <c r="D24" i="62"/>
  <c r="D23" i="62"/>
  <c r="D22" i="62"/>
  <c r="D21" i="62"/>
  <c r="D20" i="62"/>
  <c r="B20" i="62"/>
  <c r="D19" i="62"/>
  <c r="B19" i="62"/>
  <c r="D18" i="62"/>
  <c r="B18" i="62"/>
  <c r="B16" i="62"/>
  <c r="D15" i="62"/>
  <c r="B15" i="62"/>
  <c r="D14" i="62"/>
  <c r="D13" i="62"/>
  <c r="B13" i="62"/>
  <c r="D12" i="62"/>
  <c r="B12" i="62"/>
  <c r="D11" i="62"/>
  <c r="B11" i="62"/>
  <c r="D10" i="62"/>
  <c r="B44" i="62"/>
  <c r="B43" i="62"/>
  <c r="B42" i="62"/>
  <c r="A12" i="45" l="1"/>
  <c r="B26" i="27" l="1"/>
  <c r="D52" i="30" l="1"/>
  <c r="E52" i="31"/>
  <c r="E52" i="34"/>
  <c r="E33" i="66"/>
  <c r="E12" i="66"/>
  <c r="D12" i="66"/>
  <c r="C12" i="66"/>
  <c r="A12" i="66"/>
  <c r="A3" i="66"/>
  <c r="A2" i="66"/>
  <c r="A1" i="66"/>
  <c r="E33" i="65"/>
  <c r="E12" i="65"/>
  <c r="D12" i="65"/>
  <c r="C12" i="65"/>
  <c r="A12" i="65"/>
  <c r="A3" i="65"/>
  <c r="A2" i="65"/>
  <c r="A1" i="65"/>
  <c r="E52" i="30" l="1"/>
  <c r="G52" i="34"/>
  <c r="F52" i="30" s="1"/>
  <c r="G52" i="31"/>
  <c r="C52" i="30" s="1"/>
  <c r="E68" i="29" l="1"/>
  <c r="F11" i="46" l="1"/>
  <c r="E11" i="46" l="1"/>
  <c r="D11" i="46" s="1"/>
  <c r="G11" i="46"/>
  <c r="D12" i="28" l="1"/>
  <c r="A14" i="29" l="1"/>
  <c r="A15" i="29" l="1"/>
  <c r="A16" i="29" s="1"/>
  <c r="AX36" i="31" l="1"/>
  <c r="AX37" i="31" s="1"/>
  <c r="AW37" i="31"/>
  <c r="AW35" i="31"/>
  <c r="AW36" i="31" s="1"/>
  <c r="AV36" i="31"/>
  <c r="AV35" i="31" s="1"/>
  <c r="AU33" i="31"/>
  <c r="AU34" i="31" s="1"/>
  <c r="AT34" i="31"/>
  <c r="AT33" i="31" s="1"/>
  <c r="X13" i="31"/>
  <c r="Y13" i="31" s="1"/>
  <c r="Z13" i="31" s="1"/>
  <c r="AA13" i="31" s="1"/>
  <c r="AB13" i="31" s="1"/>
  <c r="AC13" i="31" s="1"/>
  <c r="AD13" i="31" s="1"/>
  <c r="AE13" i="31" s="1"/>
  <c r="AF13" i="31" s="1"/>
  <c r="AG13" i="31" s="1"/>
  <c r="AH13" i="31" s="1"/>
  <c r="AI13" i="31" s="1"/>
  <c r="AJ13" i="31" s="1"/>
  <c r="AK13" i="31" s="1"/>
  <c r="AL13" i="31" s="1"/>
  <c r="AM13" i="31" s="1"/>
  <c r="AN13" i="31" s="1"/>
  <c r="AO13" i="31" s="1"/>
  <c r="AP13" i="31" s="1"/>
  <c r="AQ13" i="31" s="1"/>
  <c r="AR13" i="31" s="1"/>
  <c r="AS13" i="31" s="1"/>
  <c r="AT13" i="31" s="1"/>
  <c r="AU13" i="31" s="1"/>
  <c r="AV13" i="31" s="1"/>
  <c r="AW13" i="31" s="1"/>
  <c r="AX13" i="31" s="1"/>
  <c r="AY13" i="31" s="1"/>
  <c r="AZ13" i="31" s="1"/>
  <c r="BA13" i="31" s="1"/>
  <c r="BB13" i="31" s="1"/>
  <c r="BC13" i="31" s="1"/>
  <c r="BD13" i="31" s="1"/>
  <c r="BE13" i="31" s="1"/>
  <c r="BF13" i="31" s="1"/>
  <c r="BG13" i="31" s="1"/>
  <c r="T15" i="31"/>
  <c r="V52" i="31" s="1"/>
  <c r="V17" i="31" l="1"/>
  <c r="D21" i="31" s="1"/>
  <c r="V36" i="31"/>
  <c r="V27" i="31"/>
  <c r="D31" i="31" s="1"/>
  <c r="V49" i="31"/>
  <c r="V40" i="31"/>
  <c r="V31" i="31"/>
  <c r="V45" i="31"/>
  <c r="V39" i="31"/>
  <c r="V47" i="31"/>
  <c r="V18" i="31" l="1"/>
  <c r="D22" i="31" s="1"/>
  <c r="V15" i="31"/>
  <c r="D19" i="31" s="1"/>
  <c r="V35" i="31"/>
  <c r="V20" i="31"/>
  <c r="D24" i="31" s="1"/>
  <c r="V14" i="31"/>
  <c r="K14" i="31" s="1"/>
  <c r="V25" i="31"/>
  <c r="D29" i="31" s="1"/>
  <c r="V48" i="31"/>
  <c r="V28" i="31"/>
  <c r="D32" i="31" s="1"/>
  <c r="V21" i="31"/>
  <c r="D25" i="31" s="1"/>
  <c r="V22" i="31"/>
  <c r="D26" i="31" s="1"/>
  <c r="V50" i="31"/>
  <c r="V51" i="31"/>
  <c r="V37" i="31"/>
  <c r="V29" i="31"/>
  <c r="D33" i="31" s="1"/>
  <c r="V30" i="31"/>
  <c r="V42" i="31"/>
  <c r="V26" i="31"/>
  <c r="D30" i="31" s="1"/>
  <c r="V43" i="31"/>
  <c r="V19" i="31"/>
  <c r="D23" i="31" s="1"/>
  <c r="V16" i="31"/>
  <c r="D20" i="31" s="1"/>
  <c r="V41" i="31"/>
  <c r="V44" i="31"/>
  <c r="V46" i="31"/>
  <c r="V23" i="31"/>
  <c r="D27" i="31" s="1"/>
  <c r="V32" i="31"/>
  <c r="V24" i="31"/>
  <c r="D28" i="31" s="1"/>
  <c r="D31" i="33"/>
  <c r="E31" i="33" s="1"/>
  <c r="G31" i="33" s="1"/>
  <c r="D31" i="32"/>
  <c r="E31" i="32" s="1"/>
  <c r="G31" i="32" s="1"/>
  <c r="D31" i="34"/>
  <c r="V38" i="31"/>
  <c r="V34" i="31"/>
  <c r="V33" i="31"/>
  <c r="C12" i="28"/>
  <c r="B42" i="28" s="1"/>
  <c r="F12" i="28"/>
  <c r="B46" i="28" s="1"/>
  <c r="D29" i="34" l="1"/>
  <c r="D29" i="33"/>
  <c r="E29" i="33" s="1"/>
  <c r="G29" i="33" s="1"/>
  <c r="D29" i="32"/>
  <c r="E29" i="32" s="1"/>
  <c r="G29" i="32" s="1"/>
  <c r="D27" i="33"/>
  <c r="E27" i="33" s="1"/>
  <c r="G27" i="33" s="1"/>
  <c r="D27" i="34"/>
  <c r="D27" i="32"/>
  <c r="E27" i="32" s="1"/>
  <c r="G27" i="32" s="1"/>
  <c r="E16" i="29"/>
  <c r="G16" i="29" s="1"/>
  <c r="E14" i="29"/>
  <c r="G14" i="29" s="1"/>
  <c r="E15" i="29"/>
  <c r="C13" i="28" s="1"/>
  <c r="D14" i="31"/>
  <c r="E14" i="31" s="1"/>
  <c r="E17" i="29"/>
  <c r="C14" i="28" s="1"/>
  <c r="E21" i="29"/>
  <c r="E13" i="29"/>
  <c r="G13" i="29" s="1"/>
  <c r="D32" i="34"/>
  <c r="D32" i="33"/>
  <c r="E32" i="33" s="1"/>
  <c r="G32" i="33" s="1"/>
  <c r="D32" i="32"/>
  <c r="E32" i="32" s="1"/>
  <c r="G32" i="32" s="1"/>
  <c r="D33" i="34"/>
  <c r="D33" i="32"/>
  <c r="E33" i="32" s="1"/>
  <c r="G33" i="32" s="1"/>
  <c r="D33" i="33"/>
  <c r="E33" i="33" s="1"/>
  <c r="G33" i="33" s="1"/>
  <c r="D23" i="33"/>
  <c r="E23" i="33" s="1"/>
  <c r="G23" i="33" s="1"/>
  <c r="D23" i="32"/>
  <c r="E23" i="32" s="1"/>
  <c r="G23" i="32" s="1"/>
  <c r="D23" i="34"/>
  <c r="D28" i="33"/>
  <c r="E28" i="33" s="1"/>
  <c r="G28" i="33" s="1"/>
  <c r="D28" i="32"/>
  <c r="E28" i="32" s="1"/>
  <c r="G28" i="32" s="1"/>
  <c r="D28" i="34"/>
  <c r="D26" i="34"/>
  <c r="D26" i="32"/>
  <c r="E26" i="32" s="1"/>
  <c r="G26" i="32" s="1"/>
  <c r="D26" i="33"/>
  <c r="E26" i="33" s="1"/>
  <c r="G26" i="33" s="1"/>
  <c r="D24" i="32"/>
  <c r="E24" i="32" s="1"/>
  <c r="G24" i="32" s="1"/>
  <c r="D24" i="33"/>
  <c r="E24" i="33" s="1"/>
  <c r="G24" i="33" s="1"/>
  <c r="D24" i="34"/>
  <c r="D30" i="34"/>
  <c r="D30" i="32"/>
  <c r="E30" i="32" s="1"/>
  <c r="G30" i="32" s="1"/>
  <c r="D30" i="33"/>
  <c r="E30" i="33" s="1"/>
  <c r="G30" i="33" s="1"/>
  <c r="D25" i="33"/>
  <c r="E25" i="33" s="1"/>
  <c r="G25" i="33" s="1"/>
  <c r="D25" i="34"/>
  <c r="D25" i="32"/>
  <c r="E25" i="32" s="1"/>
  <c r="G25" i="32" s="1"/>
  <c r="G15" i="29" l="1"/>
  <c r="E13" i="28" s="1"/>
  <c r="C26" i="14"/>
  <c r="C39" i="60" l="1"/>
  <c r="A22" i="41"/>
  <c r="P32" i="18" l="1"/>
  <c r="O32" i="18"/>
  <c r="I14" i="15" s="1"/>
  <c r="I17" i="15" l="1"/>
  <c r="I13" i="15"/>
  <c r="I16" i="15" s="1"/>
  <c r="N32" i="18"/>
  <c r="B33" i="35" l="1"/>
  <c r="M11" i="65"/>
  <c r="C11" i="65" s="1"/>
  <c r="M11" i="66"/>
  <c r="C11" i="66" s="1"/>
  <c r="L21" i="43" l="1"/>
  <c r="A23" i="43" l="1"/>
  <c r="A22" i="43" s="1"/>
  <c r="A11" i="43"/>
  <c r="G12" i="30"/>
  <c r="K45" i="60" l="1"/>
  <c r="E37" i="60"/>
  <c r="E33" i="60"/>
  <c r="I31" i="60"/>
  <c r="K39" i="60"/>
  <c r="J39" i="60"/>
  <c r="I39" i="60"/>
  <c r="H39" i="60"/>
  <c r="G39" i="60"/>
  <c r="F39" i="60"/>
  <c r="E39" i="60"/>
  <c r="D39" i="60"/>
  <c r="K38" i="60"/>
  <c r="J38" i="60"/>
  <c r="I38" i="60"/>
  <c r="H38" i="60"/>
  <c r="G38" i="60"/>
  <c r="F38" i="60"/>
  <c r="E38" i="60"/>
  <c r="K37" i="60"/>
  <c r="J37" i="60"/>
  <c r="I37" i="60"/>
  <c r="H37" i="60"/>
  <c r="G37" i="60"/>
  <c r="F37" i="60"/>
  <c r="K36" i="60"/>
  <c r="J36" i="60"/>
  <c r="I36" i="60"/>
  <c r="H36" i="60"/>
  <c r="G36" i="60"/>
  <c r="K35" i="60"/>
  <c r="J35" i="60"/>
  <c r="I35" i="60"/>
  <c r="H35" i="60"/>
  <c r="K34" i="60"/>
  <c r="J34" i="60"/>
  <c r="I34" i="60"/>
  <c r="K33" i="60"/>
  <c r="J33" i="60"/>
  <c r="K32" i="60"/>
  <c r="K29" i="60"/>
  <c r="J29" i="60"/>
  <c r="I29" i="60"/>
  <c r="H29" i="60"/>
  <c r="G29" i="60"/>
  <c r="F29" i="60"/>
  <c r="E29" i="60"/>
  <c r="D29" i="60"/>
  <c r="C29" i="60"/>
  <c r="A29" i="60"/>
  <c r="K12" i="60"/>
  <c r="J12" i="60"/>
  <c r="I12" i="60"/>
  <c r="H12" i="60"/>
  <c r="G12" i="60"/>
  <c r="F12" i="60"/>
  <c r="E12" i="60"/>
  <c r="D12" i="60"/>
  <c r="C12" i="60"/>
  <c r="A12" i="60"/>
  <c r="A3" i="60"/>
  <c r="A2" i="60"/>
  <c r="A1" i="60"/>
  <c r="C15" i="8"/>
  <c r="C17" i="8"/>
  <c r="C18" i="8"/>
  <c r="C19" i="8"/>
  <c r="C20" i="8"/>
  <c r="C21" i="8"/>
  <c r="C22" i="8"/>
  <c r="C23" i="8"/>
  <c r="C15" i="9"/>
  <c r="C18" i="9"/>
  <c r="C19" i="9"/>
  <c r="C20" i="9"/>
  <c r="C22" i="9"/>
  <c r="E23" i="13"/>
  <c r="C14" i="9"/>
  <c r="E14" i="9" s="1"/>
  <c r="C14" i="5" s="1"/>
  <c r="C16" i="10"/>
  <c r="C17" i="10"/>
  <c r="C19" i="10"/>
  <c r="C20" i="10"/>
  <c r="C21" i="10"/>
  <c r="C21" i="18"/>
  <c r="D16" i="18"/>
  <c r="E18" i="18"/>
  <c r="L21" i="44"/>
  <c r="A11" i="44" s="1"/>
  <c r="A11" i="45" s="1"/>
  <c r="M22" i="9"/>
  <c r="L11" i="5"/>
  <c r="A11" i="5" s="1"/>
  <c r="A12" i="32"/>
  <c r="E33" i="37"/>
  <c r="N53" i="20"/>
  <c r="N14" i="31"/>
  <c r="O26" i="31" s="1"/>
  <c r="N51" i="17"/>
  <c r="N50" i="17" s="1"/>
  <c r="A52" i="17"/>
  <c r="O52" i="17"/>
  <c r="E12" i="14"/>
  <c r="D12" i="14"/>
  <c r="C12" i="14"/>
  <c r="E12" i="13"/>
  <c r="D12" i="13"/>
  <c r="B31" i="13" s="1"/>
  <c r="C12" i="13"/>
  <c r="E12" i="12"/>
  <c r="D12" i="12"/>
  <c r="C12" i="12"/>
  <c r="E12" i="11"/>
  <c r="D12" i="11"/>
  <c r="C12" i="11"/>
  <c r="D11" i="29"/>
  <c r="A1" i="48"/>
  <c r="A2" i="48"/>
  <c r="A3" i="48"/>
  <c r="A12" i="48"/>
  <c r="C12" i="48"/>
  <c r="D12" i="48"/>
  <c r="E12" i="48"/>
  <c r="F12" i="48"/>
  <c r="G12" i="48"/>
  <c r="A15" i="48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1" i="46"/>
  <c r="A2" i="46"/>
  <c r="A3" i="46"/>
  <c r="A1" i="45"/>
  <c r="A2" i="45"/>
  <c r="A3" i="45"/>
  <c r="C12" i="45"/>
  <c r="B37" i="45" s="1"/>
  <c r="D12" i="45"/>
  <c r="B38" i="45" s="1"/>
  <c r="E12" i="45"/>
  <c r="A1" i="44"/>
  <c r="A2" i="44"/>
  <c r="A3" i="44"/>
  <c r="A12" i="44"/>
  <c r="C12" i="44"/>
  <c r="B30" i="44" s="1"/>
  <c r="D12" i="44"/>
  <c r="B31" i="44" s="1"/>
  <c r="E12" i="44"/>
  <c r="A1" i="43"/>
  <c r="A2" i="43"/>
  <c r="A3" i="43"/>
  <c r="A12" i="43"/>
  <c r="C12" i="43"/>
  <c r="B30" i="43" s="1"/>
  <c r="D12" i="43"/>
  <c r="E12" i="43"/>
  <c r="A1" i="42"/>
  <c r="A2" i="42"/>
  <c r="A3" i="42"/>
  <c r="A12" i="42"/>
  <c r="C12" i="42"/>
  <c r="B30" i="42" s="1"/>
  <c r="D12" i="42"/>
  <c r="B31" i="42" s="1"/>
  <c r="E12" i="42"/>
  <c r="A1" i="41"/>
  <c r="A2" i="41"/>
  <c r="A3" i="41"/>
  <c r="A12" i="41"/>
  <c r="C12" i="41"/>
  <c r="D12" i="41"/>
  <c r="B31" i="41" s="1"/>
  <c r="E12" i="41"/>
  <c r="A1" i="40"/>
  <c r="A2" i="40"/>
  <c r="A3" i="40"/>
  <c r="B45" i="62"/>
  <c r="A12" i="40"/>
  <c r="E12" i="40" s="1"/>
  <c r="C12" i="40"/>
  <c r="G12" i="40" s="1"/>
  <c r="A1" i="37"/>
  <c r="A2" i="37"/>
  <c r="A3" i="37"/>
  <c r="A12" i="37"/>
  <c r="C12" i="37"/>
  <c r="D12" i="37"/>
  <c r="E12" i="37"/>
  <c r="A1" i="35"/>
  <c r="A2" i="35"/>
  <c r="A3" i="35"/>
  <c r="A12" i="35"/>
  <c r="C12" i="35"/>
  <c r="D12" i="35"/>
  <c r="E12" i="35"/>
  <c r="M33" i="35"/>
  <c r="A1" i="34"/>
  <c r="A2" i="34"/>
  <c r="A3" i="34"/>
  <c r="A12" i="34"/>
  <c r="C12" i="34"/>
  <c r="D12" i="34"/>
  <c r="E12" i="34"/>
  <c r="F12" i="34"/>
  <c r="G12" i="34"/>
  <c r="A15" i="34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1" i="33"/>
  <c r="A2" i="33"/>
  <c r="A3" i="33"/>
  <c r="A12" i="33"/>
  <c r="C12" i="33"/>
  <c r="D12" i="33"/>
  <c r="E12" i="33"/>
  <c r="F12" i="33"/>
  <c r="G12" i="33"/>
  <c r="A15" i="33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28" i="33" s="1"/>
  <c r="A29" i="33" s="1"/>
  <c r="A30" i="33" s="1"/>
  <c r="A31" i="33" s="1"/>
  <c r="A32" i="33" s="1"/>
  <c r="A33" i="33" s="1"/>
  <c r="A34" i="33" s="1"/>
  <c r="A35" i="33" s="1"/>
  <c r="A36" i="33" s="1"/>
  <c r="A37" i="33" s="1"/>
  <c r="A38" i="33" s="1"/>
  <c r="A39" i="33" s="1"/>
  <c r="A40" i="33" s="1"/>
  <c r="A41" i="33" s="1"/>
  <c r="A42" i="33" s="1"/>
  <c r="A43" i="33" s="1"/>
  <c r="A44" i="33" s="1"/>
  <c r="A45" i="33" s="1"/>
  <c r="A46" i="33" s="1"/>
  <c r="A47" i="33" s="1"/>
  <c r="A48" i="33" s="1"/>
  <c r="A49" i="33" s="1"/>
  <c r="A50" i="33" s="1"/>
  <c r="A51" i="33" s="1"/>
  <c r="A52" i="33" s="1"/>
  <c r="A53" i="33" s="1"/>
  <c r="A54" i="33" s="1"/>
  <c r="A55" i="33" s="1"/>
  <c r="A1" i="32"/>
  <c r="A2" i="32"/>
  <c r="A3" i="32"/>
  <c r="C12" i="32"/>
  <c r="D12" i="32"/>
  <c r="E12" i="32"/>
  <c r="F12" i="32"/>
  <c r="A66" i="32" s="1"/>
  <c r="G12" i="32"/>
  <c r="A15" i="32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0" i="32" s="1"/>
  <c r="A41" i="32" s="1"/>
  <c r="A42" i="32" s="1"/>
  <c r="A43" i="32" s="1"/>
  <c r="A44" i="32" s="1"/>
  <c r="A45" i="32" s="1"/>
  <c r="A46" i="32" s="1"/>
  <c r="A47" i="32" s="1"/>
  <c r="A48" i="32" s="1"/>
  <c r="A49" i="32" s="1"/>
  <c r="A50" i="32" s="1"/>
  <c r="A51" i="32" s="1"/>
  <c r="A52" i="32" s="1"/>
  <c r="A53" i="32" s="1"/>
  <c r="A54" i="32" s="1"/>
  <c r="A55" i="32" s="1"/>
  <c r="A1" i="31"/>
  <c r="A2" i="31"/>
  <c r="A3" i="31"/>
  <c r="A12" i="31"/>
  <c r="C12" i="31"/>
  <c r="A62" i="31" s="1"/>
  <c r="D12" i="31"/>
  <c r="A63" i="31" s="1"/>
  <c r="E12" i="31"/>
  <c r="F12" i="31"/>
  <c r="A65" i="31" s="1"/>
  <c r="G12" i="31"/>
  <c r="A15" i="3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26" i="31" s="1"/>
  <c r="A27" i="31" s="1"/>
  <c r="A28" i="31" s="1"/>
  <c r="A29" i="31" s="1"/>
  <c r="A30" i="31" s="1"/>
  <c r="A31" i="31" s="1"/>
  <c r="A32" i="31" s="1"/>
  <c r="A33" i="31" s="1"/>
  <c r="A34" i="31" s="1"/>
  <c r="A35" i="31" s="1"/>
  <c r="A36" i="31" s="1"/>
  <c r="A37" i="31" s="1"/>
  <c r="A38" i="31" s="1"/>
  <c r="A39" i="31" s="1"/>
  <c r="A40" i="31" s="1"/>
  <c r="A41" i="31" s="1"/>
  <c r="A42" i="31" s="1"/>
  <c r="A43" i="31" s="1"/>
  <c r="A44" i="31" s="1"/>
  <c r="A45" i="31" s="1"/>
  <c r="A46" i="31" s="1"/>
  <c r="A47" i="31" s="1"/>
  <c r="A48" i="31" s="1"/>
  <c r="A49" i="31" s="1"/>
  <c r="A50" i="31" s="1"/>
  <c r="A51" i="31" s="1"/>
  <c r="A52" i="31" s="1"/>
  <c r="A53" i="31" s="1"/>
  <c r="A54" i="31" s="1"/>
  <c r="A55" i="31" s="1"/>
  <c r="A1" i="30"/>
  <c r="A2" i="30"/>
  <c r="A3" i="30"/>
  <c r="A12" i="30"/>
  <c r="C12" i="30"/>
  <c r="B69" i="30" s="1"/>
  <c r="D12" i="30"/>
  <c r="B70" i="30" s="1"/>
  <c r="E12" i="30"/>
  <c r="B71" i="30" s="1"/>
  <c r="F12" i="30"/>
  <c r="B72" i="30" s="1"/>
  <c r="A15" i="30"/>
  <c r="C60" i="30"/>
  <c r="B75" i="30"/>
  <c r="B76" i="30"/>
  <c r="A1" i="29"/>
  <c r="A2" i="29"/>
  <c r="A3" i="29"/>
  <c r="A11" i="29"/>
  <c r="C11" i="29"/>
  <c r="E11" i="29"/>
  <c r="F11" i="29"/>
  <c r="G11" i="29"/>
  <c r="H11" i="29"/>
  <c r="B83" i="29" s="1"/>
  <c r="A1" i="28"/>
  <c r="A2" i="28"/>
  <c r="A3" i="28"/>
  <c r="D34" i="62"/>
  <c r="E12" i="28"/>
  <c r="B43" i="28" s="1"/>
  <c r="B45" i="28"/>
  <c r="B47" i="28"/>
  <c r="A1" i="27"/>
  <c r="A2" i="27"/>
  <c r="A3" i="27"/>
  <c r="A12" i="27"/>
  <c r="C12" i="27"/>
  <c r="D12" i="27"/>
  <c r="E12" i="27"/>
  <c r="A1" i="22"/>
  <c r="A2" i="22"/>
  <c r="A3" i="22"/>
  <c r="A11" i="22"/>
  <c r="C11" i="22"/>
  <c r="D11" i="22"/>
  <c r="E11" i="22"/>
  <c r="F11" i="22"/>
  <c r="A14" i="22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1" i="21"/>
  <c r="A2" i="21"/>
  <c r="A3" i="21"/>
  <c r="A12" i="21"/>
  <c r="C12" i="21"/>
  <c r="B63" i="21" s="1"/>
  <c r="D12" i="21"/>
  <c r="E12" i="21"/>
  <c r="F12" i="21"/>
  <c r="G12" i="21"/>
  <c r="H12" i="21"/>
  <c r="I12" i="21"/>
  <c r="J12" i="21"/>
  <c r="K12" i="21"/>
  <c r="A1" i="20"/>
  <c r="A2" i="20"/>
  <c r="A3" i="20"/>
  <c r="A12" i="20"/>
  <c r="C12" i="20"/>
  <c r="D12" i="20"/>
  <c r="E12" i="20"/>
  <c r="F12" i="20"/>
  <c r="G12" i="20"/>
  <c r="H12" i="20"/>
  <c r="I12" i="20"/>
  <c r="J12" i="20"/>
  <c r="K12" i="20"/>
  <c r="A1" i="19"/>
  <c r="A2" i="19"/>
  <c r="A3" i="19"/>
  <c r="A12" i="19"/>
  <c r="C12" i="19"/>
  <c r="D12" i="19"/>
  <c r="E12" i="19"/>
  <c r="F12" i="19"/>
  <c r="G12" i="19"/>
  <c r="H12" i="19"/>
  <c r="I12" i="19"/>
  <c r="J12" i="19"/>
  <c r="K12" i="19"/>
  <c r="N53" i="19"/>
  <c r="A1" i="18"/>
  <c r="A2" i="18"/>
  <c r="A3" i="18"/>
  <c r="A12" i="18"/>
  <c r="C12" i="18"/>
  <c r="B34" i="18"/>
  <c r="D12" i="18"/>
  <c r="B35" i="18" s="1"/>
  <c r="E12" i="18"/>
  <c r="B36" i="18" s="1"/>
  <c r="F12" i="18"/>
  <c r="A23" i="18"/>
  <c r="A22" i="18" s="1"/>
  <c r="A1" i="17"/>
  <c r="A2" i="17"/>
  <c r="A3" i="17"/>
  <c r="A12" i="17"/>
  <c r="C12" i="17"/>
  <c r="D12" i="17"/>
  <c r="E12" i="17"/>
  <c r="C63" i="17" s="1"/>
  <c r="F12" i="17"/>
  <c r="G12" i="17"/>
  <c r="B44" i="15" s="1"/>
  <c r="I12" i="17"/>
  <c r="J12" i="17"/>
  <c r="K12" i="17"/>
  <c r="L12" i="17"/>
  <c r="C69" i="17"/>
  <c r="A1" i="15"/>
  <c r="A2" i="15"/>
  <c r="A3" i="15"/>
  <c r="A40" i="15"/>
  <c r="B45" i="15"/>
  <c r="B46" i="15"/>
  <c r="B47" i="15"/>
  <c r="B48" i="15"/>
  <c r="B49" i="15"/>
  <c r="B50" i="15"/>
  <c r="B51" i="15"/>
  <c r="B53" i="15"/>
  <c r="B54" i="15"/>
  <c r="B55" i="15"/>
  <c r="B56" i="15"/>
  <c r="A1" i="14"/>
  <c r="A2" i="14"/>
  <c r="A3" i="14"/>
  <c r="A12" i="14"/>
  <c r="A1" i="13"/>
  <c r="A2" i="13"/>
  <c r="A3" i="13"/>
  <c r="A12" i="13"/>
  <c r="A1" i="12"/>
  <c r="A2" i="12"/>
  <c r="A3" i="12"/>
  <c r="A12" i="12"/>
  <c r="A1" i="11"/>
  <c r="A2" i="11"/>
  <c r="A3" i="11"/>
  <c r="A12" i="11"/>
  <c r="A1" i="10"/>
  <c r="A2" i="10"/>
  <c r="A3" i="10"/>
  <c r="A12" i="10"/>
  <c r="C12" i="10"/>
  <c r="D12" i="10"/>
  <c r="E12" i="10"/>
  <c r="A1" i="9"/>
  <c r="A2" i="9"/>
  <c r="A3" i="9"/>
  <c r="A12" i="9"/>
  <c r="C12" i="9"/>
  <c r="D12" i="9"/>
  <c r="E12" i="9"/>
  <c r="B32" i="9"/>
  <c r="A1" i="8"/>
  <c r="A2" i="8"/>
  <c r="A3" i="8"/>
  <c r="A12" i="8"/>
  <c r="C12" i="8"/>
  <c r="D12" i="8"/>
  <c r="E12" i="8"/>
  <c r="A1" i="7"/>
  <c r="A2" i="7"/>
  <c r="A3" i="7"/>
  <c r="A12" i="7"/>
  <c r="F12" i="7"/>
  <c r="A1" i="6"/>
  <c r="A2" i="6"/>
  <c r="A3" i="6"/>
  <c r="A12" i="6"/>
  <c r="C12" i="6"/>
  <c r="B33" i="6" s="1"/>
  <c r="D12" i="6"/>
  <c r="E12" i="6"/>
  <c r="F12" i="6"/>
  <c r="G12" i="6"/>
  <c r="B34" i="6"/>
  <c r="H12" i="6"/>
  <c r="A1" i="5"/>
  <c r="A2" i="5"/>
  <c r="A3" i="5"/>
  <c r="A12" i="5"/>
  <c r="C12" i="5"/>
  <c r="B33" i="5" s="1"/>
  <c r="B30" i="5"/>
  <c r="D12" i="5"/>
  <c r="E12" i="5"/>
  <c r="F12" i="5"/>
  <c r="G12" i="5"/>
  <c r="B34" i="5" s="1"/>
  <c r="H12" i="5"/>
  <c r="A1" i="4"/>
  <c r="A2" i="4"/>
  <c r="A3" i="4"/>
  <c r="A12" i="4"/>
  <c r="C12" i="4"/>
  <c r="D12" i="4"/>
  <c r="E12" i="4"/>
  <c r="F12" i="4"/>
  <c r="B35" i="4" s="1"/>
  <c r="G12" i="4"/>
  <c r="B34" i="4" s="1"/>
  <c r="H12" i="4"/>
  <c r="A1" i="3"/>
  <c r="A2" i="3"/>
  <c r="A3" i="3"/>
  <c r="A12" i="3"/>
  <c r="C12" i="3"/>
  <c r="D12" i="3"/>
  <c r="E12" i="3"/>
  <c r="F12" i="3"/>
  <c r="G12" i="3"/>
  <c r="B34" i="3" s="1"/>
  <c r="H12" i="3"/>
  <c r="B35" i="3"/>
  <c r="A1" i="2"/>
  <c r="A2" i="2"/>
  <c r="A3" i="2"/>
  <c r="C9" i="2"/>
  <c r="A12" i="2"/>
  <c r="C12" i="2"/>
  <c r="B23" i="2" s="1"/>
  <c r="D12" i="2"/>
  <c r="B24" i="2" s="1"/>
  <c r="E12" i="2"/>
  <c r="B25" i="2" s="1"/>
  <c r="A12" i="1"/>
  <c r="C12" i="1"/>
  <c r="B29" i="1" s="1"/>
  <c r="D12" i="1"/>
  <c r="B30" i="1" s="1"/>
  <c r="E12" i="1"/>
  <c r="F12" i="1"/>
  <c r="G12" i="1"/>
  <c r="H12" i="1"/>
  <c r="B30" i="4"/>
  <c r="B35" i="5"/>
  <c r="B31" i="11"/>
  <c r="B30" i="6"/>
  <c r="B31" i="43"/>
  <c r="B32" i="43"/>
  <c r="B30" i="41"/>
  <c r="B32" i="41"/>
  <c r="B31" i="14"/>
  <c r="C22" i="10"/>
  <c r="A21" i="43"/>
  <c r="A20" i="43" s="1"/>
  <c r="A19" i="43" s="1"/>
  <c r="A18" i="43" s="1"/>
  <c r="A17" i="43" s="1"/>
  <c r="A16" i="43" s="1"/>
  <c r="A15" i="43" s="1"/>
  <c r="A14" i="43" s="1"/>
  <c r="C18" i="10"/>
  <c r="E15" i="12"/>
  <c r="E15" i="13"/>
  <c r="O17" i="31" l="1"/>
  <c r="B30" i="7"/>
  <c r="A39" i="15"/>
  <c r="A23" i="15"/>
  <c r="B52" i="15" s="1"/>
  <c r="A66" i="33"/>
  <c r="C64" i="17"/>
  <c r="O51" i="17"/>
  <c r="A51" i="17"/>
  <c r="N55" i="21"/>
  <c r="B34" i="1"/>
  <c r="B35" i="6"/>
  <c r="M33" i="37"/>
  <c r="M33" i="66"/>
  <c r="M33" i="65"/>
  <c r="O27" i="31"/>
  <c r="O16" i="31"/>
  <c r="O24" i="31"/>
  <c r="O28" i="31"/>
  <c r="O19" i="31"/>
  <c r="O18" i="31"/>
  <c r="O22" i="31"/>
  <c r="O20" i="31"/>
  <c r="O29" i="31"/>
  <c r="O25" i="31"/>
  <c r="A63" i="34"/>
  <c r="A64" i="32"/>
  <c r="A63" i="33"/>
  <c r="A67" i="32"/>
  <c r="A64" i="34"/>
  <c r="B32" i="8"/>
  <c r="B32" i="1"/>
  <c r="A66" i="34"/>
  <c r="B39" i="45"/>
  <c r="B30" i="9"/>
  <c r="A23" i="44"/>
  <c r="A65" i="32"/>
  <c r="A64" i="33"/>
  <c r="A53" i="40"/>
  <c r="B37" i="28" s="1"/>
  <c r="B32" i="44"/>
  <c r="B39" i="18"/>
  <c r="A21" i="18"/>
  <c r="N52" i="19"/>
  <c r="B33" i="3"/>
  <c r="B32" i="10"/>
  <c r="B33" i="4"/>
  <c r="B28" i="27"/>
  <c r="B31" i="12"/>
  <c r="O14" i="31"/>
  <c r="O23" i="31"/>
  <c r="O15" i="31"/>
  <c r="O21" i="31"/>
  <c r="B32" i="42"/>
  <c r="B73" i="30"/>
  <c r="A64" i="31"/>
  <c r="M22" i="10"/>
  <c r="B30" i="10" s="1"/>
  <c r="L11" i="4"/>
  <c r="A11" i="4" s="1"/>
  <c r="C23" i="9"/>
  <c r="A23" i="11"/>
  <c r="A22" i="11" s="1"/>
  <c r="A21" i="11" s="1"/>
  <c r="A20" i="11" s="1"/>
  <c r="A19" i="11" s="1"/>
  <c r="A18" i="11" s="1"/>
  <c r="A17" i="11" s="1"/>
  <c r="A16" i="11" s="1"/>
  <c r="A15" i="11" s="1"/>
  <c r="A14" i="11" s="1"/>
  <c r="D36" i="60"/>
  <c r="L22" i="10"/>
  <c r="L21" i="42"/>
  <c r="A11" i="42" s="1"/>
  <c r="L8" i="3"/>
  <c r="L22" i="9"/>
  <c r="O50" i="17"/>
  <c r="A50" i="17"/>
  <c r="N49" i="17"/>
  <c r="E20" i="14"/>
  <c r="A16" i="30"/>
  <c r="E16" i="12"/>
  <c r="E16" i="11"/>
  <c r="F31" i="60"/>
  <c r="J31" i="60"/>
  <c r="H33" i="60"/>
  <c r="H34" i="60"/>
  <c r="E35" i="60"/>
  <c r="E17" i="18"/>
  <c r="E16" i="14"/>
  <c r="C16" i="8"/>
  <c r="D26" i="13"/>
  <c r="E23" i="18"/>
  <c r="E20" i="18"/>
  <c r="E19" i="18"/>
  <c r="E19" i="46"/>
  <c r="D23" i="46"/>
  <c r="D31" i="46"/>
  <c r="D32" i="46" s="1"/>
  <c r="E23" i="46"/>
  <c r="E16" i="48"/>
  <c r="D15" i="18"/>
  <c r="D19" i="18"/>
  <c r="E21" i="14"/>
  <c r="E17" i="14"/>
  <c r="E15" i="48"/>
  <c r="E19" i="48"/>
  <c r="C32" i="60"/>
  <c r="G32" i="60"/>
  <c r="F33" i="60"/>
  <c r="F34" i="60"/>
  <c r="E36" i="60"/>
  <c r="E31" i="46"/>
  <c r="E32" i="46" s="1"/>
  <c r="C19" i="18"/>
  <c r="C26" i="13"/>
  <c r="E23" i="12"/>
  <c r="L11" i="6"/>
  <c r="D23" i="18"/>
  <c r="O22" i="7"/>
  <c r="A23" i="7" s="1"/>
  <c r="A22" i="7" s="1"/>
  <c r="A21" i="7" s="1"/>
  <c r="A20" i="7" s="1"/>
  <c r="A19" i="7" s="1"/>
  <c r="A18" i="7" s="1"/>
  <c r="E23" i="11"/>
  <c r="E19" i="13"/>
  <c r="A21" i="41"/>
  <c r="A20" i="41" s="1"/>
  <c r="A19" i="41" s="1"/>
  <c r="A18" i="41" s="1"/>
  <c r="A17" i="41" s="1"/>
  <c r="A16" i="41" s="1"/>
  <c r="A15" i="41" s="1"/>
  <c r="A14" i="41" s="1"/>
  <c r="E22" i="14"/>
  <c r="C16" i="9"/>
  <c r="D21" i="18"/>
  <c r="C26" i="12"/>
  <c r="E18" i="13"/>
  <c r="D14" i="18"/>
  <c r="D22" i="18"/>
  <c r="P22" i="7"/>
  <c r="A11" i="7" s="1"/>
  <c r="C16" i="18"/>
  <c r="E20" i="12"/>
  <c r="D17" i="18"/>
  <c r="E22" i="11"/>
  <c r="A4" i="12"/>
  <c r="B22" i="62" s="1"/>
  <c r="C18" i="18"/>
  <c r="C20" i="18"/>
  <c r="A4" i="14"/>
  <c r="B24" i="62" s="1"/>
  <c r="C14" i="18"/>
  <c r="C15" i="18"/>
  <c r="E16" i="13"/>
  <c r="D18" i="18"/>
  <c r="D20" i="18"/>
  <c r="C22" i="18"/>
  <c r="A4" i="13"/>
  <c r="B23" i="62" s="1"/>
  <c r="A4" i="11"/>
  <c r="B21" i="62" s="1"/>
  <c r="C17" i="18"/>
  <c r="M22" i="8"/>
  <c r="B30" i="8" s="1"/>
  <c r="C23" i="18"/>
  <c r="C26" i="11"/>
  <c r="D32" i="60"/>
  <c r="H32" i="60"/>
  <c r="C33" i="60"/>
  <c r="C34" i="60"/>
  <c r="E22" i="13"/>
  <c r="E20" i="13"/>
  <c r="E22" i="12"/>
  <c r="A67" i="31"/>
  <c r="E19" i="11"/>
  <c r="B49" i="60"/>
  <c r="A23" i="60"/>
  <c r="A22" i="60" s="1"/>
  <c r="C14" i="10"/>
  <c r="E14" i="14"/>
  <c r="E18" i="14"/>
  <c r="D26" i="14"/>
  <c r="E14" i="12"/>
  <c r="C14" i="8"/>
  <c r="E14" i="8" s="1"/>
  <c r="C14" i="4" s="1"/>
  <c r="D26" i="12"/>
  <c r="D33" i="60"/>
  <c r="N11" i="60"/>
  <c r="C11" i="60" s="1"/>
  <c r="D11" i="60" s="1"/>
  <c r="E11" i="60" s="1"/>
  <c r="C31" i="60"/>
  <c r="G31" i="60"/>
  <c r="J32" i="60"/>
  <c r="I33" i="60"/>
  <c r="E34" i="60"/>
  <c r="C38" i="60"/>
  <c r="E17" i="12"/>
  <c r="E21" i="11"/>
  <c r="G34" i="60"/>
  <c r="E17" i="48"/>
  <c r="E17" i="11"/>
  <c r="E15" i="11"/>
  <c r="F23" i="46"/>
  <c r="F19" i="46"/>
  <c r="F36" i="46"/>
  <c r="E14" i="48"/>
  <c r="E18" i="48"/>
  <c r="E22" i="48"/>
  <c r="G35" i="60"/>
  <c r="F35" i="60"/>
  <c r="D37" i="60"/>
  <c r="C37" i="60"/>
  <c r="C11" i="35"/>
  <c r="M11" i="37"/>
  <c r="C11" i="37" s="1"/>
  <c r="E22" i="18"/>
  <c r="E21" i="18"/>
  <c r="E14" i="18"/>
  <c r="E15" i="18"/>
  <c r="E16" i="18"/>
  <c r="E31" i="60"/>
  <c r="D31" i="60"/>
  <c r="H31" i="60"/>
  <c r="C35" i="60"/>
  <c r="D38" i="60"/>
  <c r="D35" i="60"/>
  <c r="C21" i="9"/>
  <c r="E21" i="13"/>
  <c r="B30" i="11"/>
  <c r="A11" i="12"/>
  <c r="A11" i="13"/>
  <c r="L22" i="8"/>
  <c r="E23" i="14"/>
  <c r="C23" i="10"/>
  <c r="C15" i="10"/>
  <c r="E15" i="14"/>
  <c r="E14" i="13"/>
  <c r="D36" i="46"/>
  <c r="E18" i="12"/>
  <c r="I32" i="60"/>
  <c r="G33" i="60"/>
  <c r="D34" i="60"/>
  <c r="E20" i="48"/>
  <c r="E18" i="11"/>
  <c r="E32" i="60"/>
  <c r="F32" i="60"/>
  <c r="A23" i="5"/>
  <c r="A22" i="5" s="1"/>
  <c r="A21" i="5" s="1"/>
  <c r="A20" i="5" s="1"/>
  <c r="A19" i="5" s="1"/>
  <c r="A18" i="5" s="1"/>
  <c r="A17" i="5" s="1"/>
  <c r="A16" i="5" s="1"/>
  <c r="A15" i="5" s="1"/>
  <c r="A14" i="5" s="1"/>
  <c r="C17" i="9"/>
  <c r="E17" i="13"/>
  <c r="E36" i="46"/>
  <c r="D26" i="11"/>
  <c r="E19" i="14"/>
  <c r="E21" i="12"/>
  <c r="E20" i="11"/>
  <c r="F36" i="60"/>
  <c r="D19" i="46"/>
  <c r="E21" i="48"/>
  <c r="C36" i="60"/>
  <c r="E19" i="12"/>
  <c r="E14" i="11"/>
  <c r="A22" i="44" l="1"/>
  <c r="D23" i="44"/>
  <c r="G18" i="48"/>
  <c r="M18" i="48" s="1"/>
  <c r="G16" i="48"/>
  <c r="M16" i="48" s="1"/>
  <c r="G20" i="48"/>
  <c r="M20" i="48" s="1"/>
  <c r="G17" i="48"/>
  <c r="M17" i="48" s="1"/>
  <c r="G19" i="48"/>
  <c r="M19" i="48" s="1"/>
  <c r="G15" i="48"/>
  <c r="M15" i="48" s="1"/>
  <c r="G21" i="48"/>
  <c r="M21" i="48" s="1"/>
  <c r="G22" i="48"/>
  <c r="M22" i="48" s="1"/>
  <c r="B30" i="14"/>
  <c r="A11" i="14"/>
  <c r="A23" i="9"/>
  <c r="A22" i="9" s="1"/>
  <c r="A21" i="9" s="1"/>
  <c r="A20" i="9" s="1"/>
  <c r="A19" i="9" s="1"/>
  <c r="A18" i="9" s="1"/>
  <c r="A11" i="9"/>
  <c r="A23" i="3"/>
  <c r="A22" i="3" s="1"/>
  <c r="A21" i="3" s="1"/>
  <c r="A20" i="3" s="1"/>
  <c r="A19" i="3" s="1"/>
  <c r="A18" i="3" s="1"/>
  <c r="A17" i="3" s="1"/>
  <c r="A16" i="3" s="1"/>
  <c r="A15" i="3" s="1"/>
  <c r="A14" i="3" s="1"/>
  <c r="A11" i="3"/>
  <c r="A23" i="6"/>
  <c r="A22" i="6" s="1"/>
  <c r="A21" i="6" s="1"/>
  <c r="A20" i="6" s="1"/>
  <c r="A19" i="6" s="1"/>
  <c r="A18" i="6" s="1"/>
  <c r="A17" i="6" s="1"/>
  <c r="A16" i="6" s="1"/>
  <c r="A15" i="6" s="1"/>
  <c r="A14" i="6" s="1"/>
  <c r="A11" i="6"/>
  <c r="A23" i="8"/>
  <c r="A22" i="8" s="1"/>
  <c r="A21" i="8" s="1"/>
  <c r="A20" i="8" s="1"/>
  <c r="A19" i="8" s="1"/>
  <c r="A11" i="8"/>
  <c r="A23" i="10"/>
  <c r="A22" i="10" s="1"/>
  <c r="A21" i="10" s="1"/>
  <c r="A20" i="10" s="1"/>
  <c r="A19" i="10" s="1"/>
  <c r="A18" i="10" s="1"/>
  <c r="A17" i="10" s="1"/>
  <c r="A11" i="10"/>
  <c r="B28" i="7"/>
  <c r="B27" i="7"/>
  <c r="A38" i="15"/>
  <c r="A22" i="15"/>
  <c r="P25" i="31"/>
  <c r="P26" i="31"/>
  <c r="P17" i="31"/>
  <c r="P22" i="31"/>
  <c r="P27" i="31"/>
  <c r="P16" i="31"/>
  <c r="P21" i="31"/>
  <c r="P20" i="31"/>
  <c r="P29" i="31"/>
  <c r="P15" i="31"/>
  <c r="P18" i="31"/>
  <c r="P23" i="31"/>
  <c r="P24" i="31"/>
  <c r="P14" i="31"/>
  <c r="P28" i="31"/>
  <c r="P19" i="31"/>
  <c r="E14" i="10"/>
  <c r="C26" i="10"/>
  <c r="N51" i="19"/>
  <c r="A62" i="33"/>
  <c r="B81" i="29"/>
  <c r="C42" i="60"/>
  <c r="C45" i="60" s="1"/>
  <c r="A18" i="29"/>
  <c r="A23" i="14"/>
  <c r="A22" i="14" s="1"/>
  <c r="A21" i="14" s="1"/>
  <c r="A20" i="14" s="1"/>
  <c r="A19" i="14" s="1"/>
  <c r="A18" i="14" s="1"/>
  <c r="A17" i="14" s="1"/>
  <c r="A16" i="14" s="1"/>
  <c r="A15" i="14" s="1"/>
  <c r="A14" i="14" s="1"/>
  <c r="A23" i="4"/>
  <c r="A22" i="4" s="1"/>
  <c r="A21" i="4" s="1"/>
  <c r="A20" i="4" s="1"/>
  <c r="A19" i="4" s="1"/>
  <c r="A18" i="4" s="1"/>
  <c r="A17" i="4" s="1"/>
  <c r="A16" i="4" s="1"/>
  <c r="A15" i="4" s="1"/>
  <c r="A14" i="4" s="1"/>
  <c r="F16" i="18"/>
  <c r="D33" i="15" s="1"/>
  <c r="A23" i="12"/>
  <c r="A22" i="12" s="1"/>
  <c r="A21" i="12" s="1"/>
  <c r="A20" i="12" s="1"/>
  <c r="A19" i="12" s="1"/>
  <c r="A18" i="12" s="1"/>
  <c r="A17" i="12" s="1"/>
  <c r="A16" i="12" s="1"/>
  <c r="A15" i="12" s="1"/>
  <c r="A14" i="12" s="1"/>
  <c r="B30" i="12"/>
  <c r="A23" i="42"/>
  <c r="A22" i="42" s="1"/>
  <c r="A21" i="42" s="1"/>
  <c r="A20" i="42" s="1"/>
  <c r="A19" i="42" s="1"/>
  <c r="A18" i="42" s="1"/>
  <c r="A17" i="42" s="1"/>
  <c r="A16" i="42" s="1"/>
  <c r="A15" i="42" s="1"/>
  <c r="A14" i="42" s="1"/>
  <c r="J43" i="60"/>
  <c r="G14" i="48"/>
  <c r="E43" i="60"/>
  <c r="A62" i="34"/>
  <c r="A20" i="18"/>
  <c r="F22" i="18"/>
  <c r="D39" i="15" s="1"/>
  <c r="F23" i="18"/>
  <c r="D40" i="15" s="1"/>
  <c r="F20" i="18"/>
  <c r="D37" i="15" s="1"/>
  <c r="N52" i="20"/>
  <c r="B79" i="29"/>
  <c r="F17" i="18"/>
  <c r="D34" i="15" s="1"/>
  <c r="J42" i="60"/>
  <c r="F15" i="18"/>
  <c r="D32" i="15" s="1"/>
  <c r="H42" i="60"/>
  <c r="H45" i="60" s="1"/>
  <c r="C26" i="8"/>
  <c r="G42" i="60"/>
  <c r="G45" i="60" s="1"/>
  <c r="G53" i="40"/>
  <c r="E37" i="28" s="1"/>
  <c r="F14" i="18"/>
  <c r="D31" i="15" s="1"/>
  <c r="N54" i="21"/>
  <c r="F19" i="18"/>
  <c r="D36" i="15" s="1"/>
  <c r="F18" i="18"/>
  <c r="D35" i="15" s="1"/>
  <c r="A49" i="17"/>
  <c r="O49" i="17"/>
  <c r="N48" i="17"/>
  <c r="C26" i="9"/>
  <c r="A17" i="30"/>
  <c r="F11" i="60"/>
  <c r="G11" i="60" s="1"/>
  <c r="D28" i="60"/>
  <c r="A63" i="32"/>
  <c r="F21" i="18"/>
  <c r="D38" i="15" s="1"/>
  <c r="D42" i="60"/>
  <c r="D45" i="60" s="1"/>
  <c r="I42" i="60"/>
  <c r="I45" i="60" s="1"/>
  <c r="E26" i="13"/>
  <c r="I43" i="60"/>
  <c r="H43" i="60"/>
  <c r="C28" i="60"/>
  <c r="E26" i="29"/>
  <c r="G26" i="29" s="1"/>
  <c r="E25" i="29"/>
  <c r="G25" i="29" s="1"/>
  <c r="E27" i="29"/>
  <c r="E24" i="29"/>
  <c r="G24" i="29" s="1"/>
  <c r="E28" i="29"/>
  <c r="E29" i="29"/>
  <c r="G21" i="29"/>
  <c r="E23" i="29"/>
  <c r="G23" i="29" s="1"/>
  <c r="E19" i="29"/>
  <c r="G19" i="29" s="1"/>
  <c r="E20" i="29"/>
  <c r="G20" i="29" s="1"/>
  <c r="E22" i="29"/>
  <c r="G22" i="29" s="1"/>
  <c r="E18" i="29"/>
  <c r="C15" i="28" s="1"/>
  <c r="A39" i="60"/>
  <c r="A21" i="60"/>
  <c r="E26" i="11"/>
  <c r="D43" i="60"/>
  <c r="E42" i="60"/>
  <c r="E45" i="60" s="1"/>
  <c r="E26" i="12"/>
  <c r="E26" i="14"/>
  <c r="B30" i="13"/>
  <c r="A23" i="13"/>
  <c r="A22" i="13" s="1"/>
  <c r="A21" i="13" s="1"/>
  <c r="A20" i="13" s="1"/>
  <c r="A19" i="13" s="1"/>
  <c r="A18" i="13" s="1"/>
  <c r="A17" i="13" s="1"/>
  <c r="A16" i="13" s="1"/>
  <c r="A15" i="13" s="1"/>
  <c r="A14" i="13" s="1"/>
  <c r="G43" i="60"/>
  <c r="F42" i="60"/>
  <c r="F45" i="60" s="1"/>
  <c r="F43" i="60"/>
  <c r="C43" i="60"/>
  <c r="A17" i="7"/>
  <c r="A16" i="7" s="1"/>
  <c r="A15" i="7" s="1"/>
  <c r="E23" i="44" l="1"/>
  <c r="D23" i="42"/>
  <c r="D23" i="41"/>
  <c r="D23" i="43"/>
  <c r="A21" i="44"/>
  <c r="D22" i="44"/>
  <c r="A37" i="15"/>
  <c r="A21" i="15"/>
  <c r="J45" i="60"/>
  <c r="J46" i="60" s="1"/>
  <c r="N49" i="30" s="1"/>
  <c r="G18" i="29"/>
  <c r="E15" i="28" s="1"/>
  <c r="M14" i="48"/>
  <c r="C14" i="6"/>
  <c r="A19" i="29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19" i="18"/>
  <c r="N51" i="20"/>
  <c r="E28" i="60"/>
  <c r="F37" i="28"/>
  <c r="N53" i="21"/>
  <c r="O48" i="17"/>
  <c r="A48" i="17"/>
  <c r="N47" i="17"/>
  <c r="F28" i="60"/>
  <c r="A18" i="30"/>
  <c r="H11" i="60"/>
  <c r="G28" i="60" s="1"/>
  <c r="A65" i="34"/>
  <c r="A65" i="33"/>
  <c r="G17" i="29"/>
  <c r="E14" i="28" s="1"/>
  <c r="D17" i="31"/>
  <c r="D16" i="31"/>
  <c r="D15" i="31"/>
  <c r="D14" i="34"/>
  <c r="E14" i="34" s="1"/>
  <c r="G14" i="31"/>
  <c r="D14" i="33"/>
  <c r="E14" i="33" s="1"/>
  <c r="D18" i="31"/>
  <c r="D14" i="32"/>
  <c r="E14" i="32" s="1"/>
  <c r="A38" i="60"/>
  <c r="A20" i="60"/>
  <c r="A18" i="8"/>
  <c r="A14" i="7"/>
  <c r="A16" i="10"/>
  <c r="A17" i="9"/>
  <c r="C16" i="28" l="1"/>
  <c r="E16" i="28"/>
  <c r="A20" i="44"/>
  <c r="D21" i="44"/>
  <c r="D22" i="42"/>
  <c r="D22" i="43"/>
  <c r="D22" i="41"/>
  <c r="A36" i="15"/>
  <c r="A20" i="15"/>
  <c r="I46" i="60"/>
  <c r="N50" i="30" s="1"/>
  <c r="A31" i="29"/>
  <c r="A32" i="29" s="1"/>
  <c r="A33" i="29" s="1"/>
  <c r="A34" i="29" s="1"/>
  <c r="A35" i="29" s="1"/>
  <c r="A36" i="29" s="1"/>
  <c r="A37" i="29" s="1"/>
  <c r="A38" i="29" s="1"/>
  <c r="A39" i="29" s="1"/>
  <c r="A40" i="29" s="1"/>
  <c r="A41" i="29" s="1"/>
  <c r="A42" i="29" s="1"/>
  <c r="A43" i="29" s="1"/>
  <c r="A44" i="29" s="1"/>
  <c r="A45" i="29" s="1"/>
  <c r="A46" i="29" s="1"/>
  <c r="A47" i="29" s="1"/>
  <c r="A48" i="29" s="1"/>
  <c r="A49" i="29" s="1"/>
  <c r="A50" i="29" s="1"/>
  <c r="A51" i="29" s="1"/>
  <c r="A52" i="29" s="1"/>
  <c r="A53" i="29" s="1"/>
  <c r="A54" i="29" s="1"/>
  <c r="A55" i="29" s="1"/>
  <c r="A56" i="29" s="1"/>
  <c r="B80" i="29"/>
  <c r="B82" i="29"/>
  <c r="N50" i="19"/>
  <c r="A18" i="18"/>
  <c r="N50" i="20"/>
  <c r="N52" i="21"/>
  <c r="N49" i="19"/>
  <c r="A47" i="17"/>
  <c r="O47" i="17"/>
  <c r="N46" i="17"/>
  <c r="A19" i="30"/>
  <c r="I11" i="60"/>
  <c r="H28" i="60" s="1"/>
  <c r="G14" i="33"/>
  <c r="E14" i="30" s="1"/>
  <c r="E19" i="31"/>
  <c r="D19" i="33"/>
  <c r="E19" i="33" s="1"/>
  <c r="D19" i="32"/>
  <c r="E19" i="32" s="1"/>
  <c r="G19" i="32" s="1"/>
  <c r="D19" i="30" s="1"/>
  <c r="D19" i="34"/>
  <c r="E21" i="31"/>
  <c r="G21" i="31" s="1"/>
  <c r="C21" i="30" s="1"/>
  <c r="D21" i="33"/>
  <c r="E21" i="33" s="1"/>
  <c r="D21" i="32"/>
  <c r="E21" i="32" s="1"/>
  <c r="G21" i="32" s="1"/>
  <c r="D21" i="30" s="1"/>
  <c r="D21" i="34"/>
  <c r="E21" i="34" s="1"/>
  <c r="G21" i="34" s="1"/>
  <c r="F21" i="30" s="1"/>
  <c r="G14" i="34"/>
  <c r="F14" i="30" s="1"/>
  <c r="D18" i="34"/>
  <c r="E18" i="34" s="1"/>
  <c r="G18" i="34" s="1"/>
  <c r="F18" i="30" s="1"/>
  <c r="E18" i="31"/>
  <c r="D18" i="32"/>
  <c r="E18" i="32" s="1"/>
  <c r="G18" i="32" s="1"/>
  <c r="D18" i="30" s="1"/>
  <c r="D18" i="33"/>
  <c r="E18" i="33" s="1"/>
  <c r="G18" i="33" s="1"/>
  <c r="E18" i="30" s="1"/>
  <c r="D22" i="33"/>
  <c r="D22" i="34"/>
  <c r="D22" i="32"/>
  <c r="E17" i="31"/>
  <c r="D17" i="34"/>
  <c r="E17" i="34" s="1"/>
  <c r="G17" i="34" s="1"/>
  <c r="F17" i="30" s="1"/>
  <c r="D17" i="32"/>
  <c r="E17" i="32" s="1"/>
  <c r="G17" i="32" s="1"/>
  <c r="D17" i="30" s="1"/>
  <c r="D17" i="33"/>
  <c r="E17" i="33" s="1"/>
  <c r="G17" i="33" s="1"/>
  <c r="E17" i="30" s="1"/>
  <c r="G14" i="32"/>
  <c r="D14" i="30" s="1"/>
  <c r="D20" i="32"/>
  <c r="E20" i="32" s="1"/>
  <c r="G20" i="32" s="1"/>
  <c r="D20" i="30" s="1"/>
  <c r="D20" i="34"/>
  <c r="E20" i="34" s="1"/>
  <c r="G20" i="34" s="1"/>
  <c r="F20" i="30" s="1"/>
  <c r="D20" i="33"/>
  <c r="E20" i="33" s="1"/>
  <c r="G20" i="33" s="1"/>
  <c r="E20" i="30" s="1"/>
  <c r="E20" i="31"/>
  <c r="C14" i="30"/>
  <c r="E30" i="29"/>
  <c r="E15" i="31"/>
  <c r="D15" i="34"/>
  <c r="E15" i="34" s="1"/>
  <c r="G15" i="34" s="1"/>
  <c r="F15" i="30" s="1"/>
  <c r="D15" i="32"/>
  <c r="E15" i="32" s="1"/>
  <c r="G15" i="32" s="1"/>
  <c r="D15" i="30" s="1"/>
  <c r="D15" i="33"/>
  <c r="E15" i="33" s="1"/>
  <c r="G15" i="33" s="1"/>
  <c r="E15" i="30" s="1"/>
  <c r="D16" i="34"/>
  <c r="E16" i="34" s="1"/>
  <c r="G16" i="34" s="1"/>
  <c r="F16" i="30" s="1"/>
  <c r="D16" i="33"/>
  <c r="E16" i="33" s="1"/>
  <c r="G16" i="33" s="1"/>
  <c r="E16" i="30" s="1"/>
  <c r="D16" i="32"/>
  <c r="E16" i="32" s="1"/>
  <c r="E16" i="31"/>
  <c r="A37" i="60"/>
  <c r="A19" i="60"/>
  <c r="E18" i="8"/>
  <c r="C18" i="4" s="1"/>
  <c r="A17" i="8"/>
  <c r="A16" i="9"/>
  <c r="A15" i="10"/>
  <c r="E16" i="10" s="1"/>
  <c r="C16" i="6" s="1"/>
  <c r="A19" i="44" l="1"/>
  <c r="D20" i="44"/>
  <c r="C17" i="28"/>
  <c r="A35" i="15"/>
  <c r="A19" i="15"/>
  <c r="H46" i="60"/>
  <c r="N51" i="30" s="1"/>
  <c r="G16" i="32"/>
  <c r="D16" i="30" s="1"/>
  <c r="G19" i="33"/>
  <c r="E19" i="30" s="1"/>
  <c r="E19" i="34"/>
  <c r="G19" i="34" s="1"/>
  <c r="F19" i="30" s="1"/>
  <c r="A17" i="18"/>
  <c r="N49" i="20"/>
  <c r="N51" i="21"/>
  <c r="N48" i="19"/>
  <c r="E18" i="10"/>
  <c r="C18" i="6" s="1"/>
  <c r="E18" i="9"/>
  <c r="C18" i="5" s="1"/>
  <c r="A46" i="17"/>
  <c r="O46" i="17"/>
  <c r="N45" i="17"/>
  <c r="A20" i="30"/>
  <c r="J11" i="60"/>
  <c r="I28" i="60" s="1"/>
  <c r="G15" i="31"/>
  <c r="C15" i="30" s="1"/>
  <c r="E31" i="29"/>
  <c r="G20" i="31"/>
  <c r="C20" i="30" s="1"/>
  <c r="E36" i="29"/>
  <c r="C19" i="28" s="1"/>
  <c r="G19" i="31"/>
  <c r="C19" i="30" s="1"/>
  <c r="G16" i="31"/>
  <c r="C16" i="30" s="1"/>
  <c r="E32" i="29"/>
  <c r="G18" i="31"/>
  <c r="C18" i="30" s="1"/>
  <c r="E34" i="29"/>
  <c r="E37" i="29"/>
  <c r="G21" i="33"/>
  <c r="E21" i="30" s="1"/>
  <c r="E33" i="29"/>
  <c r="C18" i="28" s="1"/>
  <c r="G17" i="31"/>
  <c r="C17" i="30" s="1"/>
  <c r="A36" i="60"/>
  <c r="A18" i="60"/>
  <c r="A16" i="8"/>
  <c r="E15" i="10"/>
  <c r="A14" i="10"/>
  <c r="E17" i="10"/>
  <c r="C17" i="6" s="1"/>
  <c r="A15" i="9"/>
  <c r="E16" i="9" s="1"/>
  <c r="C16" i="5" s="1"/>
  <c r="A18" i="44" l="1"/>
  <c r="D19" i="44"/>
  <c r="G46" i="60"/>
  <c r="A34" i="15"/>
  <c r="A18" i="15"/>
  <c r="E35" i="29"/>
  <c r="A16" i="18"/>
  <c r="N48" i="20"/>
  <c r="N50" i="21"/>
  <c r="N47" i="19"/>
  <c r="E19" i="10"/>
  <c r="C19" i="6" s="1"/>
  <c r="E19" i="9"/>
  <c r="C19" i="5" s="1"/>
  <c r="E19" i="8"/>
  <c r="C19" i="4" s="1"/>
  <c r="O45" i="17"/>
  <c r="N44" i="17"/>
  <c r="A45" i="17"/>
  <c r="A21" i="30"/>
  <c r="K11" i="60"/>
  <c r="K28" i="60" s="1"/>
  <c r="A35" i="60"/>
  <c r="A17" i="60"/>
  <c r="A15" i="8"/>
  <c r="E16" i="8" s="1"/>
  <c r="C16" i="4" s="1"/>
  <c r="C15" i="6"/>
  <c r="E15" i="9"/>
  <c r="A14" i="9"/>
  <c r="E17" i="9"/>
  <c r="C17" i="5" s="1"/>
  <c r="F46" i="60" l="1"/>
  <c r="N53" i="30" s="1"/>
  <c r="N52" i="30"/>
  <c r="A17" i="44"/>
  <c r="D18" i="44"/>
  <c r="A33" i="15"/>
  <c r="A17" i="15"/>
  <c r="E46" i="60"/>
  <c r="N54" i="30" s="1"/>
  <c r="A15" i="18"/>
  <c r="N47" i="20"/>
  <c r="N46" i="19"/>
  <c r="N49" i="21"/>
  <c r="E20" i="10"/>
  <c r="E20" i="9"/>
  <c r="C20" i="5" s="1"/>
  <c r="E20" i="8"/>
  <c r="C20" i="4" s="1"/>
  <c r="N43" i="17"/>
  <c r="O44" i="17"/>
  <c r="A44" i="17"/>
  <c r="A22" i="30"/>
  <c r="J28" i="60"/>
  <c r="A16" i="60"/>
  <c r="A34" i="60"/>
  <c r="A14" i="8"/>
  <c r="E15" i="8"/>
  <c r="E17" i="8"/>
  <c r="C17" i="4" s="1"/>
  <c r="C15" i="5"/>
  <c r="A16" i="44" l="1"/>
  <c r="D17" i="44"/>
  <c r="A32" i="15"/>
  <c r="A16" i="15"/>
  <c r="D46" i="60"/>
  <c r="N55" i="30" s="1"/>
  <c r="A14" i="18"/>
  <c r="N46" i="20"/>
  <c r="N45" i="19"/>
  <c r="N48" i="21"/>
  <c r="E21" i="10"/>
  <c r="C21" i="6" s="1"/>
  <c r="E21" i="9"/>
  <c r="E21" i="8"/>
  <c r="C21" i="4" s="1"/>
  <c r="C20" i="6"/>
  <c r="O43" i="17"/>
  <c r="A43" i="17"/>
  <c r="N42" i="17"/>
  <c r="A23" i="30"/>
  <c r="A33" i="60"/>
  <c r="A15" i="60"/>
  <c r="C15" i="4"/>
  <c r="A15" i="44" l="1"/>
  <c r="D16" i="44"/>
  <c r="A31" i="15"/>
  <c r="A14" i="15" s="1"/>
  <c r="A15" i="15"/>
  <c r="C46" i="60"/>
  <c r="N45" i="20"/>
  <c r="N44" i="19"/>
  <c r="N47" i="21"/>
  <c r="C21" i="5"/>
  <c r="E22" i="10"/>
  <c r="C22" i="6" s="1"/>
  <c r="E22" i="9"/>
  <c r="C22" i="5" s="1"/>
  <c r="E22" i="8"/>
  <c r="O42" i="17"/>
  <c r="A42" i="17"/>
  <c r="N41" i="17"/>
  <c r="A24" i="30"/>
  <c r="A14" i="60"/>
  <c r="A31" i="60" s="1"/>
  <c r="A32" i="60"/>
  <c r="A14" i="44" l="1"/>
  <c r="D14" i="44" s="1"/>
  <c r="D15" i="44"/>
  <c r="N44" i="20"/>
  <c r="N46" i="21"/>
  <c r="N43" i="19"/>
  <c r="E23" i="10"/>
  <c r="E26" i="10" s="1"/>
  <c r="E23" i="9"/>
  <c r="C23" i="5" s="1"/>
  <c r="E23" i="8"/>
  <c r="C23" i="4" s="1"/>
  <c r="C22" i="4"/>
  <c r="O41" i="17"/>
  <c r="A41" i="17"/>
  <c r="N40" i="17"/>
  <c r="A25" i="30"/>
  <c r="C26" i="4" l="1"/>
  <c r="C23" i="6"/>
  <c r="C26" i="6" s="1"/>
  <c r="C26" i="5"/>
  <c r="N43" i="20"/>
  <c r="N42" i="19"/>
  <c r="K56" i="19" s="1"/>
  <c r="N45" i="21"/>
  <c r="E26" i="9"/>
  <c r="E26" i="8"/>
  <c r="C26" i="3"/>
  <c r="N39" i="17"/>
  <c r="A40" i="17"/>
  <c r="O40" i="17"/>
  <c r="A26" i="30"/>
  <c r="N42" i="20" l="1"/>
  <c r="K56" i="20" s="1"/>
  <c r="N41" i="19"/>
  <c r="J43" i="19"/>
  <c r="K51" i="19"/>
  <c r="J44" i="19"/>
  <c r="K46" i="19"/>
  <c r="J46" i="19"/>
  <c r="J52" i="19"/>
  <c r="J48" i="19"/>
  <c r="K57" i="19"/>
  <c r="J45" i="19"/>
  <c r="K50" i="19"/>
  <c r="J57" i="19"/>
  <c r="K43" i="19"/>
  <c r="K53" i="19"/>
  <c r="J47" i="19"/>
  <c r="K52" i="19"/>
  <c r="K42" i="19"/>
  <c r="K45" i="19"/>
  <c r="K47" i="19"/>
  <c r="J53" i="19"/>
  <c r="K49" i="19"/>
  <c r="J50" i="19"/>
  <c r="J49" i="19"/>
  <c r="K44" i="19"/>
  <c r="J42" i="19"/>
  <c r="J51" i="19"/>
  <c r="K48" i="19"/>
  <c r="N44" i="21"/>
  <c r="A39" i="17"/>
  <c r="O39" i="17"/>
  <c r="N38" i="17"/>
  <c r="A27" i="30"/>
  <c r="K58" i="21" l="1"/>
  <c r="K55" i="21"/>
  <c r="K54" i="21"/>
  <c r="J55" i="21"/>
  <c r="J54" i="21"/>
  <c r="K53" i="21"/>
  <c r="K52" i="21"/>
  <c r="K51" i="21"/>
  <c r="K50" i="21"/>
  <c r="K49" i="21"/>
  <c r="K48" i="21"/>
  <c r="K47" i="21"/>
  <c r="K46" i="21"/>
  <c r="K45" i="21"/>
  <c r="K44" i="21"/>
  <c r="K59" i="21"/>
  <c r="J53" i="21"/>
  <c r="J52" i="21"/>
  <c r="J51" i="21"/>
  <c r="J50" i="21"/>
  <c r="J49" i="21"/>
  <c r="J48" i="21"/>
  <c r="J47" i="21"/>
  <c r="J46" i="21"/>
  <c r="J45" i="21"/>
  <c r="J44" i="21"/>
  <c r="J59" i="21"/>
  <c r="J56" i="19"/>
  <c r="N41" i="20"/>
  <c r="K47" i="20"/>
  <c r="K45" i="20"/>
  <c r="K49" i="20"/>
  <c r="J53" i="20"/>
  <c r="K51" i="20"/>
  <c r="K53" i="20"/>
  <c r="K42" i="20"/>
  <c r="J45" i="20"/>
  <c r="J42" i="20"/>
  <c r="J46" i="20"/>
  <c r="J50" i="20"/>
  <c r="J57" i="20"/>
  <c r="K48" i="20"/>
  <c r="K43" i="20"/>
  <c r="J48" i="20"/>
  <c r="J44" i="20"/>
  <c r="J52" i="20"/>
  <c r="K44" i="20"/>
  <c r="J47" i="20"/>
  <c r="K52" i="20"/>
  <c r="J51" i="20"/>
  <c r="K57" i="20"/>
  <c r="K50" i="20"/>
  <c r="K46" i="20"/>
  <c r="J43" i="20"/>
  <c r="J49" i="20"/>
  <c r="N43" i="21"/>
  <c r="N40" i="19"/>
  <c r="A38" i="17"/>
  <c r="O38" i="17"/>
  <c r="N37" i="17"/>
  <c r="A28" i="30"/>
  <c r="J58" i="21" l="1"/>
  <c r="J56" i="20"/>
  <c r="N40" i="20"/>
  <c r="N39" i="19"/>
  <c r="N42" i="21"/>
  <c r="A37" i="17"/>
  <c r="O37" i="17"/>
  <c r="N36" i="17"/>
  <c r="A29" i="30"/>
  <c r="N39" i="20" l="1"/>
  <c r="N38" i="19"/>
  <c r="N41" i="21"/>
  <c r="A36" i="17"/>
  <c r="O36" i="17"/>
  <c r="N35" i="17"/>
  <c r="A30" i="30"/>
  <c r="N38" i="20" l="1"/>
  <c r="N37" i="19"/>
  <c r="I47" i="19"/>
  <c r="H41" i="19"/>
  <c r="H48" i="19"/>
  <c r="H38" i="19"/>
  <c r="I45" i="19"/>
  <c r="H42" i="19"/>
  <c r="H40" i="19"/>
  <c r="H43" i="19"/>
  <c r="H47" i="19"/>
  <c r="H44" i="19"/>
  <c r="I49" i="19"/>
  <c r="I50" i="19"/>
  <c r="I43" i="19"/>
  <c r="I56" i="19"/>
  <c r="I53" i="19"/>
  <c r="H50" i="19"/>
  <c r="I48" i="19"/>
  <c r="I46" i="19"/>
  <c r="I38" i="19"/>
  <c r="H49" i="19"/>
  <c r="H52" i="19"/>
  <c r="H57" i="19"/>
  <c r="I40" i="19"/>
  <c r="H45" i="19"/>
  <c r="I51" i="19"/>
  <c r="H51" i="19"/>
  <c r="I42" i="19"/>
  <c r="H46" i="19"/>
  <c r="I52" i="19"/>
  <c r="I41" i="19"/>
  <c r="H39" i="19"/>
  <c r="I57" i="19"/>
  <c r="H53" i="19"/>
  <c r="I39" i="19"/>
  <c r="I44" i="19"/>
  <c r="N40" i="21"/>
  <c r="A35" i="17"/>
  <c r="N34" i="17"/>
  <c r="O35" i="17"/>
  <c r="A31" i="30"/>
  <c r="I42" i="21" l="1"/>
  <c r="H42" i="21"/>
  <c r="I58" i="21"/>
  <c r="I43" i="21"/>
  <c r="I55" i="21"/>
  <c r="I54" i="21"/>
  <c r="H43" i="21"/>
  <c r="H55" i="21"/>
  <c r="H54" i="21"/>
  <c r="I53" i="21"/>
  <c r="I52" i="21"/>
  <c r="I51" i="21"/>
  <c r="I50" i="21"/>
  <c r="I49" i="21"/>
  <c r="I48" i="21"/>
  <c r="I47" i="21"/>
  <c r="I46" i="21"/>
  <c r="I45" i="21"/>
  <c r="I44" i="21"/>
  <c r="I40" i="21"/>
  <c r="I59" i="21"/>
  <c r="H53" i="21"/>
  <c r="H52" i="21"/>
  <c r="H51" i="21"/>
  <c r="H50" i="21"/>
  <c r="H49" i="21"/>
  <c r="H48" i="21"/>
  <c r="H47" i="21"/>
  <c r="H46" i="21"/>
  <c r="H45" i="21"/>
  <c r="H44" i="21"/>
  <c r="H40" i="21"/>
  <c r="H59" i="21"/>
  <c r="I41" i="21"/>
  <c r="H41" i="21"/>
  <c r="H56" i="19"/>
  <c r="N37" i="20"/>
  <c r="H45" i="20"/>
  <c r="I40" i="20"/>
  <c r="H43" i="20"/>
  <c r="I42" i="20"/>
  <c r="I48" i="20"/>
  <c r="H46" i="20"/>
  <c r="I39" i="20"/>
  <c r="H47" i="20"/>
  <c r="I53" i="20"/>
  <c r="I49" i="20"/>
  <c r="I41" i="20"/>
  <c r="H57" i="20"/>
  <c r="H48" i="20"/>
  <c r="I57" i="20"/>
  <c r="I52" i="20"/>
  <c r="H51" i="20"/>
  <c r="H41" i="20"/>
  <c r="H42" i="20"/>
  <c r="I38" i="20"/>
  <c r="H39" i="20"/>
  <c r="H53" i="20"/>
  <c r="H49" i="20"/>
  <c r="H50" i="20"/>
  <c r="H44" i="20"/>
  <c r="I44" i="20"/>
  <c r="H52" i="20"/>
  <c r="I46" i="20"/>
  <c r="I51" i="20"/>
  <c r="I50" i="20"/>
  <c r="I45" i="20"/>
  <c r="H40" i="20"/>
  <c r="I47" i="20"/>
  <c r="I56" i="20"/>
  <c r="I43" i="20"/>
  <c r="H38" i="20"/>
  <c r="N39" i="21"/>
  <c r="N36" i="19"/>
  <c r="O34" i="17"/>
  <c r="N33" i="17"/>
  <c r="A34" i="17"/>
  <c r="A32" i="30"/>
  <c r="H58" i="21" l="1"/>
  <c r="H56" i="20"/>
  <c r="N36" i="20"/>
  <c r="N35" i="19"/>
  <c r="N38" i="21"/>
  <c r="N32" i="17"/>
  <c r="O33" i="17"/>
  <c r="A33" i="17"/>
  <c r="A33" i="30"/>
  <c r="N35" i="20" l="1"/>
  <c r="N34" i="19"/>
  <c r="N37" i="21"/>
  <c r="A32" i="17"/>
  <c r="N31" i="17"/>
  <c r="O32" i="17"/>
  <c r="A34" i="30"/>
  <c r="N34" i="20" l="1"/>
  <c r="N33" i="19"/>
  <c r="G43" i="19"/>
  <c r="G36" i="19"/>
  <c r="F51" i="19"/>
  <c r="F39" i="19"/>
  <c r="F57" i="19"/>
  <c r="G52" i="19"/>
  <c r="F37" i="19"/>
  <c r="G53" i="19"/>
  <c r="G49" i="19"/>
  <c r="G56" i="19"/>
  <c r="C28" i="18" s="1"/>
  <c r="G41" i="19"/>
  <c r="G40" i="19"/>
  <c r="G57" i="19"/>
  <c r="F52" i="19"/>
  <c r="G47" i="19"/>
  <c r="F40" i="19"/>
  <c r="F53" i="19"/>
  <c r="F46" i="19"/>
  <c r="F48" i="19"/>
  <c r="G45" i="19"/>
  <c r="F34" i="19"/>
  <c r="G42" i="19"/>
  <c r="F38" i="19"/>
  <c r="G35" i="19"/>
  <c r="G46" i="19"/>
  <c r="F35" i="19"/>
  <c r="F36" i="19"/>
  <c r="F50" i="19"/>
  <c r="G39" i="19"/>
  <c r="F42" i="19"/>
  <c r="G44" i="19"/>
  <c r="F44" i="19"/>
  <c r="F45" i="19"/>
  <c r="F49" i="19"/>
  <c r="G48" i="19"/>
  <c r="F47" i="19"/>
  <c r="F41" i="19"/>
  <c r="G51" i="19"/>
  <c r="G34" i="19"/>
  <c r="F43" i="19"/>
  <c r="G38" i="19"/>
  <c r="G37" i="19"/>
  <c r="G50" i="19"/>
  <c r="N36" i="21"/>
  <c r="N30" i="17"/>
  <c r="O31" i="17"/>
  <c r="A31" i="17"/>
  <c r="A35" i="30"/>
  <c r="G41" i="21" l="1"/>
  <c r="G59" i="21"/>
  <c r="F49" i="21"/>
  <c r="F45" i="21"/>
  <c r="F38" i="21"/>
  <c r="F59" i="21"/>
  <c r="F41" i="21"/>
  <c r="G42" i="21"/>
  <c r="G39" i="21"/>
  <c r="G37" i="21"/>
  <c r="F52" i="21"/>
  <c r="F51" i="21"/>
  <c r="F47" i="21"/>
  <c r="F36" i="21"/>
  <c r="F42" i="21"/>
  <c r="F39" i="21"/>
  <c r="F37" i="21"/>
  <c r="G58" i="21"/>
  <c r="E28" i="18" s="1"/>
  <c r="E30" i="18" s="1"/>
  <c r="G43" i="21"/>
  <c r="G53" i="21"/>
  <c r="G51" i="21"/>
  <c r="G50" i="21"/>
  <c r="G48" i="21"/>
  <c r="G46" i="21"/>
  <c r="G45" i="21"/>
  <c r="G40" i="21"/>
  <c r="G36" i="21"/>
  <c r="F50" i="21"/>
  <c r="F48" i="21"/>
  <c r="F44" i="21"/>
  <c r="F40" i="21"/>
  <c r="G55" i="21"/>
  <c r="G54" i="21"/>
  <c r="F43" i="21"/>
  <c r="F55" i="21"/>
  <c r="F54" i="21"/>
  <c r="G52" i="21"/>
  <c r="G49" i="21"/>
  <c r="G47" i="21"/>
  <c r="G44" i="21"/>
  <c r="G38" i="21"/>
  <c r="F53" i="21"/>
  <c r="F46" i="21"/>
  <c r="F56" i="19"/>
  <c r="C30" i="18"/>
  <c r="G45" i="20"/>
  <c r="F40" i="20"/>
  <c r="F39" i="20"/>
  <c r="G53" i="20"/>
  <c r="G56" i="20"/>
  <c r="D28" i="18" s="1"/>
  <c r="G51" i="20"/>
  <c r="G46" i="20"/>
  <c r="G40" i="20"/>
  <c r="F43" i="20"/>
  <c r="G36" i="20"/>
  <c r="F49" i="20"/>
  <c r="G47" i="20"/>
  <c r="F45" i="20"/>
  <c r="G48" i="20"/>
  <c r="F52" i="20"/>
  <c r="F35" i="20"/>
  <c r="F42" i="20"/>
  <c r="F37" i="20"/>
  <c r="F41" i="20"/>
  <c r="G50" i="20"/>
  <c r="G57" i="20"/>
  <c r="G38" i="20"/>
  <c r="G49" i="20"/>
  <c r="F44" i="20"/>
  <c r="F51" i="20"/>
  <c r="F57" i="20"/>
  <c r="F34" i="20"/>
  <c r="G52" i="20"/>
  <c r="F53" i="20"/>
  <c r="G34" i="20"/>
  <c r="G41" i="20"/>
  <c r="G35" i="20"/>
  <c r="F48" i="20"/>
  <c r="F36" i="20"/>
  <c r="F38" i="20"/>
  <c r="F47" i="20"/>
  <c r="F50" i="20"/>
  <c r="G42" i="20"/>
  <c r="G37" i="20"/>
  <c r="F46" i="20"/>
  <c r="G39" i="20"/>
  <c r="G44" i="20"/>
  <c r="G43" i="20"/>
  <c r="N33" i="20"/>
  <c r="N35" i="21"/>
  <c r="N32" i="19"/>
  <c r="O30" i="17"/>
  <c r="A30" i="17"/>
  <c r="N29" i="17"/>
  <c r="A36" i="30"/>
  <c r="F58" i="21" l="1"/>
  <c r="F56" i="20"/>
  <c r="N32" i="20"/>
  <c r="N31" i="19"/>
  <c r="N34" i="21"/>
  <c r="O29" i="17"/>
  <c r="N28" i="17"/>
  <c r="A29" i="17"/>
  <c r="A37" i="30"/>
  <c r="F28" i="18" l="1"/>
  <c r="F30" i="18" s="1"/>
  <c r="D30" i="18"/>
  <c r="N31" i="20"/>
  <c r="N30" i="19"/>
  <c r="N33" i="21"/>
  <c r="A28" i="17"/>
  <c r="O28" i="17"/>
  <c r="N27" i="17"/>
  <c r="A38" i="30"/>
  <c r="I19" i="15" l="1"/>
  <c r="F31" i="15" s="1"/>
  <c r="N30" i="20"/>
  <c r="N32" i="21"/>
  <c r="N29" i="19"/>
  <c r="N26" i="17"/>
  <c r="A27" i="17"/>
  <c r="O27" i="17"/>
  <c r="A39" i="30"/>
  <c r="F34" i="15" l="1"/>
  <c r="F35" i="15"/>
  <c r="F39" i="15"/>
  <c r="F37" i="15"/>
  <c r="F32" i="15"/>
  <c r="F40" i="15"/>
  <c r="F33" i="15"/>
  <c r="F38" i="15"/>
  <c r="F36" i="15"/>
  <c r="N29" i="20"/>
  <c r="N31" i="21"/>
  <c r="N28" i="19"/>
  <c r="A26" i="17"/>
  <c r="N25" i="17"/>
  <c r="O26" i="17"/>
  <c r="A40" i="30"/>
  <c r="N28" i="20" l="1"/>
  <c r="N27" i="19"/>
  <c r="N30" i="21"/>
  <c r="A25" i="17"/>
  <c r="O25" i="17"/>
  <c r="N24" i="17"/>
  <c r="A41" i="30"/>
  <c r="N27" i="20" l="1"/>
  <c r="N29" i="21"/>
  <c r="N26" i="19"/>
  <c r="A24" i="17"/>
  <c r="N23" i="17"/>
  <c r="O24" i="17"/>
  <c r="A42" i="30"/>
  <c r="N26" i="20" l="1"/>
  <c r="N28" i="21"/>
  <c r="N25" i="19"/>
  <c r="A23" i="17"/>
  <c r="O23" i="17"/>
  <c r="N22" i="17"/>
  <c r="A43" i="30"/>
  <c r="N25" i="20" l="1"/>
  <c r="N24" i="19"/>
  <c r="N27" i="21"/>
  <c r="N21" i="17"/>
  <c r="O22" i="17"/>
  <c r="A22" i="17"/>
  <c r="A44" i="30"/>
  <c r="N24" i="20" l="1"/>
  <c r="N23" i="19"/>
  <c r="N26" i="21"/>
  <c r="A21" i="17"/>
  <c r="O21" i="17"/>
  <c r="N20" i="17"/>
  <c r="A45" i="30"/>
  <c r="A46" i="30" l="1"/>
  <c r="N23" i="20"/>
  <c r="N22" i="19"/>
  <c r="N25" i="21"/>
  <c r="N19" i="17"/>
  <c r="O20" i="17"/>
  <c r="A20" i="17"/>
  <c r="A47" i="30" l="1"/>
  <c r="N22" i="20"/>
  <c r="N21" i="19"/>
  <c r="N24" i="21"/>
  <c r="N18" i="17"/>
  <c r="O19" i="17"/>
  <c r="A19" i="17"/>
  <c r="A48" i="30" l="1"/>
  <c r="N21" i="20"/>
  <c r="N23" i="21"/>
  <c r="N20" i="19"/>
  <c r="A18" i="17"/>
  <c r="N17" i="17"/>
  <c r="O18" i="17"/>
  <c r="A49" i="30" l="1"/>
  <c r="N20" i="20"/>
  <c r="N22" i="21"/>
  <c r="N19" i="19"/>
  <c r="A17" i="17"/>
  <c r="N16" i="17"/>
  <c r="O17" i="17"/>
  <c r="A50" i="30" l="1"/>
  <c r="N19" i="20"/>
  <c r="N18" i="19"/>
  <c r="N21" i="21"/>
  <c r="O16" i="17"/>
  <c r="N15" i="17"/>
  <c r="A16" i="17"/>
  <c r="A51" i="30" l="1"/>
  <c r="N18" i="20"/>
  <c r="N20" i="21"/>
  <c r="N17" i="19"/>
  <c r="N14" i="17"/>
  <c r="O15" i="17"/>
  <c r="A15" i="17"/>
  <c r="A52" i="30" l="1"/>
  <c r="N17" i="20"/>
  <c r="N16" i="19"/>
  <c r="N19" i="21"/>
  <c r="A14" i="17"/>
  <c r="O14" i="17"/>
  <c r="A53" i="30" l="1"/>
  <c r="N16" i="20"/>
  <c r="N18" i="21"/>
  <c r="N15" i="19"/>
  <c r="N14" i="19"/>
  <c r="A54" i="30" l="1"/>
  <c r="N15" i="20"/>
  <c r="N14" i="20"/>
  <c r="E14" i="19"/>
  <c r="D31" i="19"/>
  <c r="D50" i="19"/>
  <c r="D42" i="19"/>
  <c r="E52" i="19"/>
  <c r="E33" i="19"/>
  <c r="E18" i="19"/>
  <c r="E47" i="19"/>
  <c r="E23" i="19"/>
  <c r="E20" i="19"/>
  <c r="E35" i="19"/>
  <c r="D35" i="19"/>
  <c r="E17" i="19"/>
  <c r="D51" i="19"/>
  <c r="E24" i="19"/>
  <c r="E21" i="19"/>
  <c r="D30" i="19"/>
  <c r="E19" i="19"/>
  <c r="E32" i="19"/>
  <c r="D27" i="19"/>
  <c r="E25" i="19"/>
  <c r="E30" i="19"/>
  <c r="D57" i="19"/>
  <c r="D14" i="19"/>
  <c r="E46" i="19"/>
  <c r="E27" i="19"/>
  <c r="D17" i="19"/>
  <c r="E51" i="19"/>
  <c r="E41" i="19"/>
  <c r="D28" i="19"/>
  <c r="D22" i="19"/>
  <c r="D21" i="19"/>
  <c r="D23" i="19"/>
  <c r="D49" i="19"/>
  <c r="D39" i="19"/>
  <c r="D53" i="19"/>
  <c r="D48" i="19"/>
  <c r="D44" i="19"/>
  <c r="D29" i="19"/>
  <c r="E29" i="19"/>
  <c r="E16" i="19"/>
  <c r="D41" i="19"/>
  <c r="D52" i="19"/>
  <c r="D45" i="19"/>
  <c r="E28" i="19"/>
  <c r="E45" i="19"/>
  <c r="E34" i="19"/>
  <c r="D16" i="19"/>
  <c r="D38" i="19"/>
  <c r="D25" i="19"/>
  <c r="E31" i="19"/>
  <c r="E15" i="19"/>
  <c r="E22" i="19"/>
  <c r="D19" i="19"/>
  <c r="D15" i="19"/>
  <c r="E53" i="19"/>
  <c r="D26" i="19"/>
  <c r="E49" i="19"/>
  <c r="E37" i="19"/>
  <c r="D24" i="19"/>
  <c r="D43" i="19"/>
  <c r="D18" i="19"/>
  <c r="E38" i="19"/>
  <c r="D34" i="19"/>
  <c r="D20" i="19"/>
  <c r="D33" i="19"/>
  <c r="E50" i="19"/>
  <c r="E36" i="19"/>
  <c r="D36" i="19"/>
  <c r="E43" i="19"/>
  <c r="E40" i="19"/>
  <c r="D32" i="19"/>
  <c r="D47" i="19"/>
  <c r="E57" i="19"/>
  <c r="D37" i="19"/>
  <c r="E26" i="19"/>
  <c r="E48" i="19"/>
  <c r="D46" i="19"/>
  <c r="E42" i="19"/>
  <c r="D40" i="19"/>
  <c r="E56" i="19"/>
  <c r="E44" i="19"/>
  <c r="E39" i="19"/>
  <c r="N17" i="21"/>
  <c r="A55" i="30" l="1"/>
  <c r="D17" i="20"/>
  <c r="E14" i="20"/>
  <c r="D18" i="20"/>
  <c r="D21" i="20"/>
  <c r="E33" i="20"/>
  <c r="D33" i="20"/>
  <c r="E18" i="20"/>
  <c r="D48" i="20"/>
  <c r="E43" i="20"/>
  <c r="D19" i="20"/>
  <c r="D45" i="20"/>
  <c r="D14" i="20"/>
  <c r="D42" i="20"/>
  <c r="D36" i="20"/>
  <c r="D47" i="20"/>
  <c r="D23" i="20"/>
  <c r="D39" i="20"/>
  <c r="E52" i="20"/>
  <c r="E28" i="20"/>
  <c r="D50" i="20"/>
  <c r="E20" i="20"/>
  <c r="D20" i="20"/>
  <c r="E42" i="20"/>
  <c r="D22" i="20"/>
  <c r="E44" i="20"/>
  <c r="D46" i="20"/>
  <c r="D27" i="20"/>
  <c r="E48" i="20"/>
  <c r="D49" i="20"/>
  <c r="E23" i="20"/>
  <c r="D37" i="20"/>
  <c r="E19" i="20"/>
  <c r="D44" i="20"/>
  <c r="D51" i="20"/>
  <c r="E30" i="20"/>
  <c r="E35" i="20"/>
  <c r="E16" i="20"/>
  <c r="E39" i="20"/>
  <c r="D30" i="20"/>
  <c r="D34" i="20"/>
  <c r="E46" i="20"/>
  <c r="D29" i="20"/>
  <c r="D38" i="20"/>
  <c r="E29" i="20"/>
  <c r="E56" i="20"/>
  <c r="E57" i="20"/>
  <c r="E24" i="20"/>
  <c r="E36" i="20"/>
  <c r="D26" i="20"/>
  <c r="D41" i="20"/>
  <c r="D28" i="20"/>
  <c r="E21" i="20"/>
  <c r="E53" i="20"/>
  <c r="E27" i="20"/>
  <c r="E25" i="20"/>
  <c r="E34" i="20"/>
  <c r="D43" i="20"/>
  <c r="D40" i="20"/>
  <c r="D32" i="20"/>
  <c r="E49" i="20"/>
  <c r="E37" i="20"/>
  <c r="E15" i="20"/>
  <c r="D15" i="20"/>
  <c r="D57" i="20"/>
  <c r="E47" i="20"/>
  <c r="E40" i="20"/>
  <c r="D52" i="20"/>
  <c r="D53" i="20"/>
  <c r="E31" i="20"/>
  <c r="E22" i="20"/>
  <c r="E17" i="20"/>
  <c r="E32" i="20"/>
  <c r="E26" i="20"/>
  <c r="E45" i="20"/>
  <c r="D24" i="20"/>
  <c r="E38" i="20"/>
  <c r="E51" i="20"/>
  <c r="E50" i="20"/>
  <c r="E41" i="20"/>
  <c r="D35" i="20"/>
  <c r="D16" i="20"/>
  <c r="D25" i="20"/>
  <c r="D31" i="20"/>
  <c r="D56" i="19"/>
  <c r="N16" i="21"/>
  <c r="N56" i="30" l="1"/>
  <c r="D56" i="20"/>
  <c r="N15" i="21"/>
  <c r="N14" i="21"/>
  <c r="D55" i="21" l="1"/>
  <c r="D54" i="21"/>
  <c r="E53" i="21"/>
  <c r="E52" i="21"/>
  <c r="E51" i="21"/>
  <c r="E50" i="21"/>
  <c r="E49" i="21"/>
  <c r="E48" i="21"/>
  <c r="E47" i="21"/>
  <c r="E46" i="21"/>
  <c r="E45" i="21"/>
  <c r="E44" i="21"/>
  <c r="E40" i="21"/>
  <c r="E38" i="21"/>
  <c r="E36" i="21"/>
  <c r="E32" i="21"/>
  <c r="E28" i="21"/>
  <c r="E24" i="21"/>
  <c r="E20" i="21"/>
  <c r="E16" i="21"/>
  <c r="E59" i="21"/>
  <c r="D16" i="21"/>
  <c r="E54" i="21"/>
  <c r="D25" i="21"/>
  <c r="D53" i="21"/>
  <c r="D52" i="21"/>
  <c r="D51" i="21"/>
  <c r="D50" i="21"/>
  <c r="D49" i="21"/>
  <c r="D48" i="21"/>
  <c r="D47" i="21"/>
  <c r="D46" i="21"/>
  <c r="D45" i="21"/>
  <c r="D44" i="21"/>
  <c r="D40" i="21"/>
  <c r="D38" i="21"/>
  <c r="D36" i="21"/>
  <c r="D32" i="21"/>
  <c r="D28" i="21"/>
  <c r="D24" i="21"/>
  <c r="D20" i="21"/>
  <c r="D59" i="21"/>
  <c r="E41" i="21"/>
  <c r="E35" i="21"/>
  <c r="E31" i="21"/>
  <c r="E27" i="21"/>
  <c r="E23" i="21"/>
  <c r="E19" i="21"/>
  <c r="E15" i="21"/>
  <c r="E21" i="21"/>
  <c r="D43" i="21"/>
  <c r="D21" i="21"/>
  <c r="D41" i="21"/>
  <c r="D35" i="21"/>
  <c r="D31" i="21"/>
  <c r="D27" i="21"/>
  <c r="D23" i="21"/>
  <c r="D19" i="21"/>
  <c r="D15" i="21"/>
  <c r="E42" i="21"/>
  <c r="E39" i="21"/>
  <c r="E37" i="21"/>
  <c r="E34" i="21"/>
  <c r="E30" i="21"/>
  <c r="E26" i="21"/>
  <c r="E22" i="21"/>
  <c r="E18" i="21"/>
  <c r="E14" i="21"/>
  <c r="E58" i="21"/>
  <c r="E43" i="21"/>
  <c r="E33" i="21"/>
  <c r="E25" i="21"/>
  <c r="E55" i="21"/>
  <c r="D33" i="21"/>
  <c r="D17" i="21"/>
  <c r="D42" i="21"/>
  <c r="D39" i="21"/>
  <c r="D37" i="21"/>
  <c r="D34" i="21"/>
  <c r="D30" i="21"/>
  <c r="D26" i="21"/>
  <c r="D22" i="21"/>
  <c r="D18" i="21"/>
  <c r="D14" i="21"/>
  <c r="E29" i="21"/>
  <c r="E17" i="21"/>
  <c r="D29" i="21"/>
  <c r="D58" i="21" l="1"/>
  <c r="D14" i="45" l="1"/>
  <c r="D14" i="42" l="1"/>
  <c r="D14" i="43"/>
  <c r="D14" i="41"/>
  <c r="D15" i="41"/>
  <c r="D15" i="43"/>
  <c r="D15" i="42"/>
  <c r="D16" i="43" l="1"/>
  <c r="D16" i="41"/>
  <c r="D16" i="42"/>
  <c r="D17" i="42"/>
  <c r="D17" i="43"/>
  <c r="D17" i="41"/>
  <c r="D18" i="43" l="1"/>
  <c r="D18" i="42"/>
  <c r="D18" i="41"/>
  <c r="D19" i="41" l="1"/>
  <c r="D19" i="42"/>
  <c r="D19" i="43"/>
  <c r="D20" i="42"/>
  <c r="D20" i="43"/>
  <c r="D20" i="41"/>
  <c r="D21" i="41"/>
  <c r="D21" i="43"/>
  <c r="D21" i="42"/>
  <c r="E23" i="31" l="1"/>
  <c r="E22" i="33"/>
  <c r="E58" i="33" s="1"/>
  <c r="E23" i="34"/>
  <c r="G23" i="34" s="1"/>
  <c r="F23" i="30" s="1"/>
  <c r="E22" i="32"/>
  <c r="E23" i="30"/>
  <c r="E22" i="34"/>
  <c r="G22" i="32" l="1"/>
  <c r="D22" i="30" s="1"/>
  <c r="G22" i="33"/>
  <c r="E22" i="30" s="1"/>
  <c r="D23" i="30"/>
  <c r="E39" i="29"/>
  <c r="G23" i="31"/>
  <c r="C23" i="30" s="1"/>
  <c r="G22" i="34"/>
  <c r="F22" i="30" s="1"/>
  <c r="E22" i="31" l="1"/>
  <c r="G22" i="31" l="1"/>
  <c r="C22" i="30" s="1"/>
  <c r="E38" i="29"/>
  <c r="E25" i="34"/>
  <c r="E25" i="30" l="1"/>
  <c r="E25" i="31"/>
  <c r="E41" i="29" s="1"/>
  <c r="E24" i="34"/>
  <c r="G25" i="34"/>
  <c r="F25" i="30" s="1"/>
  <c r="E24" i="31"/>
  <c r="E26" i="34"/>
  <c r="D25" i="30"/>
  <c r="G24" i="31" l="1"/>
  <c r="C24" i="30" s="1"/>
  <c r="E26" i="30"/>
  <c r="G26" i="34"/>
  <c r="F26" i="30" s="1"/>
  <c r="E40" i="29"/>
  <c r="E27" i="34"/>
  <c r="G24" i="34"/>
  <c r="F24" i="30" s="1"/>
  <c r="G25" i="31"/>
  <c r="C25" i="30" s="1"/>
  <c r="D24" i="30"/>
  <c r="E24" i="30"/>
  <c r="D27" i="30" l="1"/>
  <c r="E27" i="31"/>
  <c r="D26" i="30"/>
  <c r="G27" i="34"/>
  <c r="F27" i="30" s="1"/>
  <c r="E26" i="31"/>
  <c r="E42" i="29" l="1"/>
  <c r="E28" i="30"/>
  <c r="G27" i="31"/>
  <c r="C27" i="30" s="1"/>
  <c r="G26" i="31"/>
  <c r="C26" i="30" s="1"/>
  <c r="E43" i="29"/>
  <c r="E29" i="34"/>
  <c r="G29" i="34" l="1"/>
  <c r="F29" i="30" s="1"/>
  <c r="E30" i="34"/>
  <c r="E29" i="30"/>
  <c r="E28" i="31"/>
  <c r="E28" i="34"/>
  <c r="E29" i="31"/>
  <c r="D28" i="30"/>
  <c r="E27" i="30"/>
  <c r="G30" i="34" l="1"/>
  <c r="F30" i="30" s="1"/>
  <c r="G29" i="31"/>
  <c r="C29" i="30" s="1"/>
  <c r="E30" i="30"/>
  <c r="D30" i="30"/>
  <c r="E45" i="29"/>
  <c r="E44" i="29"/>
  <c r="E30" i="31"/>
  <c r="E46" i="29" s="1"/>
  <c r="C20" i="28" s="1"/>
  <c r="G28" i="34"/>
  <c r="F28" i="30" s="1"/>
  <c r="G28" i="31"/>
  <c r="C28" i="30" s="1"/>
  <c r="D29" i="30" l="1"/>
  <c r="E32" i="34"/>
  <c r="D31" i="30"/>
  <c r="E31" i="34"/>
  <c r="G31" i="34" s="1"/>
  <c r="F31" i="30" s="1"/>
  <c r="G30" i="31"/>
  <c r="C30" i="30" s="1"/>
  <c r="E31" i="31"/>
  <c r="G32" i="34" l="1"/>
  <c r="F32" i="30" s="1"/>
  <c r="G31" i="31"/>
  <c r="C31" i="30" s="1"/>
  <c r="D32" i="30"/>
  <c r="E32" i="31"/>
  <c r="E48" i="29" s="1"/>
  <c r="E31" i="30"/>
  <c r="E47" i="29"/>
  <c r="E32" i="30"/>
  <c r="D33" i="30" l="1"/>
  <c r="E33" i="30"/>
  <c r="E34" i="34"/>
  <c r="E33" i="34"/>
  <c r="G33" i="34" s="1"/>
  <c r="F33" i="30" s="1"/>
  <c r="E33" i="31"/>
  <c r="G32" i="31"/>
  <c r="C32" i="30" s="1"/>
  <c r="E58" i="32" l="1"/>
  <c r="G58" i="32" s="1"/>
  <c r="E49" i="29"/>
  <c r="D34" i="30"/>
  <c r="G33" i="31"/>
  <c r="C33" i="30" s="1"/>
  <c r="E34" i="30"/>
  <c r="E35" i="34"/>
  <c r="G34" i="34"/>
  <c r="F34" i="30" s="1"/>
  <c r="E34" i="31"/>
  <c r="E50" i="29" s="1"/>
  <c r="C21" i="28" s="1"/>
  <c r="G34" i="31" l="1"/>
  <c r="C34" i="30" s="1"/>
  <c r="E35" i="31"/>
  <c r="E51" i="29" s="1"/>
  <c r="G35" i="34"/>
  <c r="F35" i="30" s="1"/>
  <c r="D35" i="30"/>
  <c r="E36" i="34"/>
  <c r="E35" i="30"/>
  <c r="G35" i="31" l="1"/>
  <c r="C35" i="30" s="1"/>
  <c r="E36" i="30"/>
  <c r="E37" i="34"/>
  <c r="E36" i="31"/>
  <c r="E52" i="29" s="1"/>
  <c r="C22" i="28" s="1"/>
  <c r="G36" i="34"/>
  <c r="F36" i="30" s="1"/>
  <c r="D36" i="30"/>
  <c r="E37" i="30" l="1"/>
  <c r="G37" i="34"/>
  <c r="F37" i="30" s="1"/>
  <c r="G36" i="31"/>
  <c r="C36" i="30" s="1"/>
  <c r="E37" i="31"/>
  <c r="E53" i="29" s="1"/>
  <c r="E38" i="34"/>
  <c r="D37" i="30"/>
  <c r="G37" i="31" l="1"/>
  <c r="C37" i="30" s="1"/>
  <c r="D38" i="30"/>
  <c r="E38" i="30"/>
  <c r="E38" i="31"/>
  <c r="E54" i="29" s="1"/>
  <c r="C23" i="28" s="1"/>
  <c r="G38" i="34"/>
  <c r="F38" i="30" s="1"/>
  <c r="E39" i="34"/>
  <c r="D39" i="30" l="1"/>
  <c r="G38" i="31"/>
  <c r="C38" i="30" s="1"/>
  <c r="E39" i="31"/>
  <c r="E55" i="29" s="1"/>
  <c r="C24" i="28" s="1"/>
  <c r="E39" i="30"/>
  <c r="E40" i="34"/>
  <c r="G39" i="34"/>
  <c r="F39" i="30" s="1"/>
  <c r="G40" i="34" l="1"/>
  <c r="F40" i="30" s="1"/>
  <c r="D40" i="30"/>
  <c r="E40" i="30"/>
  <c r="E41" i="34"/>
  <c r="G39" i="31"/>
  <c r="C39" i="30" s="1"/>
  <c r="E40" i="31"/>
  <c r="E56" i="29" l="1"/>
  <c r="E41" i="30"/>
  <c r="E14" i="42"/>
  <c r="G41" i="34"/>
  <c r="F41" i="30" s="1"/>
  <c r="E41" i="31"/>
  <c r="E57" i="29" s="1"/>
  <c r="E15" i="42"/>
  <c r="G15" i="4" s="1"/>
  <c r="E15" i="43"/>
  <c r="G15" i="5" s="1"/>
  <c r="E15" i="44"/>
  <c r="G15" i="6" s="1"/>
  <c r="E14" i="44"/>
  <c r="D41" i="30"/>
  <c r="E42" i="34"/>
  <c r="E14" i="43"/>
  <c r="G40" i="31"/>
  <c r="C40" i="30" s="1"/>
  <c r="G41" i="31" l="1"/>
  <c r="C41" i="30" s="1"/>
  <c r="G42" i="34"/>
  <c r="F42" i="30" s="1"/>
  <c r="D42" i="30"/>
  <c r="E42" i="30"/>
  <c r="E15" i="41"/>
  <c r="G15" i="3" s="1"/>
  <c r="G14" i="5"/>
  <c r="E14" i="41"/>
  <c r="E43" i="34"/>
  <c r="E42" i="31"/>
  <c r="E58" i="29" s="1"/>
  <c r="G14" i="6"/>
  <c r="E16" i="42"/>
  <c r="G16" i="4" s="1"/>
  <c r="E16" i="44"/>
  <c r="G16" i="6" s="1"/>
  <c r="G14" i="4"/>
  <c r="E44" i="34" l="1"/>
  <c r="E43" i="30"/>
  <c r="E16" i="43"/>
  <c r="D43" i="30"/>
  <c r="G14" i="3"/>
  <c r="E17" i="42"/>
  <c r="E17" i="44"/>
  <c r="G17" i="6" s="1"/>
  <c r="E17" i="43"/>
  <c r="G17" i="5" s="1"/>
  <c r="G42" i="31"/>
  <c r="C42" i="30" s="1"/>
  <c r="G43" i="34"/>
  <c r="F43" i="30" s="1"/>
  <c r="E43" i="31"/>
  <c r="E59" i="29" s="1"/>
  <c r="E44" i="30" l="1"/>
  <c r="E17" i="41"/>
  <c r="G17" i="3" s="1"/>
  <c r="E18" i="44"/>
  <c r="G18" i="6" s="1"/>
  <c r="E18" i="43"/>
  <c r="G18" i="5" s="1"/>
  <c r="G43" i="31"/>
  <c r="C43" i="30" s="1"/>
  <c r="D44" i="30"/>
  <c r="E45" i="34"/>
  <c r="G17" i="4"/>
  <c r="E16" i="41"/>
  <c r="E44" i="31"/>
  <c r="E60" i="29" s="1"/>
  <c r="G16" i="5"/>
  <c r="G44" i="34"/>
  <c r="F44" i="30" s="1"/>
  <c r="D45" i="30" l="1"/>
  <c r="E45" i="30"/>
  <c r="G44" i="31"/>
  <c r="C44" i="30" s="1"/>
  <c r="G45" i="34"/>
  <c r="F45" i="30" s="1"/>
  <c r="E19" i="42"/>
  <c r="G19" i="4" s="1"/>
  <c r="E19" i="43"/>
  <c r="E46" i="34"/>
  <c r="E45" i="31"/>
  <c r="E61" i="29" s="1"/>
  <c r="G16" i="3"/>
  <c r="E18" i="42"/>
  <c r="E46" i="30" l="1"/>
  <c r="D46" i="30"/>
  <c r="E19" i="44"/>
  <c r="E47" i="34"/>
  <c r="E46" i="31"/>
  <c r="E62" i="29" s="1"/>
  <c r="E18" i="41"/>
  <c r="G18" i="4"/>
  <c r="G46" i="34"/>
  <c r="F46" i="30" s="1"/>
  <c r="E20" i="44"/>
  <c r="G20" i="6" s="1"/>
  <c r="G19" i="5"/>
  <c r="E19" i="41"/>
  <c r="G19" i="3" s="1"/>
  <c r="G45" i="31"/>
  <c r="C45" i="30" s="1"/>
  <c r="D47" i="30" l="1"/>
  <c r="G46" i="31"/>
  <c r="C46" i="30" s="1"/>
  <c r="E21" i="43"/>
  <c r="G21" i="5" s="1"/>
  <c r="E21" i="42"/>
  <c r="G21" i="4" s="1"/>
  <c r="E21" i="44"/>
  <c r="G21" i="6" s="1"/>
  <c r="G18" i="3"/>
  <c r="E20" i="42"/>
  <c r="E47" i="31"/>
  <c r="E63" i="29" s="1"/>
  <c r="E20" i="43"/>
  <c r="E20" i="41"/>
  <c r="G20" i="3" s="1"/>
  <c r="E48" i="34"/>
  <c r="G47" i="34"/>
  <c r="F47" i="30" s="1"/>
  <c r="E47" i="30"/>
  <c r="G19" i="6"/>
  <c r="E48" i="30" l="1"/>
  <c r="G48" i="34"/>
  <c r="F48" i="30" s="1"/>
  <c r="G47" i="31"/>
  <c r="C47" i="30" s="1"/>
  <c r="G20" i="4"/>
  <c r="E49" i="34"/>
  <c r="D48" i="30"/>
  <c r="E48" i="31"/>
  <c r="E64" i="29" s="1"/>
  <c r="E22" i="43"/>
  <c r="G22" i="5" s="1"/>
  <c r="E22" i="42"/>
  <c r="G22" i="4" s="1"/>
  <c r="G20" i="5"/>
  <c r="G49" i="34" l="1"/>
  <c r="F49" i="30" s="1"/>
  <c r="D49" i="30"/>
  <c r="E50" i="34"/>
  <c r="G48" i="31"/>
  <c r="C48" i="30" s="1"/>
  <c r="E49" i="30"/>
  <c r="E22" i="44"/>
  <c r="E22" i="41"/>
  <c r="G22" i="3" s="1"/>
  <c r="E49" i="31"/>
  <c r="E65" i="29" s="1"/>
  <c r="E21" i="41"/>
  <c r="E50" i="30" l="1"/>
  <c r="D50" i="30"/>
  <c r="G49" i="31"/>
  <c r="C49" i="30" s="1"/>
  <c r="G22" i="6"/>
  <c r="G21" i="3"/>
  <c r="E50" i="31"/>
  <c r="E66" i="29" s="1"/>
  <c r="G50" i="34"/>
  <c r="F50" i="30" s="1"/>
  <c r="E23" i="43" l="1"/>
  <c r="C26" i="43"/>
  <c r="C26" i="44"/>
  <c r="E23" i="41"/>
  <c r="C26" i="41"/>
  <c r="G50" i="31"/>
  <c r="C50" i="30" s="1"/>
  <c r="E23" i="42"/>
  <c r="C26" i="42"/>
  <c r="E51" i="34" l="1"/>
  <c r="E51" i="31"/>
  <c r="G23" i="4"/>
  <c r="G26" i="4" s="1"/>
  <c r="E26" i="42"/>
  <c r="G23" i="6"/>
  <c r="E26" i="44"/>
  <c r="G58" i="33"/>
  <c r="G23" i="3"/>
  <c r="E26" i="41"/>
  <c r="G23" i="5"/>
  <c r="E26" i="43"/>
  <c r="E58" i="31" l="1"/>
  <c r="G58" i="31" s="1"/>
  <c r="E58" i="34"/>
  <c r="G58" i="34" s="1"/>
  <c r="G51" i="34"/>
  <c r="F51" i="30" s="1"/>
  <c r="F58" i="30" s="1"/>
  <c r="D51" i="30"/>
  <c r="D58" i="30" s="1"/>
  <c r="E67" i="29"/>
  <c r="E74" i="29" s="1"/>
  <c r="G26" i="3"/>
  <c r="G26" i="5"/>
  <c r="G26" i="6"/>
  <c r="E51" i="30"/>
  <c r="E58" i="30" s="1"/>
  <c r="G51" i="31"/>
  <c r="C51" i="30" s="1"/>
  <c r="C58" i="30" s="1"/>
  <c r="B33" i="65" l="1"/>
  <c r="B33" i="66"/>
  <c r="B33" i="37"/>
  <c r="F64" i="30" l="1"/>
  <c r="D64" i="30"/>
  <c r="C64" i="30" l="1"/>
  <c r="E64" i="30" l="1"/>
  <c r="G64" i="30" s="1"/>
  <c r="C65" i="30" s="1"/>
  <c r="C19" i="2" l="1"/>
  <c r="D16" i="2" s="1"/>
  <c r="F65" i="30"/>
  <c r="D65" i="30"/>
  <c r="E65" i="30"/>
  <c r="D14" i="2" l="1"/>
  <c r="D17" i="2"/>
  <c r="D15" i="2"/>
  <c r="G65" i="30"/>
  <c r="G20" i="30" s="1"/>
  <c r="H20" i="30" s="1"/>
  <c r="G56" i="30" l="1"/>
  <c r="H56" i="30" s="1"/>
  <c r="G72" i="29" s="1"/>
  <c r="G55" i="30"/>
  <c r="G23" i="30"/>
  <c r="H23" i="30" s="1"/>
  <c r="G39" i="29" s="1"/>
  <c r="G32" i="30"/>
  <c r="H32" i="30" s="1"/>
  <c r="G48" i="29" s="1"/>
  <c r="G54" i="30"/>
  <c r="H54" i="30" s="1"/>
  <c r="G36" i="29"/>
  <c r="E19" i="28" s="1"/>
  <c r="G38" i="30"/>
  <c r="H38" i="30" s="1"/>
  <c r="G53" i="30"/>
  <c r="H53" i="30" s="1"/>
  <c r="D19" i="2"/>
  <c r="G46" i="30"/>
  <c r="H46" i="30" s="1"/>
  <c r="G28" i="30"/>
  <c r="H28" i="30" s="1"/>
  <c r="G44" i="29" s="1"/>
  <c r="G52" i="30"/>
  <c r="H52" i="30" s="1"/>
  <c r="G41" i="30"/>
  <c r="H41" i="30" s="1"/>
  <c r="G49" i="30"/>
  <c r="H49" i="30" s="1"/>
  <c r="G50" i="30"/>
  <c r="H50" i="30" s="1"/>
  <c r="G21" i="30"/>
  <c r="H21" i="30" s="1"/>
  <c r="G37" i="29" s="1"/>
  <c r="G19" i="30"/>
  <c r="H19" i="30" s="1"/>
  <c r="G35" i="29" s="1"/>
  <c r="G31" i="30"/>
  <c r="H31" i="30" s="1"/>
  <c r="G47" i="29" s="1"/>
  <c r="G14" i="30"/>
  <c r="G45" i="30"/>
  <c r="H45" i="30" s="1"/>
  <c r="G44" i="30"/>
  <c r="H44" i="30" s="1"/>
  <c r="G42" i="30"/>
  <c r="H42" i="30" s="1"/>
  <c r="G15" i="30"/>
  <c r="H15" i="30" s="1"/>
  <c r="G31" i="29" s="1"/>
  <c r="G43" i="30"/>
  <c r="H43" i="30" s="1"/>
  <c r="G35" i="30"/>
  <c r="H35" i="30" s="1"/>
  <c r="G51" i="29" s="1"/>
  <c r="G24" i="30"/>
  <c r="H24" i="30" s="1"/>
  <c r="G40" i="29" s="1"/>
  <c r="G48" i="30"/>
  <c r="H48" i="30" s="1"/>
  <c r="G47" i="30"/>
  <c r="H47" i="30" s="1"/>
  <c r="G37" i="30"/>
  <c r="H37" i="30" s="1"/>
  <c r="G53" i="29" s="1"/>
  <c r="G17" i="30"/>
  <c r="H17" i="30" s="1"/>
  <c r="G30" i="30"/>
  <c r="H30" i="30" s="1"/>
  <c r="G36" i="30"/>
  <c r="H36" i="30" s="1"/>
  <c r="G27" i="30"/>
  <c r="H27" i="30" s="1"/>
  <c r="G43" i="29" s="1"/>
  <c r="G16" i="30"/>
  <c r="H16" i="30" s="1"/>
  <c r="G32" i="29" s="1"/>
  <c r="G34" i="30"/>
  <c r="H34" i="30" s="1"/>
  <c r="G39" i="30"/>
  <c r="H39" i="30" s="1"/>
  <c r="G33" i="30"/>
  <c r="H33" i="30" s="1"/>
  <c r="G49" i="29" s="1"/>
  <c r="G22" i="30"/>
  <c r="H22" i="30" s="1"/>
  <c r="G38" i="29" s="1"/>
  <c r="G51" i="30"/>
  <c r="H51" i="30" s="1"/>
  <c r="G29" i="30"/>
  <c r="H29" i="30" s="1"/>
  <c r="G45" i="29" s="1"/>
  <c r="G18" i="30"/>
  <c r="H18" i="30" s="1"/>
  <c r="G34" i="29" s="1"/>
  <c r="G40" i="30"/>
  <c r="H40" i="30" s="1"/>
  <c r="G26" i="30"/>
  <c r="H26" i="30" s="1"/>
  <c r="G42" i="29" s="1"/>
  <c r="G25" i="30"/>
  <c r="H25" i="30" s="1"/>
  <c r="G41" i="29" s="1"/>
  <c r="H55" i="30" l="1"/>
  <c r="G71" i="29" s="1"/>
  <c r="G70" i="29"/>
  <c r="G56" i="29"/>
  <c r="G62" i="29"/>
  <c r="G59" i="29"/>
  <c r="G69" i="29"/>
  <c r="G58" i="30"/>
  <c r="G66" i="29"/>
  <c r="G58" i="29"/>
  <c r="G65" i="29"/>
  <c r="G60" i="29"/>
  <c r="G57" i="29"/>
  <c r="G63" i="29"/>
  <c r="G61" i="29"/>
  <c r="G68" i="29"/>
  <c r="G50" i="29"/>
  <c r="E21" i="28" s="1"/>
  <c r="G52" i="29"/>
  <c r="E22" i="28" s="1"/>
  <c r="G46" i="29"/>
  <c r="E20" i="28" s="1"/>
  <c r="G54" i="29"/>
  <c r="E23" i="28" s="1"/>
  <c r="G55" i="29"/>
  <c r="E24" i="28" s="1"/>
  <c r="G33" i="29"/>
  <c r="E18" i="28" s="1"/>
  <c r="G64" i="29"/>
  <c r="G67" i="29"/>
  <c r="H14" i="30"/>
  <c r="G76" i="29" l="1"/>
  <c r="H58" i="30"/>
  <c r="G30" i="29"/>
  <c r="E17" i="28" s="1"/>
  <c r="G77" i="29" l="1"/>
  <c r="E32" i="28" s="1"/>
  <c r="G74" i="29"/>
  <c r="F19" i="28" l="1"/>
  <c r="F23" i="28"/>
  <c r="F14" i="28"/>
  <c r="F16" i="28"/>
  <c r="F13" i="28"/>
  <c r="F18" i="28"/>
  <c r="F24" i="28"/>
  <c r="F22" i="28"/>
  <c r="F20" i="28"/>
  <c r="F17" i="28"/>
  <c r="F21" i="28"/>
  <c r="F15" i="28"/>
  <c r="A57" i="29"/>
  <c r="A58" i="29" l="1"/>
  <c r="A59" i="29" s="1"/>
  <c r="A60" i="29" s="1"/>
  <c r="A61" i="29" s="1"/>
  <c r="A62" i="29" s="1"/>
  <c r="A63" i="29" s="1"/>
  <c r="A64" i="29" s="1"/>
  <c r="A65" i="29" s="1"/>
  <c r="A66" i="29" s="1"/>
  <c r="A67" i="29" s="1"/>
  <c r="A68" i="29" s="1"/>
  <c r="A69" i="29" s="1"/>
  <c r="A70" i="29" s="1"/>
  <c r="C28" i="28" l="1"/>
  <c r="E28" i="28"/>
  <c r="F28" i="28" s="1"/>
  <c r="E26" i="28"/>
  <c r="F26" i="28" s="1"/>
  <c r="E25" i="28"/>
  <c r="E27" i="28"/>
  <c r="F27" i="28" s="1"/>
  <c r="C27" i="28"/>
  <c r="C26" i="28"/>
  <c r="C25" i="28"/>
  <c r="E30" i="28" l="1"/>
  <c r="F25" i="28"/>
  <c r="F30" i="28" s="1"/>
  <c r="E34" i="28" l="1"/>
  <c r="E39" i="28" s="1"/>
  <c r="C14" i="27" l="1"/>
  <c r="F51" i="17"/>
  <c r="G51" i="17" s="1"/>
  <c r="C23" i="15" s="1"/>
  <c r="F44" i="17"/>
  <c r="F46" i="17"/>
  <c r="F45" i="17"/>
  <c r="F41" i="17"/>
  <c r="F50" i="17"/>
  <c r="G50" i="17" s="1"/>
  <c r="F47" i="17"/>
  <c r="G47" i="17" s="1"/>
  <c r="C22" i="15" s="1"/>
  <c r="F49" i="17"/>
  <c r="F33" i="17"/>
  <c r="F25" i="17"/>
  <c r="F52" i="17"/>
  <c r="G52" i="17" s="1"/>
  <c r="F17" i="17"/>
  <c r="F42" i="17"/>
  <c r="F21" i="17"/>
  <c r="F48" i="17"/>
  <c r="F43" i="17"/>
  <c r="C39" i="15" l="1"/>
  <c r="C40" i="15"/>
  <c r="G17" i="17"/>
  <c r="G33" i="17"/>
  <c r="G49" i="17"/>
  <c r="H52" i="17"/>
  <c r="G41" i="17"/>
  <c r="H44" i="17"/>
  <c r="G46" i="17"/>
  <c r="H49" i="17"/>
  <c r="G45" i="17"/>
  <c r="H48" i="17"/>
  <c r="G21" i="17"/>
  <c r="G42" i="17"/>
  <c r="H45" i="17"/>
  <c r="G25" i="17"/>
  <c r="G43" i="17"/>
  <c r="C21" i="15" s="1"/>
  <c r="C38" i="15" s="1"/>
  <c r="H46" i="17"/>
  <c r="H50" i="17"/>
  <c r="H51" i="17"/>
  <c r="G48" i="17"/>
  <c r="H47" i="17"/>
  <c r="G44" i="17"/>
  <c r="F20" i="17" l="1"/>
  <c r="G20" i="17" s="1"/>
  <c r="F19" i="17"/>
  <c r="G19" i="17" s="1"/>
  <c r="F24" i="17"/>
  <c r="G24" i="17" s="1"/>
  <c r="F16" i="17"/>
  <c r="G16" i="17" s="1"/>
  <c r="F22" i="17"/>
  <c r="G22" i="17" s="1"/>
  <c r="F38" i="17"/>
  <c r="F39" i="17"/>
  <c r="G39" i="17" s="1"/>
  <c r="C20" i="15" s="1"/>
  <c r="C37" i="15" s="1"/>
  <c r="F34" i="17"/>
  <c r="F15" i="17"/>
  <c r="G15" i="17" s="1"/>
  <c r="F14" i="17"/>
  <c r="G14" i="17" s="1"/>
  <c r="F18" i="17"/>
  <c r="F36" i="17"/>
  <c r="G36" i="17" s="1"/>
  <c r="F40" i="17"/>
  <c r="H43" i="17" s="1"/>
  <c r="F35" i="17"/>
  <c r="F30" i="17"/>
  <c r="G30" i="17" s="1"/>
  <c r="F29" i="17"/>
  <c r="G29" i="17" s="1"/>
  <c r="F23" i="17"/>
  <c r="G23" i="17" s="1"/>
  <c r="C16" i="15" s="1"/>
  <c r="C33" i="15" s="1"/>
  <c r="F37" i="17"/>
  <c r="F32" i="17"/>
  <c r="G32" i="17" s="1"/>
  <c r="F31" i="17"/>
  <c r="F27" i="17"/>
  <c r="F26" i="17"/>
  <c r="F28" i="17"/>
  <c r="G28" i="17" s="1"/>
  <c r="C15" i="15" l="1"/>
  <c r="C32" i="15" s="1"/>
  <c r="C14" i="15"/>
  <c r="C31" i="15" s="1"/>
  <c r="H21" i="17"/>
  <c r="H26" i="17"/>
  <c r="H27" i="17"/>
  <c r="H36" i="17"/>
  <c r="H30" i="17"/>
  <c r="H32" i="17"/>
  <c r="G34" i="17"/>
  <c r="H22" i="17"/>
  <c r="G26" i="17"/>
  <c r="H35" i="17"/>
  <c r="H41" i="17"/>
  <c r="H31" i="17"/>
  <c r="H40" i="17"/>
  <c r="H34" i="17"/>
  <c r="G37" i="17"/>
  <c r="H38" i="17"/>
  <c r="H18" i="17"/>
  <c r="H42" i="17"/>
  <c r="G38" i="17"/>
  <c r="H19" i="17"/>
  <c r="H39" i="17"/>
  <c r="G27" i="17"/>
  <c r="C17" i="15" s="1"/>
  <c r="C34" i="15" s="1"/>
  <c r="H33" i="17"/>
  <c r="H28" i="17"/>
  <c r="G40" i="17"/>
  <c r="G18" i="17"/>
  <c r="H24" i="17"/>
  <c r="H37" i="17"/>
  <c r="G35" i="17"/>
  <c r="C19" i="15" s="1"/>
  <c r="C36" i="15" s="1"/>
  <c r="H17" i="17"/>
  <c r="H23" i="17"/>
  <c r="H20" i="17"/>
  <c r="H25" i="17"/>
  <c r="H29" i="17"/>
  <c r="G31" i="17"/>
  <c r="C18" i="15" s="1"/>
  <c r="C35" i="15" s="1"/>
  <c r="I56" i="17" l="1"/>
  <c r="L50" i="17"/>
  <c r="L43" i="17"/>
  <c r="L44" i="17"/>
  <c r="L41" i="17"/>
  <c r="L46" i="17"/>
  <c r="L52" i="17"/>
  <c r="L56" i="17"/>
  <c r="L45" i="17"/>
  <c r="L42" i="17"/>
  <c r="L51" i="17"/>
  <c r="L49" i="17"/>
  <c r="L48" i="17"/>
  <c r="J51" i="17"/>
  <c r="J49" i="17"/>
  <c r="J46" i="17"/>
  <c r="J40" i="17"/>
  <c r="J42" i="17"/>
  <c r="J43" i="17"/>
  <c r="J39" i="17"/>
  <c r="J33" i="17"/>
  <c r="J36" i="17"/>
  <c r="J47" i="17"/>
  <c r="J56" i="17"/>
  <c r="J38" i="17"/>
  <c r="J52" i="17"/>
  <c r="J35" i="17"/>
  <c r="J37" i="17"/>
  <c r="J48" i="17"/>
  <c r="J45" i="17"/>
  <c r="J50" i="17"/>
  <c r="J34" i="17"/>
  <c r="J41" i="17"/>
  <c r="J44" i="17"/>
  <c r="I44" i="17"/>
  <c r="I23" i="17"/>
  <c r="I41" i="17"/>
  <c r="I38" i="17"/>
  <c r="I35" i="17"/>
  <c r="I18" i="17"/>
  <c r="I17" i="17"/>
  <c r="I20" i="17"/>
  <c r="I26" i="17"/>
  <c r="I25" i="17"/>
  <c r="I50" i="17"/>
  <c r="I49" i="17"/>
  <c r="I43" i="17"/>
  <c r="I45" i="17"/>
  <c r="I46" i="17"/>
  <c r="I24" i="17"/>
  <c r="I34" i="17"/>
  <c r="I33" i="17"/>
  <c r="I19" i="17"/>
  <c r="I39" i="17"/>
  <c r="I36" i="17"/>
  <c r="I42" i="17"/>
  <c r="I48" i="17"/>
  <c r="I31" i="17"/>
  <c r="I27" i="17"/>
  <c r="I40" i="17"/>
  <c r="I47" i="17"/>
  <c r="I51" i="17"/>
  <c r="I22" i="17"/>
  <c r="I52" i="17"/>
  <c r="I32" i="17"/>
  <c r="I29" i="17"/>
  <c r="I28" i="17"/>
  <c r="I37" i="17"/>
  <c r="I30" i="17"/>
  <c r="I21" i="17"/>
  <c r="K46" i="17"/>
  <c r="K41" i="17"/>
  <c r="K45" i="17"/>
  <c r="K50" i="17"/>
  <c r="K47" i="17"/>
  <c r="K49" i="17"/>
  <c r="K38" i="17"/>
  <c r="K56" i="17"/>
  <c r="K52" i="17"/>
  <c r="K44" i="17"/>
  <c r="K37" i="17"/>
  <c r="K39" i="17"/>
  <c r="K40" i="17"/>
  <c r="K43" i="17"/>
  <c r="K42" i="17"/>
  <c r="K51" i="17"/>
  <c r="K48" i="17"/>
  <c r="L47" i="17"/>
  <c r="I55" i="17" l="1"/>
  <c r="L55" i="17"/>
  <c r="J55" i="17"/>
  <c r="K55" i="17"/>
  <c r="N58" i="17" l="1"/>
  <c r="L58" i="17" s="1"/>
  <c r="I18" i="15" s="1"/>
  <c r="E31" i="15" s="1"/>
  <c r="G31" i="15" s="1"/>
  <c r="E35" i="15" l="1"/>
  <c r="G35" i="15" s="1"/>
  <c r="E18" i="3" s="1"/>
  <c r="E36" i="15"/>
  <c r="G36" i="15" s="1"/>
  <c r="E19" i="3" s="1"/>
  <c r="E19" i="6" s="1"/>
  <c r="E40" i="15"/>
  <c r="G40" i="15" s="1"/>
  <c r="E23" i="3" s="1"/>
  <c r="E37" i="15"/>
  <c r="G37" i="15" s="1"/>
  <c r="E39" i="15"/>
  <c r="G39" i="15" s="1"/>
  <c r="E34" i="15"/>
  <c r="G34" i="15" s="1"/>
  <c r="E38" i="15"/>
  <c r="G38" i="15" s="1"/>
  <c r="E33" i="15"/>
  <c r="G33" i="15" s="1"/>
  <c r="E16" i="3" s="1"/>
  <c r="E16" i="6" s="1"/>
  <c r="E32" i="15"/>
  <c r="G32" i="15" s="1"/>
  <c r="E15" i="3" s="1"/>
  <c r="E15" i="6" s="1"/>
  <c r="E14" i="3"/>
  <c r="E19" i="5" l="1"/>
  <c r="E23" i="4"/>
  <c r="E15" i="5"/>
  <c r="E15" i="4"/>
  <c r="E21" i="3"/>
  <c r="E21" i="6" s="1"/>
  <c r="E17" i="3"/>
  <c r="E20" i="3"/>
  <c r="E20" i="6" s="1"/>
  <c r="E23" i="6"/>
  <c r="E23" i="5"/>
  <c r="E22" i="3"/>
  <c r="E22" i="4" s="1"/>
  <c r="E19" i="4"/>
  <c r="E16" i="4"/>
  <c r="E16" i="5"/>
  <c r="E18" i="6"/>
  <c r="E18" i="5"/>
  <c r="E18" i="4"/>
  <c r="E14" i="6"/>
  <c r="E14" i="5"/>
  <c r="E14" i="4"/>
  <c r="E21" i="5" l="1"/>
  <c r="E21" i="4"/>
  <c r="E17" i="6"/>
  <c r="E17" i="4"/>
  <c r="E20" i="5"/>
  <c r="E22" i="6"/>
  <c r="E17" i="5"/>
  <c r="E22" i="5"/>
  <c r="E20" i="4"/>
  <c r="C31" i="66" l="1"/>
  <c r="C31" i="37"/>
  <c r="C31" i="65"/>
  <c r="C31" i="35"/>
  <c r="D18" i="65" l="1"/>
  <c r="D24" i="65"/>
  <c r="D21" i="35"/>
  <c r="D17" i="66"/>
  <c r="D19" i="35"/>
  <c r="D27" i="37"/>
  <c r="D22" i="37"/>
  <c r="D17" i="37"/>
  <c r="D14" i="37"/>
  <c r="D25" i="35"/>
  <c r="D16" i="35"/>
  <c r="D17" i="65"/>
  <c r="D22" i="66"/>
  <c r="D18" i="35"/>
  <c r="D24" i="37"/>
  <c r="D18" i="66"/>
  <c r="D23" i="66"/>
  <c r="D15" i="65"/>
  <c r="D19" i="65"/>
  <c r="D24" i="35"/>
  <c r="D15" i="35"/>
  <c r="D19" i="37"/>
  <c r="D25" i="65"/>
  <c r="D16" i="37"/>
  <c r="D28" i="37"/>
  <c r="D23" i="37"/>
  <c r="D26" i="37"/>
  <c r="D26" i="65"/>
  <c r="D19" i="66"/>
  <c r="D27" i="66"/>
  <c r="D16" i="65"/>
  <c r="D24" i="66"/>
  <c r="D20" i="35"/>
  <c r="D20" i="65"/>
  <c r="D27" i="35"/>
  <c r="D15" i="37"/>
  <c r="D28" i="35"/>
  <c r="D26" i="35"/>
  <c r="D23" i="35"/>
  <c r="D21" i="65"/>
  <c r="D27" i="65"/>
  <c r="D22" i="65"/>
  <c r="D25" i="66"/>
  <c r="D21" i="37"/>
  <c r="D23" i="65"/>
  <c r="D21" i="66"/>
  <c r="D16" i="66"/>
  <c r="D20" i="37"/>
  <c r="D18" i="37"/>
  <c r="D28" i="65"/>
  <c r="D20" i="66"/>
  <c r="D28" i="66"/>
  <c r="D25" i="37" l="1"/>
  <c r="D26" i="66"/>
  <c r="D14" i="65"/>
  <c r="E31" i="65"/>
  <c r="D17" i="35"/>
  <c r="D22" i="35"/>
  <c r="D14" i="35"/>
  <c r="D14" i="66"/>
  <c r="D15" i="66"/>
  <c r="E31" i="37" l="1"/>
  <c r="D31" i="37" s="1"/>
  <c r="D31" i="65"/>
  <c r="E34" i="65"/>
  <c r="C19" i="27" s="1"/>
  <c r="E31" i="66"/>
  <c r="E31" i="35"/>
  <c r="E34" i="37" l="1"/>
  <c r="C18" i="27" s="1"/>
  <c r="E34" i="35"/>
  <c r="C17" i="27" s="1"/>
  <c r="D31" i="35"/>
  <c r="D31" i="66"/>
  <c r="E34" i="66"/>
  <c r="C20" i="27" s="1"/>
  <c r="C22" i="27" l="1"/>
  <c r="F31" i="46" l="1"/>
  <c r="F32" i="46" s="1"/>
  <c r="H48" i="46" l="1"/>
  <c r="G19" i="1" s="1"/>
  <c r="G24" i="1" l="1"/>
  <c r="G22" i="1"/>
  <c r="G21" i="1"/>
  <c r="G23" i="1"/>
  <c r="G15" i="1"/>
  <c r="G26" i="1" s="1"/>
  <c r="D62" i="22" l="1"/>
  <c r="D60" i="22" l="1"/>
  <c r="C60" i="22" l="1"/>
  <c r="E60" i="22" s="1"/>
  <c r="E66" i="22"/>
  <c r="C62" i="22"/>
  <c r="E62" i="22" s="1"/>
  <c r="D14" i="27" s="1"/>
  <c r="D65" i="22"/>
  <c r="D20" i="27" l="1"/>
  <c r="E20" i="27" s="1"/>
  <c r="C24" i="1" s="1"/>
  <c r="D19" i="27"/>
  <c r="E19" i="27" s="1"/>
  <c r="C23" i="1" s="1"/>
  <c r="D17" i="27"/>
  <c r="E17" i="27" s="1"/>
  <c r="C21" i="1" s="1"/>
  <c r="D22" i="27"/>
  <c r="E22" i="27" s="1"/>
  <c r="C26" i="1" s="1"/>
  <c r="D18" i="27"/>
  <c r="E18" i="27" s="1"/>
  <c r="C22" i="1" s="1"/>
  <c r="E14" i="27"/>
  <c r="C19" i="1" s="1"/>
  <c r="D14" i="5"/>
  <c r="D14" i="6"/>
  <c r="D14" i="3"/>
  <c r="D14" i="4"/>
  <c r="C65" i="22"/>
  <c r="E65" i="22" s="1"/>
  <c r="C15" i="1" l="1"/>
  <c r="D15" i="4"/>
  <c r="F15" i="4" s="1"/>
  <c r="H15" i="4" s="1"/>
  <c r="D23" i="4"/>
  <c r="F23" i="4" s="1"/>
  <c r="H23" i="4" s="1"/>
  <c r="D22" i="4"/>
  <c r="F22" i="4" s="1"/>
  <c r="H22" i="4" s="1"/>
  <c r="D16" i="4"/>
  <c r="F16" i="4" s="1"/>
  <c r="H16" i="4" s="1"/>
  <c r="D19" i="4"/>
  <c r="F19" i="4" s="1"/>
  <c r="H19" i="4" s="1"/>
  <c r="D20" i="4"/>
  <c r="F20" i="4" s="1"/>
  <c r="H20" i="4" s="1"/>
  <c r="D17" i="4"/>
  <c r="F17" i="4" s="1"/>
  <c r="H17" i="4" s="1"/>
  <c r="D18" i="4"/>
  <c r="F18" i="4" s="1"/>
  <c r="H18" i="4" s="1"/>
  <c r="D21" i="4"/>
  <c r="F21" i="4" s="1"/>
  <c r="H21" i="4" s="1"/>
  <c r="F14" i="4"/>
  <c r="D17" i="3"/>
  <c r="F17" i="3" s="1"/>
  <c r="H17" i="3" s="1"/>
  <c r="D18" i="3"/>
  <c r="F18" i="3" s="1"/>
  <c r="H18" i="3" s="1"/>
  <c r="D20" i="3"/>
  <c r="F20" i="3" s="1"/>
  <c r="H20" i="3" s="1"/>
  <c r="D19" i="3"/>
  <c r="F19" i="3" s="1"/>
  <c r="H19" i="3" s="1"/>
  <c r="D22" i="3"/>
  <c r="F22" i="3" s="1"/>
  <c r="H22" i="3" s="1"/>
  <c r="D15" i="3"/>
  <c r="F15" i="3" s="1"/>
  <c r="H15" i="3" s="1"/>
  <c r="D23" i="3"/>
  <c r="F23" i="3" s="1"/>
  <c r="H23" i="3" s="1"/>
  <c r="D16" i="3"/>
  <c r="F16" i="3" s="1"/>
  <c r="H16" i="3" s="1"/>
  <c r="D21" i="3"/>
  <c r="F21" i="3" s="1"/>
  <c r="H21" i="3" s="1"/>
  <c r="F14" i="3"/>
  <c r="D22" i="6"/>
  <c r="F22" i="6" s="1"/>
  <c r="H22" i="6" s="1"/>
  <c r="D19" i="6"/>
  <c r="F19" i="6" s="1"/>
  <c r="H19" i="6" s="1"/>
  <c r="D16" i="6"/>
  <c r="F16" i="6" s="1"/>
  <c r="H16" i="6" s="1"/>
  <c r="D20" i="6"/>
  <c r="F20" i="6" s="1"/>
  <c r="H20" i="6" s="1"/>
  <c r="D23" i="6"/>
  <c r="F23" i="6" s="1"/>
  <c r="H23" i="6" s="1"/>
  <c r="D15" i="6"/>
  <c r="F15" i="6" s="1"/>
  <c r="H15" i="6" s="1"/>
  <c r="D21" i="6"/>
  <c r="F21" i="6" s="1"/>
  <c r="H21" i="6" s="1"/>
  <c r="D17" i="6"/>
  <c r="F17" i="6" s="1"/>
  <c r="H17" i="6" s="1"/>
  <c r="D18" i="6"/>
  <c r="F18" i="6" s="1"/>
  <c r="H18" i="6" s="1"/>
  <c r="F14" i="6"/>
  <c r="D20" i="5"/>
  <c r="F20" i="5" s="1"/>
  <c r="H20" i="5" s="1"/>
  <c r="D22" i="5"/>
  <c r="F22" i="5" s="1"/>
  <c r="H22" i="5" s="1"/>
  <c r="D17" i="5"/>
  <c r="F17" i="5" s="1"/>
  <c r="H17" i="5" s="1"/>
  <c r="D15" i="5"/>
  <c r="F15" i="5" s="1"/>
  <c r="H15" i="5" s="1"/>
  <c r="D19" i="5"/>
  <c r="F19" i="5" s="1"/>
  <c r="H19" i="5" s="1"/>
  <c r="D21" i="5"/>
  <c r="F21" i="5" s="1"/>
  <c r="H21" i="5" s="1"/>
  <c r="D18" i="5"/>
  <c r="F18" i="5" s="1"/>
  <c r="H18" i="5" s="1"/>
  <c r="D16" i="5"/>
  <c r="F16" i="5" s="1"/>
  <c r="H16" i="5" s="1"/>
  <c r="D23" i="5"/>
  <c r="F23" i="5" s="1"/>
  <c r="H23" i="5" s="1"/>
  <c r="F14" i="5"/>
  <c r="H14" i="4" l="1"/>
  <c r="F26" i="4"/>
  <c r="H26" i="4" s="1"/>
  <c r="E15" i="2" s="1"/>
  <c r="H14" i="3"/>
  <c r="F26" i="3"/>
  <c r="H26" i="3" s="1"/>
  <c r="E14" i="2" s="1"/>
  <c r="H14" i="6"/>
  <c r="F26" i="6"/>
  <c r="H26" i="6" s="1"/>
  <c r="E17" i="2" s="1"/>
  <c r="H14" i="5"/>
  <c r="F26" i="5"/>
  <c r="H26" i="5" s="1"/>
  <c r="E16" i="2" s="1"/>
  <c r="E19" i="2" l="1"/>
  <c r="D19" i="1" s="1"/>
  <c r="D22" i="1" l="1"/>
  <c r="D21" i="1"/>
  <c r="D26" i="1"/>
  <c r="D15" i="1"/>
  <c r="D24" i="1"/>
  <c r="D23" i="1"/>
  <c r="B46" i="69" l="1"/>
  <c r="B39" i="69"/>
  <c r="F29" i="69" l="1"/>
  <c r="E29" i="69"/>
  <c r="D12" i="69"/>
  <c r="B37" i="69"/>
  <c r="B38" i="69"/>
  <c r="D16" i="69"/>
  <c r="F22" i="69" l="1"/>
  <c r="E22" i="69"/>
  <c r="F21" i="69"/>
  <c r="E21" i="69"/>
  <c r="B44" i="69" l="1"/>
  <c r="B47" i="69"/>
  <c r="B45" i="69"/>
  <c r="B42" i="69"/>
  <c r="B41" i="69"/>
  <c r="B40" i="69"/>
  <c r="B36" i="69"/>
  <c r="B35" i="69"/>
  <c r="B29" i="69"/>
  <c r="B16" i="69"/>
  <c r="B14" i="69"/>
  <c r="B12" i="69"/>
  <c r="D21" i="69" l="1"/>
  <c r="D29" i="69"/>
  <c r="D22" i="69"/>
  <c r="B43" i="69" l="1"/>
  <c r="F25" i="69" l="1"/>
  <c r="F23" i="69"/>
  <c r="D23" i="69"/>
  <c r="E25" i="69"/>
  <c r="E23" i="69"/>
  <c r="D25" i="69" l="1"/>
  <c r="C24" i="48" l="1"/>
  <c r="D24" i="48"/>
  <c r="C25" i="48"/>
  <c r="D25" i="48"/>
  <c r="C26" i="48"/>
  <c r="D26" i="48"/>
  <c r="C27" i="48"/>
  <c r="D27" i="48"/>
  <c r="C28" i="48"/>
  <c r="D28" i="48"/>
  <c r="C29" i="48"/>
  <c r="D29" i="48"/>
  <c r="C30" i="48"/>
  <c r="D30" i="48"/>
  <c r="C31" i="48"/>
  <c r="D31" i="48"/>
  <c r="C32" i="48"/>
  <c r="D32" i="48"/>
  <c r="C33" i="48"/>
  <c r="D33" i="48"/>
  <c r="C34" i="48"/>
  <c r="D34" i="48"/>
  <c r="C35" i="48"/>
  <c r="E35" i="48" s="1"/>
  <c r="G35" i="48" s="1"/>
  <c r="M35" i="48" s="1"/>
  <c r="D35" i="48"/>
  <c r="C36" i="48"/>
  <c r="D36" i="48"/>
  <c r="C37" i="48"/>
  <c r="D37" i="48"/>
  <c r="C38" i="48"/>
  <c r="D38" i="48"/>
  <c r="C39" i="48"/>
  <c r="D39" i="48"/>
  <c r="C40" i="48"/>
  <c r="D40" i="48"/>
  <c r="C41" i="48"/>
  <c r="E41" i="48" s="1"/>
  <c r="G41" i="48" s="1"/>
  <c r="M41" i="48" s="1"/>
  <c r="D41" i="48"/>
  <c r="C42" i="48"/>
  <c r="E42" i="48" s="1"/>
  <c r="G42" i="48" s="1"/>
  <c r="M42" i="48" s="1"/>
  <c r="D42" i="48"/>
  <c r="C43" i="48"/>
  <c r="D43" i="48"/>
  <c r="C44" i="48"/>
  <c r="D44" i="48"/>
  <c r="C45" i="48"/>
  <c r="D45" i="48"/>
  <c r="D23" i="48"/>
  <c r="C23" i="48"/>
  <c r="E36" i="48" l="1"/>
  <c r="G36" i="48" s="1"/>
  <c r="M36" i="48" s="1"/>
  <c r="E29" i="48"/>
  <c r="G29" i="48" s="1"/>
  <c r="M29" i="48" s="1"/>
  <c r="E40" i="48"/>
  <c r="G40" i="48" s="1"/>
  <c r="M40" i="48" s="1"/>
  <c r="E44" i="48"/>
  <c r="G44" i="48" s="1"/>
  <c r="M44" i="48" s="1"/>
  <c r="E37" i="48"/>
  <c r="G37" i="48" s="1"/>
  <c r="M37" i="48" s="1"/>
  <c r="E31" i="48"/>
  <c r="G31" i="48" s="1"/>
  <c r="M31" i="48" s="1"/>
  <c r="E25" i="48"/>
  <c r="G25" i="48" s="1"/>
  <c r="M25" i="48" s="1"/>
  <c r="E39" i="48"/>
  <c r="G39" i="48" s="1"/>
  <c r="M39" i="48" s="1"/>
  <c r="E32" i="48"/>
  <c r="G32" i="48" s="1"/>
  <c r="M32" i="48" s="1"/>
  <c r="E23" i="48"/>
  <c r="C47" i="48"/>
  <c r="D47" i="48"/>
  <c r="E45" i="48"/>
  <c r="G45" i="48" s="1"/>
  <c r="M45" i="48" s="1"/>
  <c r="E27" i="48"/>
  <c r="G27" i="48" s="1"/>
  <c r="M27" i="48" s="1"/>
  <c r="E26" i="48"/>
  <c r="G26" i="48" s="1"/>
  <c r="M26" i="48" s="1"/>
  <c r="E43" i="48"/>
  <c r="G43" i="48" s="1"/>
  <c r="M43" i="48" s="1"/>
  <c r="E30" i="48"/>
  <c r="G30" i="48" s="1"/>
  <c r="M30" i="48" s="1"/>
  <c r="E24" i="48"/>
  <c r="G24" i="48" s="1"/>
  <c r="M24" i="48" s="1"/>
  <c r="E28" i="48"/>
  <c r="G28" i="48" s="1"/>
  <c r="M28" i="48" s="1"/>
  <c r="E34" i="48"/>
  <c r="G34" i="48" s="1"/>
  <c r="M34" i="48" s="1"/>
  <c r="E33" i="48"/>
  <c r="G33" i="48" s="1"/>
  <c r="M33" i="48" s="1"/>
  <c r="E38" i="48"/>
  <c r="G38" i="48" s="1"/>
  <c r="M38" i="48" s="1"/>
  <c r="D10" i="69"/>
  <c r="G23" i="48" l="1"/>
  <c r="E47" i="48"/>
  <c r="D18" i="69"/>
  <c r="M23" i="48" l="1"/>
  <c r="G47" i="48"/>
  <c r="B53" i="46" l="1"/>
  <c r="F18" i="69" l="1"/>
  <c r="E18" i="69"/>
  <c r="F10" i="69"/>
  <c r="D27" i="69" l="1"/>
  <c r="E10" i="69"/>
  <c r="F27" i="69"/>
  <c r="E27" i="69" l="1"/>
  <c r="F31" i="69"/>
  <c r="D31" i="69"/>
  <c r="E31" i="69" l="1"/>
  <c r="H38" i="46" s="1"/>
  <c r="H42" i="46" s="1"/>
  <c r="E19" i="1" s="1"/>
  <c r="E23" i="1" l="1"/>
  <c r="F23" i="1" s="1"/>
  <c r="H23" i="1" s="1"/>
  <c r="E15" i="1"/>
  <c r="F15" i="1" s="1"/>
  <c r="H15" i="1" s="1"/>
  <c r="M1" i="69" s="1"/>
  <c r="F19" i="1"/>
  <c r="H19" i="1" s="1"/>
  <c r="E21" i="1"/>
  <c r="F21" i="1" s="1"/>
  <c r="H21" i="1" s="1"/>
  <c r="E22" i="1"/>
  <c r="F22" i="1" s="1"/>
  <c r="H22" i="1" s="1"/>
  <c r="E24" i="1"/>
  <c r="F24" i="1" s="1"/>
  <c r="H24" i="1" s="1"/>
  <c r="E26" i="1"/>
  <c r="F26" i="1" s="1"/>
  <c r="H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 Murphy</author>
  </authors>
  <commentList>
    <comment ref="B66" authorId="0" shapeId="0" xr:uid="{00000000-0006-0000-1700-000001000000}">
      <text>
        <r>
          <rPr>
            <b/>
            <sz val="8"/>
            <color indexed="81"/>
            <rFont val="Tahoma"/>
            <family val="2"/>
          </rPr>
          <t>10 Non-Hurricane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xli</author>
    <author>jmurphy</author>
  </authors>
  <commentList>
    <comment ref="F39" authorId="0" shapeId="0" xr:uid="{00000000-0006-0000-2000-000001000000}">
      <text>
        <r>
          <rPr>
            <b/>
            <sz val="8"/>
            <color indexed="81"/>
            <rFont val="Tahoma"/>
            <family val="2"/>
          </rPr>
          <t>xli:</t>
        </r>
        <r>
          <rPr>
            <sz val="8"/>
            <color indexed="81"/>
            <rFont val="Tahoma"/>
            <family val="2"/>
          </rPr>
          <t xml:space="preserve">
subtract a certain number</t>
        </r>
      </text>
    </comment>
    <comment ref="K39" authorId="1" shapeId="0" xr:uid="{00000000-0006-0000-2000-000002000000}">
      <text>
        <r>
          <rPr>
            <b/>
            <sz val="8"/>
            <color indexed="81"/>
            <rFont val="Tahoma"/>
            <family val="2"/>
          </rPr>
          <t>jmurphy:</t>
        </r>
        <r>
          <rPr>
            <sz val="8"/>
            <color indexed="81"/>
            <rFont val="Tahoma"/>
            <family val="2"/>
          </rPr>
          <t xml:space="preserve">
from Dolly Ike Lit Reduction spreadsheet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<sst xmlns="http://schemas.openxmlformats.org/spreadsheetml/2006/main" count="1298" uniqueCount="450">
  <si>
    <t>Texas Windstorm Insurance Association</t>
  </si>
  <si>
    <t>Residential Property - Wind &amp; Hail</t>
  </si>
  <si>
    <t>Rate Level Review</t>
  </si>
  <si>
    <t>Summary of Indicated Rate Change</t>
  </si>
  <si>
    <t>By Method for Projecting Hurricane Loss &amp; LAE</t>
  </si>
  <si>
    <t>Exhibit 1</t>
  </si>
  <si>
    <t>Hurricane</t>
  </si>
  <si>
    <t>Indicated Loss &amp; LAE Ratio</t>
  </si>
  <si>
    <t>Non-Hurricane</t>
  </si>
  <si>
    <t>Total</t>
  </si>
  <si>
    <t>Permissible</t>
  </si>
  <si>
    <t>Loss &amp; LAE</t>
  </si>
  <si>
    <t>Ratio</t>
  </si>
  <si>
    <t>Indicated</t>
  </si>
  <si>
    <t>Rate</t>
  </si>
  <si>
    <t>Change</t>
  </si>
  <si>
    <t>Hurricane Projection Method</t>
  </si>
  <si>
    <t>Notes:</t>
  </si>
  <si>
    <t>Projected Ultimate Non-Hurricane Loss &amp; LAE Ratio</t>
  </si>
  <si>
    <t>All Territory Weighted Average</t>
  </si>
  <si>
    <t>Exhibit 2</t>
  </si>
  <si>
    <t>Sheet 1</t>
  </si>
  <si>
    <t>Territory</t>
  </si>
  <si>
    <t>Tier 1 - Territory 8</t>
  </si>
  <si>
    <t>Tier 2</t>
  </si>
  <si>
    <t>Tier 1 - Territory 10</t>
  </si>
  <si>
    <t>Tier 1 - Territory 9</t>
  </si>
  <si>
    <t>Amount</t>
  </si>
  <si>
    <t>Share</t>
  </si>
  <si>
    <t>Loss &amp; LAE Ratio</t>
  </si>
  <si>
    <t>Total / Average</t>
  </si>
  <si>
    <t>Sheet 2a</t>
  </si>
  <si>
    <t>Ending</t>
  </si>
  <si>
    <t>Ultimate</t>
  </si>
  <si>
    <t>LAE</t>
  </si>
  <si>
    <t>Factor</t>
  </si>
  <si>
    <t>Net</t>
  </si>
  <si>
    <t>Trend</t>
  </si>
  <si>
    <t>Projected</t>
  </si>
  <si>
    <t>Loss</t>
  </si>
  <si>
    <t>at Current</t>
  </si>
  <si>
    <t>TWIA Rate Level</t>
  </si>
  <si>
    <t>Earned Premium</t>
  </si>
  <si>
    <t>Sheet 2b</t>
  </si>
  <si>
    <t>Sheet 2c</t>
  </si>
  <si>
    <t>Sheet 2d</t>
  </si>
  <si>
    <t>Sheet 3a</t>
  </si>
  <si>
    <t>Projected Ultimate Non-Hurricane Loss</t>
  </si>
  <si>
    <t>Accident</t>
  </si>
  <si>
    <t>Year</t>
  </si>
  <si>
    <t>Paid Loss</t>
  </si>
  <si>
    <t>Development</t>
  </si>
  <si>
    <t>Sheet 3b</t>
  </si>
  <si>
    <t>Sheet 3c</t>
  </si>
  <si>
    <t>Sheet 3d</t>
  </si>
  <si>
    <t>Paid Loss Excluding Expense</t>
  </si>
  <si>
    <t>Sheet 4a</t>
  </si>
  <si>
    <t>Sheet 4b</t>
  </si>
  <si>
    <t>Sheet 4c</t>
  </si>
  <si>
    <t>Sheet 4d</t>
  </si>
  <si>
    <t>Exhibit 3</t>
  </si>
  <si>
    <t>Months of Development</t>
  </si>
  <si>
    <t>Starting Accident Age</t>
  </si>
  <si>
    <t>Development Factors</t>
  </si>
  <si>
    <t>Average</t>
  </si>
  <si>
    <t>Avg 5 Year</t>
  </si>
  <si>
    <t>Selected</t>
  </si>
  <si>
    <t>Cumulative</t>
  </si>
  <si>
    <t>Exhibit 4</t>
  </si>
  <si>
    <t>LAE to</t>
  </si>
  <si>
    <t>Loss Ratio</t>
  </si>
  <si>
    <t>Indicator</t>
  </si>
  <si>
    <t>H</t>
  </si>
  <si>
    <t>Hurricane Years Total</t>
  </si>
  <si>
    <t>All Years Total</t>
  </si>
  <si>
    <t>Non-Hurricane Years</t>
  </si>
  <si>
    <t>10 Year</t>
  </si>
  <si>
    <t>Sheet 2</t>
  </si>
  <si>
    <t>Incurred</t>
  </si>
  <si>
    <t>Sheet 3</t>
  </si>
  <si>
    <t>Incurred Loss Development Factors</t>
  </si>
  <si>
    <t>Sheet 4</t>
  </si>
  <si>
    <t>Sheet 5</t>
  </si>
  <si>
    <t>Summary of Indicated Hurricane Loss &amp; LAE Ratios</t>
  </si>
  <si>
    <t>Exhibit 5</t>
  </si>
  <si>
    <t>Basis for Hurricane Loss Ratio</t>
  </si>
  <si>
    <t>Hurricane Models</t>
  </si>
  <si>
    <t>Average of Models</t>
  </si>
  <si>
    <t>Exhibit 6</t>
  </si>
  <si>
    <t>Industry Experience -- Residential Extended Coverage</t>
  </si>
  <si>
    <t>1971</t>
  </si>
  <si>
    <t>1980</t>
  </si>
  <si>
    <t>1983</t>
  </si>
  <si>
    <t>1986</t>
  </si>
  <si>
    <t>1989</t>
  </si>
  <si>
    <t>1999</t>
  </si>
  <si>
    <t>(10)</t>
  </si>
  <si>
    <t>Start</t>
  </si>
  <si>
    <t>End</t>
  </si>
  <si>
    <t>Simple Average Loss Ratio for Hurricane Years</t>
  </si>
  <si>
    <t>Losses</t>
  </si>
  <si>
    <t>Years</t>
  </si>
  <si>
    <t>(5)</t>
  </si>
  <si>
    <t>(9)</t>
  </si>
  <si>
    <t>(8)</t>
  </si>
  <si>
    <t>(7)</t>
  </si>
  <si>
    <t>(6)</t>
  </si>
  <si>
    <t>Selected Non-Hurricane Loss Ratio</t>
  </si>
  <si>
    <t>Earned</t>
  </si>
  <si>
    <t>Premium</t>
  </si>
  <si>
    <t>at CMR</t>
  </si>
  <si>
    <t>Average of Non-Hurricane Years</t>
  </si>
  <si>
    <t>Territory 8</t>
  </si>
  <si>
    <t>Territory 9</t>
  </si>
  <si>
    <t>Territory 10</t>
  </si>
  <si>
    <t>Weighted</t>
  </si>
  <si>
    <t>Loss Ratios by Territory / Tier</t>
  </si>
  <si>
    <t>% Share</t>
  </si>
  <si>
    <t>to TWIA</t>
  </si>
  <si>
    <t>Rate Level</t>
  </si>
  <si>
    <t>Sheet 6</t>
  </si>
  <si>
    <t>Sheet 7</t>
  </si>
  <si>
    <t>Factor to TWIA Rate Level</t>
  </si>
  <si>
    <t>(4)</t>
  </si>
  <si>
    <t>County</t>
  </si>
  <si>
    <t>TWIA Insured</t>
  </si>
  <si>
    <t>Values (000s)</t>
  </si>
  <si>
    <t>Modeled</t>
  </si>
  <si>
    <t>Loss Cost</t>
  </si>
  <si>
    <t>Hurricane Loss</t>
  </si>
  <si>
    <t>Expected Annual</t>
  </si>
  <si>
    <t>Indicated Hurricane Loss Ratio</t>
  </si>
  <si>
    <t>Aransas</t>
  </si>
  <si>
    <t>Brazoria</t>
  </si>
  <si>
    <t>Calhoun</t>
  </si>
  <si>
    <t>Cameron</t>
  </si>
  <si>
    <t>Chambers</t>
  </si>
  <si>
    <t>Galveston</t>
  </si>
  <si>
    <t>Harris</t>
  </si>
  <si>
    <t>Jefferson</t>
  </si>
  <si>
    <t>Kenedy</t>
  </si>
  <si>
    <t>Kleberg</t>
  </si>
  <si>
    <t>Matagorda</t>
  </si>
  <si>
    <t>Nueces</t>
  </si>
  <si>
    <t>Refugio</t>
  </si>
  <si>
    <t>San Patricio</t>
  </si>
  <si>
    <t>Willacy</t>
  </si>
  <si>
    <t>Insured Values as of</t>
  </si>
  <si>
    <t>Annual</t>
  </si>
  <si>
    <t>Exhibit 8</t>
  </si>
  <si>
    <t>Exhibit 9</t>
  </si>
  <si>
    <t>Exhibit 10</t>
  </si>
  <si>
    <t>Name</t>
  </si>
  <si>
    <t>Frequency</t>
  </si>
  <si>
    <t>Date Period</t>
  </si>
  <si>
    <t>Hurricanes</t>
  </si>
  <si>
    <t>Annual Frequency</t>
  </si>
  <si>
    <t>Exhibit 11</t>
  </si>
  <si>
    <t>Sheet 1a</t>
  </si>
  <si>
    <t>Manual Rates</t>
  </si>
  <si>
    <t>Sheet 1b</t>
  </si>
  <si>
    <t>Sheet 1c</t>
  </si>
  <si>
    <t>Sheet 1d</t>
  </si>
  <si>
    <t>Calculation of TWIA Earned Premium at Present Rate Level</t>
  </si>
  <si>
    <t>Expense Category</t>
  </si>
  <si>
    <t>(1)</t>
  </si>
  <si>
    <t>(2)</t>
  </si>
  <si>
    <t>(3)</t>
  </si>
  <si>
    <t>Direct Earned Premium</t>
  </si>
  <si>
    <t>Direct Written Premium</t>
  </si>
  <si>
    <t>Commission</t>
  </si>
  <si>
    <t>$ Amount</t>
  </si>
  <si>
    <t>% of DWP</t>
  </si>
  <si>
    <t>Other Acquisition</t>
  </si>
  <si>
    <t>General Expense</t>
  </si>
  <si>
    <t>Unadjusted $ Amount</t>
  </si>
  <si>
    <t>Adjustments</t>
  </si>
  <si>
    <t>Contribution to Statutory Fund</t>
  </si>
  <si>
    <t>Adjusted $ Amount</t>
  </si>
  <si>
    <t>Taxes, Licenses &amp; Fees</t>
  </si>
  <si>
    <t>Reinsurance Expense</t>
  </si>
  <si>
    <t>(11)</t>
  </si>
  <si>
    <t>(15)</t>
  </si>
  <si>
    <t>Reconciliation of Premium Data to Annual Statement</t>
  </si>
  <si>
    <t>Calendar</t>
  </si>
  <si>
    <t>TWIA Provided Written Premium</t>
  </si>
  <si>
    <t>Commercial</t>
  </si>
  <si>
    <t>Residential</t>
  </si>
  <si>
    <t>Written Premium</t>
  </si>
  <si>
    <t>Statement Gross</t>
  </si>
  <si>
    <t>Difference</t>
  </si>
  <si>
    <t>CY Data Ending</t>
  </si>
  <si>
    <t>Calendar Year Ending</t>
  </si>
  <si>
    <t>CAY Ending</t>
  </si>
  <si>
    <t>Evaluated as of</t>
  </si>
  <si>
    <t>Latest Annual Statement Date</t>
  </si>
  <si>
    <t>In-Force</t>
  </si>
  <si>
    <t>Trend Length</t>
  </si>
  <si>
    <t>Selected Premium Trend</t>
  </si>
  <si>
    <t>Fixed</t>
  </si>
  <si>
    <t>Expenses</t>
  </si>
  <si>
    <t>LLAE Ratio</t>
  </si>
  <si>
    <t>Current</t>
  </si>
  <si>
    <t>Prospective</t>
  </si>
  <si>
    <t>Premium Trend Analysis</t>
  </si>
  <si>
    <t>Written</t>
  </si>
  <si>
    <t>Year /</t>
  </si>
  <si>
    <t>Period</t>
  </si>
  <si>
    <t>Quarter</t>
  </si>
  <si>
    <t>Index</t>
  </si>
  <si>
    <t>Loss Trend Analysis</t>
  </si>
  <si>
    <t>Summary of Indices and Calculation of Prospective Loss Costs</t>
  </si>
  <si>
    <t>CY Ending</t>
  </si>
  <si>
    <t>Statewide</t>
  </si>
  <si>
    <t>Coastal</t>
  </si>
  <si>
    <t>Modified</t>
  </si>
  <si>
    <t>Weights</t>
  </si>
  <si>
    <t>Boeckh</t>
  </si>
  <si>
    <t>CPI</t>
  </si>
  <si>
    <t>MCPI</t>
  </si>
  <si>
    <t>Factors to Adjust For Prospective Loss Costs</t>
  </si>
  <si>
    <t>Fitted Trend</t>
  </si>
  <si>
    <t>Average Accident Date</t>
  </si>
  <si>
    <t>Cost Factor</t>
  </si>
  <si>
    <t>Boeckh Residential Construction Index Trend (Statewide)</t>
  </si>
  <si>
    <t>Texas</t>
  </si>
  <si>
    <t>Fitted Trends</t>
  </si>
  <si>
    <t>All Years</t>
  </si>
  <si>
    <t>5 Years</t>
  </si>
  <si>
    <t>4 Years</t>
  </si>
  <si>
    <t>3 Years</t>
  </si>
  <si>
    <t>Linear</t>
  </si>
  <si>
    <t>Exponential</t>
  </si>
  <si>
    <t>Annual Trend</t>
  </si>
  <si>
    <t>R-Squared</t>
  </si>
  <si>
    <t>Boeckh Residential Construction Index Trend (Coastal)</t>
  </si>
  <si>
    <t>Modified Consumer Price Index - External Trend</t>
  </si>
  <si>
    <t>1970</t>
  </si>
  <si>
    <t>Prior</t>
  </si>
  <si>
    <t>OLF</t>
  </si>
  <si>
    <t>Calculation of Net Trend Factors</t>
  </si>
  <si>
    <t>Current Average Earned Date</t>
  </si>
  <si>
    <t>Current Average Accident Date</t>
  </si>
  <si>
    <t>Prospective Average Earned / Accident Date</t>
  </si>
  <si>
    <t>Premium Trend Length</t>
  </si>
  <si>
    <t>Loss Trend Length</t>
  </si>
  <si>
    <t>(12)</t>
  </si>
  <si>
    <t>(13)</t>
  </si>
  <si>
    <t>(14)</t>
  </si>
  <si>
    <t>2003</t>
  </si>
  <si>
    <t>Using Actual Industry Experience</t>
  </si>
  <si>
    <t>Industry Experience</t>
  </si>
  <si>
    <t>Historical Hurricane Frequency</t>
  </si>
  <si>
    <t>5-Year</t>
  </si>
  <si>
    <t>4-Year</t>
  </si>
  <si>
    <t>3-Year</t>
  </si>
  <si>
    <t>Selected Loss Trend</t>
  </si>
  <si>
    <t>2005</t>
  </si>
  <si>
    <t>at Present Rates</t>
  </si>
  <si>
    <t>Exponential Fitted Trends</t>
  </si>
  <si>
    <t>All-Year</t>
  </si>
  <si>
    <t>Correlation Coefficient</t>
  </si>
  <si>
    <t>Average Annual Change</t>
  </si>
  <si>
    <t>(16)</t>
  </si>
  <si>
    <t>Factors</t>
  </si>
  <si>
    <t>Landfall</t>
  </si>
  <si>
    <t>Month</t>
  </si>
  <si>
    <t>Exhibit 7</t>
  </si>
  <si>
    <t>2007</t>
  </si>
  <si>
    <t>2008</t>
  </si>
  <si>
    <t>Using Experience and Models</t>
  </si>
  <si>
    <t>Reinsurance Contract</t>
  </si>
  <si>
    <t>Effective</t>
  </si>
  <si>
    <t>Expiring</t>
  </si>
  <si>
    <t>Hurricane Model</t>
  </si>
  <si>
    <t>TWIA</t>
  </si>
  <si>
    <t>to Current</t>
  </si>
  <si>
    <t>Litigation cost reduction</t>
  </si>
  <si>
    <t/>
  </si>
  <si>
    <t>at</t>
  </si>
  <si>
    <t xml:space="preserve"> </t>
  </si>
  <si>
    <t>Selected Cumulative</t>
  </si>
  <si>
    <t xml:space="preserve"> to incorporate the statutory limitations on litigation cost that House Bill 3 provides</t>
  </si>
  <si>
    <t>Exposure</t>
  </si>
  <si>
    <t>Quarterly</t>
  </si>
  <si>
    <t>Number of Hurricanes</t>
  </si>
  <si>
    <t>During the Year</t>
  </si>
  <si>
    <t>Hurricane Year</t>
  </si>
  <si>
    <t>Per Hurricane</t>
  </si>
  <si>
    <t>Statewide Industry Extended Coverage Dwelling Incurred Loss</t>
  </si>
  <si>
    <t>Rate Factor</t>
  </si>
  <si>
    <t>A</t>
  </si>
  <si>
    <t>B</t>
  </si>
  <si>
    <t>C</t>
  </si>
  <si>
    <t>D</t>
  </si>
  <si>
    <t>E</t>
  </si>
  <si>
    <t>F</t>
  </si>
  <si>
    <t>G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</si>
  <si>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</si>
  <si>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</si>
  <si>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</si>
  <si>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</si>
  <si>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</si>
  <si>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</si>
  <si>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</si>
  <si>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</si>
  <si>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</si>
  <si>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</si>
  <si>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</si>
  <si>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</si>
  <si>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</si>
  <si>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</si>
  <si>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</si>
  <si>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</si>
  <si>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</si>
  <si>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</si>
  <si>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</si>
  <si>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</si>
  <si>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</si>
  <si>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</si>
  <si>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</si>
  <si>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</si>
  <si>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</si>
  <si>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</si>
  <si>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OLFs</t>
  </si>
  <si>
    <t>1968</t>
  </si>
  <si>
    <t>(4) = MAX((3)-(5),0)/(2)</t>
  </si>
  <si>
    <t>Table of Contents</t>
  </si>
  <si>
    <t>Main Heading</t>
  </si>
  <si>
    <t xml:space="preserve">Exhibit </t>
  </si>
  <si>
    <t>Sheet</t>
  </si>
  <si>
    <t>2.2a</t>
  </si>
  <si>
    <t>2.2b</t>
  </si>
  <si>
    <t>2.2c</t>
  </si>
  <si>
    <t>2.2d</t>
  </si>
  <si>
    <t>2.3a</t>
  </si>
  <si>
    <t>2.3b</t>
  </si>
  <si>
    <t>2.3c</t>
  </si>
  <si>
    <t>2.3d</t>
  </si>
  <si>
    <t>2.4a</t>
  </si>
  <si>
    <t>2.4b</t>
  </si>
  <si>
    <t>2.4c</t>
  </si>
  <si>
    <t>2.4d</t>
  </si>
  <si>
    <t>3.3a</t>
  </si>
  <si>
    <t>3.3b</t>
  </si>
  <si>
    <t>3.3c</t>
  </si>
  <si>
    <t>3.3d</t>
  </si>
  <si>
    <t>AI</t>
  </si>
  <si>
    <t>Average of All Models</t>
  </si>
  <si>
    <t>AJ</t>
  </si>
  <si>
    <t>2020</t>
  </si>
  <si>
    <t>2021</t>
  </si>
  <si>
    <t>2017</t>
  </si>
  <si>
    <t>AK</t>
  </si>
  <si>
    <t>RMS</t>
  </si>
  <si>
    <t>Impact Forecasting</t>
  </si>
  <si>
    <t>Indicated Rate Change</t>
  </si>
  <si>
    <t>Verisk</t>
  </si>
  <si>
    <t>Indicated Premium Trend</t>
  </si>
  <si>
    <t>Using Average of Verisk and RMS Hurricane Models</t>
  </si>
  <si>
    <t>AL</t>
  </si>
  <si>
    <t>Use the table below for 2002 and prior</t>
  </si>
  <si>
    <t>Schedule P</t>
  </si>
  <si>
    <t>Direct &amp; Assumed</t>
  </si>
  <si>
    <t>Ultimate Loss</t>
  </si>
  <si>
    <t>Evaluation</t>
  </si>
  <si>
    <t>Age</t>
  </si>
  <si>
    <t>in Months</t>
  </si>
  <si>
    <t>Interpolated</t>
  </si>
  <si>
    <t>Sheet 3e</t>
  </si>
  <si>
    <t>Interpolation of Development Factors</t>
  </si>
  <si>
    <t>2.3e</t>
  </si>
  <si>
    <t>Model Version: Impact Forecasting ELEMENTS 18.0 Atlantic Tropical Cyclone and Severe Convective Storm</t>
  </si>
  <si>
    <t>Expenses and Variable Permissible Loss &amp; LAE Ratios</t>
  </si>
  <si>
    <t>Average Hurricane Loss Ratio per Hurricane</t>
  </si>
  <si>
    <t>9.1a</t>
  </si>
  <si>
    <t>9.1b</t>
  </si>
  <si>
    <t>9.1c</t>
  </si>
  <si>
    <t>9.1d</t>
  </si>
  <si>
    <t>Non-Hurricane Loss Ratio</t>
  </si>
  <si>
    <t>Summary by Territory</t>
  </si>
  <si>
    <t>Tab Label</t>
  </si>
  <si>
    <t>Sub-Heading</t>
  </si>
  <si>
    <t>At Present Rates</t>
  </si>
  <si>
    <t>On-Level</t>
  </si>
  <si>
    <t>Developed Weighted</t>
  </si>
  <si>
    <t>WPPR</t>
  </si>
  <si>
    <t>Annualized</t>
  </si>
  <si>
    <t>TWIA Residential Written Premium at Present Rates (WPPR)</t>
  </si>
  <si>
    <t>(7) Four-quarter rolling average written premium</t>
  </si>
  <si>
    <t>(6) = (5) / (2). WPPR = Written Premium at Present Rates</t>
  </si>
  <si>
    <t>Development of LAE Factor Using TWIA Commercial + Residential Experience</t>
  </si>
  <si>
    <t>Jun</t>
  </si>
  <si>
    <t>Sep</t>
  </si>
  <si>
    <t>Jul</t>
  </si>
  <si>
    <t>“Matagorda”</t>
  </si>
  <si>
    <t>“Sabine River-Lake Calcasieu”</t>
  </si>
  <si>
    <t>Aug</t>
  </si>
  <si>
    <t>Oct</t>
  </si>
  <si>
    <t>“Galveston”</t>
  </si>
  <si>
    <t>“Lower Texas Coast"</t>
  </si>
  <si>
    <t>Audrey</t>
  </si>
  <si>
    <t>“Indianola”</t>
  </si>
  <si>
    <t>Debra</t>
  </si>
  <si>
    <t>Carla</t>
  </si>
  <si>
    <t>Cindy</t>
  </si>
  <si>
    <t>Beulah</t>
  </si>
  <si>
    <t>Celia</t>
  </si>
  <si>
    <t>Fern</t>
  </si>
  <si>
    <t>Allen</t>
  </si>
  <si>
    <t>Alicia</t>
  </si>
  <si>
    <t>Bonnie</t>
  </si>
  <si>
    <t>Chantal</t>
  </si>
  <si>
    <t>“Velasco”</t>
  </si>
  <si>
    <t>Jerry</t>
  </si>
  <si>
    <t>Bret</t>
  </si>
  <si>
    <t>Claudette</t>
  </si>
  <si>
    <t>Rita</t>
  </si>
  <si>
    <t>Humberto</t>
  </si>
  <si>
    <t>Dolly</t>
  </si>
  <si>
    <t>Ike</t>
  </si>
  <si>
    <t>Harvey</t>
  </si>
  <si>
    <t>Hanna</t>
  </si>
  <si>
    <t>Laura</t>
  </si>
  <si>
    <t>Delta</t>
  </si>
  <si>
    <t>“Freeport”</t>
  </si>
  <si>
    <t>Nicholas</t>
  </si>
  <si>
    <t>July</t>
  </si>
  <si>
    <t>Beryl</t>
  </si>
  <si>
    <t>AM</t>
  </si>
  <si>
    <t>Combined</t>
  </si>
  <si>
    <t>12/31</t>
  </si>
  <si>
    <t>Industry Experience - Residential Extended Coverage</t>
  </si>
  <si>
    <t>Hurricane Loss Ratio - Verisk (AIR) Model</t>
  </si>
  <si>
    <t>Hurricane Loss Ratio - RMS Model</t>
  </si>
  <si>
    <t>Hurricane Loss Ratio - Impact Forecasting Model</t>
  </si>
  <si>
    <t>Tier 1 - Territory 8 (Galveston County)</t>
  </si>
  <si>
    <t>Tier 1 - Territory 9 (Nueces County)</t>
  </si>
  <si>
    <t>Tier 1 - Territory 10 (Other Tier 1)</t>
  </si>
  <si>
    <t>Tier 2 - (Territories 1 and 11)</t>
  </si>
  <si>
    <t>LDF 3.1</t>
  </si>
  <si>
    <t>Adjustment Date</t>
  </si>
  <si>
    <t>10 most recent non-hurricane years</t>
  </si>
  <si>
    <t>Development of Reinsurance Provision</t>
  </si>
  <si>
    <t>Model Version: Verisk Touchstone 13.0 Tropical Cyclone (TC) and Severe Thunderstorm (ST)</t>
  </si>
  <si>
    <t>Model Version: RMS RiskLink 25.0 Windstorm/Hurricane and Convective Storm (WS/CS)</t>
  </si>
  <si>
    <t>AN</t>
  </si>
  <si>
    <t>Cotality RQE</t>
  </si>
  <si>
    <t>Hurricane Loss Ratio - Cotality RQE Model</t>
  </si>
  <si>
    <t>Model Version: Cotality Risk Quantification &amp; Engineering (RQE) v25.0 North Atlantic Hurricane (HU) and Severe Convective Storm (SCS)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</si>
</sst>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(* #,##0.00_);_(* \(#,##0.00\);_(* &quot;-&quot;??_);_(@_)"/>
    <numFmt numFmtId="164" formatCode="0.0%"/>
    <numFmt numFmtId="165" formatCode="\+0%;\-0%;0%"/>
    <numFmt numFmtId="166" formatCode="0.000"/>
    <numFmt numFmtId="167" formatCode="#,##0.000"/>
    <numFmt numFmtId="168" formatCode="0.0000"/>
    <numFmt numFmtId="169" formatCode="&quot;$&quot;#,##0"/>
    <numFmt numFmtId="170" formatCode="_(* #,##0_);_(* \(#,##0\);_(* &quot;-&quot;??_);_(@_)"/>
    <numFmt numFmtId="171" formatCode="_(&quot;$&quot;* #,##0.00_);_(&quot;$&quot;* \(#,##0.00\);_(&quot;$&quot;* &quot;0.00&quot;_);_(@_)"/>
    <numFmt numFmtId="172" formatCode="_(* #,##0.00_);_(* \(#,##0.00\);_(* &quot;0.00&quot;_);_(@_)"/>
    <numFmt numFmtId="173" formatCode="_(* #,##0.000_);_(* \(#,##0.000\);_(* &quot;0.000&quot;_);_(@_)"/>
    <numFmt numFmtId="174" formatCode="_(&quot;$&quot;* #,##0.0_);_(&quot;$&quot;* \(#,##0.0\);_(&quot;$&quot;* &quot;0.0&quot;_);_(@_)"/>
    <numFmt numFmtId="175" formatCode="_(* #,##0.0_);_(* \(#,##0.0\);_(* &quot;0.0&quot;_);_(@_)"/>
    <numFmt numFmtId="176" formatCode="_(* #,##0.00000_);_(* \(#,##0.00000\);_(* &quot;0.00000&quot;_);_(@_)"/>
    <numFmt numFmtId="177" formatCode="0.0000000000000000%"/>
    <numFmt numFmtId="178" formatCode="\+0.0%;\-0.0%;0.0%"/>
    <numFmt numFmtId="179" formatCode="0.00000%"/>
    <numFmt numFmtId="180" formatCode="_(* #,##0.0_);_(* \(#,##0.0\);_(* &quot;-&quot;??_);_(@_)"/>
    <numFmt numFmtId="181" formatCode="_(* #,##0.000_);_(* \(#,##0.000\);_(* &quot;-&quot;??_);_(@_)"/>
  </numFmts>
  <fonts count="23" x14ac:knownFonts="1">
    <font>
      <sz val="8"/>
      <name val="Arial"/>
      <family val="2"/>
    </font>
    <font>
      <sz val="8"/>
      <name val="Arial Narrow"/>
      <family val="2"/>
    </font>
    <font>
      <b/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sz val="8"/>
      <color indexed="54"/>
      <name val="Arial"/>
      <family val="2"/>
    </font>
    <font>
      <b/>
      <sz val="8"/>
      <color indexed="81"/>
      <name val="Tahoma"/>
      <family val="2"/>
    </font>
    <font>
      <sz val="12"/>
      <name val="Times New Roman"/>
      <family val="1"/>
    </font>
    <font>
      <sz val="8"/>
      <color indexed="81"/>
      <name val="Tahoma"/>
      <family val="2"/>
    </font>
    <font>
      <sz val="8"/>
      <color rgb="FFFF0000"/>
      <name val="Arial"/>
      <family val="2"/>
    </font>
    <font>
      <sz val="8"/>
      <color theme="4" tint="-0.249977111117893"/>
      <name val="Arial"/>
      <family val="2"/>
    </font>
    <font>
      <sz val="8"/>
      <color rgb="FF666699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sz val="8"/>
      <color theme="0" tint="-0.14999847407452621"/>
      <name val="Arial"/>
      <family val="2"/>
    </font>
    <font>
      <sz val="8"/>
      <color rgb="FF7030A0"/>
      <name val="Arial"/>
      <family val="2"/>
    </font>
    <font>
      <sz val="8"/>
      <color theme="0" tint="-0.249977111117893"/>
      <name val="Arial"/>
      <family val="2"/>
    </font>
    <font>
      <sz val="8"/>
      <color theme="0" tint="-0.34998626667073579"/>
      <name val="Arial"/>
      <family val="2"/>
    </font>
    <font>
      <sz val="8"/>
      <color rgb="FF0000FF"/>
      <name val="Arial"/>
      <family val="2"/>
    </font>
    <font>
      <sz val="8"/>
      <color theme="0"/>
      <name val="Arial"/>
      <family val="2"/>
    </font>
    <font>
      <i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175" fontId="9" fillId="0" borderId="0"/>
    <xf numFmtId="172" fontId="9" fillId="0" borderId="0"/>
    <xf numFmtId="173" fontId="9" fillId="0" borderId="0"/>
    <xf numFmtId="176" fontId="9" fillId="0" borderId="0"/>
    <xf numFmtId="174" fontId="9" fillId="0" borderId="0"/>
    <xf numFmtId="171" fontId="9" fillId="0" borderId="0"/>
    <xf numFmtId="0" fontId="4" fillId="0" borderId="0"/>
    <xf numFmtId="9" fontId="1" fillId="0" borderId="0" applyFont="0" applyFill="0" applyBorder="0" applyAlignment="0" applyProtection="0"/>
    <xf numFmtId="164" fontId="9" fillId="0" borderId="0"/>
  </cellStyleXfs>
  <cellXfs count="241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0" borderId="6" xfId="0" applyBorder="1"/>
    <xf numFmtId="0" fontId="0" fillId="0" borderId="0" xfId="0" applyAlignment="1">
      <alignment horizontal="right"/>
    </xf>
    <xf numFmtId="0" fontId="2" fillId="0" borderId="0" xfId="0" applyFont="1"/>
    <xf numFmtId="0" fontId="0" fillId="0" borderId="7" xfId="0" applyBorder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Alignment="1">
      <alignment horizontal="centerContinuous"/>
    </xf>
    <xf numFmtId="164" fontId="5" fillId="0" borderId="0" xfId="9" applyNumberFormat="1" applyFont="1"/>
    <xf numFmtId="165" fontId="5" fillId="0" borderId="0" xfId="9" applyNumberFormat="1" applyFont="1"/>
    <xf numFmtId="165" fontId="4" fillId="0" borderId="0" xfId="9" applyNumberFormat="1" applyFont="1"/>
    <xf numFmtId="0" fontId="5" fillId="0" borderId="0" xfId="0" applyFont="1"/>
    <xf numFmtId="164" fontId="4" fillId="0" borderId="0" xfId="9" applyNumberFormat="1" applyFont="1"/>
    <xf numFmtId="3" fontId="0" fillId="0" borderId="0" xfId="0" applyNumberFormat="1"/>
    <xf numFmtId="164" fontId="0" fillId="0" borderId="0" xfId="0" applyNumberFormat="1"/>
    <xf numFmtId="164" fontId="0" fillId="0" borderId="7" xfId="0" applyNumberFormat="1" applyBorder="1"/>
    <xf numFmtId="164" fontId="4" fillId="0" borderId="0" xfId="9" applyNumberFormat="1" applyFont="1" applyFill="1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3" fontId="0" fillId="0" borderId="7" xfId="0" applyNumberFormat="1" applyBorder="1"/>
    <xf numFmtId="3" fontId="4" fillId="0" borderId="0" xfId="0" applyNumberFormat="1" applyFont="1"/>
    <xf numFmtId="3" fontId="4" fillId="0" borderId="7" xfId="0" applyNumberFormat="1" applyFont="1" applyBorder="1"/>
    <xf numFmtId="166" fontId="4" fillId="0" borderId="0" xfId="0" applyNumberFormat="1" applyFont="1"/>
    <xf numFmtId="166" fontId="0" fillId="0" borderId="0" xfId="0" applyNumberFormat="1"/>
    <xf numFmtId="166" fontId="0" fillId="0" borderId="7" xfId="0" applyNumberFormat="1" applyBorder="1"/>
    <xf numFmtId="3" fontId="5" fillId="0" borderId="0" xfId="0" applyNumberFormat="1" applyFont="1"/>
    <xf numFmtId="167" fontId="4" fillId="0" borderId="0" xfId="0" applyNumberFormat="1" applyFont="1"/>
    <xf numFmtId="167" fontId="4" fillId="0" borderId="7" xfId="0" applyNumberFormat="1" applyFont="1" applyBorder="1"/>
    <xf numFmtId="167" fontId="0" fillId="0" borderId="0" xfId="0" applyNumberFormat="1"/>
    <xf numFmtId="167" fontId="6" fillId="0" borderId="0" xfId="0" applyNumberFormat="1" applyFont="1"/>
    <xf numFmtId="166" fontId="5" fillId="0" borderId="0" xfId="0" applyNumberFormat="1" applyFont="1"/>
    <xf numFmtId="14" fontId="4" fillId="0" borderId="0" xfId="0" applyNumberFormat="1" applyFont="1"/>
    <xf numFmtId="164" fontId="4" fillId="0" borderId="0" xfId="9" applyNumberFormat="1" applyFont="1" applyFill="1" applyBorder="1"/>
    <xf numFmtId="165" fontId="4" fillId="0" borderId="0" xfId="9" applyNumberFormat="1" applyFont="1" applyFill="1" applyBorder="1"/>
    <xf numFmtId="166" fontId="4" fillId="0" borderId="0" xfId="9" applyNumberFormat="1" applyFont="1" applyFill="1"/>
    <xf numFmtId="0" fontId="0" fillId="0" borderId="0" xfId="0" quotePrefix="1"/>
    <xf numFmtId="164" fontId="4" fillId="0" borderId="0" xfId="0" applyNumberFormat="1" applyFont="1"/>
    <xf numFmtId="164" fontId="5" fillId="0" borderId="0" xfId="0" applyNumberFormat="1" applyFont="1"/>
    <xf numFmtId="0" fontId="0" fillId="0" borderId="0" xfId="0" quotePrefix="1" applyAlignment="1">
      <alignment horizontal="center"/>
    </xf>
    <xf numFmtId="166" fontId="4" fillId="0" borderId="7" xfId="0" applyNumberFormat="1" applyFont="1" applyBorder="1"/>
    <xf numFmtId="3" fontId="5" fillId="0" borderId="7" xfId="0" applyNumberFormat="1" applyFont="1" applyBorder="1"/>
    <xf numFmtId="14" fontId="0" fillId="0" borderId="0" xfId="0" applyNumberFormat="1"/>
    <xf numFmtId="49" fontId="4" fillId="0" borderId="7" xfId="0" applyNumberFormat="1" applyFont="1" applyBorder="1"/>
    <xf numFmtId="164" fontId="4" fillId="0" borderId="7" xfId="0" applyNumberFormat="1" applyFont="1" applyBorder="1"/>
    <xf numFmtId="170" fontId="4" fillId="0" borderId="0" xfId="9" applyNumberFormat="1" applyFont="1" applyFill="1"/>
    <xf numFmtId="0" fontId="6" fillId="0" borderId="0" xfId="0" applyFont="1"/>
    <xf numFmtId="14" fontId="6" fillId="0" borderId="0" xfId="0" applyNumberFormat="1" applyFont="1"/>
    <xf numFmtId="3" fontId="7" fillId="0" borderId="0" xfId="0" applyNumberFormat="1" applyFont="1"/>
    <xf numFmtId="3" fontId="7" fillId="0" borderId="7" xfId="0" applyNumberFormat="1" applyFont="1" applyBorder="1"/>
    <xf numFmtId="14" fontId="7" fillId="0" borderId="0" xfId="0" applyNumberFormat="1" applyFont="1"/>
    <xf numFmtId="164" fontId="4" fillId="0" borderId="7" xfId="9" applyNumberFormat="1" applyFont="1" applyFill="1" applyBorder="1"/>
    <xf numFmtId="49" fontId="5" fillId="0" borderId="0" xfId="0" applyNumberFormat="1" applyFont="1"/>
    <xf numFmtId="0" fontId="4" fillId="0" borderId="0" xfId="0" applyFont="1" applyAlignment="1">
      <alignment horizontal="left"/>
    </xf>
    <xf numFmtId="14" fontId="5" fillId="0" borderId="0" xfId="0" applyNumberFormat="1" applyFont="1"/>
    <xf numFmtId="164" fontId="7" fillId="0" borderId="0" xfId="0" applyNumberFormat="1" applyFont="1"/>
    <xf numFmtId="166" fontId="6" fillId="0" borderId="0" xfId="0" applyNumberFormat="1" applyFont="1"/>
    <xf numFmtId="0" fontId="4" fillId="0" borderId="0" xfId="0" quotePrefix="1" applyFont="1"/>
    <xf numFmtId="0" fontId="4" fillId="0" borderId="0" xfId="8"/>
    <xf numFmtId="3" fontId="7" fillId="0" borderId="0" xfId="8" applyNumberFormat="1" applyFont="1"/>
    <xf numFmtId="2" fontId="4" fillId="0" borderId="0" xfId="0" applyNumberFormat="1" applyFont="1"/>
    <xf numFmtId="14" fontId="0" fillId="0" borderId="7" xfId="0" applyNumberFormat="1" applyBorder="1"/>
    <xf numFmtId="2" fontId="4" fillId="0" borderId="7" xfId="0" applyNumberFormat="1" applyFont="1" applyBorder="1"/>
    <xf numFmtId="0" fontId="7" fillId="0" borderId="0" xfId="0" applyFont="1"/>
    <xf numFmtId="167" fontId="5" fillId="0" borderId="0" xfId="0" applyNumberFormat="1" applyFont="1"/>
    <xf numFmtId="2" fontId="6" fillId="0" borderId="0" xfId="0" applyNumberFormat="1" applyFont="1"/>
    <xf numFmtId="0" fontId="0" fillId="2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2" borderId="2" xfId="0" applyFill="1" applyBorder="1" applyProtection="1">
      <protection locked="0"/>
    </xf>
    <xf numFmtId="0" fontId="0" fillId="0" borderId="0" xfId="0" quotePrefix="1" applyAlignment="1">
      <alignment horizontal="centerContinuous"/>
    </xf>
    <xf numFmtId="0" fontId="0" fillId="0" borderId="0" xfId="0" quotePrefix="1" applyAlignment="1">
      <alignment horizontal="right"/>
    </xf>
    <xf numFmtId="168" fontId="0" fillId="0" borderId="0" xfId="0" applyNumberFormat="1"/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3" xfId="0" applyFill="1" applyBorder="1" applyProtection="1">
      <protection locked="0"/>
    </xf>
    <xf numFmtId="49" fontId="4" fillId="0" borderId="0" xfId="0" applyNumberFormat="1" applyFont="1"/>
    <xf numFmtId="164" fontId="5" fillId="0" borderId="0" xfId="9" applyNumberFormat="1" applyFont="1" applyFill="1"/>
    <xf numFmtId="1" fontId="4" fillId="0" borderId="0" xfId="0" applyNumberFormat="1" applyFont="1"/>
    <xf numFmtId="0" fontId="6" fillId="0" borderId="0" xfId="0" applyFont="1" applyAlignment="1">
      <alignment horizontal="left"/>
    </xf>
    <xf numFmtId="4" fontId="4" fillId="0" borderId="0" xfId="0" applyNumberFormat="1" applyFont="1"/>
    <xf numFmtId="167" fontId="7" fillId="0" borderId="0" xfId="0" applyNumberFormat="1" applyFont="1"/>
    <xf numFmtId="0" fontId="4" fillId="0" borderId="7" xfId="0" applyFont="1" applyBorder="1"/>
    <xf numFmtId="4" fontId="0" fillId="0" borderId="7" xfId="0" applyNumberFormat="1" applyBorder="1"/>
    <xf numFmtId="177" fontId="0" fillId="0" borderId="0" xfId="0" applyNumberFormat="1"/>
    <xf numFmtId="4" fontId="4" fillId="0" borderId="7" xfId="0" applyNumberFormat="1" applyFont="1" applyBorder="1"/>
    <xf numFmtId="0" fontId="7" fillId="0" borderId="7" xfId="0" applyFont="1" applyBorder="1"/>
    <xf numFmtId="166" fontId="4" fillId="0" borderId="0" xfId="0" applyNumberFormat="1" applyFont="1" applyAlignment="1">
      <alignment horizontal="left"/>
    </xf>
    <xf numFmtId="164" fontId="4" fillId="0" borderId="7" xfId="9" applyNumberFormat="1" applyFont="1" applyBorder="1"/>
    <xf numFmtId="0" fontId="5" fillId="0" borderId="0" xfId="0" applyFont="1" applyAlignment="1">
      <alignment horizontal="left"/>
    </xf>
    <xf numFmtId="2" fontId="7" fillId="0" borderId="7" xfId="0" applyNumberFormat="1" applyFont="1" applyBorder="1"/>
    <xf numFmtId="0" fontId="4" fillId="0" borderId="0" xfId="0" applyFont="1" applyAlignment="1">
      <alignment horizontal="right"/>
    </xf>
    <xf numFmtId="166" fontId="7" fillId="0" borderId="0" xfId="0" applyNumberFormat="1" applyFont="1"/>
    <xf numFmtId="166" fontId="0" fillId="0" borderId="6" xfId="0" applyNumberFormat="1" applyBorder="1"/>
    <xf numFmtId="166" fontId="6" fillId="0" borderId="7" xfId="0" applyNumberFormat="1" applyFont="1" applyBorder="1"/>
    <xf numFmtId="164" fontId="11" fillId="0" borderId="0" xfId="9" applyNumberFormat="1" applyFont="1" applyFill="1"/>
    <xf numFmtId="166" fontId="12" fillId="0" borderId="0" xfId="0" applyNumberFormat="1" applyFont="1"/>
    <xf numFmtId="0" fontId="0" fillId="0" borderId="6" xfId="0" applyBorder="1" applyAlignment="1">
      <alignment horizontal="center"/>
    </xf>
    <xf numFmtId="0" fontId="0" fillId="2" borderId="5" xfId="0" applyFill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16" fontId="0" fillId="0" borderId="0" xfId="0" applyNumberFormat="1"/>
    <xf numFmtId="3" fontId="11" fillId="0" borderId="0" xfId="0" applyNumberFormat="1" applyFont="1"/>
    <xf numFmtId="164" fontId="0" fillId="0" borderId="0" xfId="9" applyNumberFormat="1" applyFont="1" applyFill="1" applyBorder="1"/>
    <xf numFmtId="4" fontId="0" fillId="0" borderId="0" xfId="0" applyNumberFormat="1"/>
    <xf numFmtId="3" fontId="11" fillId="0" borderId="0" xfId="0" applyNumberFormat="1" applyFont="1" applyAlignment="1">
      <alignment horizontal="left"/>
    </xf>
    <xf numFmtId="0" fontId="11" fillId="0" borderId="0" xfId="0" applyFont="1"/>
    <xf numFmtId="0" fontId="5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4" fontId="4" fillId="0" borderId="0" xfId="0" applyNumberFormat="1" applyFont="1" applyAlignment="1">
      <alignment horizontal="left"/>
    </xf>
    <xf numFmtId="16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4" fontId="4" fillId="0" borderId="0" xfId="0" applyNumberFormat="1" applyFont="1" applyAlignment="1">
      <alignment horizontal="right"/>
    </xf>
    <xf numFmtId="49" fontId="0" fillId="0" borderId="0" xfId="0" applyNumberFormat="1"/>
    <xf numFmtId="3" fontId="11" fillId="0" borderId="7" xfId="0" applyNumberFormat="1" applyFont="1" applyBorder="1"/>
    <xf numFmtId="164" fontId="11" fillId="0" borderId="7" xfId="9" applyNumberFormat="1" applyFont="1" applyFill="1" applyBorder="1"/>
    <xf numFmtId="14" fontId="0" fillId="0" borderId="0" xfId="0" applyNumberFormat="1" applyAlignment="1">
      <alignment horizontal="right"/>
    </xf>
    <xf numFmtId="179" fontId="4" fillId="0" borderId="0" xfId="0" applyNumberFormat="1" applyFont="1"/>
    <xf numFmtId="0" fontId="0" fillId="0" borderId="7" xfId="0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177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166" fontId="0" fillId="0" borderId="0" xfId="0" applyNumberFormat="1" applyAlignment="1">
      <alignment horizontal="left"/>
    </xf>
    <xf numFmtId="0" fontId="13" fillId="0" borderId="0" xfId="0" quotePrefix="1" applyFont="1"/>
    <xf numFmtId="0" fontId="13" fillId="0" borderId="0" xfId="0" applyFont="1"/>
    <xf numFmtId="167" fontId="4" fillId="0" borderId="0" xfId="0" applyNumberFormat="1" applyFont="1" applyAlignment="1">
      <alignment horizontal="center"/>
    </xf>
    <xf numFmtId="167" fontId="4" fillId="0" borderId="7" xfId="0" applyNumberFormat="1" applyFont="1" applyBorder="1" applyAlignment="1">
      <alignment horizontal="center"/>
    </xf>
    <xf numFmtId="3" fontId="0" fillId="0" borderId="0" xfId="0" applyNumberFormat="1" applyAlignment="1">
      <alignment horizontal="center"/>
    </xf>
    <xf numFmtId="166" fontId="4" fillId="0" borderId="0" xfId="0" applyNumberFormat="1" applyFont="1" applyAlignment="1">
      <alignment horizontal="center"/>
    </xf>
    <xf numFmtId="164" fontId="6" fillId="0" borderId="6" xfId="0" applyNumberFormat="1" applyFont="1" applyBorder="1"/>
    <xf numFmtId="3" fontId="14" fillId="0" borderId="0" xfId="0" applyNumberFormat="1" applyFont="1"/>
    <xf numFmtId="14" fontId="5" fillId="0" borderId="0" xfId="0" applyNumberFormat="1" applyFont="1" applyAlignment="1">
      <alignment horizontal="left"/>
    </xf>
    <xf numFmtId="14" fontId="4" fillId="0" borderId="0" xfId="0" applyNumberFormat="1" applyFont="1" applyAlignment="1">
      <alignment horizontal="center"/>
    </xf>
    <xf numFmtId="43" fontId="0" fillId="0" borderId="0" xfId="1" applyFont="1"/>
    <xf numFmtId="164" fontId="14" fillId="0" borderId="0" xfId="0" applyNumberFormat="1" applyFont="1"/>
    <xf numFmtId="3" fontId="4" fillId="0" borderId="0" xfId="0" applyNumberFormat="1" applyFont="1" applyAlignment="1">
      <alignment horizontal="center"/>
    </xf>
    <xf numFmtId="0" fontId="2" fillId="0" borderId="7" xfId="0" applyFont="1" applyBorder="1"/>
    <xf numFmtId="164" fontId="0" fillId="0" borderId="6" xfId="0" applyNumberFormat="1" applyBorder="1"/>
    <xf numFmtId="0" fontId="0" fillId="0" borderId="13" xfId="0" applyBorder="1"/>
    <xf numFmtId="0" fontId="0" fillId="0" borderId="13" xfId="0" applyBorder="1" applyAlignment="1">
      <alignment horizontal="left"/>
    </xf>
    <xf numFmtId="3" fontId="7" fillId="0" borderId="13" xfId="0" applyNumberFormat="1" applyFont="1" applyBorder="1"/>
    <xf numFmtId="166" fontId="7" fillId="0" borderId="13" xfId="0" applyNumberFormat="1" applyFont="1" applyBorder="1"/>
    <xf numFmtId="3" fontId="4" fillId="0" borderId="13" xfId="0" applyNumberFormat="1" applyFont="1" applyBorder="1"/>
    <xf numFmtId="164" fontId="4" fillId="0" borderId="13" xfId="9" applyNumberFormat="1" applyFont="1" applyFill="1" applyBorder="1"/>
    <xf numFmtId="0" fontId="16" fillId="0" borderId="0" xfId="0" applyFont="1"/>
    <xf numFmtId="2" fontId="17" fillId="0" borderId="0" xfId="0" applyNumberFormat="1" applyFont="1"/>
    <xf numFmtId="3" fontId="17" fillId="0" borderId="0" xfId="0" applyNumberFormat="1" applyFont="1" applyAlignment="1">
      <alignment horizontal="center"/>
    </xf>
    <xf numFmtId="3" fontId="17" fillId="0" borderId="0" xfId="0" applyNumberFormat="1" applyFont="1"/>
    <xf numFmtId="167" fontId="17" fillId="0" borderId="0" xfId="0" applyNumberFormat="1" applyFont="1"/>
    <xf numFmtId="164" fontId="17" fillId="0" borderId="0" xfId="0" applyNumberFormat="1" applyFont="1"/>
    <xf numFmtId="0" fontId="17" fillId="0" borderId="0" xfId="0" applyFont="1"/>
    <xf numFmtId="0" fontId="17" fillId="0" borderId="7" xfId="0" applyFont="1" applyBorder="1"/>
    <xf numFmtId="3" fontId="17" fillId="0" borderId="6" xfId="0" applyNumberFormat="1" applyFont="1" applyBorder="1"/>
    <xf numFmtId="167" fontId="17" fillId="0" borderId="6" xfId="0" applyNumberFormat="1" applyFont="1" applyBorder="1"/>
    <xf numFmtId="3" fontId="0" fillId="0" borderId="6" xfId="0" applyNumberFormat="1" applyBorder="1"/>
    <xf numFmtId="49" fontId="5" fillId="0" borderId="0" xfId="0" applyNumberFormat="1" applyFont="1" applyAlignment="1">
      <alignment horizontal="left"/>
    </xf>
    <xf numFmtId="0" fontId="18" fillId="0" borderId="0" xfId="0" applyFont="1"/>
    <xf numFmtId="3" fontId="17" fillId="0" borderId="7" xfId="0" applyNumberFormat="1" applyFont="1" applyBorder="1"/>
    <xf numFmtId="164" fontId="6" fillId="0" borderId="0" xfId="0" applyNumberFormat="1" applyFont="1"/>
    <xf numFmtId="0" fontId="0" fillId="0" borderId="6" xfId="0" quotePrefix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19" fillId="0" borderId="0" xfId="0" applyFont="1"/>
    <xf numFmtId="164" fontId="19" fillId="0" borderId="0" xfId="9" applyNumberFormat="1" applyFont="1"/>
    <xf numFmtId="178" fontId="6" fillId="0" borderId="0" xfId="9" applyNumberFormat="1" applyFont="1" applyFill="1" applyBorder="1"/>
    <xf numFmtId="165" fontId="5" fillId="0" borderId="0" xfId="9" applyNumberFormat="1" applyFont="1" applyFill="1" applyBorder="1"/>
    <xf numFmtId="9" fontId="19" fillId="0" borderId="0" xfId="9" applyFont="1"/>
    <xf numFmtId="169" fontId="5" fillId="0" borderId="0" xfId="0" applyNumberFormat="1" applyFont="1"/>
    <xf numFmtId="0" fontId="4" fillId="0" borderId="6" xfId="0" applyFont="1" applyBorder="1"/>
    <xf numFmtId="3" fontId="5" fillId="0" borderId="6" xfId="0" applyNumberFormat="1" applyFont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4" fillId="0" borderId="7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0" fillId="0" borderId="0" xfId="0" applyFont="1"/>
    <xf numFmtId="181" fontId="0" fillId="0" borderId="0" xfId="1" applyNumberFormat="1" applyFont="1"/>
    <xf numFmtId="0" fontId="0" fillId="4" borderId="0" xfId="0" applyFill="1"/>
    <xf numFmtId="0" fontId="0" fillId="0" borderId="0" xfId="0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43" fontId="17" fillId="0" borderId="0" xfId="1" applyFont="1"/>
    <xf numFmtId="43" fontId="4" fillId="0" borderId="0" xfId="1" applyFont="1"/>
    <xf numFmtId="14" fontId="0" fillId="0" borderId="0" xfId="0" applyNumberFormat="1" applyProtection="1">
      <protection locked="0"/>
    </xf>
    <xf numFmtId="0" fontId="5" fillId="0" borderId="7" xfId="0" applyFont="1" applyBorder="1" applyAlignment="1">
      <alignment horizontal="left"/>
    </xf>
    <xf numFmtId="3" fontId="4" fillId="0" borderId="7" xfId="0" applyNumberFormat="1" applyFont="1" applyBorder="1" applyAlignment="1">
      <alignment horizontal="center"/>
    </xf>
    <xf numFmtId="164" fontId="14" fillId="0" borderId="7" xfId="0" applyNumberFormat="1" applyFont="1" applyBorder="1"/>
    <xf numFmtId="0" fontId="21" fillId="4" borderId="0" xfId="0" applyFont="1" applyFill="1"/>
    <xf numFmtId="1" fontId="0" fillId="0" borderId="0" xfId="0" applyNumberFormat="1" applyAlignment="1">
      <alignment horizontal="center"/>
    </xf>
    <xf numFmtId="166" fontId="20" fillId="0" borderId="0" xfId="0" applyNumberFormat="1" applyFont="1" applyAlignment="1">
      <alignment horizontal="center"/>
    </xf>
    <xf numFmtId="0" fontId="2" fillId="0" borderId="8" xfId="0" applyFont="1" applyBorder="1"/>
    <xf numFmtId="0" fontId="0" fillId="0" borderId="9" xfId="0" applyBorder="1"/>
    <xf numFmtId="0" fontId="0" fillId="0" borderId="16" xfId="0" applyBorder="1"/>
    <xf numFmtId="0" fontId="2" fillId="0" borderId="10" xfId="0" applyFont="1" applyBorder="1"/>
    <xf numFmtId="0" fontId="0" fillId="0" borderId="17" xfId="0" applyBorder="1"/>
    <xf numFmtId="0" fontId="0" fillId="0" borderId="10" xfId="0" applyBorder="1"/>
    <xf numFmtId="0" fontId="2" fillId="0" borderId="10" xfId="0" applyFont="1" applyBorder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17" xfId="0" applyFont="1" applyBorder="1" applyAlignment="1">
      <alignment horizontal="centerContinuous"/>
    </xf>
    <xf numFmtId="0" fontId="2" fillId="0" borderId="14" xfId="0" applyFont="1" applyBorder="1" applyAlignment="1">
      <alignment horizontal="left"/>
    </xf>
    <xf numFmtId="0" fontId="2" fillId="0" borderId="18" xfId="0" applyFont="1" applyBorder="1"/>
    <xf numFmtId="0" fontId="0" fillId="0" borderId="10" xfId="0" applyBorder="1" applyAlignment="1">
      <alignment horizontal="left"/>
    </xf>
    <xf numFmtId="180" fontId="0" fillId="0" borderId="17" xfId="1" applyNumberFormat="1" applyFont="1" applyBorder="1"/>
    <xf numFmtId="43" fontId="0" fillId="0" borderId="0" xfId="1" applyFont="1" applyBorder="1"/>
    <xf numFmtId="180" fontId="0" fillId="0" borderId="0" xfId="1" applyNumberFormat="1" applyFont="1" applyBorder="1"/>
    <xf numFmtId="0" fontId="0" fillId="0" borderId="11" xfId="0" applyBorder="1" applyAlignment="1">
      <alignment horizontal="left"/>
    </xf>
    <xf numFmtId="0" fontId="0" fillId="0" borderId="12" xfId="0" applyBorder="1"/>
    <xf numFmtId="180" fontId="0" fillId="0" borderId="19" xfId="1" applyNumberFormat="1" applyFont="1" applyBorder="1"/>
    <xf numFmtId="178" fontId="4" fillId="0" borderId="0" xfId="9" applyNumberFormat="1" applyFont="1" applyFill="1"/>
    <xf numFmtId="178" fontId="4" fillId="0" borderId="7" xfId="9" applyNumberFormat="1" applyFont="1" applyFill="1" applyBorder="1"/>
    <xf numFmtId="178" fontId="0" fillId="0" borderId="0" xfId="0" applyNumberFormat="1"/>
    <xf numFmtId="178" fontId="5" fillId="0" borderId="0" xfId="9" applyNumberFormat="1" applyFont="1" applyFill="1"/>
    <xf numFmtId="178" fontId="4" fillId="0" borderId="6" xfId="9" applyNumberFormat="1" applyFont="1" applyFill="1" applyBorder="1"/>
    <xf numFmtId="0" fontId="0" fillId="0" borderId="7" xfId="0" applyBorder="1" applyAlignment="1">
      <alignment horizontal="centerContinuous"/>
    </xf>
    <xf numFmtId="3" fontId="0" fillId="0" borderId="0" xfId="0" applyNumberFormat="1" applyAlignment="1">
      <alignment horizontal="right"/>
    </xf>
    <xf numFmtId="37" fontId="0" fillId="0" borderId="0" xfId="1" applyNumberFormat="1" applyFont="1" applyFill="1" applyBorder="1" applyAlignment="1">
      <alignment horizontal="right" wrapText="1"/>
    </xf>
    <xf numFmtId="3" fontId="4" fillId="0" borderId="0" xfId="0" applyNumberFormat="1" applyFont="1" applyAlignment="1">
      <alignment horizontal="right"/>
    </xf>
    <xf numFmtId="0" fontId="3" fillId="0" borderId="7" xfId="0" applyFont="1" applyBorder="1" applyAlignment="1">
      <alignment horizontal="centerContinuous"/>
    </xf>
    <xf numFmtId="164" fontId="0" fillId="0" borderId="0" xfId="9" applyNumberFormat="1" applyFont="1"/>
    <xf numFmtId="4" fontId="0" fillId="0" borderId="0" xfId="0" applyNumberFormat="1" applyAlignment="1">
      <alignment horizontal="right"/>
    </xf>
    <xf numFmtId="4" fontId="4" fillId="0" borderId="0" xfId="0" applyNumberFormat="1" applyFont="1" applyAlignment="1">
      <alignment horizontal="right"/>
    </xf>
    <xf numFmtId="0" fontId="0" fillId="0" borderId="7" xfId="0" quotePrefix="1" applyBorder="1"/>
    <xf numFmtId="166" fontId="4" fillId="0" borderId="7" xfId="0" applyNumberFormat="1" applyFont="1" applyBorder="1" applyAlignment="1">
      <alignment horizontal="center"/>
    </xf>
    <xf numFmtId="164" fontId="7" fillId="0" borderId="0" xfId="9" applyNumberFormat="1" applyFont="1"/>
    <xf numFmtId="0" fontId="0" fillId="0" borderId="6" xfId="0" quotePrefix="1" applyBorder="1"/>
    <xf numFmtId="3" fontId="7" fillId="0" borderId="6" xfId="0" applyNumberFormat="1" applyFont="1" applyBorder="1"/>
    <xf numFmtId="0" fontId="22" fillId="0" borderId="0" xfId="0" applyFont="1"/>
    <xf numFmtId="14" fontId="13" fillId="0" borderId="0" xfId="0" applyNumberFormat="1" applyFont="1"/>
    <xf numFmtId="164" fontId="7" fillId="0" borderId="0" xfId="9" applyNumberFormat="1" applyFont="1" applyBorder="1"/>
    <xf numFmtId="9" fontId="20" fillId="0" borderId="0" xfId="0" applyNumberFormat="1" applyFont="1"/>
    <xf numFmtId="3" fontId="17" fillId="0" borderId="0" xfId="0" applyNumberFormat="1" applyFont="1" applyAlignment="1">
      <alignment horizontal="right"/>
    </xf>
    <xf numFmtId="181" fontId="22" fillId="0" borderId="0" xfId="1" applyNumberFormat="1" applyFont="1"/>
    <xf numFmtId="164" fontId="11" fillId="0" borderId="0" xfId="0" applyNumberFormat="1" applyFont="1"/>
    <xf numFmtId="164" fontId="11" fillId="0" borderId="6" xfId="0" applyNumberFormat="1" applyFont="1" applyBorder="1"/>
    <xf numFmtId="0" fontId="15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1">
    <cellStyle name="Comma" xfId="1" builtinId="3"/>
    <cellStyle name="Comma [1]" xfId="2" xr:uid="{00000000-0005-0000-0000-000001000000}"/>
    <cellStyle name="Comma [2]" xfId="3" xr:uid="{00000000-0005-0000-0000-000002000000}"/>
    <cellStyle name="Comma [3]" xfId="4" xr:uid="{00000000-0005-0000-0000-000003000000}"/>
    <cellStyle name="Comma [5]" xfId="5" xr:uid="{00000000-0005-0000-0000-000004000000}"/>
    <cellStyle name="Currency [1]" xfId="6" xr:uid="{00000000-0005-0000-0000-000005000000}"/>
    <cellStyle name="Currency [2]" xfId="7" xr:uid="{00000000-0005-0000-0000-000006000000}"/>
    <cellStyle name="Normal" xfId="0" builtinId="0"/>
    <cellStyle name="Normal_2004 Residential Indications" xfId="8" xr:uid="{00000000-0005-0000-0000-000008000000}"/>
    <cellStyle name="Percent" xfId="9" builtinId="5"/>
    <cellStyle name="Percent [1]" xfId="10" xr:uid="{00000000-0005-0000-0000-00000A000000}"/>
  </cellStyles>
  <dxfs count="0"/>
  <tableStyles count="0" defaultTableStyle="TableStyleMedium9" defaultPivotStyle="PivotStyleLight16"/>
  <colors>
    <mruColors>
      <color rgb="FF666699"/>
      <color rgb="FF00FF00"/>
      <color rgb="FF0000FF"/>
      <color rgb="FFFF9999"/>
      <color rgb="FFFF7C80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31</xdr:row>
      <xdr:rowOff>85725</xdr:rowOff>
    </xdr:from>
    <xdr:ext cx="223622" cy="27337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812EECE-2859-4A07-98C9-3E594815E6F3}"/>
            </a:ext>
          </a:extLst>
        </xdr:cNvPr>
        <xdr:cNvSpPr txBox="1"/>
      </xdr:nvSpPr>
      <xdr:spPr>
        <a:xfrm>
          <a:off x="8193405" y="41395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2025%20Rate%20Review/2025%20Residential%20Exhibits.xlsx" TargetMode="External"/><Relationship Id="rId2" Type="http://schemas.openxmlformats.org/officeDocument/2006/relationships/externalLinkPath" Target="file:///S:\Actuarial\Tier%203%20-%20Internal%20Use%20Secured\TWIA\Reviews\2025%20Rate%20Review\2025%20Residential%20Exhibits.xlsx" TargetMode="External"/><Relationship Id="rId1" Type="http://schemas.openxmlformats.org/officeDocument/2006/relationships/externalLinkPath" Target="/Actuarial/Tier%203%20-%20Internal%20Use%20Secured/TWIA/Reviews/2025%20Rate%20Review/2025%20Residential%20Exhibit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Actuarial\Tier%203%20-%20Internal%20Use%20Secured\TWIA\Reviews\2026%20Rate%20Review\2026%20Data.xlsx" TargetMode="External"/><Relationship Id="rId1" Type="http://schemas.openxmlformats.org/officeDocument/2006/relationships/externalLinkPath" Target="2026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Actuarial\Tier%203%20-%20Internal%20Use%20Secured\TWIA\Reviews\2026%20Rate%20Review\2026%20Commercial%20Exhibits.xlsx" TargetMode="External"/><Relationship Id="rId1" Type="http://schemas.openxmlformats.org/officeDocument/2006/relationships/externalLinkPath" Target="2026%20Commercial%20Exhibi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ver Page"/>
      <sheetName val="Table of Contents"/>
      <sheetName val="1"/>
      <sheetName val="2.1"/>
      <sheetName val="2.2a"/>
      <sheetName val="2.2b"/>
      <sheetName val="2.2c"/>
      <sheetName val="2.2d"/>
      <sheetName val="2.3a"/>
      <sheetName val="2.3b"/>
      <sheetName val="2.3c"/>
      <sheetName val="2.3d"/>
      <sheetName val="2.3e"/>
      <sheetName val="2.4a"/>
      <sheetName val="2.4b"/>
      <sheetName val="2.4c"/>
      <sheetName val="2.4d"/>
      <sheetName val="2.5"/>
      <sheetName val="3.1"/>
      <sheetName val="3.2"/>
      <sheetName val="3.3a"/>
      <sheetName val="3.3b"/>
      <sheetName val="3.3c"/>
      <sheetName val="3.3d"/>
      <sheetName val="4"/>
      <sheetName val="5"/>
      <sheetName val="6.1"/>
      <sheetName val="6.2"/>
      <sheetName val="6.3"/>
      <sheetName val="6.4"/>
      <sheetName val="6.5"/>
      <sheetName val="6.6"/>
      <sheetName val="6.7"/>
      <sheetName val="7.1"/>
      <sheetName val="7.2"/>
      <sheetName val="7.3"/>
      <sheetName val="7.4"/>
      <sheetName val="8"/>
      <sheetName val="9.1a"/>
      <sheetName val="9.1b"/>
      <sheetName val="9.1c"/>
      <sheetName val="9.1d"/>
      <sheetName val="9.2"/>
      <sheetName val="10.1"/>
      <sheetName val="10.2"/>
      <sheetName val="11"/>
    </sheetNames>
    <sheetDataSet>
      <sheetData sheetId="0" refreshError="1"/>
      <sheetData sheetId="1" refreshError="1"/>
      <sheetData sheetId="2">
        <row r="15">
          <cell r="H15">
            <v>0.03</v>
          </cell>
        </row>
        <row r="19">
          <cell r="H19">
            <v>-0.01</v>
          </cell>
        </row>
        <row r="21">
          <cell r="H21">
            <v>0.16</v>
          </cell>
        </row>
        <row r="22">
          <cell r="H22">
            <v>0.13</v>
          </cell>
        </row>
        <row r="23">
          <cell r="H23">
            <v>0.01</v>
          </cell>
        </row>
        <row r="24">
          <cell r="H24">
            <v>0.02</v>
          </cell>
        </row>
        <row r="26">
          <cell r="H26">
            <v>8.069443864088921E-2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SO"/>
      <sheetName val="TICO 1"/>
      <sheetName val="TICO 2"/>
      <sheetName val="TICO 3"/>
      <sheetName val="Hurr Models"/>
      <sheetName val="EC LDF"/>
      <sheetName val="TWIA 2025 WP"/>
      <sheetName val="TWIA Losses"/>
      <sheetName val="TWIA 4 Premium Trend"/>
      <sheetName val="TWIA Historical EPPR"/>
      <sheetName val="CPI"/>
      <sheetName val="Boeckh (R)"/>
      <sheetName val="Boeckh (C)"/>
      <sheetName val="PremIF"/>
      <sheetName val="Checklist"/>
    </sheetNames>
    <sheetDataSet>
      <sheetData sheetId="0">
        <row r="1">
          <cell r="E1">
            <v>46022</v>
          </cell>
        </row>
      </sheetData>
      <sheetData sheetId="1" refreshError="1"/>
      <sheetData sheetId="2">
        <row r="1">
          <cell r="E1">
            <v>45930</v>
          </cell>
        </row>
        <row r="2">
          <cell r="E2">
            <v>46022</v>
          </cell>
        </row>
        <row r="30">
          <cell r="O30">
            <v>123942872</v>
          </cell>
          <cell r="P30">
            <v>71234774</v>
          </cell>
          <cell r="Q30">
            <v>200978477</v>
          </cell>
          <cell r="R30">
            <v>4436708</v>
          </cell>
        </row>
        <row r="31">
          <cell r="O31">
            <v>120650271</v>
          </cell>
          <cell r="P31">
            <v>69126281</v>
          </cell>
          <cell r="Q31">
            <v>188554673</v>
          </cell>
          <cell r="R31">
            <v>4435808</v>
          </cell>
        </row>
        <row r="32">
          <cell r="O32">
            <v>112717188</v>
          </cell>
          <cell r="P32">
            <v>63899693</v>
          </cell>
          <cell r="Q32">
            <v>166829909</v>
          </cell>
          <cell r="R32">
            <v>4301050</v>
          </cell>
        </row>
        <row r="33">
          <cell r="O33">
            <v>109182096</v>
          </cell>
          <cell r="P33">
            <v>59870593</v>
          </cell>
          <cell r="Q33">
            <v>151980115</v>
          </cell>
          <cell r="R33">
            <v>4296061</v>
          </cell>
        </row>
        <row r="34">
          <cell r="O34">
            <v>108043628</v>
          </cell>
          <cell r="P34">
            <v>57494711</v>
          </cell>
          <cell r="Q34">
            <v>141633299</v>
          </cell>
          <cell r="R34">
            <v>4367811</v>
          </cell>
        </row>
        <row r="35">
          <cell r="O35">
            <v>112324499</v>
          </cell>
          <cell r="P35">
            <v>57000700</v>
          </cell>
          <cell r="Q35">
            <v>140039840</v>
          </cell>
          <cell r="R35">
            <v>4523216</v>
          </cell>
        </row>
        <row r="36">
          <cell r="O36">
            <v>126572677</v>
          </cell>
          <cell r="P36">
            <v>61194933</v>
          </cell>
          <cell r="Q36">
            <v>153747607</v>
          </cell>
          <cell r="R36">
            <v>4935851</v>
          </cell>
        </row>
        <row r="37">
          <cell r="O37">
            <v>159933055</v>
          </cell>
          <cell r="P37">
            <v>76445090</v>
          </cell>
          <cell r="Q37">
            <v>211507410</v>
          </cell>
          <cell r="R37">
            <v>5922961</v>
          </cell>
        </row>
        <row r="38">
          <cell r="O38">
            <v>191002757</v>
          </cell>
          <cell r="P38">
            <v>91268998</v>
          </cell>
          <cell r="Q38">
            <v>260144729</v>
          </cell>
          <cell r="R38">
            <v>6879118</v>
          </cell>
        </row>
        <row r="39">
          <cell r="O39">
            <v>221374300</v>
          </cell>
          <cell r="P39">
            <v>107161542</v>
          </cell>
          <cell r="Q39">
            <v>314043909</v>
          </cell>
          <cell r="R39">
            <v>7839413</v>
          </cell>
        </row>
        <row r="40">
          <cell r="O40">
            <v>8645207.9953246601</v>
          </cell>
          <cell r="P40">
            <v>4065189.7500367444</v>
          </cell>
          <cell r="Q40">
            <v>8287605.1148678511</v>
          </cell>
          <cell r="R40">
            <v>25239134</v>
          </cell>
          <cell r="S40">
            <v>46237136.860229254</v>
          </cell>
          <cell r="U40">
            <v>13225286.939999999</v>
          </cell>
          <cell r="V40">
            <v>1367254.07</v>
          </cell>
          <cell r="W40">
            <v>22444043.98</v>
          </cell>
          <cell r="X40">
            <v>10178608</v>
          </cell>
        </row>
        <row r="41">
          <cell r="O41">
            <v>5826466.6888902895</v>
          </cell>
          <cell r="P41">
            <v>3907711.7768190652</v>
          </cell>
          <cell r="Q41">
            <v>8059406.7247919338</v>
          </cell>
          <cell r="R41">
            <v>26718986.999999989</v>
          </cell>
          <cell r="S41">
            <v>44512572.190501273</v>
          </cell>
          <cell r="U41">
            <v>180484.07</v>
          </cell>
          <cell r="V41">
            <v>1170577.6100000001</v>
          </cell>
          <cell r="W41">
            <v>1625107.79</v>
          </cell>
          <cell r="X41">
            <v>12221034</v>
          </cell>
        </row>
        <row r="42">
          <cell r="O42">
            <v>5825915.9799037296</v>
          </cell>
          <cell r="P42">
            <v>4552394.5717778523</v>
          </cell>
          <cell r="Q42">
            <v>8448603.4214781895</v>
          </cell>
          <cell r="R42">
            <v>31914206</v>
          </cell>
          <cell r="S42">
            <v>50741119.973159775</v>
          </cell>
          <cell r="U42">
            <v>1900088.19</v>
          </cell>
          <cell r="V42">
            <v>1312776.43</v>
          </cell>
          <cell r="W42">
            <v>1776572.41</v>
          </cell>
          <cell r="X42">
            <v>17910197</v>
          </cell>
        </row>
        <row r="43">
          <cell r="O43">
            <v>6996873.8393279798</v>
          </cell>
          <cell r="P43">
            <v>5710806.31582803</v>
          </cell>
          <cell r="Q43">
            <v>9743293.14213733</v>
          </cell>
          <cell r="R43">
            <v>35133612</v>
          </cell>
          <cell r="S43">
            <v>57584585.297293335</v>
          </cell>
          <cell r="U43">
            <v>420037.68</v>
          </cell>
          <cell r="V43">
            <v>856368.8</v>
          </cell>
          <cell r="W43">
            <v>1637914.62</v>
          </cell>
          <cell r="X43">
            <v>6968697</v>
          </cell>
        </row>
        <row r="44">
          <cell r="O44">
            <v>8737576.0959496386</v>
          </cell>
          <cell r="P44">
            <v>6908551.5027387999</v>
          </cell>
          <cell r="Q44">
            <v>10745994.710252099</v>
          </cell>
          <cell r="R44">
            <v>34347927</v>
          </cell>
          <cell r="S44">
            <v>60740049.308940537</v>
          </cell>
          <cell r="U44">
            <v>644169</v>
          </cell>
          <cell r="V44">
            <v>1552987</v>
          </cell>
          <cell r="W44">
            <v>2416675</v>
          </cell>
          <cell r="X44">
            <v>20240594</v>
          </cell>
        </row>
        <row r="45">
          <cell r="O45">
            <v>11652672.33924751</v>
          </cell>
          <cell r="P45">
            <v>8568167.9449975695</v>
          </cell>
          <cell r="Q45">
            <v>13294968.250411501</v>
          </cell>
          <cell r="R45">
            <v>38349763.638891585</v>
          </cell>
          <cell r="S45">
            <v>71865572.173548162</v>
          </cell>
          <cell r="U45">
            <v>406004</v>
          </cell>
          <cell r="V45">
            <v>1061115</v>
          </cell>
          <cell r="W45">
            <v>1520229</v>
          </cell>
          <cell r="X45">
            <v>9046495</v>
          </cell>
        </row>
        <row r="46">
          <cell r="O46">
            <v>12573252.045386501</v>
          </cell>
          <cell r="P46">
            <v>8425344.4375255406</v>
          </cell>
          <cell r="Q46">
            <v>15708220.143906999</v>
          </cell>
          <cell r="R46">
            <v>42447730.530345351</v>
          </cell>
          <cell r="S46">
            <v>79154547.157164395</v>
          </cell>
          <cell r="U46">
            <v>573343</v>
          </cell>
          <cell r="V46">
            <v>882561</v>
          </cell>
          <cell r="W46">
            <v>2569544</v>
          </cell>
          <cell r="X46">
            <v>8514675</v>
          </cell>
        </row>
        <row r="47">
          <cell r="O47">
            <v>13838930.147333838</v>
          </cell>
          <cell r="P47">
            <v>8803621.2708639689</v>
          </cell>
          <cell r="Q47">
            <v>16168136.035215829</v>
          </cell>
          <cell r="R47">
            <v>41427572.085624166</v>
          </cell>
          <cell r="S47">
            <v>80238259.539037794</v>
          </cell>
          <cell r="U47">
            <v>6371206</v>
          </cell>
          <cell r="V47">
            <v>2289890</v>
          </cell>
          <cell r="W47">
            <v>10312506</v>
          </cell>
          <cell r="X47">
            <v>10127907</v>
          </cell>
        </row>
        <row r="48">
          <cell r="O48">
            <v>14103814.475361705</v>
          </cell>
          <cell r="P48">
            <v>8465255.5940993298</v>
          </cell>
          <cell r="Q48">
            <v>14452666.932483979</v>
          </cell>
          <cell r="R48">
            <v>34004814.583080493</v>
          </cell>
          <cell r="S48">
            <v>71026551.585025504</v>
          </cell>
          <cell r="U48">
            <v>742130</v>
          </cell>
          <cell r="V48">
            <v>3778386</v>
          </cell>
          <cell r="W48">
            <v>3655754</v>
          </cell>
          <cell r="X48">
            <v>8680187</v>
          </cell>
        </row>
        <row r="49">
          <cell r="O49">
            <v>15784217.733659891</v>
          </cell>
          <cell r="P49">
            <v>8437094.0914586708</v>
          </cell>
          <cell r="Q49">
            <v>14453384.88868602</v>
          </cell>
          <cell r="R49">
            <v>36439477.252283514</v>
          </cell>
          <cell r="S49">
            <v>75114173.966088101</v>
          </cell>
          <cell r="U49">
            <v>324948</v>
          </cell>
          <cell r="V49">
            <v>485581</v>
          </cell>
          <cell r="W49">
            <v>3332580</v>
          </cell>
          <cell r="X49">
            <v>9518422</v>
          </cell>
        </row>
        <row r="50">
          <cell r="O50">
            <v>17776665.907286998</v>
          </cell>
          <cell r="P50">
            <v>8894551.5983342491</v>
          </cell>
          <cell r="Q50">
            <v>15173521.372718498</v>
          </cell>
          <cell r="R50">
            <v>32881662.327381182</v>
          </cell>
          <cell r="S50">
            <v>74726401.205720931</v>
          </cell>
          <cell r="U50">
            <v>1947817</v>
          </cell>
          <cell r="V50">
            <v>1394445</v>
          </cell>
          <cell r="W50">
            <v>2426814</v>
          </cell>
          <cell r="X50">
            <v>23547404</v>
          </cell>
        </row>
        <row r="51">
          <cell r="O51">
            <v>20514469</v>
          </cell>
          <cell r="P51">
            <v>10534795</v>
          </cell>
          <cell r="Q51">
            <v>17843905</v>
          </cell>
          <cell r="R51">
            <v>37396181</v>
          </cell>
          <cell r="S51">
            <v>86289350</v>
          </cell>
          <cell r="U51">
            <v>10059284</v>
          </cell>
          <cell r="V51">
            <v>1227528</v>
          </cell>
          <cell r="W51">
            <v>5925066</v>
          </cell>
          <cell r="X51">
            <v>7950367</v>
          </cell>
        </row>
        <row r="52">
          <cell r="O52">
            <v>25868450</v>
          </cell>
          <cell r="P52">
            <v>13881847</v>
          </cell>
          <cell r="Q52">
            <v>23423208</v>
          </cell>
          <cell r="R52">
            <v>49027236</v>
          </cell>
          <cell r="S52">
            <v>112200741</v>
          </cell>
          <cell r="U52">
            <v>2672918</v>
          </cell>
          <cell r="V52">
            <v>2295803</v>
          </cell>
          <cell r="W52">
            <v>17213668</v>
          </cell>
          <cell r="X52">
            <v>10177909</v>
          </cell>
        </row>
        <row r="53">
          <cell r="O53">
            <v>30357860</v>
          </cell>
          <cell r="P53">
            <v>15458506</v>
          </cell>
          <cell r="Q53">
            <v>27306202</v>
          </cell>
          <cell r="R53">
            <v>49927649</v>
          </cell>
          <cell r="S53">
            <v>123050217</v>
          </cell>
          <cell r="U53">
            <v>731759</v>
          </cell>
          <cell r="V53">
            <v>569877</v>
          </cell>
          <cell r="W53">
            <v>990613</v>
          </cell>
          <cell r="X53">
            <v>3738542</v>
          </cell>
        </row>
        <row r="54">
          <cell r="O54">
            <v>36780457</v>
          </cell>
          <cell r="P54">
            <v>17471646</v>
          </cell>
          <cell r="Q54">
            <v>31012304</v>
          </cell>
          <cell r="R54">
            <v>50116517</v>
          </cell>
          <cell r="S54">
            <v>135380924</v>
          </cell>
          <cell r="U54">
            <v>34527644</v>
          </cell>
          <cell r="V54">
            <v>872451</v>
          </cell>
          <cell r="W54">
            <v>115989785</v>
          </cell>
          <cell r="X54">
            <v>34201898</v>
          </cell>
        </row>
        <row r="55">
          <cell r="O55">
            <v>43562211</v>
          </cell>
          <cell r="P55">
            <v>19888512</v>
          </cell>
          <cell r="Q55">
            <v>36545725</v>
          </cell>
          <cell r="R55">
            <v>54703319</v>
          </cell>
          <cell r="S55">
            <v>154699767</v>
          </cell>
          <cell r="U55">
            <v>813430</v>
          </cell>
          <cell r="V55">
            <v>621501</v>
          </cell>
          <cell r="W55">
            <v>1842548</v>
          </cell>
          <cell r="X55">
            <v>4909932</v>
          </cell>
        </row>
        <row r="56">
          <cell r="O56">
            <v>59282257</v>
          </cell>
          <cell r="P56">
            <v>29704042</v>
          </cell>
          <cell r="Q56">
            <v>69945120</v>
          </cell>
          <cell r="R56">
            <v>60982886</v>
          </cell>
          <cell r="S56">
            <v>219914305</v>
          </cell>
          <cell r="U56">
            <v>2757645</v>
          </cell>
          <cell r="V56">
            <v>833793</v>
          </cell>
          <cell r="W56">
            <v>10105722</v>
          </cell>
          <cell r="X56">
            <v>5242698</v>
          </cell>
        </row>
        <row r="57">
          <cell r="O57">
            <v>73789694</v>
          </cell>
          <cell r="P57">
            <v>40565108</v>
          </cell>
          <cell r="Q57">
            <v>110187567</v>
          </cell>
          <cell r="R57">
            <v>65015817</v>
          </cell>
          <cell r="S57">
            <v>289558186</v>
          </cell>
          <cell r="U57">
            <v>1052325677</v>
          </cell>
          <cell r="V57">
            <v>1468028</v>
          </cell>
          <cell r="W57">
            <v>694640836</v>
          </cell>
          <cell r="X57">
            <v>448708417</v>
          </cell>
        </row>
        <row r="58">
          <cell r="O58">
            <v>81999709</v>
          </cell>
          <cell r="P58">
            <v>46363445</v>
          </cell>
          <cell r="Q58">
            <v>128275387</v>
          </cell>
          <cell r="R58">
            <v>70667217</v>
          </cell>
          <cell r="S58">
            <v>327305758</v>
          </cell>
          <cell r="U58">
            <v>3581024</v>
          </cell>
          <cell r="V58">
            <v>615469</v>
          </cell>
          <cell r="W58">
            <v>2522159</v>
          </cell>
          <cell r="X58">
            <v>9952501</v>
          </cell>
        </row>
        <row r="59">
          <cell r="O59">
            <v>89665314</v>
          </cell>
          <cell r="P59">
            <v>51529115</v>
          </cell>
          <cell r="Q59">
            <v>143236007</v>
          </cell>
          <cell r="R59">
            <v>70788779</v>
          </cell>
          <cell r="S59">
            <v>355219215</v>
          </cell>
          <cell r="U59">
            <v>1451547</v>
          </cell>
          <cell r="V59">
            <v>4059049</v>
          </cell>
          <cell r="W59">
            <v>9656553</v>
          </cell>
          <cell r="X59">
            <v>10829031</v>
          </cell>
        </row>
        <row r="60">
          <cell r="O60">
            <v>93230854</v>
          </cell>
          <cell r="P60">
            <v>52931755</v>
          </cell>
          <cell r="Q60">
            <v>151387931</v>
          </cell>
          <cell r="R60">
            <v>73325323</v>
          </cell>
          <cell r="S60">
            <v>370875863</v>
          </cell>
          <cell r="U60">
            <v>1329886</v>
          </cell>
          <cell r="V60">
            <v>19845538</v>
          </cell>
          <cell r="W60">
            <v>59070022</v>
          </cell>
          <cell r="X60">
            <v>5993038</v>
          </cell>
        </row>
        <row r="61">
          <cell r="O61">
            <v>99629727</v>
          </cell>
          <cell r="P61">
            <v>56334273</v>
          </cell>
          <cell r="Q61">
            <v>170159709</v>
          </cell>
          <cell r="R61">
            <v>80858142</v>
          </cell>
          <cell r="S61">
            <v>406981851</v>
          </cell>
          <cell r="U61">
            <v>10756644</v>
          </cell>
          <cell r="V61">
            <v>21291155</v>
          </cell>
          <cell r="W61">
            <v>21200719</v>
          </cell>
          <cell r="X61">
            <v>89893832</v>
          </cell>
        </row>
        <row r="62">
          <cell r="O62">
            <v>107104250</v>
          </cell>
          <cell r="P62">
            <v>60101696</v>
          </cell>
          <cell r="Q62">
            <v>183495510</v>
          </cell>
          <cell r="R62">
            <v>90250703</v>
          </cell>
          <cell r="S62">
            <v>440952159</v>
          </cell>
          <cell r="U62">
            <v>54338085</v>
          </cell>
          <cell r="V62">
            <v>6825640</v>
          </cell>
          <cell r="W62">
            <v>6485250</v>
          </cell>
          <cell r="X62">
            <v>22061511</v>
          </cell>
        </row>
        <row r="63">
          <cell r="O63">
            <v>114784032</v>
          </cell>
          <cell r="P63">
            <v>65642137</v>
          </cell>
          <cell r="Q63">
            <v>197640983</v>
          </cell>
          <cell r="R63">
            <v>99916064</v>
          </cell>
          <cell r="S63">
            <v>477983216</v>
          </cell>
          <cell r="U63">
            <v>691708</v>
          </cell>
          <cell r="V63">
            <v>1914066</v>
          </cell>
          <cell r="W63">
            <v>7234983</v>
          </cell>
          <cell r="X63">
            <v>20930082</v>
          </cell>
        </row>
        <row r="64">
          <cell r="O64">
            <v>122782019</v>
          </cell>
          <cell r="P64">
            <v>72124134</v>
          </cell>
          <cell r="Q64">
            <v>212320998</v>
          </cell>
          <cell r="R64">
            <v>110352614</v>
          </cell>
          <cell r="S64">
            <v>517579765</v>
          </cell>
          <cell r="U64">
            <v>17666484</v>
          </cell>
          <cell r="V64">
            <v>9924249</v>
          </cell>
          <cell r="W64">
            <v>90056094</v>
          </cell>
          <cell r="X64">
            <v>43780541</v>
          </cell>
        </row>
        <row r="65">
          <cell r="O65">
            <v>127007324</v>
          </cell>
          <cell r="P65">
            <v>76436084</v>
          </cell>
          <cell r="Q65">
            <v>218795204</v>
          </cell>
          <cell r="R65">
            <v>119744188</v>
          </cell>
          <cell r="S65">
            <v>541982800</v>
          </cell>
          <cell r="U65">
            <v>11304310</v>
          </cell>
          <cell r="V65">
            <v>10445691</v>
          </cell>
          <cell r="W65">
            <v>15021245</v>
          </cell>
          <cell r="X65">
            <v>46503584</v>
          </cell>
        </row>
        <row r="66">
          <cell r="O66">
            <v>126002753</v>
          </cell>
          <cell r="P66">
            <v>77008517</v>
          </cell>
          <cell r="Q66">
            <v>212533686</v>
          </cell>
          <cell r="R66">
            <v>117739636</v>
          </cell>
          <cell r="S66">
            <v>533284592</v>
          </cell>
          <cell r="U66">
            <v>41017114</v>
          </cell>
          <cell r="V66">
            <v>277344414</v>
          </cell>
          <cell r="W66">
            <v>709088673</v>
          </cell>
          <cell r="X66">
            <v>75399782</v>
          </cell>
        </row>
        <row r="67">
          <cell r="O67">
            <v>122707170</v>
          </cell>
          <cell r="P67">
            <v>77031486</v>
          </cell>
          <cell r="Q67">
            <v>201509514</v>
          </cell>
          <cell r="R67">
            <v>115484141</v>
          </cell>
          <cell r="S67">
            <v>516732311</v>
          </cell>
          <cell r="U67">
            <v>3153959</v>
          </cell>
          <cell r="V67">
            <v>1671170</v>
          </cell>
          <cell r="W67">
            <v>9319007</v>
          </cell>
          <cell r="X67">
            <v>12323854</v>
          </cell>
        </row>
        <row r="68">
          <cell r="O68">
            <v>121980686</v>
          </cell>
          <cell r="P68">
            <v>76506580</v>
          </cell>
          <cell r="Q68">
            <v>194433202</v>
          </cell>
          <cell r="R68">
            <v>116765056</v>
          </cell>
          <cell r="S68">
            <v>509685524</v>
          </cell>
          <cell r="U68">
            <v>6641205</v>
          </cell>
          <cell r="V68">
            <v>1370278</v>
          </cell>
          <cell r="W68">
            <v>16856907</v>
          </cell>
          <cell r="X68">
            <v>37908347</v>
          </cell>
        </row>
        <row r="69">
          <cell r="O69">
            <v>121816746</v>
          </cell>
          <cell r="P69">
            <v>73290165</v>
          </cell>
          <cell r="Q69">
            <v>186265421</v>
          </cell>
          <cell r="R69">
            <v>121483867</v>
          </cell>
          <cell r="S69">
            <v>502856199</v>
          </cell>
          <cell r="U69">
            <v>6938261</v>
          </cell>
          <cell r="V69">
            <v>3057424</v>
          </cell>
          <cell r="W69">
            <v>41203494</v>
          </cell>
          <cell r="X69">
            <v>56285496</v>
          </cell>
        </row>
        <row r="70">
          <cell r="O70">
            <v>126003547</v>
          </cell>
          <cell r="P70">
            <v>71903454</v>
          </cell>
          <cell r="Q70">
            <v>186593305</v>
          </cell>
          <cell r="R70">
            <v>130431457</v>
          </cell>
          <cell r="S70">
            <v>514931763</v>
          </cell>
          <cell r="U70">
            <v>32478935</v>
          </cell>
          <cell r="V70">
            <v>1764966</v>
          </cell>
          <cell r="W70">
            <v>62493534</v>
          </cell>
          <cell r="X70">
            <v>59279081</v>
          </cell>
        </row>
        <row r="71">
          <cell r="O71">
            <v>138162407</v>
          </cell>
          <cell r="P71">
            <v>74944777</v>
          </cell>
          <cell r="Q71">
            <v>199153387</v>
          </cell>
          <cell r="R71">
            <v>150688863</v>
          </cell>
          <cell r="S71">
            <v>562949434</v>
          </cell>
          <cell r="U71">
            <v>12396755</v>
          </cell>
          <cell r="V71">
            <v>1648831</v>
          </cell>
          <cell r="W71">
            <v>19773438</v>
          </cell>
          <cell r="X71">
            <v>30123800</v>
          </cell>
        </row>
        <row r="72">
          <cell r="O72">
            <v>166565954</v>
          </cell>
          <cell r="P72">
            <v>87048866</v>
          </cell>
          <cell r="Q72">
            <v>241905419</v>
          </cell>
          <cell r="R72">
            <v>173168368</v>
          </cell>
          <cell r="S72">
            <v>668688607</v>
          </cell>
          <cell r="U72">
            <v>33934788</v>
          </cell>
          <cell r="V72">
            <v>2338699</v>
          </cell>
          <cell r="W72">
            <v>39858879</v>
          </cell>
          <cell r="X72">
            <v>89980690</v>
          </cell>
        </row>
        <row r="73">
          <cell r="O73">
            <v>195519135</v>
          </cell>
          <cell r="P73">
            <v>99306567</v>
          </cell>
          <cell r="Q73">
            <v>281852517</v>
          </cell>
          <cell r="R73">
            <v>201396910</v>
          </cell>
          <cell r="S73">
            <v>778075129</v>
          </cell>
          <cell r="U73">
            <v>170255988</v>
          </cell>
          <cell r="V73">
            <v>1372969</v>
          </cell>
          <cell r="W73">
            <v>287288684</v>
          </cell>
          <cell r="X73">
            <v>204165996</v>
          </cell>
        </row>
        <row r="74">
          <cell r="O74">
            <v>226056111</v>
          </cell>
          <cell r="P74">
            <v>114606843</v>
          </cell>
          <cell r="Q74">
            <v>335675496</v>
          </cell>
          <cell r="R74">
            <v>225494087</v>
          </cell>
          <cell r="S74">
            <v>901832537</v>
          </cell>
          <cell r="U74">
            <v>13200118</v>
          </cell>
          <cell r="V74">
            <v>1539381</v>
          </cell>
          <cell r="W74">
            <v>26081411</v>
          </cell>
          <cell r="X74">
            <v>22614434</v>
          </cell>
        </row>
      </sheetData>
      <sheetData sheetId="3">
        <row r="1">
          <cell r="E1">
            <v>45930</v>
          </cell>
        </row>
        <row r="2">
          <cell r="E2">
            <v>46022</v>
          </cell>
        </row>
        <row r="31">
          <cell r="S31">
            <v>0</v>
          </cell>
          <cell r="T31">
            <v>0</v>
          </cell>
          <cell r="U31">
            <v>0</v>
          </cell>
          <cell r="V31">
            <v>0</v>
          </cell>
          <cell r="X31">
            <v>10985881</v>
          </cell>
          <cell r="Y31">
            <v>9531194</v>
          </cell>
          <cell r="Z31">
            <v>12167890</v>
          </cell>
          <cell r="AA31">
            <v>446449</v>
          </cell>
        </row>
        <row r="32">
          <cell r="S32">
            <v>35585978</v>
          </cell>
          <cell r="T32">
            <v>251009783</v>
          </cell>
          <cell r="U32">
            <v>628070123</v>
          </cell>
          <cell r="V32">
            <v>3459572</v>
          </cell>
          <cell r="X32">
            <v>2705551</v>
          </cell>
          <cell r="Y32">
            <v>7641292</v>
          </cell>
          <cell r="Z32">
            <v>21824214</v>
          </cell>
          <cell r="AA32">
            <v>481121</v>
          </cell>
        </row>
        <row r="33">
          <cell r="S33">
            <v>0</v>
          </cell>
          <cell r="T33">
            <v>0</v>
          </cell>
          <cell r="U33">
            <v>0</v>
          </cell>
          <cell r="V33">
            <v>0</v>
          </cell>
          <cell r="X33">
            <v>2551684</v>
          </cell>
          <cell r="Y33">
            <v>1114022</v>
          </cell>
          <cell r="Z33">
            <v>6765244</v>
          </cell>
          <cell r="AA33">
            <v>282709</v>
          </cell>
        </row>
        <row r="34">
          <cell r="S34">
            <v>0</v>
          </cell>
          <cell r="T34">
            <v>0</v>
          </cell>
          <cell r="U34">
            <v>0</v>
          </cell>
          <cell r="V34">
            <v>0</v>
          </cell>
          <cell r="X34">
            <v>4837299</v>
          </cell>
          <cell r="Y34">
            <v>832616</v>
          </cell>
          <cell r="Z34">
            <v>10108613</v>
          </cell>
          <cell r="AA34">
            <v>2701499</v>
          </cell>
        </row>
        <row r="35">
          <cell r="S35">
            <v>30724</v>
          </cell>
          <cell r="T35">
            <v>1826271</v>
          </cell>
          <cell r="U35">
            <v>6972108</v>
          </cell>
          <cell r="V35">
            <v>6672</v>
          </cell>
          <cell r="X35">
            <v>5572455</v>
          </cell>
          <cell r="Y35">
            <v>476739</v>
          </cell>
          <cell r="Z35">
            <v>21791943</v>
          </cell>
          <cell r="AA35">
            <v>449893</v>
          </cell>
        </row>
        <row r="36">
          <cell r="S36">
            <v>381777</v>
          </cell>
          <cell r="T36">
            <v>0</v>
          </cell>
          <cell r="U36">
            <v>17065996</v>
          </cell>
          <cell r="V36">
            <v>15380</v>
          </cell>
          <cell r="X36">
            <v>25011494</v>
          </cell>
          <cell r="Y36">
            <v>764300</v>
          </cell>
          <cell r="Z36">
            <v>29417504</v>
          </cell>
          <cell r="AA36">
            <v>2090668</v>
          </cell>
        </row>
        <row r="37">
          <cell r="S37">
            <v>0</v>
          </cell>
          <cell r="T37">
            <v>0</v>
          </cell>
          <cell r="U37">
            <v>0</v>
          </cell>
          <cell r="V37">
            <v>0</v>
          </cell>
          <cell r="X37">
            <v>11354263</v>
          </cell>
          <cell r="Y37">
            <v>1122593</v>
          </cell>
          <cell r="Z37">
            <v>12922113</v>
          </cell>
          <cell r="AA37">
            <v>745016</v>
          </cell>
        </row>
        <row r="38">
          <cell r="S38">
            <v>0</v>
          </cell>
          <cell r="T38">
            <v>0</v>
          </cell>
          <cell r="U38">
            <v>0</v>
          </cell>
          <cell r="V38">
            <v>0</v>
          </cell>
          <cell r="X38">
            <v>32982039</v>
          </cell>
          <cell r="Y38">
            <v>1670646</v>
          </cell>
          <cell r="Z38">
            <v>32155262</v>
          </cell>
          <cell r="AA38">
            <v>4269620</v>
          </cell>
        </row>
        <row r="39">
          <cell r="S39">
            <v>129890660</v>
          </cell>
          <cell r="T39">
            <v>33840</v>
          </cell>
          <cell r="U39">
            <v>194147826</v>
          </cell>
          <cell r="V39">
            <v>9230269</v>
          </cell>
          <cell r="X39">
            <v>27345722</v>
          </cell>
          <cell r="Y39">
            <v>917513</v>
          </cell>
          <cell r="Z39">
            <v>69925169</v>
          </cell>
          <cell r="AA39">
            <v>1422262</v>
          </cell>
        </row>
        <row r="40"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11819458</v>
          </cell>
          <cell r="Y40">
            <v>920698</v>
          </cell>
          <cell r="Z40">
            <v>20905505</v>
          </cell>
          <cell r="AA40">
            <v>689030</v>
          </cell>
        </row>
      </sheetData>
      <sheetData sheetId="4">
        <row r="5">
          <cell r="B5">
            <v>2586691.0565999998</v>
          </cell>
          <cell r="C5">
            <v>9349974.1369000003</v>
          </cell>
          <cell r="G5">
            <v>4237532240</v>
          </cell>
        </row>
        <row r="6">
          <cell r="C6">
            <v>43743367.961899996</v>
          </cell>
          <cell r="G6">
            <v>27843326660</v>
          </cell>
        </row>
        <row r="7">
          <cell r="C7">
            <v>6177369.6353000002</v>
          </cell>
          <cell r="G7">
            <v>1776824960</v>
          </cell>
        </row>
        <row r="8">
          <cell r="C8">
            <v>7689639.7318000002</v>
          </cell>
          <cell r="G8">
            <v>3527564520</v>
          </cell>
        </row>
        <row r="9">
          <cell r="C9">
            <v>6840822.5918000005</v>
          </cell>
          <cell r="G9">
            <v>4842969100</v>
          </cell>
        </row>
        <row r="10">
          <cell r="C10">
            <v>115054613.37890001</v>
          </cell>
          <cell r="G10">
            <v>43444486940</v>
          </cell>
        </row>
        <row r="11">
          <cell r="C11">
            <v>6457793.1715000002</v>
          </cell>
          <cell r="G11">
            <v>2178777740</v>
          </cell>
        </row>
        <row r="12">
          <cell r="C12">
            <v>25281073.763900001</v>
          </cell>
          <cell r="G12">
            <v>13301255520</v>
          </cell>
        </row>
        <row r="13">
          <cell r="C13">
            <v>14523.052100000001</v>
          </cell>
          <cell r="G13">
            <v>8933100</v>
          </cell>
        </row>
        <row r="14">
          <cell r="C14">
            <v>555225.11690000002</v>
          </cell>
          <cell r="G14">
            <v>388978560</v>
          </cell>
        </row>
        <row r="15">
          <cell r="C15">
            <v>6191951.8942999998</v>
          </cell>
          <cell r="G15">
            <v>2256012840</v>
          </cell>
        </row>
        <row r="16">
          <cell r="C16">
            <v>45760736.231500007</v>
          </cell>
          <cell r="G16">
            <v>20593040040</v>
          </cell>
        </row>
        <row r="17">
          <cell r="C17">
            <v>380442.52069999999</v>
          </cell>
          <cell r="G17">
            <v>172195800</v>
          </cell>
        </row>
        <row r="18">
          <cell r="C18">
            <v>8779126.684700001</v>
          </cell>
          <cell r="G18">
            <v>4015685340</v>
          </cell>
        </row>
        <row r="19">
          <cell r="C19">
            <v>358896.57490000001</v>
          </cell>
          <cell r="G19">
            <v>143376400</v>
          </cell>
        </row>
        <row r="29">
          <cell r="C29">
            <v>9485437.2532000002</v>
          </cell>
        </row>
        <row r="30">
          <cell r="C30">
            <v>43639597.481799997</v>
          </cell>
        </row>
        <row r="31">
          <cell r="C31">
            <v>5256510.2457999997</v>
          </cell>
        </row>
        <row r="32">
          <cell r="C32">
            <v>6582696.5219000001</v>
          </cell>
        </row>
        <row r="33">
          <cell r="C33">
            <v>6059787.2063999996</v>
          </cell>
        </row>
        <row r="34">
          <cell r="C34">
            <v>142139990.01199999</v>
          </cell>
        </row>
        <row r="35">
          <cell r="C35">
            <v>8943687.3489999995</v>
          </cell>
        </row>
        <row r="36">
          <cell r="C36">
            <v>25608495.618299998</v>
          </cell>
        </row>
        <row r="37">
          <cell r="C37">
            <v>9564.2767000000003</v>
          </cell>
        </row>
        <row r="38">
          <cell r="C38">
            <v>365641.97169999999</v>
          </cell>
        </row>
        <row r="39">
          <cell r="C39">
            <v>5510306.6053000009</v>
          </cell>
        </row>
        <row r="40">
          <cell r="C40">
            <v>51711294.943700001</v>
          </cell>
        </row>
        <row r="41">
          <cell r="C41">
            <v>289206.41009999998</v>
          </cell>
        </row>
        <row r="42">
          <cell r="C42">
            <v>8108889.3391999993</v>
          </cell>
        </row>
        <row r="43">
          <cell r="C43">
            <v>312921.44210000004</v>
          </cell>
        </row>
        <row r="52">
          <cell r="C52">
            <v>12151824.535500016</v>
          </cell>
        </row>
        <row r="53">
          <cell r="C53">
            <v>45733435.104099862</v>
          </cell>
        </row>
        <row r="54">
          <cell r="C54">
            <v>6377674.4031999996</v>
          </cell>
        </row>
        <row r="55">
          <cell r="C55">
            <v>6555320.7716000043</v>
          </cell>
        </row>
        <row r="56">
          <cell r="C56">
            <v>6542806.3926999867</v>
          </cell>
        </row>
        <row r="57">
          <cell r="C57">
            <v>77326632.249401376</v>
          </cell>
        </row>
        <row r="58">
          <cell r="C58">
            <v>3832769.4447999992</v>
          </cell>
        </row>
        <row r="59">
          <cell r="C59">
            <v>19742873.354100179</v>
          </cell>
        </row>
        <row r="60">
          <cell r="C60">
            <v>24424.2101</v>
          </cell>
        </row>
        <row r="61">
          <cell r="C61">
            <v>791017.28880000068</v>
          </cell>
        </row>
        <row r="62">
          <cell r="C62">
            <v>7002631.2196000014</v>
          </cell>
        </row>
        <row r="63">
          <cell r="C63">
            <v>44332917.728500448</v>
          </cell>
        </row>
        <row r="64">
          <cell r="C64">
            <v>596352.22000000032</v>
          </cell>
        </row>
        <row r="65">
          <cell r="C65">
            <v>11496168.041999999</v>
          </cell>
        </row>
        <row r="66">
          <cell r="C66">
            <v>513961.50990000024</v>
          </cell>
        </row>
        <row r="75">
          <cell r="C75">
            <v>7296811.0146223307</v>
          </cell>
        </row>
        <row r="76">
          <cell r="C76">
            <v>38227035.592814036</v>
          </cell>
        </row>
        <row r="77">
          <cell r="C77">
            <v>5192992.8505836725</v>
          </cell>
        </row>
        <row r="78">
          <cell r="C78">
            <v>4699719.9739212655</v>
          </cell>
        </row>
        <row r="79">
          <cell r="C79">
            <v>6218370.3297455311</v>
          </cell>
        </row>
        <row r="80">
          <cell r="C80">
            <v>81778544.639446318</v>
          </cell>
        </row>
        <row r="81">
          <cell r="C81">
            <v>6300877.9118857384</v>
          </cell>
        </row>
        <row r="82">
          <cell r="C82">
            <v>31052113.39794445</v>
          </cell>
        </row>
        <row r="83">
          <cell r="C83">
            <v>11365.50415992737</v>
          </cell>
        </row>
        <row r="84">
          <cell r="C84">
            <v>391241.33296362346</v>
          </cell>
        </row>
        <row r="85">
          <cell r="C85">
            <v>5281197.3090343475</v>
          </cell>
        </row>
        <row r="86">
          <cell r="C86">
            <v>30636506.41991657</v>
          </cell>
        </row>
        <row r="87">
          <cell r="C87">
            <v>343892.60514092457</v>
          </cell>
        </row>
        <row r="88">
          <cell r="C88">
            <v>6662089.9986610413</v>
          </cell>
        </row>
        <row r="89">
          <cell r="C89">
            <v>263349.36360168457</v>
          </cell>
        </row>
      </sheetData>
      <sheetData sheetId="5">
        <row r="1">
          <cell r="B1">
            <v>45930</v>
          </cell>
        </row>
        <row r="2">
          <cell r="B2">
            <v>46022</v>
          </cell>
        </row>
        <row r="63">
          <cell r="B63">
            <v>498091696</v>
          </cell>
          <cell r="C63">
            <v>556120188</v>
          </cell>
          <cell r="D63">
            <v>562298313</v>
          </cell>
          <cell r="E63">
            <v>564014455</v>
          </cell>
          <cell r="F63">
            <v>564747319</v>
          </cell>
          <cell r="G63">
            <v>565099448</v>
          </cell>
          <cell r="H63">
            <v>565152909</v>
          </cell>
          <cell r="I63">
            <v>565168270</v>
          </cell>
          <cell r="J63">
            <v>565206925</v>
          </cell>
        </row>
        <row r="67">
          <cell r="B67">
            <v>665246722</v>
          </cell>
          <cell r="C67">
            <v>791814275</v>
          </cell>
          <cell r="D67">
            <v>816792228</v>
          </cell>
          <cell r="E67">
            <v>822535776</v>
          </cell>
          <cell r="F67">
            <v>825860304</v>
          </cell>
          <cell r="G67">
            <v>825685730</v>
          </cell>
          <cell r="H67">
            <v>826174280</v>
          </cell>
          <cell r="I67">
            <v>826197044</v>
          </cell>
          <cell r="J67">
            <v>826307662</v>
          </cell>
        </row>
        <row r="71">
          <cell r="B71">
            <v>186500396</v>
          </cell>
          <cell r="C71">
            <v>218189068</v>
          </cell>
          <cell r="D71">
            <v>220721213</v>
          </cell>
          <cell r="E71">
            <v>221225150</v>
          </cell>
          <cell r="F71">
            <v>221202329</v>
          </cell>
          <cell r="G71">
            <v>221252677</v>
          </cell>
          <cell r="H71">
            <v>221243210</v>
          </cell>
          <cell r="I71">
            <v>221243110</v>
          </cell>
        </row>
        <row r="75">
          <cell r="B75">
            <v>283698005</v>
          </cell>
          <cell r="C75">
            <v>318857544</v>
          </cell>
          <cell r="D75">
            <v>324430707</v>
          </cell>
          <cell r="E75">
            <v>325280333</v>
          </cell>
          <cell r="F75">
            <v>325471342</v>
          </cell>
          <cell r="G75">
            <v>325561757</v>
          </cell>
          <cell r="H75">
            <v>325603712</v>
          </cell>
        </row>
        <row r="79">
          <cell r="B79">
            <v>338256149</v>
          </cell>
          <cell r="C79">
            <v>390286466</v>
          </cell>
          <cell r="D79">
            <v>398055506</v>
          </cell>
          <cell r="E79">
            <v>400121191</v>
          </cell>
          <cell r="F79">
            <v>399860761</v>
          </cell>
          <cell r="G79">
            <v>399596296</v>
          </cell>
        </row>
        <row r="83">
          <cell r="B83">
            <v>421926270</v>
          </cell>
          <cell r="C83">
            <v>488000821</v>
          </cell>
          <cell r="D83">
            <v>492916213</v>
          </cell>
          <cell r="E83">
            <v>493766531</v>
          </cell>
          <cell r="F83">
            <v>494687582</v>
          </cell>
        </row>
        <row r="87">
          <cell r="B87">
            <v>255495643</v>
          </cell>
          <cell r="C87">
            <v>298125735</v>
          </cell>
          <cell r="D87">
            <v>300795267</v>
          </cell>
          <cell r="E87">
            <v>302815774</v>
          </cell>
        </row>
        <row r="91">
          <cell r="B91">
            <v>582369771</v>
          </cell>
          <cell r="C91">
            <v>695059436</v>
          </cell>
          <cell r="D91">
            <v>705818524</v>
          </cell>
        </row>
        <row r="95">
          <cell r="B95">
            <v>1023272241</v>
          </cell>
          <cell r="C95">
            <v>1156560381</v>
          </cell>
        </row>
        <row r="99">
          <cell r="B99">
            <v>427154257</v>
          </cell>
        </row>
      </sheetData>
      <sheetData sheetId="6" refreshError="1"/>
      <sheetData sheetId="7">
        <row r="5">
          <cell r="H5">
            <v>2551121.67</v>
          </cell>
        </row>
      </sheetData>
      <sheetData sheetId="8">
        <row r="42">
          <cell r="B42">
            <v>28623450</v>
          </cell>
          <cell r="E42">
            <v>125845764</v>
          </cell>
          <cell r="F42">
            <v>79991</v>
          </cell>
        </row>
        <row r="43">
          <cell r="E43">
            <v>123784247</v>
          </cell>
          <cell r="F43">
            <v>77932</v>
          </cell>
        </row>
        <row r="44">
          <cell r="E44">
            <v>81959449</v>
          </cell>
          <cell r="F44">
            <v>51030</v>
          </cell>
        </row>
        <row r="45">
          <cell r="E45">
            <v>79037984</v>
          </cell>
          <cell r="F45">
            <v>50991</v>
          </cell>
        </row>
        <row r="46">
          <cell r="E46">
            <v>114547681</v>
          </cell>
          <cell r="F46">
            <v>73614</v>
          </cell>
        </row>
        <row r="47">
          <cell r="E47">
            <v>108614623</v>
          </cell>
          <cell r="F47">
            <v>68864</v>
          </cell>
        </row>
        <row r="48">
          <cell r="E48">
            <v>73697340</v>
          </cell>
          <cell r="F48">
            <v>45960</v>
          </cell>
        </row>
        <row r="49">
          <cell r="E49">
            <v>71679332</v>
          </cell>
          <cell r="F49">
            <v>44101</v>
          </cell>
        </row>
        <row r="50">
          <cell r="E50">
            <v>104163394</v>
          </cell>
          <cell r="F50">
            <v>63851</v>
          </cell>
        </row>
        <row r="51">
          <cell r="E51">
            <v>101951681</v>
          </cell>
          <cell r="F51">
            <v>61408</v>
          </cell>
        </row>
        <row r="52">
          <cell r="E52">
            <v>68300637</v>
          </cell>
          <cell r="F52">
            <v>40418</v>
          </cell>
        </row>
        <row r="53">
          <cell r="E53">
            <v>65036872</v>
          </cell>
          <cell r="F53">
            <v>39758</v>
          </cell>
        </row>
        <row r="54">
          <cell r="E54">
            <v>99948528</v>
          </cell>
          <cell r="F54">
            <v>60805</v>
          </cell>
        </row>
        <row r="55">
          <cell r="E55">
            <v>97063357</v>
          </cell>
          <cell r="F55">
            <v>57547</v>
          </cell>
        </row>
        <row r="56">
          <cell r="E56">
            <v>65697652</v>
          </cell>
          <cell r="F56">
            <v>38375</v>
          </cell>
        </row>
        <row r="57">
          <cell r="E57">
            <v>63498682</v>
          </cell>
          <cell r="F57">
            <v>38302</v>
          </cell>
        </row>
        <row r="58">
          <cell r="E58">
            <v>98472763</v>
          </cell>
          <cell r="F58">
            <v>59374</v>
          </cell>
        </row>
        <row r="59">
          <cell r="E59">
            <v>98544861</v>
          </cell>
          <cell r="F59">
            <v>57963</v>
          </cell>
        </row>
        <row r="60">
          <cell r="E60">
            <v>65820531</v>
          </cell>
          <cell r="F60">
            <v>37911</v>
          </cell>
        </row>
        <row r="61">
          <cell r="E61">
            <v>66582420</v>
          </cell>
          <cell r="F61">
            <v>39057</v>
          </cell>
        </row>
        <row r="62">
          <cell r="E62">
            <v>103031428</v>
          </cell>
          <cell r="F62">
            <v>60541</v>
          </cell>
        </row>
        <row r="63">
          <cell r="E63">
            <v>105341091</v>
          </cell>
          <cell r="F63">
            <v>59878</v>
          </cell>
        </row>
        <row r="64">
          <cell r="E64">
            <v>72365308</v>
          </cell>
          <cell r="F64">
            <v>39807</v>
          </cell>
        </row>
        <row r="65">
          <cell r="E65">
            <v>76134863</v>
          </cell>
          <cell r="F65">
            <v>40733</v>
          </cell>
        </row>
        <row r="66">
          <cell r="E66">
            <v>116935905</v>
          </cell>
          <cell r="F66">
            <v>61794</v>
          </cell>
        </row>
        <row r="67">
          <cell r="E67">
            <v>161132745</v>
          </cell>
          <cell r="F67">
            <v>79530</v>
          </cell>
        </row>
        <row r="68">
          <cell r="E68">
            <v>92639740</v>
          </cell>
          <cell r="F68">
            <v>43628</v>
          </cell>
        </row>
        <row r="69">
          <cell r="E69">
            <v>98545683</v>
          </cell>
          <cell r="F69">
            <v>46661</v>
          </cell>
        </row>
        <row r="70">
          <cell r="E70">
            <v>145450526</v>
          </cell>
          <cell r="F70">
            <v>68720</v>
          </cell>
        </row>
        <row r="71">
          <cell r="E71">
            <v>187414809</v>
          </cell>
          <cell r="F71">
            <v>83884</v>
          </cell>
        </row>
        <row r="72">
          <cell r="E72">
            <v>110838891</v>
          </cell>
          <cell r="F72">
            <v>48217</v>
          </cell>
        </row>
        <row r="73">
          <cell r="E73">
            <v>118764839</v>
          </cell>
          <cell r="F73">
            <v>52193</v>
          </cell>
        </row>
        <row r="74">
          <cell r="E74">
            <v>180279216</v>
          </cell>
          <cell r="F74">
            <v>78062</v>
          </cell>
        </row>
        <row r="75">
          <cell r="E75">
            <v>218108697</v>
          </cell>
          <cell r="F75">
            <v>89036</v>
          </cell>
        </row>
        <row r="76">
          <cell r="E76">
            <v>132579293</v>
          </cell>
          <cell r="F76">
            <v>53106</v>
          </cell>
        </row>
        <row r="77">
          <cell r="E77">
            <v>141197547</v>
          </cell>
          <cell r="F77">
            <v>57045</v>
          </cell>
        </row>
        <row r="78">
          <cell r="E78">
            <v>206713550</v>
          </cell>
          <cell r="F78">
            <v>82617</v>
          </cell>
        </row>
        <row r="79">
          <cell r="E79">
            <v>241489902</v>
          </cell>
          <cell r="F79">
            <v>91575</v>
          </cell>
        </row>
        <row r="80">
          <cell r="E80">
            <v>143183447</v>
          </cell>
          <cell r="F80">
            <v>56149</v>
          </cell>
        </row>
      </sheetData>
      <sheetData sheetId="9">
        <row r="24">
          <cell r="X24">
            <v>36971734</v>
          </cell>
          <cell r="Y24">
            <v>236842412</v>
          </cell>
        </row>
        <row r="25">
          <cell r="Y25">
            <v>115184618</v>
          </cell>
        </row>
        <row r="26">
          <cell r="Y26">
            <v>343183136</v>
          </cell>
        </row>
        <row r="27">
          <cell r="Y27">
            <v>8245745</v>
          </cell>
        </row>
        <row r="320">
          <cell r="J320">
            <v>2.1137730087108539</v>
          </cell>
        </row>
        <row r="321">
          <cell r="J321">
            <v>2.0155786842906265</v>
          </cell>
        </row>
        <row r="322">
          <cell r="J322">
            <v>1.9286250079478586</v>
          </cell>
        </row>
        <row r="323">
          <cell r="J323">
            <v>1.9239964550740354</v>
          </cell>
        </row>
        <row r="324">
          <cell r="J324">
            <v>1.8364634726042235</v>
          </cell>
        </row>
        <row r="325">
          <cell r="G325">
            <v>219412771.41374999</v>
          </cell>
          <cell r="J325">
            <v>1.7320113079002213</v>
          </cell>
          <cell r="O325">
            <v>380025401.1863414</v>
          </cell>
        </row>
        <row r="326">
          <cell r="G326">
            <v>250693787.58916676</v>
          </cell>
          <cell r="J326">
            <v>1.5736409509560276</v>
          </cell>
          <cell r="O326">
            <v>394502010.30058479</v>
          </cell>
        </row>
        <row r="327">
          <cell r="G327">
            <v>273154916.13250017</v>
          </cell>
          <cell r="J327">
            <v>1.4778548957967284</v>
          </cell>
          <cell r="O327">
            <v>403683330.11736012</v>
          </cell>
        </row>
        <row r="328">
          <cell r="G328">
            <v>292239326.51041698</v>
          </cell>
          <cell r="J328">
            <v>1.4413525093000297</v>
          </cell>
          <cell r="O328">
            <v>421219886.58194017</v>
          </cell>
        </row>
        <row r="329">
          <cell r="G329">
            <v>323323868.9816668</v>
          </cell>
          <cell r="J329">
            <v>1.3727418575616306</v>
          </cell>
          <cell r="O329">
            <v>443840208.49990654</v>
          </cell>
        </row>
        <row r="330">
          <cell r="G330">
            <v>346955938.10791683</v>
          </cell>
          <cell r="J330">
            <v>1.3075493593415137</v>
          </cell>
          <cell r="O330">
            <v>453662014.59274054</v>
          </cell>
        </row>
        <row r="331">
          <cell r="G331">
            <v>372022088.97291565</v>
          </cell>
          <cell r="J331">
            <v>1.2455465141622082</v>
          </cell>
          <cell r="O331">
            <v>463370816.11155796</v>
          </cell>
        </row>
        <row r="332">
          <cell r="G332">
            <v>403803905.31166744</v>
          </cell>
          <cell r="J332">
            <v>1.1864644900727379</v>
          </cell>
          <cell r="O332">
            <v>479098994.60498762</v>
          </cell>
        </row>
        <row r="333">
          <cell r="G333">
            <v>405934589.57833338</v>
          </cell>
          <cell r="J333">
            <v>1.1303877408726286</v>
          </cell>
          <cell r="O333">
            <v>458863483.65550995</v>
          </cell>
        </row>
        <row r="334">
          <cell r="G334">
            <v>376421384.29166651</v>
          </cell>
          <cell r="J334">
            <v>1.1025000000000003</v>
          </cell>
          <cell r="O334">
            <v>415004576.18156242</v>
          </cell>
        </row>
        <row r="335">
          <cell r="G335">
            <v>341468875.45833349</v>
          </cell>
          <cell r="J335">
            <v>1.0768211446107889</v>
          </cell>
          <cell r="O335">
            <v>367700905.3200016</v>
          </cell>
        </row>
        <row r="336">
          <cell r="G336">
            <v>322259385.91666698</v>
          </cell>
          <cell r="J336">
            <v>1.0499999999999947</v>
          </cell>
          <cell r="O336">
            <v>338372355.21249866</v>
          </cell>
        </row>
        <row r="337">
          <cell r="G337">
            <v>311420426.08333302</v>
          </cell>
          <cell r="J337">
            <v>1.0500000000000036</v>
          </cell>
          <cell r="O337">
            <v>326991447.38750076</v>
          </cell>
        </row>
        <row r="338">
          <cell r="G338">
            <v>319441102.04166603</v>
          </cell>
          <cell r="J338">
            <v>1.0500000000000056</v>
          </cell>
          <cell r="O338">
            <v>335413157.14375114</v>
          </cell>
        </row>
        <row r="339">
          <cell r="G339">
            <v>369077295</v>
          </cell>
          <cell r="J339">
            <v>1.0228262738748721</v>
          </cell>
          <cell r="O339">
            <v>377501954.41666698</v>
          </cell>
        </row>
        <row r="340">
          <cell r="G340">
            <v>477497545.37499905</v>
          </cell>
          <cell r="J340">
            <v>1</v>
          </cell>
          <cell r="O340">
            <v>477497545.37499905</v>
          </cell>
        </row>
        <row r="341">
          <cell r="G341">
            <v>576270298.37500191</v>
          </cell>
          <cell r="J341">
            <v>1</v>
          </cell>
          <cell r="O341">
            <v>576270298.37500191</v>
          </cell>
        </row>
        <row r="342">
          <cell r="G342">
            <v>670675261.20833397</v>
          </cell>
          <cell r="J342">
            <v>0.99999999999999856</v>
          </cell>
          <cell r="O342">
            <v>670675261.20833302</v>
          </cell>
        </row>
        <row r="397">
          <cell r="J397">
            <v>1.1390546968233883</v>
          </cell>
        </row>
        <row r="398">
          <cell r="J398">
            <v>1.1215581054592252</v>
          </cell>
        </row>
        <row r="399">
          <cell r="J399">
            <v>1.1079450605128376</v>
          </cell>
        </row>
        <row r="400">
          <cell r="J400">
            <v>1.1025</v>
          </cell>
        </row>
        <row r="401">
          <cell r="J401">
            <v>1.1025</v>
          </cell>
        </row>
        <row r="402">
          <cell r="J402">
            <v>1.1025</v>
          </cell>
        </row>
        <row r="403">
          <cell r="J403">
            <v>1.1025</v>
          </cell>
        </row>
        <row r="404">
          <cell r="J404">
            <v>1.0977035943920979</v>
          </cell>
        </row>
        <row r="405">
          <cell r="J405">
            <v>1.0847791225980552</v>
          </cell>
        </row>
        <row r="406">
          <cell r="J406">
            <v>1.0686047876661728</v>
          </cell>
        </row>
        <row r="407">
          <cell r="J407">
            <v>1.0552047637197421</v>
          </cell>
        </row>
        <row r="408">
          <cell r="J408">
            <v>1.05</v>
          </cell>
        </row>
        <row r="409">
          <cell r="J409">
            <v>1.0500000000000003</v>
          </cell>
        </row>
        <row r="410">
          <cell r="J410">
            <v>1.05</v>
          </cell>
        </row>
        <row r="411">
          <cell r="J411">
            <v>1.05</v>
          </cell>
        </row>
        <row r="412">
          <cell r="J412">
            <v>1.05</v>
          </cell>
        </row>
        <row r="413">
          <cell r="J413">
            <v>1.0500000000000003</v>
          </cell>
        </row>
        <row r="414">
          <cell r="J414">
            <v>1.05</v>
          </cell>
        </row>
        <row r="415">
          <cell r="J415">
            <v>1.05</v>
          </cell>
        </row>
        <row r="416">
          <cell r="J416">
            <v>1.0499999999999998</v>
          </cell>
        </row>
        <row r="417">
          <cell r="J417">
            <v>1.05</v>
          </cell>
        </row>
        <row r="418">
          <cell r="J418">
            <v>1.05</v>
          </cell>
        </row>
        <row r="419">
          <cell r="J419">
            <v>1.05</v>
          </cell>
        </row>
        <row r="420">
          <cell r="J420">
            <v>1.0450235261797916</v>
          </cell>
        </row>
        <row r="421">
          <cell r="J421">
            <v>1.0319942552468826</v>
          </cell>
        </row>
        <row r="422">
          <cell r="J422">
            <v>1.0156683690740602</v>
          </cell>
        </row>
        <row r="423">
          <cell r="J423">
            <v>1.0038901573963255</v>
          </cell>
        </row>
        <row r="424">
          <cell r="J424">
            <v>1</v>
          </cell>
        </row>
        <row r="425">
          <cell r="J425">
            <v>1</v>
          </cell>
        </row>
        <row r="426">
          <cell r="J426">
            <v>1</v>
          </cell>
        </row>
        <row r="427">
          <cell r="J427">
            <v>1</v>
          </cell>
        </row>
        <row r="428">
          <cell r="J428">
            <v>1</v>
          </cell>
        </row>
        <row r="429">
          <cell r="J429">
            <v>1</v>
          </cell>
        </row>
        <row r="430">
          <cell r="J430">
            <v>1</v>
          </cell>
        </row>
        <row r="431">
          <cell r="J431">
            <v>1</v>
          </cell>
        </row>
        <row r="432">
          <cell r="J432">
            <v>1</v>
          </cell>
        </row>
        <row r="433">
          <cell r="J433">
            <v>1</v>
          </cell>
        </row>
        <row r="434">
          <cell r="J434">
            <v>1</v>
          </cell>
        </row>
        <row r="435">
          <cell r="J435">
            <v>1</v>
          </cell>
        </row>
      </sheetData>
      <sheetData sheetId="10">
        <row r="116">
          <cell r="G116">
            <v>190.88</v>
          </cell>
        </row>
        <row r="117">
          <cell r="G117">
            <v>191.87</v>
          </cell>
        </row>
        <row r="118">
          <cell r="G118">
            <v>192.44</v>
          </cell>
        </row>
        <row r="119">
          <cell r="G119">
            <v>193.31</v>
          </cell>
        </row>
        <row r="120">
          <cell r="G120">
            <v>194.01</v>
          </cell>
        </row>
        <row r="121">
          <cell r="G121">
            <v>194.59</v>
          </cell>
        </row>
        <row r="122">
          <cell r="G122">
            <v>193.7</v>
          </cell>
        </row>
        <row r="123">
          <cell r="G123">
            <v>193.92</v>
          </cell>
        </row>
        <row r="124">
          <cell r="G124">
            <v>194.21</v>
          </cell>
        </row>
        <row r="125">
          <cell r="G125">
            <v>194.56</v>
          </cell>
        </row>
        <row r="126">
          <cell r="G126">
            <v>196.12</v>
          </cell>
        </row>
        <row r="127">
          <cell r="G127">
            <v>196.18</v>
          </cell>
        </row>
        <row r="128">
          <cell r="G128">
            <v>195.43</v>
          </cell>
        </row>
        <row r="129">
          <cell r="G129">
            <v>196.96</v>
          </cell>
        </row>
        <row r="130">
          <cell r="G130">
            <v>199.25</v>
          </cell>
        </row>
        <row r="131">
          <cell r="G131">
            <v>200.74</v>
          </cell>
        </row>
        <row r="132">
          <cell r="G132">
            <v>201.64</v>
          </cell>
        </row>
        <row r="133">
          <cell r="G133">
            <v>199.23</v>
          </cell>
        </row>
        <row r="134">
          <cell r="G134">
            <v>197.33</v>
          </cell>
        </row>
        <row r="135">
          <cell r="G135">
            <v>192.3</v>
          </cell>
        </row>
        <row r="136">
          <cell r="G136">
            <v>194.87</v>
          </cell>
        </row>
        <row r="137">
          <cell r="G137">
            <v>194.94</v>
          </cell>
        </row>
        <row r="138">
          <cell r="G138">
            <v>195.03</v>
          </cell>
        </row>
        <row r="139">
          <cell r="G139">
            <v>205.55</v>
          </cell>
        </row>
        <row r="140">
          <cell r="G140">
            <v>209.84</v>
          </cell>
        </row>
        <row r="141">
          <cell r="G141">
            <v>216.65</v>
          </cell>
        </row>
        <row r="142">
          <cell r="G142">
            <v>220.02</v>
          </cell>
        </row>
        <row r="143">
          <cell r="G143">
            <v>222.75</v>
          </cell>
        </row>
        <row r="144">
          <cell r="G144">
            <v>222.86</v>
          </cell>
        </row>
        <row r="145">
          <cell r="G145">
            <v>226.55</v>
          </cell>
        </row>
        <row r="146">
          <cell r="G146">
            <v>231.14</v>
          </cell>
        </row>
        <row r="147">
          <cell r="G147">
            <v>229.61</v>
          </cell>
        </row>
        <row r="148">
          <cell r="G148">
            <v>229.34</v>
          </cell>
        </row>
        <row r="149">
          <cell r="G149">
            <v>227</v>
          </cell>
        </row>
        <row r="150">
          <cell r="G150">
            <v>230.06</v>
          </cell>
        </row>
        <row r="151">
          <cell r="G151">
            <v>228.88</v>
          </cell>
        </row>
        <row r="152">
          <cell r="G152">
            <v>228.58</v>
          </cell>
        </row>
        <row r="153">
          <cell r="G153">
            <v>230.94</v>
          </cell>
        </row>
        <row r="154">
          <cell r="G154">
            <v>229.67</v>
          </cell>
        </row>
        <row r="155">
          <cell r="G155">
            <v>230.36</v>
          </cell>
        </row>
        <row r="156">
          <cell r="G156">
            <v>233.22</v>
          </cell>
        </row>
        <row r="157">
          <cell r="G157">
            <v>234.86</v>
          </cell>
        </row>
      </sheetData>
      <sheetData sheetId="11">
        <row r="78">
          <cell r="D78">
            <v>2316.8597112500001</v>
          </cell>
          <cell r="E78">
            <v>2328.926275625</v>
          </cell>
        </row>
        <row r="79">
          <cell r="D79">
            <v>2308.8483694531246</v>
          </cell>
          <cell r="E79">
            <v>2321.1029637499996</v>
          </cell>
        </row>
        <row r="80">
          <cell r="D80">
            <v>2301.7327350781243</v>
          </cell>
          <cell r="E80">
            <v>2313.9314587499998</v>
          </cell>
        </row>
        <row r="81">
          <cell r="D81">
            <v>2297.0642337499994</v>
          </cell>
          <cell r="E81">
            <v>2308.5551312499992</v>
          </cell>
        </row>
        <row r="82">
          <cell r="D82">
            <v>2299.9654217968746</v>
          </cell>
          <cell r="E82">
            <v>2311.6614853124997</v>
          </cell>
        </row>
        <row r="83">
          <cell r="D83">
            <v>2310.3676560937502</v>
          </cell>
          <cell r="E83">
            <v>2324.2521321875001</v>
          </cell>
        </row>
        <row r="84">
          <cell r="D84">
            <v>2326.9189541406249</v>
          </cell>
          <cell r="E84">
            <v>2341.2863140625004</v>
          </cell>
        </row>
        <row r="85">
          <cell r="D85">
            <v>2344.4436935937501</v>
          </cell>
          <cell r="E85">
            <v>2360.5971425000002</v>
          </cell>
        </row>
        <row r="86">
          <cell r="D86">
            <v>2364.4085915625001</v>
          </cell>
          <cell r="E86">
            <v>2380.8820321875</v>
          </cell>
        </row>
        <row r="87">
          <cell r="D87">
            <v>2387.6886100000002</v>
          </cell>
          <cell r="E87">
            <v>2404.7366340625003</v>
          </cell>
        </row>
        <row r="88">
          <cell r="D88">
            <v>2414.2457574218752</v>
          </cell>
          <cell r="E88">
            <v>2433.9268390625002</v>
          </cell>
        </row>
        <row r="89">
          <cell r="D89">
            <v>2441.8576814062503</v>
          </cell>
          <cell r="E89">
            <v>2468.2195434374999</v>
          </cell>
        </row>
        <row r="90">
          <cell r="D90">
            <v>2462.4360618750002</v>
          </cell>
          <cell r="E90">
            <v>2494.8023631249998</v>
          </cell>
        </row>
        <row r="91">
          <cell r="D91">
            <v>2472.2692012499997</v>
          </cell>
          <cell r="E91">
            <v>2508.7636481249997</v>
          </cell>
        </row>
        <row r="92">
          <cell r="D92">
            <v>2471.8088552343752</v>
          </cell>
          <cell r="E92">
            <v>2511.0424249999996</v>
          </cell>
        </row>
        <row r="93">
          <cell r="D93">
            <v>2469.6238896093746</v>
          </cell>
          <cell r="E93">
            <v>2504.6715812499997</v>
          </cell>
        </row>
        <row r="94">
          <cell r="D94">
            <v>2470.564533515625</v>
          </cell>
          <cell r="E94">
            <v>2503.0625909374999</v>
          </cell>
        </row>
        <row r="95">
          <cell r="D95">
            <v>2477.4528532031245</v>
          </cell>
          <cell r="E95">
            <v>2503.5070984375002</v>
          </cell>
        </row>
        <row r="96">
          <cell r="D96">
            <v>2488.8197098437499</v>
          </cell>
          <cell r="E96">
            <v>2509.7375362500002</v>
          </cell>
        </row>
        <row r="97">
          <cell r="D97">
            <v>2517.113092890625</v>
          </cell>
          <cell r="E97">
            <v>2532.3197928125001</v>
          </cell>
        </row>
        <row r="98">
          <cell r="D98">
            <v>2553.825550234375</v>
          </cell>
          <cell r="E98">
            <v>2564.4391178125002</v>
          </cell>
        </row>
        <row r="99">
          <cell r="D99">
            <v>2628.0789369531253</v>
          </cell>
          <cell r="E99">
            <v>2646.7160724999999</v>
          </cell>
        </row>
        <row r="100">
          <cell r="D100">
            <v>2779.6052010937501</v>
          </cell>
          <cell r="E100">
            <v>2798.3876768749997</v>
          </cell>
        </row>
        <row r="101">
          <cell r="D101">
            <v>2895.5646959374999</v>
          </cell>
          <cell r="E101">
            <v>2934.1078499999994</v>
          </cell>
        </row>
        <row r="102">
          <cell r="D102">
            <v>3017.4004797656248</v>
          </cell>
          <cell r="E102">
            <v>3069.3141046874998</v>
          </cell>
        </row>
        <row r="103">
          <cell r="D103">
            <v>3154.3352633593749</v>
          </cell>
          <cell r="E103">
            <v>3213.7870209375005</v>
          </cell>
        </row>
        <row r="104">
          <cell r="D104">
            <v>3219.3118212499999</v>
          </cell>
          <cell r="E104">
            <v>3295.1099487500001</v>
          </cell>
        </row>
        <row r="105">
          <cell r="D105">
            <v>3296.2684528125001</v>
          </cell>
          <cell r="E105">
            <v>3370.7672275000004</v>
          </cell>
        </row>
        <row r="106">
          <cell r="D106">
            <v>3344.8543199999999</v>
          </cell>
          <cell r="E106">
            <v>3421.7608509374995</v>
          </cell>
        </row>
        <row r="107">
          <cell r="D107">
            <v>3333.4699680468748</v>
          </cell>
          <cell r="E107">
            <v>3405.4167349999998</v>
          </cell>
        </row>
        <row r="108">
          <cell r="D108">
            <v>3307.8842595312494</v>
          </cell>
          <cell r="E108">
            <v>3374.2541518750004</v>
          </cell>
        </row>
        <row r="109">
          <cell r="D109">
            <v>3285.5129274999999</v>
          </cell>
          <cell r="E109">
            <v>3345.5545734374996</v>
          </cell>
        </row>
        <row r="110">
          <cell r="D110">
            <v>3281.84020453125</v>
          </cell>
          <cell r="E110">
            <v>3335.7008337500001</v>
          </cell>
        </row>
        <row r="111">
          <cell r="D111">
            <v>3287.730966171875</v>
          </cell>
          <cell r="E111">
            <v>3342.8309256250004</v>
          </cell>
        </row>
        <row r="112">
          <cell r="D112">
            <v>3298.2033414843754</v>
          </cell>
          <cell r="E112">
            <v>3355.4095378125003</v>
          </cell>
        </row>
        <row r="113">
          <cell r="D113">
            <v>3310.2231765625002</v>
          </cell>
          <cell r="E113">
            <v>3371.7454990625001</v>
          </cell>
        </row>
        <row r="114">
          <cell r="D114">
            <v>3319.6232509374995</v>
          </cell>
          <cell r="E114">
            <v>3387.52019625</v>
          </cell>
        </row>
        <row r="115">
          <cell r="D115">
            <v>3330.7148392187505</v>
          </cell>
          <cell r="E115">
            <v>3403.6533259375001</v>
          </cell>
        </row>
        <row r="116">
          <cell r="D116">
            <v>3348.6651778125001</v>
          </cell>
          <cell r="E116">
            <v>3423.4402756250001</v>
          </cell>
        </row>
        <row r="117">
          <cell r="D117">
            <v>3372.8414140625005</v>
          </cell>
          <cell r="E117">
            <v>3450.9821456250002</v>
          </cell>
        </row>
      </sheetData>
      <sheetData sheetId="12">
        <row r="50">
          <cell r="D50">
            <v>2400.4522639843753</v>
          </cell>
        </row>
      </sheetData>
      <sheetData sheetId="13">
        <row r="9">
          <cell r="D9">
            <v>3668126</v>
          </cell>
        </row>
        <row r="10">
          <cell r="D10">
            <v>699814384</v>
          </cell>
        </row>
      </sheetData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 Page"/>
      <sheetName val="Table of Contents"/>
      <sheetName val="1"/>
      <sheetName val="2.1"/>
      <sheetName val="2.2"/>
      <sheetName val="2.3"/>
      <sheetName val="2.4"/>
      <sheetName val="3.1"/>
      <sheetName val="3.2a"/>
      <sheetName val="3.2b"/>
      <sheetName val="3.2c"/>
      <sheetName val="3.2d"/>
      <sheetName val="4"/>
      <sheetName val="5"/>
      <sheetName val="6.1"/>
      <sheetName val="6.2"/>
      <sheetName val="6.3"/>
      <sheetName val="6.4"/>
      <sheetName val="6.5"/>
      <sheetName val="6.6"/>
      <sheetName val="6.7"/>
      <sheetName val="7.1"/>
      <sheetName val="7.2"/>
      <sheetName val="7.3"/>
      <sheetName val="7.4"/>
      <sheetName val="8"/>
      <sheetName val="9.1"/>
      <sheetName val="9.2"/>
      <sheetName val="9.3"/>
      <sheetName val="10.1"/>
      <sheetName val="10.2"/>
      <sheetName val="11.1"/>
      <sheetName val="11.2"/>
    </sheetNames>
    <sheetDataSet>
      <sheetData sheetId="0"/>
      <sheetData sheetId="1"/>
      <sheetData sheetId="2"/>
      <sheetData sheetId="3"/>
      <sheetData sheetId="4">
        <row r="14">
          <cell r="C14">
            <v>28422000</v>
          </cell>
          <cell r="D14">
            <v>28422000</v>
          </cell>
        </row>
        <row r="15">
          <cell r="C15">
            <v>1406855000</v>
          </cell>
          <cell r="D15">
            <v>1409788000</v>
          </cell>
        </row>
        <row r="16">
          <cell r="C16">
            <v>12097000</v>
          </cell>
          <cell r="D16">
            <v>12097000</v>
          </cell>
        </row>
        <row r="17">
          <cell r="C17">
            <v>17606000</v>
          </cell>
          <cell r="D17">
            <v>17606000</v>
          </cell>
        </row>
        <row r="18">
          <cell r="C18">
            <v>64294000</v>
          </cell>
          <cell r="D18">
            <v>64503000</v>
          </cell>
        </row>
        <row r="19">
          <cell r="C19">
            <v>65494000</v>
          </cell>
          <cell r="D19">
            <v>67351000</v>
          </cell>
        </row>
        <row r="20">
          <cell r="C20">
            <v>28875000</v>
          </cell>
          <cell r="D20">
            <v>28969000</v>
          </cell>
        </row>
        <row r="21">
          <cell r="C21">
            <v>77590000</v>
          </cell>
          <cell r="D21">
            <v>79006000</v>
          </cell>
        </row>
        <row r="22">
          <cell r="C22">
            <v>486142000</v>
          </cell>
          <cell r="D22">
            <v>546593000</v>
          </cell>
        </row>
        <row r="23">
          <cell r="C23">
            <v>90523000</v>
          </cell>
          <cell r="D23">
            <v>153607000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13">
          <cell r="C13">
            <v>12911</v>
          </cell>
          <cell r="D13">
            <v>1318</v>
          </cell>
          <cell r="E13">
            <v>0.10199999999999999</v>
          </cell>
        </row>
        <row r="14">
          <cell r="C14">
            <v>2512</v>
          </cell>
          <cell r="D14">
            <v>543</v>
          </cell>
          <cell r="E14">
            <v>0.216</v>
          </cell>
        </row>
        <row r="15">
          <cell r="C15">
            <v>796</v>
          </cell>
          <cell r="D15">
            <v>565</v>
          </cell>
          <cell r="E15">
            <v>0.71</v>
          </cell>
        </row>
        <row r="16">
          <cell r="C16">
            <v>148999</v>
          </cell>
          <cell r="D16">
            <v>9127</v>
          </cell>
          <cell r="E16">
            <v>6.0999999999999999E-2</v>
          </cell>
        </row>
        <row r="17">
          <cell r="C17">
            <v>999</v>
          </cell>
          <cell r="D17">
            <v>324</v>
          </cell>
          <cell r="E17">
            <v>0.32400000000000001</v>
          </cell>
        </row>
        <row r="18">
          <cell r="C18">
            <v>512</v>
          </cell>
          <cell r="D18">
            <v>297</v>
          </cell>
          <cell r="E18">
            <v>0.57999999999999996</v>
          </cell>
        </row>
        <row r="19">
          <cell r="C19">
            <v>881</v>
          </cell>
          <cell r="D19">
            <v>505</v>
          </cell>
          <cell r="E19">
            <v>0.57299999999999995</v>
          </cell>
        </row>
        <row r="20">
          <cell r="C20">
            <v>1897</v>
          </cell>
          <cell r="D20">
            <v>1056</v>
          </cell>
          <cell r="E20">
            <v>0.55700000000000005</v>
          </cell>
        </row>
        <row r="21">
          <cell r="C21">
            <v>1160</v>
          </cell>
          <cell r="D21">
            <v>357</v>
          </cell>
          <cell r="E21">
            <v>0.308</v>
          </cell>
        </row>
        <row r="22">
          <cell r="C22">
            <v>12296</v>
          </cell>
          <cell r="D22">
            <v>3528</v>
          </cell>
          <cell r="E22">
            <v>0.28699999999999998</v>
          </cell>
        </row>
        <row r="23">
          <cell r="C23">
            <v>335</v>
          </cell>
          <cell r="D23">
            <v>225</v>
          </cell>
          <cell r="E23">
            <v>0.67200000000000004</v>
          </cell>
        </row>
        <row r="24">
          <cell r="C24">
            <v>1217</v>
          </cell>
          <cell r="D24">
            <v>729</v>
          </cell>
          <cell r="E24">
            <v>0.59899999999999998</v>
          </cell>
        </row>
        <row r="25">
          <cell r="C25">
            <v>489</v>
          </cell>
          <cell r="D25">
            <v>554</v>
          </cell>
          <cell r="E25">
            <v>1.133</v>
          </cell>
        </row>
        <row r="26">
          <cell r="C26">
            <v>3375</v>
          </cell>
          <cell r="D26">
            <v>1375</v>
          </cell>
          <cell r="E26">
            <v>0.40699999999999997</v>
          </cell>
        </row>
        <row r="27">
          <cell r="C27">
            <v>679</v>
          </cell>
          <cell r="D27">
            <v>507</v>
          </cell>
          <cell r="E27">
            <v>0.747</v>
          </cell>
        </row>
        <row r="28">
          <cell r="C28">
            <v>2977</v>
          </cell>
          <cell r="D28">
            <v>903</v>
          </cell>
          <cell r="E28">
            <v>0.30299999999999999</v>
          </cell>
        </row>
        <row r="29">
          <cell r="C29">
            <v>1166</v>
          </cell>
          <cell r="D29">
            <v>582</v>
          </cell>
          <cell r="E29">
            <v>0.499</v>
          </cell>
        </row>
        <row r="30">
          <cell r="C30">
            <v>2964</v>
          </cell>
          <cell r="D30">
            <v>1343</v>
          </cell>
          <cell r="E30">
            <v>0.45300000000000001</v>
          </cell>
        </row>
        <row r="31">
          <cell r="C31">
            <v>22401</v>
          </cell>
          <cell r="D31">
            <v>4732</v>
          </cell>
          <cell r="E31">
            <v>0.21099999999999999</v>
          </cell>
        </row>
        <row r="32">
          <cell r="C32">
            <v>8773</v>
          </cell>
          <cell r="D32">
            <v>2388</v>
          </cell>
          <cell r="E32">
            <v>0.27200000000000002</v>
          </cell>
        </row>
        <row r="33">
          <cell r="C33">
            <v>6227</v>
          </cell>
          <cell r="D33">
            <v>1885</v>
          </cell>
          <cell r="E33">
            <v>0.30299999999999999</v>
          </cell>
        </row>
        <row r="34">
          <cell r="C34">
            <v>24605</v>
          </cell>
          <cell r="D34">
            <v>1880</v>
          </cell>
          <cell r="E34">
            <v>7.5999999999999998E-2</v>
          </cell>
        </row>
        <row r="35">
          <cell r="C35">
            <v>5167</v>
          </cell>
          <cell r="D35">
            <v>5226</v>
          </cell>
          <cell r="E35">
            <v>1.0109999999999999</v>
          </cell>
        </row>
        <row r="36">
          <cell r="C36">
            <v>155001</v>
          </cell>
          <cell r="D36">
            <v>5122</v>
          </cell>
          <cell r="E36">
            <v>3.3000000000000002E-2</v>
          </cell>
        </row>
        <row r="37">
          <cell r="C37">
            <v>5167</v>
          </cell>
          <cell r="D37">
            <v>1471</v>
          </cell>
          <cell r="E37">
            <v>0.28499999999999998</v>
          </cell>
        </row>
        <row r="38">
          <cell r="C38">
            <v>154981</v>
          </cell>
          <cell r="D38">
            <v>20235</v>
          </cell>
          <cell r="E38">
            <v>0.13100000000000001</v>
          </cell>
        </row>
        <row r="39">
          <cell r="C39">
            <v>4276</v>
          </cell>
          <cell r="D39">
            <v>1110</v>
          </cell>
          <cell r="E39">
            <v>0.26</v>
          </cell>
        </row>
        <row r="40">
          <cell r="C40">
            <v>15745</v>
          </cell>
          <cell r="D40">
            <v>4941</v>
          </cell>
          <cell r="E40">
            <v>0.314</v>
          </cell>
        </row>
        <row r="41">
          <cell r="C41">
            <v>2583017</v>
          </cell>
          <cell r="D41">
            <v>346615</v>
          </cell>
          <cell r="E41">
            <v>0.13400000000000001</v>
          </cell>
        </row>
        <row r="42">
          <cell r="C42">
            <v>10407</v>
          </cell>
          <cell r="D42">
            <v>2219</v>
          </cell>
          <cell r="E42">
            <v>0.21299999999999999</v>
          </cell>
        </row>
        <row r="43">
          <cell r="C43">
            <v>18005</v>
          </cell>
          <cell r="D43">
            <v>4274</v>
          </cell>
          <cell r="E43">
            <v>0.23699999999999999</v>
          </cell>
        </row>
        <row r="44">
          <cell r="C44">
            <v>96073</v>
          </cell>
          <cell r="D44">
            <v>15108</v>
          </cell>
          <cell r="E44">
            <v>0.157</v>
          </cell>
        </row>
        <row r="45">
          <cell r="C45">
            <v>67492</v>
          </cell>
          <cell r="D45">
            <v>15833</v>
          </cell>
          <cell r="E45">
            <v>0.23499999999999999</v>
          </cell>
        </row>
        <row r="46">
          <cell r="C46">
            <v>70835</v>
          </cell>
          <cell r="D46">
            <v>13829</v>
          </cell>
          <cell r="E46">
            <v>0.19500000000000001</v>
          </cell>
        </row>
        <row r="47">
          <cell r="C47">
            <v>7871</v>
          </cell>
          <cell r="D47">
            <v>6928</v>
          </cell>
          <cell r="E47">
            <v>0.88</v>
          </cell>
        </row>
        <row r="48">
          <cell r="C48">
            <v>138829</v>
          </cell>
          <cell r="D48">
            <v>40137</v>
          </cell>
          <cell r="E48">
            <v>0.28899999999999998</v>
          </cell>
        </row>
        <row r="49">
          <cell r="C49">
            <v>28422</v>
          </cell>
          <cell r="D49">
            <v>15387</v>
          </cell>
          <cell r="E49">
            <v>0.54100000000000004</v>
          </cell>
        </row>
        <row r="50">
          <cell r="C50">
            <v>1409788</v>
          </cell>
          <cell r="D50">
            <v>279561</v>
          </cell>
          <cell r="E50">
            <v>0.19800000000000001</v>
          </cell>
        </row>
        <row r="51">
          <cell r="C51">
            <v>12097</v>
          </cell>
          <cell r="D51">
            <v>6775</v>
          </cell>
          <cell r="E51">
            <v>0.56000000000000005</v>
          </cell>
        </row>
        <row r="52">
          <cell r="C52">
            <v>17606</v>
          </cell>
          <cell r="D52">
            <v>9326</v>
          </cell>
          <cell r="E52">
            <v>0.53</v>
          </cell>
        </row>
        <row r="53">
          <cell r="C53">
            <v>64503</v>
          </cell>
          <cell r="D53">
            <v>29204</v>
          </cell>
          <cell r="E53">
            <v>0.45300000000000001</v>
          </cell>
        </row>
        <row r="54">
          <cell r="C54">
            <v>67351</v>
          </cell>
          <cell r="D54">
            <v>28796</v>
          </cell>
          <cell r="E54">
            <v>0.42799999999999999</v>
          </cell>
        </row>
        <row r="55">
          <cell r="C55">
            <v>28969</v>
          </cell>
          <cell r="D55">
            <v>11989</v>
          </cell>
          <cell r="E55">
            <v>0.41399999999999998</v>
          </cell>
        </row>
        <row r="56">
          <cell r="C56">
            <v>79006</v>
          </cell>
          <cell r="D56">
            <v>23139</v>
          </cell>
          <cell r="E56">
            <v>0.29299999999999998</v>
          </cell>
        </row>
        <row r="57">
          <cell r="C57">
            <v>546593</v>
          </cell>
          <cell r="D57">
            <v>145420</v>
          </cell>
          <cell r="E57">
            <v>0.26600000000000001</v>
          </cell>
        </row>
        <row r="58">
          <cell r="C58">
            <v>153607</v>
          </cell>
          <cell r="D58">
            <v>35194</v>
          </cell>
          <cell r="E58">
            <v>0.22900000000000001</v>
          </cell>
        </row>
        <row r="70">
          <cell r="B70" t="str">
            <v>(2) - (3) 2016 - 2025: from most recent TWIA annual statement; 1980 - 2015: from prior TWIA annual statements</v>
          </cell>
        </row>
        <row r="71">
          <cell r="B71" t="str">
            <v>(4) = (3) / (2)</v>
          </cell>
        </row>
        <row r="72">
          <cell r="B72" t="str">
            <v>(5) "H" indicates hurricane year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38">
          <cell r="B38" t="str">
            <v>(2) Provided by TWIA and geo-coded by Verisk</v>
          </cell>
        </row>
        <row r="39">
          <cell r="B39" t="str">
            <v>(3) = (4) / (2)</v>
          </cell>
        </row>
        <row r="40">
          <cell r="B40" t="str">
            <v>(4) Provided by Verisk using Verisk Touchstone v13.0 (versus Verisk Touchstone v12.0 for prior year results)</v>
          </cell>
        </row>
        <row r="41">
          <cell r="B41" t="str">
            <v>(5) Provided by TWIA</v>
          </cell>
        </row>
        <row r="42">
          <cell r="B42" t="str">
            <v>(6) = (4) Total / (5)</v>
          </cell>
        </row>
      </sheetData>
      <sheetData sheetId="22">
        <row r="38">
          <cell r="B38" t="str">
            <v>(2) Provided by TWIA and geo-coded by RMS</v>
          </cell>
        </row>
        <row r="39">
          <cell r="B39" t="str">
            <v>(3) = (4) / (2)</v>
          </cell>
        </row>
        <row r="40">
          <cell r="B40" t="str">
            <v>(4) Provided by RMS using RMS RiskLink v25.0 (versus RMS RiskLink v23.0 for prior year results)</v>
          </cell>
        </row>
        <row r="41">
          <cell r="B41" t="str">
            <v>(5) Provided by TWIA</v>
          </cell>
        </row>
        <row r="42">
          <cell r="B42" t="str">
            <v>(6) = (4) Total / (5)</v>
          </cell>
        </row>
      </sheetData>
      <sheetData sheetId="23">
        <row r="38">
          <cell r="B38" t="str">
            <v>(2) Provided by TWIA and geo-coded by Impact Forecasting</v>
          </cell>
        </row>
        <row r="39">
          <cell r="B39" t="str">
            <v>(3) = (4) / (2)</v>
          </cell>
        </row>
        <row r="40">
          <cell r="B40" t="str">
            <v>(4) Provided by Impact Forecasting using Impact Forecasting v18.0 (versus Impact Forecasting v18.0 for prior year results)</v>
          </cell>
        </row>
        <row r="41">
          <cell r="B41" t="str">
            <v>(5) Provided by TWIA</v>
          </cell>
        </row>
        <row r="42">
          <cell r="B42" t="str">
            <v>(6) = (4) Total / (5)</v>
          </cell>
        </row>
      </sheetData>
      <sheetData sheetId="24">
        <row r="38">
          <cell r="B38" t="str">
            <v>(2) Provided by TWIA and geo-coded by Cotality RQE</v>
          </cell>
        </row>
        <row r="39">
          <cell r="B39" t="str">
            <v>(3) = (4) / (2)</v>
          </cell>
        </row>
        <row r="40">
          <cell r="B40" t="str">
            <v>(4) Provided by Cotality RQE using Cotality RQE v25.0 (versus CoreLogic RQE v23.0 for prior year results)</v>
          </cell>
        </row>
        <row r="41">
          <cell r="B41" t="str">
            <v>(5) Provided by TWIA</v>
          </cell>
        </row>
        <row r="42">
          <cell r="B42" t="str">
            <v>(6) = (4) Total / (5)</v>
          </cell>
        </row>
      </sheetData>
      <sheetData sheetId="25">
        <row r="57">
          <cell r="B57" t="str">
            <v>(1), (2) from NOAA Technical Memorandum NWS-NHC-6, updated with actual experience through 2025</v>
          </cell>
        </row>
      </sheetData>
      <sheetData sheetId="26"/>
      <sheetData sheetId="27"/>
      <sheetData sheetId="28"/>
      <sheetData sheetId="29">
        <row r="11">
          <cell r="M11">
            <v>46022</v>
          </cell>
        </row>
        <row r="14">
          <cell r="D14">
            <v>653043231</v>
          </cell>
          <cell r="E14">
            <v>758845192</v>
          </cell>
          <cell r="F14">
            <v>820864531</v>
          </cell>
          <cell r="G14">
            <v>781032000</v>
          </cell>
        </row>
        <row r="15">
          <cell r="D15">
            <v>589353024</v>
          </cell>
          <cell r="E15">
            <v>708981286</v>
          </cell>
          <cell r="F15">
            <v>794594956</v>
          </cell>
          <cell r="G15">
            <v>808261000</v>
          </cell>
        </row>
        <row r="18">
          <cell r="D18">
            <v>104392398</v>
          </cell>
          <cell r="E18">
            <v>121292653</v>
          </cell>
          <cell r="F18">
            <v>131226325</v>
          </cell>
          <cell r="G18">
            <v>124965000</v>
          </cell>
        </row>
        <row r="19">
          <cell r="H19">
            <v>0.16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</row>
        <row r="23">
          <cell r="H23">
            <v>0</v>
          </cell>
        </row>
        <row r="26">
          <cell r="D26">
            <v>36234634</v>
          </cell>
          <cell r="E26">
            <v>39509911</v>
          </cell>
          <cell r="F26">
            <v>41453278</v>
          </cell>
          <cell r="G26">
            <v>44714000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2">
          <cell r="H32">
            <v>5.3999999999999999E-2</v>
          </cell>
        </row>
        <row r="35">
          <cell r="D35">
            <v>11379394</v>
          </cell>
          <cell r="E35">
            <v>13191282</v>
          </cell>
          <cell r="F35">
            <v>47541</v>
          </cell>
          <cell r="G35">
            <v>58000</v>
          </cell>
        </row>
        <row r="36">
          <cell r="H36">
            <v>7.4260721711786454E-5</v>
          </cell>
        </row>
        <row r="40">
          <cell r="A40" t="str">
            <v>(8)</v>
          </cell>
          <cell r="B40" t="str">
            <v>Outstanding Class 1 Public Security Repayment</v>
          </cell>
          <cell r="H40">
            <v>0</v>
          </cell>
        </row>
        <row r="42">
          <cell r="A42" t="str">
            <v>(9)</v>
          </cell>
          <cell r="B42" t="str">
            <v>Total Fixed Expenses</v>
          </cell>
        </row>
        <row r="44">
          <cell r="A44" t="str">
            <v>(10)</v>
          </cell>
          <cell r="B44" t="str">
            <v>Total Variable Expenses</v>
          </cell>
          <cell r="H44">
            <v>0.1600742607217118</v>
          </cell>
        </row>
        <row r="46">
          <cell r="A46" t="str">
            <v>(11)</v>
          </cell>
          <cell r="B46" t="str">
            <v>CRTF Contribution &amp; UW Contingency &amp; Uncertainty</v>
          </cell>
          <cell r="H46">
            <v>0.05</v>
          </cell>
        </row>
        <row r="48">
          <cell r="A48" t="str">
            <v>(12)</v>
          </cell>
          <cell r="B48" t="str">
            <v>Permissible Loss, LAE, and Fixed Expense Ratio</v>
          </cell>
        </row>
        <row r="52">
          <cell r="B52" t="str">
            <v>(1) - (6) From TWIA's Statutory Annual Statements and Insurance Expense Exhibits. 2026 figures are projected</v>
          </cell>
        </row>
        <row r="53">
          <cell r="B53" t="str">
            <v>(7) Exhibit 10, Sheet 2</v>
          </cell>
        </row>
        <row r="54">
          <cell r="B54" t="str">
            <v>(8) Outstanding principal paid off in 2022</v>
          </cell>
        </row>
        <row r="55">
          <cell r="B55" t="str">
            <v>(9) = (5) + (7) + (8)</v>
          </cell>
        </row>
        <row r="56">
          <cell r="B56" t="str">
            <v>(10) = (3) + (4) + (6)</v>
          </cell>
        </row>
        <row r="57">
          <cell r="B57" t="str">
            <v xml:space="preserve">(11) CRTF contribution selected judgmentally </v>
          </cell>
        </row>
        <row r="58">
          <cell r="B58" t="str">
            <v>(12) = 100% - (10) - (11)</v>
          </cell>
        </row>
      </sheetData>
      <sheetData sheetId="30">
        <row r="10">
          <cell r="D10">
            <v>196981999.99999997</v>
          </cell>
          <cell r="E10">
            <v>163160223.88776952</v>
          </cell>
          <cell r="F10">
            <v>33821776.112230487</v>
          </cell>
          <cell r="K10">
            <v>46174</v>
          </cell>
          <cell r="L10">
            <v>46538</v>
          </cell>
          <cell r="M10">
            <v>46295</v>
          </cell>
        </row>
        <row r="12">
          <cell r="A12" t="str">
            <v>(2)</v>
          </cell>
          <cell r="B12" t="str">
            <v>Actual Exposures (000s) as of 11/30/25</v>
          </cell>
          <cell r="D12">
            <v>140845953.28870001</v>
          </cell>
        </row>
        <row r="14">
          <cell r="A14" t="str">
            <v>(3)</v>
          </cell>
          <cell r="B14" t="str">
            <v>Initial Estimated Exposures (000s) at 09/30/26 Used for Reinsurance Pricing</v>
          </cell>
          <cell r="D14">
            <v>141794095.755</v>
          </cell>
          <cell r="K14">
            <v>45991</v>
          </cell>
        </row>
        <row r="16">
          <cell r="A16" t="str">
            <v>(4)</v>
          </cell>
          <cell r="B16" t="str">
            <v>Current Estimated Exposures (000s) at 09/30/26</v>
          </cell>
          <cell r="D16">
            <v>143006335.73917028</v>
          </cell>
        </row>
        <row r="18">
          <cell r="A18" t="str">
            <v>(5)</v>
          </cell>
          <cell r="B18" t="str">
            <v>Prospective Adjusted 2025-2026 Reinsurance Premium</v>
          </cell>
          <cell r="D18">
            <v>198666057.82547125</v>
          </cell>
          <cell r="E18">
            <v>164555129.26919442</v>
          </cell>
          <cell r="F18">
            <v>34110928.55627685</v>
          </cell>
        </row>
        <row r="20">
          <cell r="A20" t="str">
            <v>(6)</v>
          </cell>
          <cell r="B20" t="str">
            <v>Average Annual Loss to 50-Year PML</v>
          </cell>
        </row>
        <row r="21">
          <cell r="B21" t="str">
            <v>(a)</v>
          </cell>
          <cell r="C21" t="str">
            <v>Verisk</v>
          </cell>
          <cell r="D21">
            <v>70665208.496571496</v>
          </cell>
          <cell r="E21">
            <v>58869707.385638699</v>
          </cell>
          <cell r="F21">
            <v>11795501.110932801</v>
          </cell>
        </row>
        <row r="22">
          <cell r="B22" t="str">
            <v>(b)</v>
          </cell>
          <cell r="C22" t="str">
            <v>RMS</v>
          </cell>
          <cell r="D22">
            <v>63972617.631056197</v>
          </cell>
          <cell r="E22">
            <v>52650826.748172097</v>
          </cell>
          <cell r="F22">
            <v>11321790.8828841</v>
          </cell>
        </row>
        <row r="23">
          <cell r="B23" t="str">
            <v>(c)</v>
          </cell>
          <cell r="C23" t="str">
            <v>Selected Average Annual Loss and LAE</v>
          </cell>
          <cell r="D23">
            <v>78695809.371598393</v>
          </cell>
          <cell r="E23">
            <v>65183752.201212406</v>
          </cell>
          <cell r="F23">
            <v>13512057.170385979</v>
          </cell>
        </row>
        <row r="25">
          <cell r="A25" t="str">
            <v>(7)</v>
          </cell>
          <cell r="B25" t="str">
            <v>Prospective Average Annual Loss and LAE</v>
          </cell>
          <cell r="D25">
            <v>79902894.428159922</v>
          </cell>
          <cell r="E25">
            <v>66183580.957546301</v>
          </cell>
          <cell r="F25">
            <v>13719313.470613632</v>
          </cell>
        </row>
        <row r="27">
          <cell r="A27" t="str">
            <v>(8)</v>
          </cell>
          <cell r="B27" t="str">
            <v>Net Cost of Reinsurance</v>
          </cell>
          <cell r="D27">
            <v>118763163.39731133</v>
          </cell>
          <cell r="E27">
            <v>98371548.31164813</v>
          </cell>
          <cell r="F27">
            <v>20391615.085663218</v>
          </cell>
        </row>
        <row r="29">
          <cell r="A29" t="str">
            <v>(9)</v>
          </cell>
          <cell r="B29" t="str">
            <v>2026 TWIA Prospective Earned Premium at Present Rates</v>
          </cell>
          <cell r="D29">
            <v>816512882.84537578</v>
          </cell>
          <cell r="E29">
            <v>706440159.26223981</v>
          </cell>
          <cell r="F29">
            <v>110072723.58313592</v>
          </cell>
        </row>
        <row r="31">
          <cell r="A31" t="str">
            <v>(10)</v>
          </cell>
          <cell r="B31" t="str">
            <v>Indicated Reinsurance Expense %</v>
          </cell>
          <cell r="D31">
            <v>0.14545167123811528</v>
          </cell>
          <cell r="E31">
            <v>0.1392496547964954</v>
          </cell>
          <cell r="F31">
            <v>0.1852558419730734</v>
          </cell>
        </row>
        <row r="35">
          <cell r="B35" t="str">
            <v>(1) Subject premium for TWIA reinsurance contract effective 6/1/2026 through 5/31/2027</v>
          </cell>
        </row>
        <row r="36">
          <cell r="B36" t="str">
            <v>(2) From TWIA data</v>
          </cell>
        </row>
        <row r="37">
          <cell r="B37" t="str">
            <v>(3) Projected exposures as of September 30, 2026 used for reinsurance pricing</v>
          </cell>
        </row>
        <row r="38">
          <cell r="B38" t="str">
            <v>(4) Projections updated through May 31, 2026</v>
          </cell>
        </row>
        <row r="39">
          <cell r="B39" t="str">
            <v>(5) = (1) * (4) / (3) (subject premiums adjusted for difference between initially estimated and actual exposures)</v>
          </cell>
        </row>
        <row r="40">
          <cell r="B40" t="str">
            <v>(6) Expected modeled losses in the reinsurance layers up to the 50-year PML</v>
          </cell>
        </row>
        <row r="41">
          <cell r="B41" t="str">
            <v>(a) Provided by Aon, based on Verisk model using TWIA exposures as of 11/30/2025</v>
          </cell>
        </row>
        <row r="42">
          <cell r="B42" t="str">
            <v>(b) Provided by Aon, based on RMS model using TWIA exposures as of 11/30/2025</v>
          </cell>
        </row>
        <row r="43">
          <cell r="B43" t="str">
            <v>(c) Selected equal to the average of the RMS and Verisk catastrophe models with an LAE loading of 1.169</v>
          </cell>
        </row>
        <row r="44">
          <cell r="B44" t="str">
            <v>(7) = (6)(c) * (4) / (2) (projected loss growth from 11/30/2025 to 9/30/2026)</v>
          </cell>
        </row>
        <row r="45">
          <cell r="B45" t="str">
            <v>(8) = (5) - (7)</v>
          </cell>
        </row>
        <row r="46">
          <cell r="B46" t="str">
            <v>(9) Projections updated through May 31, 2026</v>
          </cell>
        </row>
        <row r="47">
          <cell r="B47" t="str">
            <v>(10) = (8) / (9)</v>
          </cell>
        </row>
      </sheetData>
      <sheetData sheetId="31"/>
      <sheetData sheetId="32">
        <row r="14">
          <cell r="C14">
            <v>10672677</v>
          </cell>
          <cell r="D14">
            <v>15758330</v>
          </cell>
          <cell r="F14">
            <v>26510501</v>
          </cell>
        </row>
        <row r="15">
          <cell r="C15">
            <v>12865905</v>
          </cell>
          <cell r="D15">
            <v>19259265</v>
          </cell>
          <cell r="F15">
            <v>32419287</v>
          </cell>
        </row>
        <row r="16">
          <cell r="C16">
            <v>15640660</v>
          </cell>
          <cell r="D16">
            <v>24504127</v>
          </cell>
          <cell r="F16">
            <v>40358575</v>
          </cell>
        </row>
        <row r="17">
          <cell r="C17">
            <v>16536186</v>
          </cell>
          <cell r="D17">
            <v>25783455</v>
          </cell>
          <cell r="F17">
            <v>42462844</v>
          </cell>
        </row>
        <row r="18">
          <cell r="C18">
            <v>16558977</v>
          </cell>
          <cell r="D18">
            <v>27833800</v>
          </cell>
          <cell r="F18">
            <v>44410914</v>
          </cell>
        </row>
        <row r="19">
          <cell r="C19">
            <v>17394142.049999997</v>
          </cell>
          <cell r="D19">
            <v>27168992</v>
          </cell>
          <cell r="F19">
            <v>44581218</v>
          </cell>
        </row>
        <row r="20">
          <cell r="C20">
            <v>17332561</v>
          </cell>
          <cell r="D20">
            <v>29762296</v>
          </cell>
          <cell r="F20">
            <v>48012426</v>
          </cell>
        </row>
        <row r="21">
          <cell r="C21">
            <v>17544251</v>
          </cell>
          <cell r="D21">
            <v>36220622.519999996</v>
          </cell>
          <cell r="F21">
            <v>54630727</v>
          </cell>
        </row>
        <row r="22">
          <cell r="C22">
            <v>24013525</v>
          </cell>
          <cell r="D22">
            <v>48856422.25</v>
          </cell>
          <cell r="F22">
            <v>72967831</v>
          </cell>
        </row>
        <row r="23">
          <cell r="C23">
            <v>29220514</v>
          </cell>
          <cell r="D23">
            <v>58573191</v>
          </cell>
          <cell r="F23">
            <v>87987279</v>
          </cell>
        </row>
        <row r="24">
          <cell r="C24">
            <v>31009323</v>
          </cell>
          <cell r="D24">
            <v>71292702</v>
          </cell>
          <cell r="F24">
            <v>102384351</v>
          </cell>
        </row>
        <row r="25">
          <cell r="C25">
            <v>35740174</v>
          </cell>
          <cell r="D25">
            <v>78094458</v>
          </cell>
          <cell r="F25">
            <v>113927701</v>
          </cell>
        </row>
        <row r="26">
          <cell r="C26">
            <v>76847840</v>
          </cell>
          <cell r="D26">
            <v>119658576</v>
          </cell>
          <cell r="F26">
            <v>196833235</v>
          </cell>
        </row>
        <row r="27">
          <cell r="C27">
            <v>110951718</v>
          </cell>
          <cell r="D27">
            <v>203561196</v>
          </cell>
          <cell r="F27">
            <v>315139307</v>
          </cell>
        </row>
        <row r="28">
          <cell r="C28">
            <v>98036118.420000017</v>
          </cell>
          <cell r="D28">
            <v>232925989.76999998</v>
          </cell>
          <cell r="F28">
            <v>331057645</v>
          </cell>
        </row>
        <row r="29">
          <cell r="C29">
            <v>111269572.63</v>
          </cell>
          <cell r="D29">
            <v>269535059.02999997</v>
          </cell>
          <cell r="F29">
            <v>382342402</v>
          </cell>
        </row>
        <row r="30">
          <cell r="C30">
            <v>102174679.52999991</v>
          </cell>
          <cell r="D30">
            <v>278116922.00999999</v>
          </cell>
          <cell r="F30">
            <v>385549582</v>
          </cell>
        </row>
        <row r="31">
          <cell r="C31">
            <v>100017021</v>
          </cell>
          <cell r="D31">
            <v>307494236.20000005</v>
          </cell>
          <cell r="F31">
            <v>403748164</v>
          </cell>
        </row>
        <row r="32">
          <cell r="C32">
            <v>110524396.51999998</v>
          </cell>
          <cell r="D32">
            <v>335795725.19999981</v>
          </cell>
          <cell r="F32">
            <v>443479701</v>
          </cell>
        </row>
        <row r="33">
          <cell r="C33">
            <v>112904624</v>
          </cell>
          <cell r="D33">
            <v>360838080.7099998</v>
          </cell>
          <cell r="F33">
            <v>472739474</v>
          </cell>
        </row>
        <row r="34">
          <cell r="C34">
            <v>104642688</v>
          </cell>
          <cell r="D34">
            <v>389333918.13999987</v>
          </cell>
          <cell r="F34">
            <v>494036010</v>
          </cell>
        </row>
        <row r="35">
          <cell r="C35">
            <v>98715934</v>
          </cell>
          <cell r="D35">
            <v>407969846.0800004</v>
          </cell>
          <cell r="F35">
            <v>503824316</v>
          </cell>
        </row>
        <row r="36">
          <cell r="C36">
            <v>88278690</v>
          </cell>
          <cell r="D36">
            <v>399074847</v>
          </cell>
          <cell r="F36">
            <v>487353537</v>
          </cell>
        </row>
        <row r="37">
          <cell r="C37">
            <v>70749081</v>
          </cell>
          <cell r="D37">
            <v>352368052</v>
          </cell>
          <cell r="F37">
            <v>423074138</v>
          </cell>
        </row>
        <row r="38">
          <cell r="C38">
            <v>65696833</v>
          </cell>
          <cell r="D38">
            <v>331676957</v>
          </cell>
          <cell r="F38">
            <v>395551679</v>
          </cell>
        </row>
        <row r="39">
          <cell r="C39">
            <v>59123729</v>
          </cell>
          <cell r="D39">
            <v>314907158.99999952</v>
          </cell>
          <cell r="F39">
            <v>372016601</v>
          </cell>
        </row>
        <row r="40">
          <cell r="C40">
            <v>60327052</v>
          </cell>
          <cell r="D40">
            <v>310312753</v>
          </cell>
          <cell r="F40">
            <v>369600488</v>
          </cell>
        </row>
        <row r="41">
          <cell r="C41">
            <v>63366551</v>
          </cell>
          <cell r="D41">
            <v>331736850</v>
          </cell>
          <cell r="F41">
            <v>395112773</v>
          </cell>
        </row>
        <row r="42">
          <cell r="C42">
            <v>88784127</v>
          </cell>
          <cell r="D42">
            <v>429663068</v>
          </cell>
          <cell r="F42">
            <v>518299032</v>
          </cell>
        </row>
        <row r="43">
          <cell r="C43">
            <v>130162738</v>
          </cell>
          <cell r="D43">
            <v>522931821</v>
          </cell>
          <cell r="F43">
            <v>653043231</v>
          </cell>
        </row>
        <row r="44">
          <cell r="C44">
            <v>130434727</v>
          </cell>
          <cell r="D44">
            <v>628410118</v>
          </cell>
          <cell r="F44">
            <v>758845192</v>
          </cell>
        </row>
        <row r="45">
          <cell r="C45">
            <v>117408620</v>
          </cell>
          <cell r="D45">
            <v>703455911</v>
          </cell>
          <cell r="F45">
            <v>820864531</v>
          </cell>
        </row>
        <row r="51">
          <cell r="B51" t="str">
            <v>(2), (3) Provided by TWIA, as of 12/31/2025</v>
          </cell>
        </row>
        <row r="52">
          <cell r="B52" t="str">
            <v>(4) = (2) + (3)</v>
          </cell>
        </row>
        <row r="53">
          <cell r="B53" t="str">
            <v>(5) Based on TWIA Annual Statements</v>
          </cell>
        </row>
        <row r="54">
          <cell r="B54" t="str">
            <v>(6) = (4) - (5)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ndara">
      <a:maj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89CF4-958E-4F41-87CA-8E5C65EFF1A2}">
  <dimension ref="B31:I33"/>
  <sheetViews>
    <sheetView showGridLines="0" tabSelected="1" zoomScaleNormal="100" workbookViewId="0">
      <selection activeCell="G36" sqref="G36"/>
    </sheetView>
  </sheetViews>
  <sheetFormatPr defaultRowHeight="11.25" x14ac:dyDescent="0.2"/>
  <cols>
    <col min="1" max="1" width="13.5" customWidth="1"/>
    <col min="2" max="2" width="12.33203125" customWidth="1"/>
    <col min="3" max="12" width="10.5" customWidth="1"/>
  </cols>
  <sheetData>
    <row r="31" spans="2:9" ht="15.75" x14ac:dyDescent="0.25">
      <c r="B31" s="239" t="s">
        <v>0</v>
      </c>
      <c r="C31" s="239"/>
      <c r="D31" s="239"/>
      <c r="E31" s="239"/>
      <c r="F31" s="239"/>
      <c r="G31" s="239"/>
      <c r="H31" s="239"/>
      <c r="I31" s="239"/>
    </row>
    <row r="32" spans="2:9" ht="15.75" x14ac:dyDescent="0.25">
      <c r="B32" s="239" t="s">
        <v>1</v>
      </c>
      <c r="C32" s="239"/>
      <c r="D32" s="239"/>
      <c r="E32" s="239"/>
      <c r="F32" s="239"/>
      <c r="G32" s="239"/>
      <c r="H32" s="239"/>
      <c r="I32" s="239"/>
    </row>
    <row r="33" spans="2:9" ht="15.75" x14ac:dyDescent="0.25">
      <c r="B33" s="239" t="str">
        <f>'1'!H8&amp;" Rate Level Review"</f>
        <v>2026 Rate Level Review</v>
      </c>
      <c r="C33" s="239"/>
      <c r="D33" s="239"/>
      <c r="E33" s="239"/>
      <c r="F33" s="239"/>
      <c r="G33" s="239"/>
      <c r="H33" s="239"/>
      <c r="I33" s="239"/>
    </row>
  </sheetData>
  <mergeCells count="3">
    <mergeCell ref="B31:I31"/>
    <mergeCell ref="B32:I32"/>
    <mergeCell ref="B33:I3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17AA6-6CF7-499F-B5E2-CAA5BFC6F03A}">
  <sheetPr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5" width="15.33203125" customWidth="1"/>
    <col min="6" max="9" width="11.33203125" customWidth="1"/>
    <col min="10" max="10" width="13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52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47</v>
      </c>
      <c r="B4" s="12"/>
      <c r="K4" s="2"/>
    </row>
    <row r="5" spans="1:12" x14ac:dyDescent="0.2">
      <c r="A5" t="s">
        <v>436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1" t="s">
        <v>275</v>
      </c>
      <c r="D9" s="11"/>
      <c r="E9" s="11" t="s">
        <v>33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51</v>
      </c>
      <c r="E10" s="11" t="s">
        <v>8</v>
      </c>
      <c r="K10" s="2"/>
    </row>
    <row r="11" spans="1:12" x14ac:dyDescent="0.2">
      <c r="A11" s="9" t="str">
        <f>TEXT($L$22,"m/d")</f>
        <v>9/30</v>
      </c>
      <c r="B11" s="9"/>
      <c r="C11" s="121" t="s">
        <v>50</v>
      </c>
      <c r="D11" s="121" t="s">
        <v>35</v>
      </c>
      <c r="E11" s="121" t="s">
        <v>39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tr">
        <f t="shared" ref="A14:A22" si="0">TEXT(A15-1,"#")</f>
        <v>2016</v>
      </c>
      <c r="B14" s="23"/>
      <c r="C14" s="19">
        <f>'2.4a'!C14</f>
        <v>10985881</v>
      </c>
      <c r="D14" s="29">
        <f>'2.3a'!H14</f>
        <v>1</v>
      </c>
      <c r="E14" s="26">
        <f t="shared" ref="E14:E23" si="1">ROUND(C14*D14,0)</f>
        <v>10985881</v>
      </c>
      <c r="K14" s="2"/>
    </row>
    <row r="15" spans="1:12" x14ac:dyDescent="0.2">
      <c r="A15" t="str">
        <f t="shared" si="0"/>
        <v>2017</v>
      </c>
      <c r="B15" s="23"/>
      <c r="C15" s="19">
        <f>'2.4a'!C15</f>
        <v>2705551</v>
      </c>
      <c r="D15" s="29">
        <f>'2.3a'!H15</f>
        <v>1.0015635939737928</v>
      </c>
      <c r="E15" s="26">
        <f t="shared" si="1"/>
        <v>2709781</v>
      </c>
      <c r="K15" s="2"/>
    </row>
    <row r="16" spans="1:12" x14ac:dyDescent="0.2">
      <c r="A16" t="str">
        <f t="shared" si="0"/>
        <v>2018</v>
      </c>
      <c r="B16" s="23"/>
      <c r="C16" s="19">
        <f>'2.4a'!C16</f>
        <v>2551684</v>
      </c>
      <c r="D16" s="29">
        <f>'2.3a'!H16</f>
        <v>1.0005211979912643</v>
      </c>
      <c r="E16" s="26">
        <f t="shared" si="1"/>
        <v>2553014</v>
      </c>
      <c r="K16" s="2"/>
    </row>
    <row r="17" spans="1:13" x14ac:dyDescent="0.2">
      <c r="A17" t="str">
        <f t="shared" si="0"/>
        <v>2019</v>
      </c>
      <c r="B17" s="23"/>
      <c r="C17" s="19">
        <f>'2.4a'!C17</f>
        <v>4837299</v>
      </c>
      <c r="D17" s="29">
        <f>'2.3a'!H17</f>
        <v>1</v>
      </c>
      <c r="E17" s="26">
        <f t="shared" si="1"/>
        <v>4837299</v>
      </c>
      <c r="K17" s="2"/>
    </row>
    <row r="18" spans="1:13" x14ac:dyDescent="0.2">
      <c r="A18" t="str">
        <f t="shared" si="0"/>
        <v>2020</v>
      </c>
      <c r="B18" s="23"/>
      <c r="C18" s="19">
        <f>'2.4a'!C18</f>
        <v>5572455</v>
      </c>
      <c r="D18" s="29">
        <f>'2.3a'!H18</f>
        <v>1.0024380190997604</v>
      </c>
      <c r="E18" s="26">
        <f t="shared" si="1"/>
        <v>5586041</v>
      </c>
      <c r="K18" s="2"/>
    </row>
    <row r="19" spans="1:13" x14ac:dyDescent="0.2">
      <c r="A19" t="str">
        <f t="shared" si="0"/>
        <v>2021</v>
      </c>
      <c r="B19" s="23"/>
      <c r="C19" s="19">
        <f>'2.4a'!C19</f>
        <v>25011494</v>
      </c>
      <c r="D19" s="29">
        <f>'2.3a'!H19</f>
        <v>1.0220779797789097</v>
      </c>
      <c r="E19" s="26">
        <f t="shared" si="1"/>
        <v>25563697</v>
      </c>
      <c r="K19" s="2"/>
    </row>
    <row r="20" spans="1:13" x14ac:dyDescent="0.2">
      <c r="A20" t="str">
        <f t="shared" si="0"/>
        <v>2022</v>
      </c>
      <c r="B20" s="23"/>
      <c r="C20" s="19">
        <f>'2.4a'!C20</f>
        <v>11354263</v>
      </c>
      <c r="D20" s="29">
        <f>'2.3a'!H20</f>
        <v>1.0095299940234439</v>
      </c>
      <c r="E20" s="26">
        <f t="shared" si="1"/>
        <v>11462469</v>
      </c>
      <c r="K20" s="2"/>
    </row>
    <row r="21" spans="1:13" x14ac:dyDescent="0.2">
      <c r="A21" t="str">
        <f t="shared" si="0"/>
        <v>2023</v>
      </c>
      <c r="B21" s="23"/>
      <c r="C21" s="19">
        <f>'2.4a'!C21</f>
        <v>32982039</v>
      </c>
      <c r="D21" s="29">
        <f>'2.3a'!H21</f>
        <v>1.0145011836554563</v>
      </c>
      <c r="E21" s="26">
        <f t="shared" si="1"/>
        <v>33460318</v>
      </c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9">
        <f>'2.4a'!C22</f>
        <v>27345722</v>
      </c>
      <c r="D22" s="29">
        <f>'2.3a'!H22</f>
        <v>1.0978237746652892</v>
      </c>
      <c r="E22" s="26">
        <f t="shared" si="1"/>
        <v>30020784</v>
      </c>
      <c r="K22" s="2"/>
      <c r="L22" s="37">
        <f>'2.4a'!L$22</f>
        <v>45930</v>
      </c>
      <c r="M22" s="37">
        <f>'2.4a'!M$22</f>
        <v>46022</v>
      </c>
    </row>
    <row r="23" spans="1:13" x14ac:dyDescent="0.2">
      <c r="A23" t="str">
        <f>TEXT(YEAR($L$22),"#")</f>
        <v>2025</v>
      </c>
      <c r="B23" s="23"/>
      <c r="C23" s="19">
        <f>'2.4a'!C23</f>
        <v>11819458</v>
      </c>
      <c r="D23" s="29">
        <f>'2.3a'!H23</f>
        <v>1.5537498590441758</v>
      </c>
      <c r="E23" s="26">
        <f t="shared" si="1"/>
        <v>18364481</v>
      </c>
      <c r="K23" s="2"/>
      <c r="L23" s="37"/>
      <c r="M23" s="37"/>
    </row>
    <row r="24" spans="1:13" x14ac:dyDescent="0.2">
      <c r="A24" s="9"/>
      <c r="B24" s="24"/>
      <c r="C24" s="25"/>
      <c r="D24" s="98"/>
      <c r="E24" s="27"/>
      <c r="K24" s="2"/>
    </row>
    <row r="25" spans="1:13" x14ac:dyDescent="0.2">
      <c r="K25" s="2"/>
    </row>
    <row r="26" spans="1:13" x14ac:dyDescent="0.2">
      <c r="A26" t="s">
        <v>9</v>
      </c>
      <c r="C26" s="19">
        <f>SUM(C14:C24)</f>
        <v>135165846</v>
      </c>
      <c r="E26" s="19">
        <f>SUM(E14:E24)</f>
        <v>145543765</v>
      </c>
      <c r="K26" s="2"/>
    </row>
    <row r="27" spans="1:13" ht="12" thickBot="1" x14ac:dyDescent="0.25">
      <c r="A27" s="6"/>
      <c r="B27" s="6"/>
      <c r="C27" s="6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 "&amp;'2.4a'!$J$1&amp;", "&amp;'2.4a'!$J$2&amp;", as of "&amp;TEXT($M$22,"m/d/yy")</f>
        <v>(2) Exhibit 2, Sheet 4a, as of 12/31/25</v>
      </c>
      <c r="K30" s="2"/>
    </row>
    <row r="31" spans="1:13" x14ac:dyDescent="0.2">
      <c r="B31" s="12" t="str">
        <f>D12&amp;" "&amp;'2.3a'!M1&amp;", "&amp;'2.3a'!M2</f>
        <v>(3) Exhibit 2, Sheet 3a</v>
      </c>
      <c r="K31" s="2"/>
    </row>
    <row r="32" spans="1:13" x14ac:dyDescent="0.2">
      <c r="B32" s="12" t="str">
        <f>E12&amp;" = "&amp;C12&amp;" * "&amp;D12</f>
        <v>(4) = (2) * (3)</v>
      </c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12"/>
      <c r="K35" s="2"/>
    </row>
    <row r="36" spans="2:11" x14ac:dyDescent="0.2">
      <c r="B36" s="12"/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ageMargins left="0.5" right="0.5" top="0.5" bottom="0.5" header="0.5" footer="0.5"/>
  <pageSetup orientation="portrait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5" width="15.33203125" customWidth="1"/>
    <col min="6" max="9" width="11.33203125" customWidth="1"/>
    <col min="10" max="10" width="13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53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47</v>
      </c>
      <c r="B4" s="12"/>
      <c r="K4" s="2"/>
    </row>
    <row r="5" spans="1:12" x14ac:dyDescent="0.2">
      <c r="A5" t="s">
        <v>437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1" t="s">
        <v>275</v>
      </c>
      <c r="D9" s="11"/>
      <c r="E9" s="11" t="s">
        <v>33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51</v>
      </c>
      <c r="E10" s="11" t="s">
        <v>8</v>
      </c>
      <c r="K10" s="2"/>
    </row>
    <row r="11" spans="1:12" x14ac:dyDescent="0.2">
      <c r="A11" s="9" t="str">
        <f>TEXT($L$22,"m/d")</f>
        <v>9/30</v>
      </c>
      <c r="B11" s="9"/>
      <c r="C11" s="121" t="s">
        <v>50</v>
      </c>
      <c r="D11" s="121" t="s">
        <v>35</v>
      </c>
      <c r="E11" s="121" t="s">
        <v>39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tr">
        <f t="shared" ref="A14:A22" si="0">TEXT(A15-1,"#")</f>
        <v>2016</v>
      </c>
      <c r="B14" s="23"/>
      <c r="C14" s="19">
        <f>'2.4b'!C14</f>
        <v>9531194</v>
      </c>
      <c r="D14" s="29">
        <f>'2.3a'!H14</f>
        <v>1</v>
      </c>
      <c r="E14" s="26">
        <f t="shared" ref="E14:E23" si="1">ROUND(C14*D14,0)</f>
        <v>9531194</v>
      </c>
      <c r="K14" s="2"/>
    </row>
    <row r="15" spans="1:12" x14ac:dyDescent="0.2">
      <c r="A15" t="str">
        <f t="shared" si="0"/>
        <v>2017</v>
      </c>
      <c r="B15" s="23"/>
      <c r="C15" s="19">
        <f>'2.4b'!C15</f>
        <v>7641292</v>
      </c>
      <c r="D15" s="29">
        <f>'2.3a'!H15</f>
        <v>1.0015635939737928</v>
      </c>
      <c r="E15" s="26">
        <f t="shared" si="1"/>
        <v>7653240</v>
      </c>
      <c r="K15" s="2"/>
    </row>
    <row r="16" spans="1:12" x14ac:dyDescent="0.2">
      <c r="A16" t="str">
        <f t="shared" si="0"/>
        <v>2018</v>
      </c>
      <c r="B16" s="23"/>
      <c r="C16" s="19">
        <f>'2.4b'!C16</f>
        <v>1114022</v>
      </c>
      <c r="D16" s="29">
        <f>'2.3a'!H16</f>
        <v>1.0005211979912643</v>
      </c>
      <c r="E16" s="26">
        <f t="shared" si="1"/>
        <v>1114603</v>
      </c>
      <c r="K16" s="2"/>
    </row>
    <row r="17" spans="1:13" x14ac:dyDescent="0.2">
      <c r="A17" t="str">
        <f t="shared" si="0"/>
        <v>2019</v>
      </c>
      <c r="B17" s="23"/>
      <c r="C17" s="19">
        <f>'2.4b'!C17</f>
        <v>832616</v>
      </c>
      <c r="D17" s="29">
        <f>'2.3a'!H17</f>
        <v>1</v>
      </c>
      <c r="E17" s="26">
        <f t="shared" si="1"/>
        <v>832616</v>
      </c>
      <c r="K17" s="2"/>
    </row>
    <row r="18" spans="1:13" x14ac:dyDescent="0.2">
      <c r="A18" t="str">
        <f t="shared" si="0"/>
        <v>2020</v>
      </c>
      <c r="B18" s="23"/>
      <c r="C18" s="19">
        <f>'2.4b'!C18</f>
        <v>476739</v>
      </c>
      <c r="D18" s="29">
        <f>'2.3a'!H18</f>
        <v>1.0024380190997604</v>
      </c>
      <c r="E18" s="26">
        <f t="shared" si="1"/>
        <v>477901</v>
      </c>
      <c r="K18" s="2"/>
    </row>
    <row r="19" spans="1:13" x14ac:dyDescent="0.2">
      <c r="A19" t="str">
        <f t="shared" si="0"/>
        <v>2021</v>
      </c>
      <c r="B19" s="23"/>
      <c r="C19" s="19">
        <f>'2.4b'!C19</f>
        <v>764300</v>
      </c>
      <c r="D19" s="29">
        <f>'2.3a'!H19</f>
        <v>1.0220779797789097</v>
      </c>
      <c r="E19" s="26">
        <f t="shared" si="1"/>
        <v>781174</v>
      </c>
      <c r="K19" s="2"/>
    </row>
    <row r="20" spans="1:13" x14ac:dyDescent="0.2">
      <c r="A20" t="str">
        <f t="shared" si="0"/>
        <v>2022</v>
      </c>
      <c r="B20" s="23"/>
      <c r="C20" s="19">
        <f>'2.4b'!C20</f>
        <v>1122593</v>
      </c>
      <c r="D20" s="29">
        <f>'2.3a'!H20</f>
        <v>1.0095299940234439</v>
      </c>
      <c r="E20" s="26">
        <f t="shared" si="1"/>
        <v>1133291</v>
      </c>
      <c r="K20" s="2"/>
    </row>
    <row r="21" spans="1:13" x14ac:dyDescent="0.2">
      <c r="A21" t="str">
        <f t="shared" si="0"/>
        <v>2023</v>
      </c>
      <c r="B21" s="23"/>
      <c r="C21" s="19">
        <f>'2.4b'!C21</f>
        <v>1670646</v>
      </c>
      <c r="D21" s="29">
        <f>'2.3a'!H21</f>
        <v>1.0145011836554563</v>
      </c>
      <c r="E21" s="26">
        <f t="shared" si="1"/>
        <v>1694872</v>
      </c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9">
        <f>'2.4b'!C22</f>
        <v>917513</v>
      </c>
      <c r="D22" s="29">
        <f>'2.3a'!H22</f>
        <v>1.0978237746652892</v>
      </c>
      <c r="E22" s="26">
        <f t="shared" si="1"/>
        <v>1007268</v>
      </c>
      <c r="K22" s="2"/>
      <c r="L22" s="37">
        <f>'2.4a'!L$22</f>
        <v>45930</v>
      </c>
      <c r="M22" s="37">
        <f>'2.4a'!M$22</f>
        <v>46022</v>
      </c>
    </row>
    <row r="23" spans="1:13" x14ac:dyDescent="0.2">
      <c r="A23" t="str">
        <f>TEXT(YEAR($L$22),"#")</f>
        <v>2025</v>
      </c>
      <c r="B23" s="23"/>
      <c r="C23" s="19">
        <f>'2.4b'!C23</f>
        <v>920698</v>
      </c>
      <c r="D23" s="29">
        <f>'2.3a'!H23</f>
        <v>1.5537498590441758</v>
      </c>
      <c r="E23" s="26">
        <f t="shared" si="1"/>
        <v>1430534</v>
      </c>
      <c r="K23" s="2"/>
      <c r="L23" s="37"/>
      <c r="M23" s="37"/>
    </row>
    <row r="24" spans="1:13" x14ac:dyDescent="0.2">
      <c r="A24" s="9"/>
      <c r="B24" s="24"/>
      <c r="C24" s="25"/>
      <c r="D24" s="98"/>
      <c r="E24" s="27"/>
      <c r="K24" s="2"/>
    </row>
    <row r="25" spans="1:13" x14ac:dyDescent="0.2">
      <c r="K25" s="2"/>
    </row>
    <row r="26" spans="1:13" x14ac:dyDescent="0.2">
      <c r="A26" t="s">
        <v>9</v>
      </c>
      <c r="C26" s="19">
        <f>SUM(C14:C24)</f>
        <v>24991613</v>
      </c>
      <c r="E26" s="19">
        <f>SUM(E14:E24)</f>
        <v>25656693</v>
      </c>
      <c r="K26" s="2"/>
    </row>
    <row r="27" spans="1:13" ht="12" thickBot="1" x14ac:dyDescent="0.25">
      <c r="A27" s="6"/>
      <c r="B27" s="6"/>
      <c r="C27" s="6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 "&amp;'2.4b'!$J$1&amp;", "&amp;'2.4b'!$J$2&amp;", as of "&amp;TEXT($M$22,"m/d/yy")</f>
        <v>(2) Exhibit 2, Sheet 4b, as of 12/31/25</v>
      </c>
      <c r="K30" s="2"/>
    </row>
    <row r="31" spans="1:13" x14ac:dyDescent="0.2">
      <c r="B31" s="12" t="str">
        <f>D12&amp;" "&amp;'2.3a'!M1&amp;", "&amp;'2.3a'!M2</f>
        <v>(3) Exhibit 2, Sheet 3a</v>
      </c>
      <c r="K31" s="2"/>
    </row>
    <row r="32" spans="1:13" x14ac:dyDescent="0.2">
      <c r="B32" s="12" t="str">
        <f>E12&amp;" = "&amp;C12&amp;" * "&amp;D12</f>
        <v>(4) = (2) * (3)</v>
      </c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12"/>
      <c r="K35" s="2"/>
    </row>
    <row r="36" spans="2:11" x14ac:dyDescent="0.2">
      <c r="B36" s="12"/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5" width="15.33203125" customWidth="1"/>
    <col min="6" max="9" width="11.33203125" customWidth="1"/>
    <col min="10" max="10" width="13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54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47</v>
      </c>
      <c r="B4" s="12"/>
      <c r="K4" s="2"/>
    </row>
    <row r="5" spans="1:12" x14ac:dyDescent="0.2">
      <c r="A5" t="s">
        <v>438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1" t="s">
        <v>275</v>
      </c>
      <c r="D9" s="11"/>
      <c r="E9" s="11" t="s">
        <v>33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51</v>
      </c>
      <c r="E10" s="11" t="s">
        <v>8</v>
      </c>
      <c r="K10" s="2"/>
    </row>
    <row r="11" spans="1:12" x14ac:dyDescent="0.2">
      <c r="A11" s="9" t="str">
        <f>TEXT($L$22,"m/d")</f>
        <v>9/30</v>
      </c>
      <c r="B11" s="9"/>
      <c r="C11" s="121" t="s">
        <v>50</v>
      </c>
      <c r="D11" s="121" t="s">
        <v>35</v>
      </c>
      <c r="E11" s="121" t="s">
        <v>39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tr">
        <f t="shared" ref="A14:A22" si="0">TEXT(A15-1,"#")</f>
        <v>2016</v>
      </c>
      <c r="B14" s="23"/>
      <c r="C14" s="19">
        <f>'2.4c'!C14</f>
        <v>12167890</v>
      </c>
      <c r="D14" s="29">
        <f>'2.3a'!H14</f>
        <v>1</v>
      </c>
      <c r="E14" s="26">
        <f t="shared" ref="E14:E23" si="1">ROUND(C14*D14,0)</f>
        <v>12167890</v>
      </c>
      <c r="K14" s="2"/>
    </row>
    <row r="15" spans="1:12" x14ac:dyDescent="0.2">
      <c r="A15" t="str">
        <f t="shared" si="0"/>
        <v>2017</v>
      </c>
      <c r="B15" s="23"/>
      <c r="C15" s="19">
        <f>'2.4c'!C15</f>
        <v>21824214</v>
      </c>
      <c r="D15" s="29">
        <f>'2.3a'!H15</f>
        <v>1.0015635939737928</v>
      </c>
      <c r="E15" s="26">
        <f t="shared" si="1"/>
        <v>21858338</v>
      </c>
      <c r="K15" s="2"/>
    </row>
    <row r="16" spans="1:12" x14ac:dyDescent="0.2">
      <c r="A16" t="str">
        <f t="shared" si="0"/>
        <v>2018</v>
      </c>
      <c r="B16" s="23"/>
      <c r="C16" s="19">
        <f>'2.4c'!C16</f>
        <v>6765244</v>
      </c>
      <c r="D16" s="29">
        <f>'2.3a'!H16</f>
        <v>1.0005211979912643</v>
      </c>
      <c r="E16" s="26">
        <f t="shared" si="1"/>
        <v>6768770</v>
      </c>
      <c r="K16" s="2"/>
    </row>
    <row r="17" spans="1:13" x14ac:dyDescent="0.2">
      <c r="A17" t="str">
        <f t="shared" si="0"/>
        <v>2019</v>
      </c>
      <c r="B17" s="23"/>
      <c r="C17" s="19">
        <f>'2.4c'!C17</f>
        <v>10108613</v>
      </c>
      <c r="D17" s="29">
        <f>'2.3a'!H17</f>
        <v>1</v>
      </c>
      <c r="E17" s="26">
        <f t="shared" si="1"/>
        <v>10108613</v>
      </c>
      <c r="K17" s="2"/>
    </row>
    <row r="18" spans="1:13" x14ac:dyDescent="0.2">
      <c r="A18" t="str">
        <f t="shared" si="0"/>
        <v>2020</v>
      </c>
      <c r="B18" s="23"/>
      <c r="C18" s="19">
        <f>'2.4c'!C18</f>
        <v>21791943</v>
      </c>
      <c r="D18" s="29">
        <f>'2.3a'!H18</f>
        <v>1.0024380190997604</v>
      </c>
      <c r="E18" s="26">
        <f t="shared" si="1"/>
        <v>21845072</v>
      </c>
      <c r="K18" s="2"/>
    </row>
    <row r="19" spans="1:13" x14ac:dyDescent="0.2">
      <c r="A19" t="str">
        <f t="shared" si="0"/>
        <v>2021</v>
      </c>
      <c r="B19" s="23"/>
      <c r="C19" s="19">
        <f>'2.4c'!C19</f>
        <v>29417504</v>
      </c>
      <c r="D19" s="29">
        <f>'2.3a'!H19</f>
        <v>1.0220779797789097</v>
      </c>
      <c r="E19" s="26">
        <f t="shared" si="1"/>
        <v>30066983</v>
      </c>
      <c r="K19" s="2"/>
    </row>
    <row r="20" spans="1:13" x14ac:dyDescent="0.2">
      <c r="A20" t="str">
        <f t="shared" si="0"/>
        <v>2022</v>
      </c>
      <c r="B20" s="23"/>
      <c r="C20" s="19">
        <f>'2.4c'!C20</f>
        <v>12922113</v>
      </c>
      <c r="D20" s="29">
        <f>'2.3a'!H20</f>
        <v>1.0095299940234439</v>
      </c>
      <c r="E20" s="26">
        <f t="shared" si="1"/>
        <v>13045261</v>
      </c>
      <c r="K20" s="2"/>
    </row>
    <row r="21" spans="1:13" x14ac:dyDescent="0.2">
      <c r="A21" t="str">
        <f t="shared" si="0"/>
        <v>2023</v>
      </c>
      <c r="B21" s="23"/>
      <c r="C21" s="19">
        <f>'2.4c'!C21</f>
        <v>32155262</v>
      </c>
      <c r="D21" s="29">
        <f>'2.3a'!H21</f>
        <v>1.0145011836554563</v>
      </c>
      <c r="E21" s="26">
        <f t="shared" si="1"/>
        <v>32621551</v>
      </c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9">
        <f>'2.4c'!C22</f>
        <v>69925169</v>
      </c>
      <c r="D22" s="29">
        <f>'2.3a'!H22</f>
        <v>1.0978237746652892</v>
      </c>
      <c r="E22" s="26">
        <f t="shared" si="1"/>
        <v>76765513</v>
      </c>
      <c r="K22" s="2"/>
      <c r="L22" s="37">
        <f>'2.4a'!L$22</f>
        <v>45930</v>
      </c>
      <c r="M22" s="37">
        <f>'2.4a'!M$22</f>
        <v>46022</v>
      </c>
    </row>
    <row r="23" spans="1:13" x14ac:dyDescent="0.2">
      <c r="A23" t="str">
        <f>TEXT(YEAR($L$22),"#")</f>
        <v>2025</v>
      </c>
      <c r="B23" s="23"/>
      <c r="C23" s="19">
        <f>'2.4c'!C23</f>
        <v>20905505</v>
      </c>
      <c r="D23" s="29">
        <f>'2.3a'!H23</f>
        <v>1.5537498590441758</v>
      </c>
      <c r="E23" s="26">
        <f t="shared" si="1"/>
        <v>32481925</v>
      </c>
      <c r="K23" s="2"/>
      <c r="L23" s="37"/>
      <c r="M23" s="37"/>
    </row>
    <row r="24" spans="1:13" x14ac:dyDescent="0.2">
      <c r="A24" s="9"/>
      <c r="B24" s="24"/>
      <c r="C24" s="25"/>
      <c r="D24" s="98"/>
      <c r="E24" s="27"/>
      <c r="K24" s="2"/>
    </row>
    <row r="25" spans="1:13" x14ac:dyDescent="0.2">
      <c r="K25" s="2"/>
    </row>
    <row r="26" spans="1:13" x14ac:dyDescent="0.2">
      <c r="A26" t="s">
        <v>9</v>
      </c>
      <c r="C26" s="19">
        <f>SUM(C14:C24)</f>
        <v>237983457</v>
      </c>
      <c r="E26" s="19">
        <f>SUM(E14:E24)</f>
        <v>257729916</v>
      </c>
      <c r="K26" s="2"/>
    </row>
    <row r="27" spans="1:13" ht="12" thickBot="1" x14ac:dyDescent="0.25">
      <c r="A27" s="6"/>
      <c r="B27" s="6"/>
      <c r="C27" s="6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 "&amp;'2.4c'!$J$1&amp;", "&amp;'2.4c'!$J$2&amp;", as of "&amp;TEXT($M$22,"m/d/yy")</f>
        <v>(2) Exhibit 2, Sheet 4c, as of 12/31/25</v>
      </c>
      <c r="K30" s="2"/>
    </row>
    <row r="31" spans="1:13" x14ac:dyDescent="0.2">
      <c r="B31" s="12" t="str">
        <f>D12&amp;" "&amp;'2.3a'!M1&amp;", "&amp;'2.3a'!M2</f>
        <v>(3) Exhibit 2, Sheet 3a</v>
      </c>
      <c r="K31" s="2"/>
    </row>
    <row r="32" spans="1:13" x14ac:dyDescent="0.2">
      <c r="B32" s="12" t="str">
        <f>E12&amp;" = "&amp;C12&amp;" * "&amp;D12</f>
        <v>(4) = (2) * (3)</v>
      </c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12"/>
      <c r="K35" s="2"/>
    </row>
    <row r="36" spans="2:11" x14ac:dyDescent="0.2"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5" width="15.33203125" customWidth="1"/>
    <col min="6" max="9" width="11.33203125" customWidth="1"/>
    <col min="10" max="10" width="13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369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47</v>
      </c>
      <c r="B4" s="12"/>
      <c r="K4" s="2"/>
    </row>
    <row r="5" spans="1:12" x14ac:dyDescent="0.2">
      <c r="A5" t="s">
        <v>439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1" t="s">
        <v>275</v>
      </c>
      <c r="D9" s="11"/>
      <c r="E9" s="11" t="s">
        <v>33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51</v>
      </c>
      <c r="E10" s="11" t="s">
        <v>8</v>
      </c>
      <c r="K10" s="2"/>
    </row>
    <row r="11" spans="1:12" x14ac:dyDescent="0.2">
      <c r="A11" s="9" t="str">
        <f>TEXT($L$22,"m/d")</f>
        <v>9/30</v>
      </c>
      <c r="B11" s="9"/>
      <c r="C11" s="121" t="s">
        <v>50</v>
      </c>
      <c r="D11" s="121" t="s">
        <v>35</v>
      </c>
      <c r="E11" s="121" t="s">
        <v>39</v>
      </c>
      <c r="K11" s="2"/>
    </row>
    <row r="12" spans="1:12" x14ac:dyDescent="0.2">
      <c r="A12" s="7" t="str">
        <f>TEXT(COLUMN(),"(#)")</f>
        <v>(1)</v>
      </c>
      <c r="B12" s="7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tr">
        <f t="shared" ref="A14:A22" si="0">TEXT(A15-1,"#")</f>
        <v>2016</v>
      </c>
      <c r="B14" s="23"/>
      <c r="C14" s="19">
        <f>'2.4d'!C14</f>
        <v>446449</v>
      </c>
      <c r="D14" s="29">
        <f>'2.3a'!H14</f>
        <v>1</v>
      </c>
      <c r="E14" s="26">
        <f>ROUND(C14*D14,0)</f>
        <v>446449</v>
      </c>
      <c r="K14" s="2"/>
    </row>
    <row r="15" spans="1:12" x14ac:dyDescent="0.2">
      <c r="A15" t="str">
        <f t="shared" si="0"/>
        <v>2017</v>
      </c>
      <c r="B15" s="23"/>
      <c r="C15" s="19">
        <f>'2.4d'!C15</f>
        <v>481121</v>
      </c>
      <c r="D15" s="29">
        <f>'2.3a'!H15</f>
        <v>1.0015635939737928</v>
      </c>
      <c r="E15" s="26">
        <f t="shared" ref="E15:E22" si="1">ROUND(C15*D15,0)</f>
        <v>481873</v>
      </c>
      <c r="K15" s="2"/>
    </row>
    <row r="16" spans="1:12" x14ac:dyDescent="0.2">
      <c r="A16" t="str">
        <f t="shared" si="0"/>
        <v>2018</v>
      </c>
      <c r="B16" s="23"/>
      <c r="C16" s="19">
        <f>'2.4d'!C16</f>
        <v>282709</v>
      </c>
      <c r="D16" s="29">
        <f>'2.3a'!H16</f>
        <v>1.0005211979912643</v>
      </c>
      <c r="E16" s="26">
        <f t="shared" si="1"/>
        <v>282856</v>
      </c>
      <c r="K16" s="2"/>
    </row>
    <row r="17" spans="1:13" x14ac:dyDescent="0.2">
      <c r="A17" t="str">
        <f t="shared" si="0"/>
        <v>2019</v>
      </c>
      <c r="B17" s="23"/>
      <c r="C17" s="19">
        <f>'2.4d'!C17</f>
        <v>2701499</v>
      </c>
      <c r="D17" s="29">
        <f>'2.3a'!H17</f>
        <v>1</v>
      </c>
      <c r="E17" s="26">
        <f t="shared" si="1"/>
        <v>2701499</v>
      </c>
      <c r="K17" s="2"/>
    </row>
    <row r="18" spans="1:13" x14ac:dyDescent="0.2">
      <c r="A18" t="str">
        <f t="shared" si="0"/>
        <v>2020</v>
      </c>
      <c r="B18" s="23"/>
      <c r="C18" s="19">
        <f>'2.4d'!C18</f>
        <v>449893</v>
      </c>
      <c r="D18" s="29">
        <f>'2.3a'!H18</f>
        <v>1.0024380190997604</v>
      </c>
      <c r="E18" s="26">
        <f t="shared" si="1"/>
        <v>450990</v>
      </c>
      <c r="K18" s="2"/>
    </row>
    <row r="19" spans="1:13" x14ac:dyDescent="0.2">
      <c r="A19" t="str">
        <f t="shared" si="0"/>
        <v>2021</v>
      </c>
      <c r="B19" s="23"/>
      <c r="C19" s="19">
        <f>'2.4d'!C19</f>
        <v>2090668</v>
      </c>
      <c r="D19" s="29">
        <f>'2.3a'!H19</f>
        <v>1.0220779797789097</v>
      </c>
      <c r="E19" s="26">
        <f t="shared" si="1"/>
        <v>2136826</v>
      </c>
      <c r="K19" s="2"/>
    </row>
    <row r="20" spans="1:13" x14ac:dyDescent="0.2">
      <c r="A20" t="str">
        <f t="shared" si="0"/>
        <v>2022</v>
      </c>
      <c r="B20" s="23"/>
      <c r="C20" s="19">
        <f>'2.4d'!C20</f>
        <v>745016</v>
      </c>
      <c r="D20" s="29">
        <f>'2.3a'!H20</f>
        <v>1.0095299940234439</v>
      </c>
      <c r="E20" s="26">
        <f t="shared" si="1"/>
        <v>752116</v>
      </c>
      <c r="K20" s="2"/>
    </row>
    <row r="21" spans="1:13" x14ac:dyDescent="0.2">
      <c r="A21" t="str">
        <f t="shared" si="0"/>
        <v>2023</v>
      </c>
      <c r="B21" s="23"/>
      <c r="C21" s="19">
        <f>'2.4d'!C21</f>
        <v>4269620</v>
      </c>
      <c r="D21" s="29">
        <f>'2.3a'!H21</f>
        <v>1.0145011836554563</v>
      </c>
      <c r="E21" s="26">
        <f t="shared" si="1"/>
        <v>4331535</v>
      </c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9">
        <f>'2.4d'!C22</f>
        <v>1422262</v>
      </c>
      <c r="D22" s="29">
        <f>'2.3a'!H22</f>
        <v>1.0978237746652892</v>
      </c>
      <c r="E22" s="26">
        <f t="shared" si="1"/>
        <v>1561393</v>
      </c>
      <c r="K22" s="2"/>
      <c r="L22" s="37">
        <f>'2.4a'!L$22</f>
        <v>45930</v>
      </c>
      <c r="M22" s="37">
        <f>'2.4a'!M$22</f>
        <v>46022</v>
      </c>
    </row>
    <row r="23" spans="1:13" x14ac:dyDescent="0.2">
      <c r="A23" t="str">
        <f>TEXT(YEAR($L$22),"#")</f>
        <v>2025</v>
      </c>
      <c r="B23" s="23"/>
      <c r="C23" s="19">
        <f>'2.4d'!C23</f>
        <v>689030</v>
      </c>
      <c r="D23" s="29">
        <f>'2.3a'!H23</f>
        <v>1.5537498590441758</v>
      </c>
      <c r="E23" s="26">
        <f>ROUND(C23*D23,0)</f>
        <v>1070580</v>
      </c>
      <c r="K23" s="2"/>
      <c r="L23" s="37"/>
      <c r="M23" s="37"/>
    </row>
    <row r="24" spans="1:13" x14ac:dyDescent="0.2">
      <c r="A24" s="9"/>
      <c r="B24" s="24"/>
      <c r="C24" s="25"/>
      <c r="D24" s="98"/>
      <c r="E24" s="27"/>
      <c r="K24" s="2"/>
    </row>
    <row r="25" spans="1:13" x14ac:dyDescent="0.2">
      <c r="K25" s="2"/>
    </row>
    <row r="26" spans="1:13" x14ac:dyDescent="0.2">
      <c r="A26" t="s">
        <v>9</v>
      </c>
      <c r="C26" s="19">
        <f>SUM(C14:C23)</f>
        <v>13578267</v>
      </c>
      <c r="E26" s="19">
        <f>SUM(E14:E23)</f>
        <v>14216117</v>
      </c>
      <c r="K26" s="2"/>
    </row>
    <row r="27" spans="1:13" ht="12" thickBot="1" x14ac:dyDescent="0.25">
      <c r="A27" s="6"/>
      <c r="B27" s="6"/>
      <c r="C27" s="6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 "&amp;'2.4d'!$J$1&amp;", "&amp;'2.4d'!$J$2&amp;", as of "&amp;TEXT($M$22,"m/d/yy")</f>
        <v>(2) Exhibit 2, Sheet 4d, as of 12/31/25</v>
      </c>
      <c r="K30" s="2"/>
    </row>
    <row r="31" spans="1:13" x14ac:dyDescent="0.2">
      <c r="B31" s="12" t="str">
        <f>D12&amp;" "&amp;'2.3a'!M1&amp;", "&amp;'2.3a'!M2</f>
        <v>(3) Exhibit 2, Sheet 3a</v>
      </c>
      <c r="K31" s="2"/>
    </row>
    <row r="32" spans="1:13" x14ac:dyDescent="0.2">
      <c r="B32" s="12" t="str">
        <f>E12&amp;" = "&amp;C12&amp;" * "&amp;D12</f>
        <v>(4) = (2) * (3)</v>
      </c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12"/>
      <c r="G35" t="s">
        <v>280</v>
      </c>
      <c r="K35" s="2"/>
    </row>
    <row r="36" spans="2:11" x14ac:dyDescent="0.2"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3" width="15.33203125" style="11" customWidth="1"/>
    <col min="4" max="5" width="15.33203125" customWidth="1"/>
    <col min="6" max="9" width="11.33203125" customWidth="1"/>
    <col min="10" max="10" width="13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56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tr">
        <f>"Summary of TWIA Historical Paid Loss as of "&amp;TEXT($M$22,"m/d/yy")</f>
        <v>Summary of TWIA Historical Paid Loss as of 12/31/25</v>
      </c>
      <c r="B4" s="12"/>
      <c r="K4" s="2"/>
    </row>
    <row r="5" spans="1:12" x14ac:dyDescent="0.2">
      <c r="A5" t="s">
        <v>436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101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0" t="s">
        <v>55</v>
      </c>
      <c r="K9" s="2"/>
      <c r="L9" s="17"/>
    </row>
    <row r="10" spans="1:12" x14ac:dyDescent="0.2">
      <c r="A10" t="s">
        <v>32</v>
      </c>
      <c r="C10"/>
      <c r="K10" s="2"/>
    </row>
    <row r="11" spans="1:12" x14ac:dyDescent="0.2">
      <c r="A11" s="9" t="str">
        <f>TEXT($L$22,"m/d")</f>
        <v>9/30</v>
      </c>
      <c r="B11" s="9"/>
      <c r="C11" s="121" t="s">
        <v>8</v>
      </c>
      <c r="D11" s="121" t="s">
        <v>6</v>
      </c>
      <c r="E11" s="121" t="s">
        <v>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C13"/>
      <c r="K13" s="2"/>
    </row>
    <row r="14" spans="1:12" x14ac:dyDescent="0.2">
      <c r="A14" t="str">
        <f t="shared" ref="A14:A22" si="0">TEXT(A15-1,"#")</f>
        <v>2016</v>
      </c>
      <c r="B14" s="23"/>
      <c r="C14" s="151">
        <f>'[2]TICO 3'!X31</f>
        <v>10985881</v>
      </c>
      <c r="D14" s="151">
        <f>'[2]TICO 3'!S31</f>
        <v>0</v>
      </c>
      <c r="E14" s="26">
        <f t="shared" ref="E14:E23" si="1">C14+D14</f>
        <v>10985881</v>
      </c>
      <c r="K14" s="2"/>
    </row>
    <row r="15" spans="1:12" x14ac:dyDescent="0.2">
      <c r="A15" t="str">
        <f t="shared" si="0"/>
        <v>2017</v>
      </c>
      <c r="B15" s="23"/>
      <c r="C15" s="151">
        <f>'[2]TICO 3'!X32</f>
        <v>2705551</v>
      </c>
      <c r="D15" s="151">
        <f>'[2]TICO 3'!S32</f>
        <v>35585978</v>
      </c>
      <c r="E15" s="26">
        <f t="shared" si="1"/>
        <v>38291529</v>
      </c>
      <c r="K15" s="2"/>
    </row>
    <row r="16" spans="1:12" x14ac:dyDescent="0.2">
      <c r="A16" t="str">
        <f t="shared" si="0"/>
        <v>2018</v>
      </c>
      <c r="B16" s="23"/>
      <c r="C16" s="151">
        <f>'[2]TICO 3'!X33</f>
        <v>2551684</v>
      </c>
      <c r="D16" s="151">
        <f>'[2]TICO 3'!S33</f>
        <v>0</v>
      </c>
      <c r="E16" s="26">
        <f t="shared" si="1"/>
        <v>2551684</v>
      </c>
      <c r="K16" s="2"/>
    </row>
    <row r="17" spans="1:13" x14ac:dyDescent="0.2">
      <c r="A17" t="str">
        <f t="shared" si="0"/>
        <v>2019</v>
      </c>
      <c r="B17" s="23"/>
      <c r="C17" s="151">
        <f>'[2]TICO 3'!X34</f>
        <v>4837299</v>
      </c>
      <c r="D17" s="151">
        <f>'[2]TICO 3'!S34</f>
        <v>0</v>
      </c>
      <c r="E17" s="26">
        <f t="shared" si="1"/>
        <v>4837299</v>
      </c>
      <c r="K17" s="2"/>
    </row>
    <row r="18" spans="1:13" x14ac:dyDescent="0.2">
      <c r="A18" t="str">
        <f t="shared" si="0"/>
        <v>2020</v>
      </c>
      <c r="B18" s="23"/>
      <c r="C18" s="151">
        <f>'[2]TICO 3'!X35</f>
        <v>5572455</v>
      </c>
      <c r="D18" s="151">
        <f>'[2]TICO 3'!S35</f>
        <v>30724</v>
      </c>
      <c r="E18" s="26">
        <f t="shared" si="1"/>
        <v>5603179</v>
      </c>
      <c r="K18" s="2"/>
    </row>
    <row r="19" spans="1:13" x14ac:dyDescent="0.2">
      <c r="A19" t="str">
        <f t="shared" si="0"/>
        <v>2021</v>
      </c>
      <c r="B19" s="23"/>
      <c r="C19" s="151">
        <f>'[2]TICO 3'!X36</f>
        <v>25011494</v>
      </c>
      <c r="D19" s="151">
        <f>'[2]TICO 3'!S36</f>
        <v>381777</v>
      </c>
      <c r="E19" s="26">
        <f t="shared" si="1"/>
        <v>25393271</v>
      </c>
      <c r="K19" s="2"/>
    </row>
    <row r="20" spans="1:13" x14ac:dyDescent="0.2">
      <c r="A20" t="str">
        <f t="shared" si="0"/>
        <v>2022</v>
      </c>
      <c r="B20" s="23"/>
      <c r="C20" s="151">
        <f>'[2]TICO 3'!X37</f>
        <v>11354263</v>
      </c>
      <c r="D20" s="151">
        <f>'[2]TICO 3'!S37</f>
        <v>0</v>
      </c>
      <c r="E20" s="26">
        <f t="shared" si="1"/>
        <v>11354263</v>
      </c>
      <c r="K20" s="2"/>
    </row>
    <row r="21" spans="1:13" x14ac:dyDescent="0.2">
      <c r="A21" t="str">
        <f t="shared" si="0"/>
        <v>2023</v>
      </c>
      <c r="B21" s="23"/>
      <c r="C21" s="151">
        <f>'[2]TICO 3'!X38</f>
        <v>32982039</v>
      </c>
      <c r="D21" s="151">
        <f>'[2]TICO 3'!S38</f>
        <v>0</v>
      </c>
      <c r="E21" s="26">
        <f t="shared" si="1"/>
        <v>32982039</v>
      </c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51">
        <f>'[2]TICO 3'!X39</f>
        <v>27345722</v>
      </c>
      <c r="D22" s="151">
        <f>'[2]TICO 3'!S39</f>
        <v>129890660</v>
      </c>
      <c r="E22" s="26">
        <f t="shared" si="1"/>
        <v>157236382</v>
      </c>
      <c r="K22" s="2"/>
      <c r="L22" s="37">
        <f>'2.4d'!L22</f>
        <v>45930</v>
      </c>
      <c r="M22" s="37">
        <f>'2.4d'!M22</f>
        <v>46022</v>
      </c>
    </row>
    <row r="23" spans="1:13" x14ac:dyDescent="0.2">
      <c r="A23" t="str">
        <f>TEXT(YEAR($L$22),"#")</f>
        <v>2025</v>
      </c>
      <c r="B23" s="23"/>
      <c r="C23" s="151">
        <f>'[2]TICO 3'!X40</f>
        <v>11819458</v>
      </c>
      <c r="D23" s="151">
        <f>'[2]TICO 3'!S40</f>
        <v>0</v>
      </c>
      <c r="E23" s="26">
        <f t="shared" si="1"/>
        <v>11819458</v>
      </c>
      <c r="K23" s="2"/>
      <c r="L23" s="55"/>
      <c r="M23" s="55"/>
    </row>
    <row r="24" spans="1:13" x14ac:dyDescent="0.2">
      <c r="A24" s="9"/>
      <c r="B24" s="24"/>
      <c r="C24" s="46"/>
      <c r="D24" s="46"/>
      <c r="E24" s="27"/>
      <c r="K24" s="2"/>
    </row>
    <row r="25" spans="1:13" x14ac:dyDescent="0.2">
      <c r="C25"/>
      <c r="K25" s="2"/>
    </row>
    <row r="26" spans="1:13" x14ac:dyDescent="0.2">
      <c r="A26" t="s">
        <v>9</v>
      </c>
      <c r="C26" s="19">
        <f>SUM(C14:C24)</f>
        <v>135165846</v>
      </c>
      <c r="D26" s="19">
        <f>SUM(D14:D24)</f>
        <v>165889139</v>
      </c>
      <c r="E26" s="19">
        <f>SUM(E14:E24)</f>
        <v>301054985</v>
      </c>
      <c r="K26" s="2"/>
    </row>
    <row r="27" spans="1:13" ht="12" thickBot="1" x14ac:dyDescent="0.25">
      <c r="A27" s="6"/>
      <c r="B27" s="6"/>
      <c r="C27" s="101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C12&amp;","&amp;D12&amp;" Provided by TDI.  Accident years ending "&amp;TEXT($L$22,"m/d/xx")</f>
        <v>(2),(3) Provided by TDI.  Accident years ending 9/30/xx</v>
      </c>
      <c r="K30" s="2"/>
    </row>
    <row r="31" spans="1:13" x14ac:dyDescent="0.2">
      <c r="B31" s="12" t="str">
        <f>E12&amp;" = "&amp;C12&amp;" + "&amp;D12</f>
        <v>(4) = (2) + (3)</v>
      </c>
      <c r="K31" s="2"/>
    </row>
    <row r="32" spans="1:13" x14ac:dyDescent="0.2">
      <c r="B32" s="12"/>
      <c r="K32" s="2"/>
    </row>
    <row r="33" spans="2:11" x14ac:dyDescent="0.2">
      <c r="B33" s="12"/>
      <c r="K33" s="2"/>
    </row>
    <row r="34" spans="2:11" x14ac:dyDescent="0.2">
      <c r="K34" s="2"/>
    </row>
    <row r="35" spans="2:11" x14ac:dyDescent="0.2">
      <c r="B35" s="12"/>
      <c r="K35" s="2"/>
    </row>
    <row r="36" spans="2:11" x14ac:dyDescent="0.2">
      <c r="B36" s="12"/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102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5" width="15.33203125" customWidth="1"/>
    <col min="6" max="9" width="11.33203125" customWidth="1"/>
    <col min="10" max="10" width="13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57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tr">
        <f>"Summary of TWIA Historical Paid Loss as of "&amp;TEXT($M$22,"m/d/yy")</f>
        <v>Summary of TWIA Historical Paid Loss as of 12/31/25</v>
      </c>
      <c r="B4" s="12"/>
      <c r="K4" s="2"/>
    </row>
    <row r="5" spans="1:12" x14ac:dyDescent="0.2">
      <c r="A5" t="s">
        <v>437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0" t="s">
        <v>55</v>
      </c>
      <c r="K9" s="2"/>
      <c r="L9" s="17"/>
    </row>
    <row r="10" spans="1:12" x14ac:dyDescent="0.2">
      <c r="A10" t="s">
        <v>32</v>
      </c>
      <c r="K10" s="2"/>
    </row>
    <row r="11" spans="1:12" x14ac:dyDescent="0.2">
      <c r="A11" s="9" t="str">
        <f>TEXT($L$22,"m/d")</f>
        <v>9/30</v>
      </c>
      <c r="B11" s="9"/>
      <c r="C11" s="121" t="s">
        <v>8</v>
      </c>
      <c r="D11" s="121" t="s">
        <v>6</v>
      </c>
      <c r="E11" s="121" t="s">
        <v>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tr">
        <f t="shared" ref="A14:A22" si="0">TEXT(A15-1,"#")</f>
        <v>2016</v>
      </c>
      <c r="B14" s="23"/>
      <c r="C14" s="151">
        <f>'[2]TICO 3'!Y31</f>
        <v>9531194</v>
      </c>
      <c r="D14" s="151">
        <f>'[2]TICO 3'!T31</f>
        <v>0</v>
      </c>
      <c r="E14" s="26">
        <f t="shared" ref="E14:E23" si="1">C14+D14</f>
        <v>9531194</v>
      </c>
      <c r="K14" s="2"/>
    </row>
    <row r="15" spans="1:12" x14ac:dyDescent="0.2">
      <c r="A15" t="str">
        <f t="shared" si="0"/>
        <v>2017</v>
      </c>
      <c r="B15" s="23"/>
      <c r="C15" s="151">
        <f>'[2]TICO 3'!Y32</f>
        <v>7641292</v>
      </c>
      <c r="D15" s="151">
        <f>'[2]TICO 3'!T32</f>
        <v>251009783</v>
      </c>
      <c r="E15" s="26">
        <f t="shared" si="1"/>
        <v>258651075</v>
      </c>
      <c r="K15" s="2"/>
    </row>
    <row r="16" spans="1:12" x14ac:dyDescent="0.2">
      <c r="A16" t="str">
        <f t="shared" si="0"/>
        <v>2018</v>
      </c>
      <c r="B16" s="23"/>
      <c r="C16" s="151">
        <f>'[2]TICO 3'!Y33</f>
        <v>1114022</v>
      </c>
      <c r="D16" s="151">
        <f>'[2]TICO 3'!T33</f>
        <v>0</v>
      </c>
      <c r="E16" s="26">
        <f t="shared" si="1"/>
        <v>1114022</v>
      </c>
      <c r="K16" s="2"/>
    </row>
    <row r="17" spans="1:13" x14ac:dyDescent="0.2">
      <c r="A17" t="str">
        <f t="shared" si="0"/>
        <v>2019</v>
      </c>
      <c r="B17" s="23"/>
      <c r="C17" s="151">
        <f>'[2]TICO 3'!Y34</f>
        <v>832616</v>
      </c>
      <c r="D17" s="151">
        <f>'[2]TICO 3'!T34</f>
        <v>0</v>
      </c>
      <c r="E17" s="26">
        <f t="shared" si="1"/>
        <v>832616</v>
      </c>
      <c r="K17" s="2"/>
    </row>
    <row r="18" spans="1:13" x14ac:dyDescent="0.2">
      <c r="A18" t="str">
        <f t="shared" si="0"/>
        <v>2020</v>
      </c>
      <c r="B18" s="23"/>
      <c r="C18" s="151">
        <f>'[2]TICO 3'!Y35</f>
        <v>476739</v>
      </c>
      <c r="D18" s="151">
        <f>'[2]TICO 3'!T35</f>
        <v>1826271</v>
      </c>
      <c r="E18" s="26">
        <f t="shared" si="1"/>
        <v>2303010</v>
      </c>
      <c r="K18" s="2"/>
    </row>
    <row r="19" spans="1:13" x14ac:dyDescent="0.2">
      <c r="A19" t="str">
        <f t="shared" si="0"/>
        <v>2021</v>
      </c>
      <c r="B19" s="23"/>
      <c r="C19" s="151">
        <f>'[2]TICO 3'!Y36</f>
        <v>764300</v>
      </c>
      <c r="D19" s="151">
        <f>'[2]TICO 3'!T36</f>
        <v>0</v>
      </c>
      <c r="E19" s="26">
        <f t="shared" si="1"/>
        <v>764300</v>
      </c>
      <c r="K19" s="2"/>
    </row>
    <row r="20" spans="1:13" x14ac:dyDescent="0.2">
      <c r="A20" t="str">
        <f t="shared" si="0"/>
        <v>2022</v>
      </c>
      <c r="B20" s="23"/>
      <c r="C20" s="151">
        <f>'[2]TICO 3'!Y37</f>
        <v>1122593</v>
      </c>
      <c r="D20" s="151">
        <f>'[2]TICO 3'!T37</f>
        <v>0</v>
      </c>
      <c r="E20" s="26">
        <f t="shared" si="1"/>
        <v>1122593</v>
      </c>
      <c r="K20" s="2"/>
    </row>
    <row r="21" spans="1:13" x14ac:dyDescent="0.2">
      <c r="A21" t="str">
        <f t="shared" si="0"/>
        <v>2023</v>
      </c>
      <c r="B21" s="23"/>
      <c r="C21" s="151">
        <f>'[2]TICO 3'!Y38</f>
        <v>1670646</v>
      </c>
      <c r="D21" s="151">
        <f>'[2]TICO 3'!T38</f>
        <v>0</v>
      </c>
      <c r="E21" s="26">
        <f t="shared" si="1"/>
        <v>1670646</v>
      </c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51">
        <f>'[2]TICO 3'!Y39</f>
        <v>917513</v>
      </c>
      <c r="D22" s="151">
        <f>'[2]TICO 3'!T39</f>
        <v>33840</v>
      </c>
      <c r="E22" s="26">
        <f t="shared" si="1"/>
        <v>951353</v>
      </c>
      <c r="K22" s="2"/>
      <c r="L22" s="37">
        <f>'2.4d'!L22</f>
        <v>45930</v>
      </c>
      <c r="M22" s="37">
        <f>'2.4d'!M22</f>
        <v>46022</v>
      </c>
    </row>
    <row r="23" spans="1:13" x14ac:dyDescent="0.2">
      <c r="A23" t="str">
        <f>TEXT(YEAR($L$22),"#")</f>
        <v>2025</v>
      </c>
      <c r="B23" s="23"/>
      <c r="C23" s="151">
        <f>'[2]TICO 3'!Y40</f>
        <v>920698</v>
      </c>
      <c r="D23" s="151">
        <f>'[2]TICO 3'!T40</f>
        <v>0</v>
      </c>
      <c r="E23" s="26">
        <f t="shared" si="1"/>
        <v>920698</v>
      </c>
      <c r="K23" s="2"/>
      <c r="L23" s="37"/>
      <c r="M23" s="37"/>
    </row>
    <row r="24" spans="1:13" x14ac:dyDescent="0.2">
      <c r="A24" s="9"/>
      <c r="B24" s="24"/>
      <c r="C24" s="46"/>
      <c r="D24" s="46"/>
      <c r="E24" s="27"/>
      <c r="K24" s="2"/>
    </row>
    <row r="25" spans="1:13" x14ac:dyDescent="0.2">
      <c r="K25" s="2"/>
    </row>
    <row r="26" spans="1:13" x14ac:dyDescent="0.2">
      <c r="A26" t="s">
        <v>9</v>
      </c>
      <c r="C26" s="19">
        <f>SUM(C14:C24)</f>
        <v>24991613</v>
      </c>
      <c r="D26" s="19">
        <f>SUM(D14:D24)</f>
        <v>252869894</v>
      </c>
      <c r="E26" s="19">
        <f>SUM(E14:E24)</f>
        <v>277861507</v>
      </c>
      <c r="K26" s="2"/>
    </row>
    <row r="27" spans="1:13" ht="12" thickBot="1" x14ac:dyDescent="0.25">
      <c r="A27" s="6"/>
      <c r="B27" s="6"/>
      <c r="C27" s="6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C12&amp;","&amp;D12&amp; " Provided by TDI.  Accident years ending "&amp;TEXT($L$22,"m/d/xx")</f>
        <v>(2),(3) Provided by TDI.  Accident years ending 9/30/xx</v>
      </c>
      <c r="K30" s="2"/>
    </row>
    <row r="31" spans="1:13" x14ac:dyDescent="0.2">
      <c r="B31" s="12" t="str">
        <f>E12&amp;" = "&amp;C12&amp;" + "&amp;D12</f>
        <v>(4) = (2) + (3)</v>
      </c>
      <c r="K31" s="2"/>
    </row>
    <row r="32" spans="1:13" x14ac:dyDescent="0.2"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12"/>
      <c r="K35" s="2"/>
    </row>
    <row r="36" spans="2:11" x14ac:dyDescent="0.2"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5" width="15.33203125" customWidth="1"/>
    <col min="6" max="9" width="11.33203125" customWidth="1"/>
    <col min="10" max="10" width="13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58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tr">
        <f>"Summary of TWIA Historical Paid Loss as of "&amp;TEXT($M$22,"m/d/yy")</f>
        <v>Summary of TWIA Historical Paid Loss as of 12/31/25</v>
      </c>
      <c r="B4" s="12"/>
      <c r="K4" s="2"/>
    </row>
    <row r="5" spans="1:12" x14ac:dyDescent="0.2">
      <c r="A5" t="s">
        <v>438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0" t="s">
        <v>55</v>
      </c>
      <c r="K9" s="2"/>
      <c r="L9" s="17"/>
    </row>
    <row r="10" spans="1:12" x14ac:dyDescent="0.2">
      <c r="A10" t="s">
        <v>32</v>
      </c>
      <c r="K10" s="2"/>
    </row>
    <row r="11" spans="1:12" x14ac:dyDescent="0.2">
      <c r="A11" s="9" t="str">
        <f>TEXT($L$22,"m/d")</f>
        <v>9/30</v>
      </c>
      <c r="B11" s="9"/>
      <c r="C11" s="121" t="s">
        <v>8</v>
      </c>
      <c r="D11" s="121" t="s">
        <v>6</v>
      </c>
      <c r="E11" s="121" t="s">
        <v>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tr">
        <f t="shared" ref="A14:A22" si="0">TEXT(A15-1,"#")</f>
        <v>2016</v>
      </c>
      <c r="B14" s="23"/>
      <c r="C14" s="151">
        <f>'[2]TICO 3'!Z31</f>
        <v>12167890</v>
      </c>
      <c r="D14" s="151">
        <f>'[2]TICO 3'!U31</f>
        <v>0</v>
      </c>
      <c r="E14" s="26">
        <f>C14+D14</f>
        <v>12167890</v>
      </c>
      <c r="K14" s="2"/>
    </row>
    <row r="15" spans="1:12" x14ac:dyDescent="0.2">
      <c r="A15" t="str">
        <f t="shared" si="0"/>
        <v>2017</v>
      </c>
      <c r="B15" s="23"/>
      <c r="C15" s="151">
        <f>'[2]TICO 3'!Z32</f>
        <v>21824214</v>
      </c>
      <c r="D15" s="151">
        <f>'[2]TICO 3'!U32</f>
        <v>628070123</v>
      </c>
      <c r="E15" s="26">
        <f t="shared" ref="E15:E23" si="1">C15+D15</f>
        <v>649894337</v>
      </c>
      <c r="K15" s="2"/>
    </row>
    <row r="16" spans="1:12" x14ac:dyDescent="0.2">
      <c r="A16" t="str">
        <f t="shared" si="0"/>
        <v>2018</v>
      </c>
      <c r="B16" s="23"/>
      <c r="C16" s="151">
        <f>'[2]TICO 3'!Z33</f>
        <v>6765244</v>
      </c>
      <c r="D16" s="151">
        <f>'[2]TICO 3'!U33</f>
        <v>0</v>
      </c>
      <c r="E16" s="26">
        <f t="shared" si="1"/>
        <v>6765244</v>
      </c>
      <c r="K16" s="2"/>
    </row>
    <row r="17" spans="1:13" x14ac:dyDescent="0.2">
      <c r="A17" t="str">
        <f t="shared" si="0"/>
        <v>2019</v>
      </c>
      <c r="B17" s="23"/>
      <c r="C17" s="151">
        <f>'[2]TICO 3'!Z34</f>
        <v>10108613</v>
      </c>
      <c r="D17" s="151">
        <f>'[2]TICO 3'!U34</f>
        <v>0</v>
      </c>
      <c r="E17" s="26">
        <f t="shared" si="1"/>
        <v>10108613</v>
      </c>
      <c r="K17" s="2"/>
    </row>
    <row r="18" spans="1:13" x14ac:dyDescent="0.2">
      <c r="A18" t="str">
        <f t="shared" si="0"/>
        <v>2020</v>
      </c>
      <c r="B18" s="23"/>
      <c r="C18" s="151">
        <f>'[2]TICO 3'!Z35</f>
        <v>21791943</v>
      </c>
      <c r="D18" s="151">
        <f>'[2]TICO 3'!U35</f>
        <v>6972108</v>
      </c>
      <c r="E18" s="26">
        <f t="shared" si="1"/>
        <v>28764051</v>
      </c>
      <c r="K18" s="2"/>
    </row>
    <row r="19" spans="1:13" x14ac:dyDescent="0.2">
      <c r="A19" t="str">
        <f t="shared" si="0"/>
        <v>2021</v>
      </c>
      <c r="B19" s="23"/>
      <c r="C19" s="151">
        <f>'[2]TICO 3'!Z36</f>
        <v>29417504</v>
      </c>
      <c r="D19" s="151">
        <f>'[2]TICO 3'!U36</f>
        <v>17065996</v>
      </c>
      <c r="E19" s="26">
        <f t="shared" si="1"/>
        <v>46483500</v>
      </c>
      <c r="K19" s="2"/>
    </row>
    <row r="20" spans="1:13" x14ac:dyDescent="0.2">
      <c r="A20" t="str">
        <f t="shared" si="0"/>
        <v>2022</v>
      </c>
      <c r="B20" s="23"/>
      <c r="C20" s="151">
        <f>'[2]TICO 3'!Z37</f>
        <v>12922113</v>
      </c>
      <c r="D20" s="151">
        <f>'[2]TICO 3'!U37</f>
        <v>0</v>
      </c>
      <c r="E20" s="26">
        <f t="shared" si="1"/>
        <v>12922113</v>
      </c>
      <c r="K20" s="2"/>
    </row>
    <row r="21" spans="1:13" x14ac:dyDescent="0.2">
      <c r="A21" t="str">
        <f t="shared" si="0"/>
        <v>2023</v>
      </c>
      <c r="B21" s="23"/>
      <c r="C21" s="151">
        <f>'[2]TICO 3'!Z38</f>
        <v>32155262</v>
      </c>
      <c r="D21" s="151">
        <f>'[2]TICO 3'!U38</f>
        <v>0</v>
      </c>
      <c r="E21" s="26">
        <f t="shared" si="1"/>
        <v>32155262</v>
      </c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51">
        <f>'[2]TICO 3'!Z39</f>
        <v>69925169</v>
      </c>
      <c r="D22" s="151">
        <f>'[2]TICO 3'!U39</f>
        <v>194147826</v>
      </c>
      <c r="E22" s="26">
        <f t="shared" si="1"/>
        <v>264072995</v>
      </c>
      <c r="K22" s="2"/>
      <c r="L22" s="37">
        <f>'2.4d'!L22</f>
        <v>45930</v>
      </c>
      <c r="M22" s="37">
        <f>'2.4d'!M22</f>
        <v>46022</v>
      </c>
    </row>
    <row r="23" spans="1:13" x14ac:dyDescent="0.2">
      <c r="A23" t="str">
        <f>TEXT(YEAR($L$22),"#")</f>
        <v>2025</v>
      </c>
      <c r="B23" s="23"/>
      <c r="C23" s="151">
        <f>'[2]TICO 3'!Z40</f>
        <v>20905505</v>
      </c>
      <c r="D23" s="151">
        <f>'[2]TICO 3'!U40</f>
        <v>0</v>
      </c>
      <c r="E23" s="26">
        <f t="shared" si="1"/>
        <v>20905505</v>
      </c>
      <c r="K23" s="2"/>
      <c r="L23" s="37"/>
      <c r="M23" s="37"/>
    </row>
    <row r="24" spans="1:13" x14ac:dyDescent="0.2">
      <c r="A24" s="24"/>
      <c r="B24" s="24"/>
      <c r="C24" s="46"/>
      <c r="D24" s="46"/>
      <c r="E24" s="27"/>
      <c r="K24" s="2"/>
    </row>
    <row r="25" spans="1:13" x14ac:dyDescent="0.2">
      <c r="K25" s="2"/>
    </row>
    <row r="26" spans="1:13" x14ac:dyDescent="0.2">
      <c r="A26" t="s">
        <v>9</v>
      </c>
      <c r="C26" s="19">
        <f>SUM(C14:C24)</f>
        <v>237983457</v>
      </c>
      <c r="D26" s="19">
        <f>SUM(D14:D24)</f>
        <v>846256053</v>
      </c>
      <c r="E26" s="19">
        <f>SUM(E14:E24)</f>
        <v>1084239510</v>
      </c>
      <c r="K26" s="2"/>
    </row>
    <row r="27" spans="1:13" ht="12" thickBot="1" x14ac:dyDescent="0.25">
      <c r="A27" s="6"/>
      <c r="B27" s="6"/>
      <c r="C27" s="6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 "&amp;D12&amp;" Provided by TDI.  Accident years ending "&amp;TEXT($L$22,"m/d/xx")</f>
        <v>(2) (3) Provided by TDI.  Accident years ending 9/30/xx</v>
      </c>
      <c r="K30" s="2"/>
    </row>
    <row r="31" spans="1:13" x14ac:dyDescent="0.2">
      <c r="B31" s="12" t="str">
        <f>E12&amp;" = "&amp;C12&amp;" + "&amp;D12</f>
        <v>(4) = (2) + (3)</v>
      </c>
      <c r="K31" s="2"/>
    </row>
    <row r="32" spans="1:13" x14ac:dyDescent="0.2"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12"/>
      <c r="K35" s="2"/>
    </row>
    <row r="36" spans="2:11" x14ac:dyDescent="0.2"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tabColor rgb="FF92D050"/>
  </sheetPr>
  <dimension ref="A1:R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5" width="15.33203125" customWidth="1"/>
    <col min="6" max="9" width="11.33203125" customWidth="1"/>
    <col min="10" max="10" width="13.5" customWidth="1"/>
  </cols>
  <sheetData>
    <row r="1" spans="1:18" x14ac:dyDescent="0.2">
      <c r="A1" s="8" t="str">
        <f>'1'!$A$1</f>
        <v>Texas Windstorm Insurance Association</v>
      </c>
      <c r="B1" s="12"/>
      <c r="J1" s="7" t="s">
        <v>20</v>
      </c>
      <c r="K1" s="1"/>
      <c r="M1" s="148"/>
    </row>
    <row r="2" spans="1:18" x14ac:dyDescent="0.2">
      <c r="A2" s="8" t="str">
        <f>'1'!$A$2</f>
        <v>Residential Property - Wind &amp; Hail</v>
      </c>
      <c r="B2" s="12"/>
      <c r="J2" s="7" t="s">
        <v>59</v>
      </c>
      <c r="K2" s="2"/>
    </row>
    <row r="3" spans="1:18" x14ac:dyDescent="0.2">
      <c r="A3" s="8" t="str">
        <f>'1'!$A$3</f>
        <v>Rate Level Review</v>
      </c>
      <c r="B3" s="12"/>
      <c r="K3" s="2"/>
    </row>
    <row r="4" spans="1:18" x14ac:dyDescent="0.2">
      <c r="A4" t="str">
        <f>"Summary of TWIA Historical Paid Loss as of "&amp;TEXT($M$22,"m/d/yy")</f>
        <v>Summary of TWIA Historical Paid Loss as of 12/31/25</v>
      </c>
      <c r="B4" s="12"/>
      <c r="K4" s="2"/>
    </row>
    <row r="5" spans="1:18" x14ac:dyDescent="0.2">
      <c r="A5" t="s">
        <v>439</v>
      </c>
      <c r="B5" s="12"/>
      <c r="K5" s="2"/>
    </row>
    <row r="6" spans="1:18" x14ac:dyDescent="0.2">
      <c r="K6" s="2"/>
    </row>
    <row r="7" spans="1:18" ht="12" thickBot="1" x14ac:dyDescent="0.25">
      <c r="A7" s="6"/>
      <c r="B7" s="6"/>
      <c r="C7" s="6"/>
      <c r="D7" s="6"/>
      <c r="E7" s="6"/>
      <c r="K7" s="2"/>
    </row>
    <row r="8" spans="1:18" ht="12" thickTop="1" x14ac:dyDescent="0.2">
      <c r="A8" t="s">
        <v>48</v>
      </c>
      <c r="K8" s="2"/>
      <c r="Q8" s="19"/>
      <c r="R8" s="19"/>
    </row>
    <row r="9" spans="1:18" x14ac:dyDescent="0.2">
      <c r="A9" t="s">
        <v>49</v>
      </c>
      <c r="C9" s="10" t="s">
        <v>55</v>
      </c>
      <c r="K9" s="2"/>
      <c r="L9" s="17"/>
      <c r="Q9" s="19"/>
      <c r="R9" s="19"/>
    </row>
    <row r="10" spans="1:18" x14ac:dyDescent="0.2">
      <c r="A10" t="s">
        <v>32</v>
      </c>
      <c r="K10" s="2"/>
      <c r="Q10" s="19"/>
      <c r="R10" s="19"/>
    </row>
    <row r="11" spans="1:18" x14ac:dyDescent="0.2">
      <c r="A11" s="9" t="str">
        <f>TEXT($L$22,"m/d")</f>
        <v>9/30</v>
      </c>
      <c r="B11" s="9"/>
      <c r="C11" s="121" t="s">
        <v>8</v>
      </c>
      <c r="D11" s="121" t="s">
        <v>6</v>
      </c>
      <c r="E11" s="121" t="s">
        <v>9</v>
      </c>
      <c r="K11" s="2"/>
      <c r="Q11" s="19"/>
      <c r="R11" s="19"/>
    </row>
    <row r="12" spans="1:18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8" x14ac:dyDescent="0.2">
      <c r="K13" s="2"/>
    </row>
    <row r="14" spans="1:18" x14ac:dyDescent="0.2">
      <c r="A14" t="str">
        <f t="shared" ref="A14:A22" si="0">TEXT(A15-1,"#")</f>
        <v>2016</v>
      </c>
      <c r="B14" s="23"/>
      <c r="C14" s="151">
        <f>'[2]TICO 3'!AA31</f>
        <v>446449</v>
      </c>
      <c r="D14" s="151">
        <f>'[2]TICO 3'!V31</f>
        <v>0</v>
      </c>
      <c r="E14" s="26">
        <f>C14+D14</f>
        <v>446449</v>
      </c>
      <c r="F14" s="19"/>
      <c r="K14" s="2"/>
    </row>
    <row r="15" spans="1:18" x14ac:dyDescent="0.2">
      <c r="A15" t="str">
        <f t="shared" si="0"/>
        <v>2017</v>
      </c>
      <c r="B15" s="23"/>
      <c r="C15" s="151">
        <f>'[2]TICO 3'!AA32</f>
        <v>481121</v>
      </c>
      <c r="D15" s="151">
        <f>'[2]TICO 3'!V32</f>
        <v>3459572</v>
      </c>
      <c r="E15" s="26">
        <f t="shared" ref="E15:E22" si="1">C15+D15</f>
        <v>3940693</v>
      </c>
      <c r="F15" s="19"/>
      <c r="K15" s="2"/>
    </row>
    <row r="16" spans="1:18" x14ac:dyDescent="0.2">
      <c r="A16" t="str">
        <f t="shared" si="0"/>
        <v>2018</v>
      </c>
      <c r="B16" s="23"/>
      <c r="C16" s="151">
        <f>'[2]TICO 3'!AA33</f>
        <v>282709</v>
      </c>
      <c r="D16" s="151">
        <f>'[2]TICO 3'!V33</f>
        <v>0</v>
      </c>
      <c r="E16" s="26">
        <f t="shared" si="1"/>
        <v>282709</v>
      </c>
      <c r="F16" s="19"/>
      <c r="K16" s="2"/>
    </row>
    <row r="17" spans="1:13" x14ac:dyDescent="0.2">
      <c r="A17" t="str">
        <f t="shared" si="0"/>
        <v>2019</v>
      </c>
      <c r="B17" s="23"/>
      <c r="C17" s="151">
        <f>'[2]TICO 3'!AA34</f>
        <v>2701499</v>
      </c>
      <c r="D17" s="151">
        <f>'[2]TICO 3'!V34</f>
        <v>0</v>
      </c>
      <c r="E17" s="26">
        <f t="shared" si="1"/>
        <v>2701499</v>
      </c>
      <c r="F17" s="19"/>
      <c r="K17" s="2"/>
    </row>
    <row r="18" spans="1:13" x14ac:dyDescent="0.2">
      <c r="A18" t="str">
        <f t="shared" si="0"/>
        <v>2020</v>
      </c>
      <c r="B18" s="23"/>
      <c r="C18" s="151">
        <f>'[2]TICO 3'!AA35</f>
        <v>449893</v>
      </c>
      <c r="D18" s="151">
        <f>'[2]TICO 3'!V35</f>
        <v>6672</v>
      </c>
      <c r="E18" s="26">
        <f t="shared" si="1"/>
        <v>456565</v>
      </c>
      <c r="F18" s="19"/>
      <c r="K18" s="2"/>
    </row>
    <row r="19" spans="1:13" x14ac:dyDescent="0.2">
      <c r="A19" t="str">
        <f t="shared" si="0"/>
        <v>2021</v>
      </c>
      <c r="B19" s="23"/>
      <c r="C19" s="151">
        <f>'[2]TICO 3'!AA36</f>
        <v>2090668</v>
      </c>
      <c r="D19" s="151">
        <f>'[2]TICO 3'!V36</f>
        <v>15380</v>
      </c>
      <c r="E19" s="26">
        <f t="shared" si="1"/>
        <v>2106048</v>
      </c>
      <c r="F19" s="19"/>
      <c r="K19" s="2"/>
    </row>
    <row r="20" spans="1:13" x14ac:dyDescent="0.2">
      <c r="A20" t="str">
        <f t="shared" si="0"/>
        <v>2022</v>
      </c>
      <c r="B20" s="23"/>
      <c r="C20" s="151">
        <f>'[2]TICO 3'!AA37</f>
        <v>745016</v>
      </c>
      <c r="D20" s="151">
        <f>'[2]TICO 3'!V37</f>
        <v>0</v>
      </c>
      <c r="E20" s="26">
        <f t="shared" si="1"/>
        <v>745016</v>
      </c>
      <c r="F20" s="19"/>
      <c r="K20" s="2"/>
    </row>
    <row r="21" spans="1:13" x14ac:dyDescent="0.2">
      <c r="A21" t="str">
        <f t="shared" si="0"/>
        <v>2023</v>
      </c>
      <c r="B21" s="23"/>
      <c r="C21" s="151">
        <f>'[2]TICO 3'!AA38</f>
        <v>4269620</v>
      </c>
      <c r="D21" s="151">
        <f>'[2]TICO 3'!V38</f>
        <v>0</v>
      </c>
      <c r="E21" s="26">
        <f t="shared" si="1"/>
        <v>4269620</v>
      </c>
      <c r="F21" s="19"/>
      <c r="K21" s="2"/>
      <c r="L21" t="s">
        <v>193</v>
      </c>
      <c r="M21" t="s">
        <v>194</v>
      </c>
    </row>
    <row r="22" spans="1:13" x14ac:dyDescent="0.2">
      <c r="A22" t="str">
        <f t="shared" si="0"/>
        <v>2024</v>
      </c>
      <c r="B22" s="23"/>
      <c r="C22" s="151">
        <f>'[2]TICO 3'!AA39</f>
        <v>1422262</v>
      </c>
      <c r="D22" s="151">
        <f>'[2]TICO 3'!V39</f>
        <v>9230269</v>
      </c>
      <c r="E22" s="26">
        <f t="shared" si="1"/>
        <v>10652531</v>
      </c>
      <c r="F22" s="19"/>
      <c r="K22" s="2"/>
      <c r="L22" s="232">
        <f>'[2]TICO 3'!$E$1</f>
        <v>45930</v>
      </c>
      <c r="M22" s="232">
        <f>'[2]TICO 3'!$E$2</f>
        <v>46022</v>
      </c>
    </row>
    <row r="23" spans="1:13" x14ac:dyDescent="0.2">
      <c r="A23" t="str">
        <f>TEXT(YEAR($L$22),"#")</f>
        <v>2025</v>
      </c>
      <c r="B23" s="23"/>
      <c r="C23" s="151">
        <f>'[2]TICO 3'!AA40</f>
        <v>689030</v>
      </c>
      <c r="D23" s="151">
        <f>'[2]TICO 3'!V40</f>
        <v>0</v>
      </c>
      <c r="E23" s="26">
        <f>C23+D23</f>
        <v>689030</v>
      </c>
      <c r="F23" s="19"/>
      <c r="K23" s="2"/>
      <c r="L23" s="37"/>
      <c r="M23" s="37"/>
    </row>
    <row r="24" spans="1:13" x14ac:dyDescent="0.2">
      <c r="A24" s="24"/>
      <c r="B24" s="24"/>
      <c r="C24" s="46"/>
      <c r="D24" s="46"/>
      <c r="E24" s="27"/>
      <c r="F24" s="19"/>
      <c r="K24" s="2"/>
    </row>
    <row r="25" spans="1:13" x14ac:dyDescent="0.2">
      <c r="K25" s="2"/>
    </row>
    <row r="26" spans="1:13" x14ac:dyDescent="0.2">
      <c r="A26" t="s">
        <v>9</v>
      </c>
      <c r="C26" s="19">
        <f>SUM(C14:C24)</f>
        <v>13578267</v>
      </c>
      <c r="D26" s="19">
        <f>SUM(D14:D24)</f>
        <v>12711893</v>
      </c>
      <c r="E26" s="19">
        <f>SUM(E14:E24)</f>
        <v>26290160</v>
      </c>
      <c r="K26" s="2"/>
    </row>
    <row r="27" spans="1:13" ht="12" thickBot="1" x14ac:dyDescent="0.25">
      <c r="A27" s="6"/>
      <c r="B27" s="6"/>
      <c r="C27" s="6"/>
      <c r="D27" s="6"/>
      <c r="E27" s="6"/>
      <c r="K27" s="2"/>
    </row>
    <row r="28" spans="1:13" ht="12" thickTop="1" x14ac:dyDescent="0.2">
      <c r="K28" s="2"/>
    </row>
    <row r="29" spans="1:13" x14ac:dyDescent="0.2">
      <c r="A29" t="s">
        <v>17</v>
      </c>
      <c r="K29" s="2"/>
    </row>
    <row r="30" spans="1:13" x14ac:dyDescent="0.2">
      <c r="B30" s="12" t="str">
        <f>C12&amp;" "&amp;D12&amp;" Provided by TDI.  Accident years ending "&amp;TEXT($L$22,"m/d/xx")</f>
        <v>(2) (3) Provided by TDI.  Accident years ending 9/30/xx</v>
      </c>
      <c r="K30" s="2"/>
    </row>
    <row r="31" spans="1:13" x14ac:dyDescent="0.2">
      <c r="B31" s="12" t="str">
        <f>E12&amp;" = "&amp;C12&amp;" + "&amp;D12</f>
        <v>(4) = (2) + (3)</v>
      </c>
      <c r="K31" s="2"/>
    </row>
    <row r="32" spans="1:13" x14ac:dyDescent="0.2"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12"/>
      <c r="K35" s="2"/>
    </row>
    <row r="36" spans="2:11" x14ac:dyDescent="0.2"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Q65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8.5" style="72" bestFit="1" customWidth="1"/>
    <col min="2" max="2" width="10.6640625" style="72" customWidth="1"/>
    <col min="3" max="3" width="15" style="72" bestFit="1" customWidth="1"/>
    <col min="4" max="4" width="11.33203125" style="72" customWidth="1"/>
    <col min="5" max="5" width="12.1640625" style="72" customWidth="1"/>
    <col min="6" max="10" width="11.33203125" style="72" customWidth="1"/>
    <col min="11" max="11" width="11.33203125" style="72" hidden="1" customWidth="1"/>
    <col min="12" max="12" width="2.5" style="72" customWidth="1"/>
    <col min="13" max="16384" width="11.33203125" style="72"/>
  </cols>
  <sheetData>
    <row r="1" spans="1:17" x14ac:dyDescent="0.2">
      <c r="A1" s="8" t="str">
        <f>'1'!$A$1</f>
        <v>Texas Windstorm Insurance Association</v>
      </c>
      <c r="B1"/>
      <c r="C1"/>
      <c r="D1"/>
      <c r="E1"/>
      <c r="F1"/>
      <c r="G1"/>
      <c r="H1"/>
      <c r="I1"/>
      <c r="J1"/>
      <c r="K1"/>
      <c r="L1" s="7" t="s">
        <v>20</v>
      </c>
      <c r="M1" s="71"/>
    </row>
    <row r="2" spans="1:17" x14ac:dyDescent="0.2">
      <c r="A2" s="8" t="str">
        <f>'1'!$A$2</f>
        <v>Residential Property - Wind &amp; Hail</v>
      </c>
      <c r="B2"/>
      <c r="C2"/>
      <c r="D2"/>
      <c r="E2"/>
      <c r="F2"/>
      <c r="G2"/>
      <c r="H2"/>
      <c r="I2"/>
      <c r="J2"/>
      <c r="K2"/>
      <c r="L2" s="7" t="s">
        <v>82</v>
      </c>
      <c r="M2" s="73"/>
    </row>
    <row r="3" spans="1:17" x14ac:dyDescent="0.2">
      <c r="A3" s="8" t="str">
        <f>'1'!$A$3</f>
        <v>Rate Level Review</v>
      </c>
      <c r="B3"/>
      <c r="C3"/>
      <c r="D3"/>
      <c r="E3"/>
      <c r="F3"/>
      <c r="G3"/>
      <c r="H3"/>
      <c r="I3"/>
      <c r="J3"/>
      <c r="K3"/>
      <c r="L3" s="7"/>
      <c r="M3" s="73"/>
    </row>
    <row r="4" spans="1:17" x14ac:dyDescent="0.2">
      <c r="A4" t="s">
        <v>240</v>
      </c>
      <c r="B4"/>
      <c r="C4"/>
      <c r="D4"/>
      <c r="E4"/>
      <c r="F4"/>
      <c r="G4"/>
      <c r="H4"/>
      <c r="I4"/>
      <c r="J4"/>
      <c r="K4"/>
      <c r="L4"/>
      <c r="M4" s="73"/>
    </row>
    <row r="5" spans="1:17" x14ac:dyDescent="0.2">
      <c r="A5"/>
      <c r="B5"/>
      <c r="C5"/>
      <c r="D5"/>
      <c r="E5"/>
      <c r="F5"/>
      <c r="G5"/>
      <c r="H5"/>
      <c r="I5"/>
      <c r="J5"/>
      <c r="K5"/>
      <c r="L5"/>
      <c r="M5" s="73"/>
    </row>
    <row r="6" spans="1:17" x14ac:dyDescent="0.2">
      <c r="A6"/>
      <c r="B6"/>
      <c r="C6"/>
      <c r="D6"/>
      <c r="E6"/>
      <c r="F6"/>
      <c r="G6"/>
      <c r="H6"/>
      <c r="I6"/>
      <c r="J6"/>
      <c r="K6"/>
      <c r="L6"/>
      <c r="M6" s="73"/>
    </row>
    <row r="7" spans="1:17" ht="12" thickBot="1" x14ac:dyDescent="0.25">
      <c r="A7" s="6"/>
      <c r="B7" s="6"/>
      <c r="C7" s="6"/>
      <c r="D7" s="6"/>
      <c r="E7" s="6"/>
      <c r="F7" s="6"/>
      <c r="G7" s="6"/>
      <c r="H7" s="6"/>
      <c r="I7" s="6"/>
      <c r="J7"/>
      <c r="K7"/>
      <c r="L7"/>
      <c r="M7" s="73"/>
      <c r="N7" t="s">
        <v>191</v>
      </c>
    </row>
    <row r="8" spans="1:17" ht="12" thickTop="1" x14ac:dyDescent="0.2">
      <c r="A8"/>
      <c r="B8"/>
      <c r="C8" s="11"/>
      <c r="D8"/>
      <c r="E8"/>
      <c r="F8"/>
      <c r="G8"/>
      <c r="H8"/>
      <c r="I8"/>
      <c r="J8"/>
      <c r="K8"/>
      <c r="L8"/>
      <c r="M8" s="73"/>
      <c r="N8" s="59">
        <v>46022</v>
      </c>
    </row>
    <row r="9" spans="1:17" x14ac:dyDescent="0.2">
      <c r="A9"/>
      <c r="B9"/>
      <c r="C9" s="11" t="s">
        <v>64</v>
      </c>
      <c r="D9"/>
      <c r="E9"/>
      <c r="F9"/>
      <c r="G9"/>
      <c r="H9"/>
      <c r="I9"/>
      <c r="J9"/>
      <c r="K9"/>
      <c r="L9"/>
      <c r="M9" s="73"/>
      <c r="N9"/>
    </row>
    <row r="10" spans="1:17" x14ac:dyDescent="0.2">
      <c r="A10" t="s">
        <v>206</v>
      </c>
      <c r="B10"/>
      <c r="C10" s="184" t="s">
        <v>188</v>
      </c>
      <c r="D10"/>
      <c r="E10"/>
      <c r="F10"/>
      <c r="G10"/>
      <c r="H10"/>
      <c r="I10"/>
      <c r="J10"/>
      <c r="K10"/>
      <c r="L10"/>
      <c r="M10" s="73"/>
      <c r="N10"/>
    </row>
    <row r="11" spans="1:17" x14ac:dyDescent="0.2">
      <c r="A11" s="9" t="s">
        <v>208</v>
      </c>
      <c r="B11" s="9"/>
      <c r="C11" s="185" t="s">
        <v>383</v>
      </c>
      <c r="D11"/>
      <c r="E11"/>
      <c r="F11"/>
      <c r="G11"/>
      <c r="H11"/>
      <c r="I11"/>
      <c r="J11"/>
      <c r="K11"/>
      <c r="L11"/>
      <c r="M11" s="73"/>
      <c r="N11"/>
    </row>
    <row r="12" spans="1:17" x14ac:dyDescent="0.2">
      <c r="A12" s="74" t="s">
        <v>165</v>
      </c>
      <c r="B12" s="13"/>
      <c r="C12" s="44" t="s">
        <v>166</v>
      </c>
      <c r="J12"/>
      <c r="K12"/>
      <c r="L12"/>
      <c r="M12" s="73"/>
      <c r="N12"/>
      <c r="O12"/>
      <c r="P12"/>
      <c r="Q12"/>
    </row>
    <row r="13" spans="1:17" x14ac:dyDescent="0.2">
      <c r="A13"/>
      <c r="B13"/>
      <c r="C13" s="107"/>
      <c r="D13" s="75" t="s">
        <v>167</v>
      </c>
      <c r="E13" t="s">
        <v>241</v>
      </c>
      <c r="F13"/>
      <c r="G13"/>
      <c r="H13"/>
      <c r="I13" s="47">
        <f>I14</f>
        <v>45748</v>
      </c>
      <c r="J13"/>
      <c r="K13"/>
      <c r="L13"/>
      <c r="M13" s="73"/>
      <c r="N13"/>
      <c r="O13"/>
      <c r="P13"/>
      <c r="Q13"/>
    </row>
    <row r="14" spans="1:17" x14ac:dyDescent="0.2">
      <c r="A14" t="str">
        <f t="shared" ref="A14:A23" si="0">A31&amp;" / 3"</f>
        <v>2016 / 3</v>
      </c>
      <c r="B14"/>
      <c r="C14" s="224">
        <f>ROUND('3.2'!G15,2)</f>
        <v>1781.44</v>
      </c>
      <c r="D14" s="75" t="s">
        <v>123</v>
      </c>
      <c r="E14" t="s">
        <v>242</v>
      </c>
      <c r="I14" s="188">
        <f>'3.3a'!O32</f>
        <v>45748</v>
      </c>
      <c r="J14"/>
      <c r="K14"/>
      <c r="L14"/>
      <c r="M14" s="73"/>
      <c r="N14"/>
      <c r="O14"/>
      <c r="P14"/>
      <c r="Q14"/>
    </row>
    <row r="15" spans="1:17" x14ac:dyDescent="0.2">
      <c r="A15" t="str">
        <f t="shared" si="0"/>
        <v>2017 / 3</v>
      </c>
      <c r="B15"/>
      <c r="C15" s="224">
        <f>ROUND('3.2'!G19,2)</f>
        <v>1738.9</v>
      </c>
      <c r="D15" s="75" t="s">
        <v>102</v>
      </c>
      <c r="E15" t="s">
        <v>243</v>
      </c>
      <c r="F15"/>
      <c r="G15"/>
      <c r="H15"/>
      <c r="I15" s="52">
        <v>46753</v>
      </c>
      <c r="J15"/>
      <c r="K15"/>
      <c r="L15"/>
      <c r="M15" s="73"/>
      <c r="N15"/>
      <c r="O15"/>
      <c r="P15"/>
      <c r="Q15"/>
    </row>
    <row r="16" spans="1:17" x14ac:dyDescent="0.2">
      <c r="A16" t="str">
        <f t="shared" si="0"/>
        <v>2018 / 3</v>
      </c>
      <c r="B16" s="23"/>
      <c r="C16" s="225">
        <f>ROUND('3.2'!$G$23,2)</f>
        <v>1774.13</v>
      </c>
      <c r="D16" s="75" t="s">
        <v>106</v>
      </c>
      <c r="E16" t="s">
        <v>244</v>
      </c>
      <c r="F16"/>
      <c r="G16"/>
      <c r="H16"/>
      <c r="I16" s="29">
        <f>YEAR(I15)-YEAR(I13+1)+(MONTH(I15)-MONTH(I13+1))/12</f>
        <v>2.75</v>
      </c>
      <c r="J16"/>
      <c r="K16"/>
      <c r="L16"/>
      <c r="M16" s="73"/>
      <c r="N16"/>
      <c r="O16"/>
      <c r="P16"/>
      <c r="Q16"/>
    </row>
    <row r="17" spans="1:17" x14ac:dyDescent="0.2">
      <c r="A17" t="str">
        <f t="shared" si="0"/>
        <v>2019 / 3</v>
      </c>
      <c r="B17" s="23"/>
      <c r="C17" s="225">
        <f>ROUND('3.2'!$G$27,2)</f>
        <v>1771.01</v>
      </c>
      <c r="D17" s="75" t="s">
        <v>105</v>
      </c>
      <c r="E17" s="72" t="s">
        <v>245</v>
      </c>
      <c r="I17" s="29">
        <f>YEAR(I15)-YEAR(I14+1)+(MONTH(I15)-MONTH(I14+1))/12</f>
        <v>2.75</v>
      </c>
      <c r="J17"/>
      <c r="K17"/>
      <c r="L17"/>
      <c r="M17" s="73"/>
      <c r="N17"/>
      <c r="O17"/>
      <c r="P17"/>
      <c r="Q17"/>
    </row>
    <row r="18" spans="1:17" x14ac:dyDescent="0.2">
      <c r="A18" t="str">
        <f t="shared" si="0"/>
        <v>2020 / 3</v>
      </c>
      <c r="B18" s="23"/>
      <c r="C18" s="225">
        <f>ROUND('3.2'!$G$31,2)</f>
        <v>1785.14</v>
      </c>
      <c r="D18" s="75" t="s">
        <v>104</v>
      </c>
      <c r="E18" t="s">
        <v>198</v>
      </c>
      <c r="F18"/>
      <c r="G18"/>
      <c r="H18"/>
      <c r="I18" s="42">
        <f>'3.2'!$L$58</f>
        <v>8.5829045948807137E-2</v>
      </c>
      <c r="J18"/>
      <c r="K18"/>
      <c r="L18"/>
      <c r="M18" s="73"/>
      <c r="N18"/>
      <c r="O18"/>
      <c r="P18"/>
      <c r="Q18"/>
    </row>
    <row r="19" spans="1:17" x14ac:dyDescent="0.2">
      <c r="A19" t="str">
        <f t="shared" si="0"/>
        <v>2021 / 3</v>
      </c>
      <c r="B19" s="23"/>
      <c r="C19" s="225">
        <f>ROUND('3.2'!$G$35,2)</f>
        <v>1847.23</v>
      </c>
      <c r="D19" s="75" t="s">
        <v>103</v>
      </c>
      <c r="E19" t="s">
        <v>256</v>
      </c>
      <c r="F19"/>
      <c r="G19"/>
      <c r="H19"/>
      <c r="I19" s="42">
        <f>'3.3a'!F28</f>
        <v>4.3999999999999997E-2</v>
      </c>
      <c r="J19"/>
      <c r="K19"/>
      <c r="L19"/>
      <c r="M19" s="73"/>
      <c r="N19"/>
      <c r="O19"/>
      <c r="P19"/>
      <c r="Q19"/>
    </row>
    <row r="20" spans="1:17" x14ac:dyDescent="0.2">
      <c r="A20" t="str">
        <f t="shared" si="0"/>
        <v>2022 / 3</v>
      </c>
      <c r="B20" s="23"/>
      <c r="C20" s="225">
        <f>ROUND('3.2'!$G$39,2)</f>
        <v>2057.81</v>
      </c>
      <c r="J20"/>
      <c r="K20"/>
      <c r="L20"/>
      <c r="M20" s="73"/>
      <c r="N20"/>
      <c r="O20"/>
      <c r="P20"/>
      <c r="Q20"/>
    </row>
    <row r="21" spans="1:17" x14ac:dyDescent="0.2">
      <c r="A21" t="str">
        <f t="shared" si="0"/>
        <v>2023 / 3</v>
      </c>
      <c r="C21" s="225">
        <f>ROUND('3.2'!$G$43,2)</f>
        <v>2234.21</v>
      </c>
      <c r="J21"/>
      <c r="K21"/>
      <c r="L21"/>
      <c r="M21" s="73"/>
    </row>
    <row r="22" spans="1:17" x14ac:dyDescent="0.2">
      <c r="A22" t="str">
        <f t="shared" si="0"/>
        <v>2024 / 3</v>
      </c>
      <c r="C22" s="225">
        <f>ROUND('3.2'!$G$47,2)</f>
        <v>2449.67</v>
      </c>
      <c r="D22" s="75"/>
      <c r="E22"/>
      <c r="F22" s="29"/>
      <c r="G22" s="29"/>
      <c r="H22"/>
      <c r="I22" s="29"/>
      <c r="J22"/>
      <c r="K22"/>
      <c r="L22"/>
      <c r="M22" s="73"/>
    </row>
    <row r="23" spans="1:17" x14ac:dyDescent="0.2">
      <c r="A23" t="str">
        <f t="shared" si="0"/>
        <v>2025 / 3</v>
      </c>
      <c r="C23" s="225">
        <f>ROUND('3.2'!$G$51,2)</f>
        <v>2637.07</v>
      </c>
      <c r="J23"/>
      <c r="K23"/>
      <c r="L23"/>
      <c r="M23" s="73"/>
    </row>
    <row r="24" spans="1:17" x14ac:dyDescent="0.2">
      <c r="J24"/>
      <c r="K24"/>
      <c r="L24"/>
      <c r="M24" s="73"/>
    </row>
    <row r="25" spans="1:17" x14ac:dyDescent="0.2">
      <c r="A25" t="s">
        <v>48</v>
      </c>
      <c r="B25" s="23"/>
      <c r="C25" s="76"/>
      <c r="D25" s="29"/>
      <c r="E25" s="29"/>
      <c r="F25" s="29"/>
      <c r="G25" s="29"/>
      <c r="H25"/>
      <c r="I25"/>
      <c r="J25"/>
      <c r="K25"/>
      <c r="L25"/>
      <c r="M25" s="73"/>
    </row>
    <row r="26" spans="1:17" x14ac:dyDescent="0.2">
      <c r="A26" t="s">
        <v>49</v>
      </c>
      <c r="B26"/>
      <c r="C26" s="11" t="s">
        <v>202</v>
      </c>
      <c r="D26" s="11" t="s">
        <v>202</v>
      </c>
      <c r="E26" s="11" t="s">
        <v>203</v>
      </c>
      <c r="F26" s="11" t="s">
        <v>203</v>
      </c>
      <c r="G26" s="11" t="s">
        <v>36</v>
      </c>
      <c r="H26"/>
      <c r="I26"/>
      <c r="J26"/>
      <c r="K26"/>
      <c r="L26"/>
      <c r="M26" s="73"/>
    </row>
    <row r="27" spans="1:17" x14ac:dyDescent="0.2">
      <c r="A27" t="s">
        <v>32</v>
      </c>
      <c r="B27"/>
      <c r="C27" s="11" t="s">
        <v>109</v>
      </c>
      <c r="D27" s="11" t="s">
        <v>39</v>
      </c>
      <c r="E27" s="11" t="s">
        <v>109</v>
      </c>
      <c r="F27" s="11" t="s">
        <v>39</v>
      </c>
      <c r="G27" s="11" t="s">
        <v>37</v>
      </c>
      <c r="H27"/>
      <c r="I27"/>
      <c r="J27"/>
      <c r="K27"/>
      <c r="L27"/>
      <c r="M27" s="73"/>
    </row>
    <row r="28" spans="1:17" x14ac:dyDescent="0.2">
      <c r="A28" s="9" t="str">
        <f>TEXT('3.3a'!N9,"m/d")</f>
        <v>9/30</v>
      </c>
      <c r="B28" s="9"/>
      <c r="C28" s="121" t="s">
        <v>37</v>
      </c>
      <c r="D28" s="121" t="s">
        <v>37</v>
      </c>
      <c r="E28" s="121" t="s">
        <v>37</v>
      </c>
      <c r="F28" s="121" t="s">
        <v>37</v>
      </c>
      <c r="G28" s="121" t="s">
        <v>35</v>
      </c>
      <c r="H28"/>
      <c r="I28"/>
      <c r="J28"/>
      <c r="K28"/>
      <c r="L28"/>
      <c r="M28" s="73"/>
    </row>
    <row r="29" spans="1:17" x14ac:dyDescent="0.2">
      <c r="A29" s="74" t="s">
        <v>96</v>
      </c>
      <c r="B29" s="13"/>
      <c r="C29" s="74" t="s">
        <v>181</v>
      </c>
      <c r="D29" s="74" t="s">
        <v>246</v>
      </c>
      <c r="E29" s="44" t="s">
        <v>247</v>
      </c>
      <c r="F29" s="44" t="s">
        <v>248</v>
      </c>
      <c r="G29" s="44" t="s">
        <v>182</v>
      </c>
      <c r="H29"/>
      <c r="I29"/>
      <c r="J29"/>
      <c r="K29"/>
      <c r="L29"/>
      <c r="M29" s="73"/>
    </row>
    <row r="30" spans="1:17" x14ac:dyDescent="0.2">
      <c r="A30"/>
      <c r="B30"/>
      <c r="C30"/>
      <c r="D30"/>
      <c r="E30"/>
      <c r="F30"/>
      <c r="G30"/>
      <c r="H30"/>
      <c r="I30"/>
      <c r="J30"/>
      <c r="K30"/>
      <c r="L30"/>
      <c r="M30" s="73"/>
    </row>
    <row r="31" spans="1:17" x14ac:dyDescent="0.2">
      <c r="A31" t="str">
        <f t="shared" ref="A31:A39" si="1">TEXT(A32-1,"#")</f>
        <v>2016</v>
      </c>
      <c r="B31" s="23"/>
      <c r="C31" s="28">
        <f>C$23/C14</f>
        <v>1.4803024519489851</v>
      </c>
      <c r="D31" s="29">
        <f>'3.3a'!F14</f>
        <v>1.41</v>
      </c>
      <c r="E31" s="29">
        <f t="shared" ref="E31:E40" si="2">(1+I$18)^I$16</f>
        <v>1.2541341703471478</v>
      </c>
      <c r="F31" s="29">
        <f t="shared" ref="F31:F40" si="3">(1+I$19)^I$17</f>
        <v>1.1257096041054246</v>
      </c>
      <c r="G31" s="29">
        <f>ROUND(PRODUCT(D31,F31)/PRODUCT(C31,E31),3)</f>
        <v>0.85499999999999998</v>
      </c>
      <c r="H31"/>
      <c r="I31"/>
      <c r="J31"/>
      <c r="K31"/>
      <c r="L31"/>
      <c r="M31" s="73"/>
    </row>
    <row r="32" spans="1:17" x14ac:dyDescent="0.2">
      <c r="A32" t="str">
        <f t="shared" si="1"/>
        <v>2017</v>
      </c>
      <c r="B32" s="23"/>
      <c r="C32" s="28">
        <f>C$23/C15</f>
        <v>1.5165161883949623</v>
      </c>
      <c r="D32" s="29">
        <f>'3.3a'!F15</f>
        <v>1.397</v>
      </c>
      <c r="E32" s="29">
        <f t="shared" si="2"/>
        <v>1.2541341703471478</v>
      </c>
      <c r="F32" s="29">
        <f t="shared" si="3"/>
        <v>1.1257096041054246</v>
      </c>
      <c r="G32" s="29">
        <f t="shared" ref="G32:G39" si="4">ROUND(PRODUCT(D32,F32)/PRODUCT(C32,E32),3)</f>
        <v>0.82699999999999996</v>
      </c>
      <c r="H32"/>
      <c r="I32"/>
      <c r="J32"/>
      <c r="K32"/>
      <c r="L32"/>
      <c r="M32" s="73"/>
    </row>
    <row r="33" spans="1:13" x14ac:dyDescent="0.2">
      <c r="A33" t="str">
        <f t="shared" si="1"/>
        <v>2018</v>
      </c>
      <c r="B33"/>
      <c r="C33" s="28">
        <f t="shared" ref="C33:C39" si="5">C$23/C16</f>
        <v>1.4864017856639593</v>
      </c>
      <c r="D33" s="29">
        <f>'3.3a'!F16</f>
        <v>1.3540000000000001</v>
      </c>
      <c r="E33" s="29">
        <f t="shared" si="2"/>
        <v>1.2541341703471478</v>
      </c>
      <c r="F33" s="29">
        <f t="shared" si="3"/>
        <v>1.1257096041054246</v>
      </c>
      <c r="G33" s="29">
        <f t="shared" si="4"/>
        <v>0.81799999999999995</v>
      </c>
      <c r="H33"/>
      <c r="I33"/>
      <c r="J33"/>
      <c r="K33"/>
      <c r="L33"/>
      <c r="M33" s="73"/>
    </row>
    <row r="34" spans="1:13" x14ac:dyDescent="0.2">
      <c r="A34" t="str">
        <f t="shared" si="1"/>
        <v>2019</v>
      </c>
      <c r="B34"/>
      <c r="C34" s="28">
        <f t="shared" si="5"/>
        <v>1.4890203894952598</v>
      </c>
      <c r="D34" s="29">
        <f>'3.3a'!F17</f>
        <v>1.3120000000000001</v>
      </c>
      <c r="E34" s="29">
        <f t="shared" si="2"/>
        <v>1.2541341703471478</v>
      </c>
      <c r="F34" s="29">
        <f t="shared" si="3"/>
        <v>1.1257096041054246</v>
      </c>
      <c r="G34" s="29">
        <f t="shared" si="4"/>
        <v>0.79100000000000004</v>
      </c>
      <c r="H34"/>
      <c r="I34"/>
      <c r="J34"/>
      <c r="K34"/>
      <c r="L34"/>
      <c r="M34" s="73"/>
    </row>
    <row r="35" spans="1:13" x14ac:dyDescent="0.2">
      <c r="A35" t="str">
        <f t="shared" si="1"/>
        <v>2020</v>
      </c>
      <c r="B35"/>
      <c r="C35" s="28">
        <f t="shared" si="5"/>
        <v>1.4772342785439798</v>
      </c>
      <c r="D35" s="29">
        <f>'3.3a'!F18</f>
        <v>1.3220000000000001</v>
      </c>
      <c r="E35" s="29">
        <f t="shared" si="2"/>
        <v>1.2541341703471478</v>
      </c>
      <c r="F35" s="29">
        <f t="shared" si="3"/>
        <v>1.1257096041054246</v>
      </c>
      <c r="G35" s="29">
        <f t="shared" si="4"/>
        <v>0.80300000000000005</v>
      </c>
      <c r="H35"/>
      <c r="I35"/>
      <c r="J35"/>
      <c r="K35"/>
      <c r="L35"/>
      <c r="M35" s="73"/>
    </row>
    <row r="36" spans="1:13" x14ac:dyDescent="0.2">
      <c r="A36" t="str">
        <f t="shared" si="1"/>
        <v>2021</v>
      </c>
      <c r="B36"/>
      <c r="C36" s="28">
        <f t="shared" si="5"/>
        <v>1.4275807560509521</v>
      </c>
      <c r="D36" s="29">
        <f>'3.3a'!F19</f>
        <v>1.1950000000000001</v>
      </c>
      <c r="E36" s="29">
        <f t="shared" si="2"/>
        <v>1.2541341703471478</v>
      </c>
      <c r="F36" s="29">
        <f t="shared" si="3"/>
        <v>1.1257096041054246</v>
      </c>
      <c r="G36" s="29">
        <f t="shared" si="4"/>
        <v>0.751</v>
      </c>
      <c r="H36"/>
      <c r="I36"/>
      <c r="J36"/>
      <c r="K36"/>
      <c r="L36"/>
      <c r="M36" s="73"/>
    </row>
    <row r="37" spans="1:13" x14ac:dyDescent="0.2">
      <c r="A37" t="str">
        <f t="shared" si="1"/>
        <v>2022</v>
      </c>
      <c r="B37"/>
      <c r="C37" s="28">
        <f t="shared" si="5"/>
        <v>1.2814934323382627</v>
      </c>
      <c r="D37" s="29">
        <f>'3.3a'!F20</f>
        <v>1.0409999999999999</v>
      </c>
      <c r="E37" s="29">
        <f t="shared" si="2"/>
        <v>1.2541341703471478</v>
      </c>
      <c r="F37" s="29">
        <f t="shared" si="3"/>
        <v>1.1257096041054246</v>
      </c>
      <c r="G37" s="29">
        <f t="shared" si="4"/>
        <v>0.72899999999999998</v>
      </c>
      <c r="H37"/>
      <c r="I37"/>
      <c r="J37"/>
      <c r="K37"/>
      <c r="L37"/>
      <c r="M37" s="73"/>
    </row>
    <row r="38" spans="1:13" x14ac:dyDescent="0.2">
      <c r="A38" t="str">
        <f t="shared" si="1"/>
        <v>2023</v>
      </c>
      <c r="B38"/>
      <c r="C38" s="28">
        <f t="shared" si="5"/>
        <v>1.1803142945381142</v>
      </c>
      <c r="D38" s="29">
        <f>'3.3a'!F21</f>
        <v>1.016</v>
      </c>
      <c r="E38" s="29">
        <f t="shared" si="2"/>
        <v>1.2541341703471478</v>
      </c>
      <c r="F38" s="29">
        <f t="shared" si="3"/>
        <v>1.1257096041054246</v>
      </c>
      <c r="G38" s="29">
        <f>ROUND(PRODUCT(D38,F38)/PRODUCT(C38,E38),3)</f>
        <v>0.77300000000000002</v>
      </c>
      <c r="H38"/>
      <c r="I38"/>
      <c r="J38"/>
      <c r="K38"/>
      <c r="L38"/>
      <c r="M38" s="73"/>
    </row>
    <row r="39" spans="1:13" x14ac:dyDescent="0.2">
      <c r="A39" t="str">
        <f t="shared" si="1"/>
        <v>2024</v>
      </c>
      <c r="B39"/>
      <c r="C39" s="28">
        <f t="shared" si="5"/>
        <v>1.0765001000134713</v>
      </c>
      <c r="D39" s="29">
        <f>'3.3a'!F22</f>
        <v>1.02</v>
      </c>
      <c r="E39" s="29">
        <f t="shared" si="2"/>
        <v>1.2541341703471478</v>
      </c>
      <c r="F39" s="29">
        <f t="shared" si="3"/>
        <v>1.1257096041054246</v>
      </c>
      <c r="G39" s="29">
        <f t="shared" si="4"/>
        <v>0.85</v>
      </c>
      <c r="H39"/>
      <c r="I39"/>
      <c r="J39"/>
      <c r="K39"/>
      <c r="L39"/>
      <c r="M39" s="73"/>
    </row>
    <row r="40" spans="1:13" x14ac:dyDescent="0.2">
      <c r="A40" t="str">
        <f>TEXT(YEAR($N$8),"#")</f>
        <v>2025</v>
      </c>
      <c r="B40"/>
      <c r="C40" s="28">
        <f>C$23/C23</f>
        <v>1</v>
      </c>
      <c r="D40" s="29">
        <f>'3.3a'!F23</f>
        <v>1</v>
      </c>
      <c r="E40" s="29">
        <f t="shared" si="2"/>
        <v>1.2541341703471478</v>
      </c>
      <c r="F40" s="29">
        <f t="shared" si="3"/>
        <v>1.1257096041054246</v>
      </c>
      <c r="G40" s="29">
        <f>ROUND(PRODUCT(D40,F40)/PRODUCT(C40,E40),3)</f>
        <v>0.89800000000000002</v>
      </c>
      <c r="H40"/>
      <c r="I40"/>
      <c r="J40"/>
      <c r="K40"/>
      <c r="L40"/>
      <c r="M40" s="73"/>
    </row>
    <row r="41" spans="1:13" ht="12" thickBot="1" x14ac:dyDescent="0.25">
      <c r="A41" s="6"/>
      <c r="B41" s="6"/>
      <c r="C41" s="97"/>
      <c r="D41" s="97"/>
      <c r="E41" s="97"/>
      <c r="F41" s="97"/>
      <c r="G41" s="97"/>
      <c r="H41" s="6"/>
      <c r="I41" s="6"/>
      <c r="J41"/>
      <c r="K41"/>
      <c r="L41"/>
      <c r="M41" s="73"/>
    </row>
    <row r="42" spans="1:13" ht="12" thickTop="1" x14ac:dyDescent="0.2">
      <c r="A42"/>
      <c r="B42"/>
      <c r="C42"/>
      <c r="D42"/>
      <c r="E42"/>
      <c r="F42"/>
      <c r="G42"/>
      <c r="H42"/>
      <c r="I42"/>
      <c r="J42"/>
      <c r="K42"/>
      <c r="L42"/>
      <c r="M42" s="73"/>
    </row>
    <row r="43" spans="1:13" x14ac:dyDescent="0.2">
      <c r="A43" t="s">
        <v>17</v>
      </c>
      <c r="B43"/>
      <c r="C43"/>
      <c r="D43"/>
      <c r="E43"/>
      <c r="F43"/>
      <c r="G43"/>
      <c r="H43"/>
      <c r="I43"/>
      <c r="J43"/>
      <c r="K43"/>
      <c r="L43"/>
      <c r="M43" s="73"/>
    </row>
    <row r="44" spans="1:13" x14ac:dyDescent="0.2">
      <c r="A44"/>
      <c r="B44" t="str">
        <f>C12&amp;" Average written premium per exposure at present rates from "&amp;'3.2'!$L$1&amp;", "&amp;'3.2'!$L$2&amp;", Column "&amp;'3.2'!$G$12</f>
        <v>(2) Average written premium per exposure at present rates from Exhibit 3, Sheet 2, Column (6)</v>
      </c>
      <c r="C44"/>
      <c r="D44"/>
      <c r="E44"/>
      <c r="F44"/>
      <c r="G44"/>
      <c r="H44"/>
      <c r="I44"/>
      <c r="J44"/>
      <c r="K44"/>
      <c r="L44"/>
      <c r="M44" s="73"/>
    </row>
    <row r="45" spans="1:13" x14ac:dyDescent="0.2">
      <c r="A45"/>
      <c r="B45" t="str">
        <f>D13&amp;" Latest Year / Quarter Ending Date - 6 Months"</f>
        <v>(3) Latest Year / Quarter Ending Date - 6 Months</v>
      </c>
      <c r="C45"/>
      <c r="D45"/>
      <c r="E45"/>
      <c r="F45"/>
      <c r="G45"/>
      <c r="H45"/>
      <c r="I45"/>
      <c r="J45"/>
      <c r="K45"/>
      <c r="L45"/>
      <c r="M45" s="73"/>
    </row>
    <row r="46" spans="1:13" x14ac:dyDescent="0.2">
      <c r="A46"/>
      <c r="B46" t="str">
        <f>D14&amp;" Latest Accident Year Ending Date - 6 Months"</f>
        <v>(4) Latest Accident Year Ending Date - 6 Months</v>
      </c>
      <c r="C46"/>
      <c r="D46"/>
      <c r="E46"/>
      <c r="F46"/>
      <c r="G46"/>
      <c r="H46"/>
      <c r="I46"/>
      <c r="J46"/>
      <c r="K46"/>
      <c r="L46"/>
      <c r="M46" s="73"/>
    </row>
    <row r="47" spans="1:13" x14ac:dyDescent="0.2">
      <c r="A47"/>
      <c r="B47" t="str">
        <f>D15&amp;" Rate Effective Date + 12 Months"</f>
        <v>(5) Rate Effective Date + 12 Months</v>
      </c>
      <c r="C47"/>
      <c r="D47"/>
      <c r="E47"/>
      <c r="F47"/>
      <c r="G47"/>
      <c r="H47"/>
      <c r="I47"/>
      <c r="J47"/>
      <c r="K47"/>
      <c r="L47"/>
      <c r="M47" s="73"/>
    </row>
    <row r="48" spans="1:13" x14ac:dyDescent="0.2">
      <c r="A48"/>
      <c r="B48" t="str">
        <f>D16&amp;" = "&amp;D15&amp;" - "&amp;D13</f>
        <v>(6) = (5) - (3)</v>
      </c>
      <c r="C48"/>
      <c r="D48"/>
      <c r="E48"/>
      <c r="F48"/>
      <c r="G48"/>
      <c r="H48"/>
      <c r="I48"/>
      <c r="J48"/>
      <c r="K48"/>
      <c r="L48"/>
      <c r="M48" s="73"/>
    </row>
    <row r="49" spans="1:13" x14ac:dyDescent="0.2">
      <c r="A49"/>
      <c r="B49" t="str">
        <f>D17&amp;" = "&amp;D15&amp;" - "&amp;D14</f>
        <v>(7) = (5) - (4)</v>
      </c>
      <c r="C49"/>
      <c r="D49"/>
      <c r="E49"/>
      <c r="F49"/>
      <c r="G49"/>
      <c r="H49"/>
      <c r="I49"/>
      <c r="J49"/>
      <c r="K49"/>
      <c r="L49"/>
      <c r="M49" s="73"/>
    </row>
    <row r="50" spans="1:13" x14ac:dyDescent="0.2">
      <c r="A50"/>
      <c r="B50" t="str">
        <f>D18&amp;" "&amp;'3.2'!$L$1&amp;", "&amp;'3.2'!$L$2</f>
        <v>(8) Exhibit 3, Sheet 2</v>
      </c>
      <c r="C50"/>
      <c r="D50"/>
      <c r="E50"/>
      <c r="F50"/>
      <c r="G50"/>
      <c r="H50"/>
      <c r="I50"/>
      <c r="J50"/>
      <c r="K50"/>
      <c r="L50"/>
      <c r="M50" s="73"/>
    </row>
    <row r="51" spans="1:13" x14ac:dyDescent="0.2">
      <c r="A51"/>
      <c r="B51" t="str">
        <f>D19&amp;" "&amp;'3.3a'!$L$1&amp;", "&amp;'3.3a'!$L$2</f>
        <v>(9) Exhibit 3, Sheet 3a</v>
      </c>
      <c r="C51"/>
      <c r="D51"/>
      <c r="E51"/>
      <c r="F51"/>
      <c r="G51"/>
      <c r="H51"/>
      <c r="I51"/>
      <c r="J51"/>
      <c r="K51"/>
      <c r="L51"/>
      <c r="M51" s="73"/>
    </row>
    <row r="52" spans="1:13" x14ac:dyDescent="0.2">
      <c r="A52"/>
      <c r="B52" s="83" t="str">
        <f>C29&amp;" = "&amp;C12&amp;" Indexed to "&amp;A23</f>
        <v>(11) = (2) Indexed to 2025 / 3</v>
      </c>
      <c r="C52"/>
      <c r="D52"/>
      <c r="E52"/>
      <c r="F52"/>
      <c r="G52"/>
      <c r="H52"/>
      <c r="I52"/>
      <c r="J52"/>
      <c r="K52"/>
      <c r="L52"/>
      <c r="M52" s="73"/>
    </row>
    <row r="53" spans="1:13" x14ac:dyDescent="0.2">
      <c r="A53"/>
      <c r="B53" t="str">
        <f>D29&amp;" "&amp;'3.3a'!$L$1&amp;", "&amp;'3.3a'!$L$2</f>
        <v>(12) Exhibit 3, Sheet 3a</v>
      </c>
      <c r="C53"/>
      <c r="D53"/>
      <c r="E53"/>
      <c r="F53"/>
      <c r="G53"/>
      <c r="H53"/>
      <c r="I53"/>
      <c r="J53"/>
      <c r="K53"/>
      <c r="L53"/>
      <c r="M53" s="73"/>
    </row>
    <row r="54" spans="1:13" x14ac:dyDescent="0.2">
      <c r="A54"/>
      <c r="B54" t="str">
        <f>E29&amp;" = [1 + "&amp;D18&amp;"] ^ "&amp;D16</f>
        <v>(13) = [1 + (8)] ^ (6)</v>
      </c>
      <c r="C54"/>
      <c r="D54"/>
      <c r="E54"/>
      <c r="F54"/>
      <c r="G54"/>
      <c r="H54"/>
      <c r="I54"/>
      <c r="J54"/>
      <c r="K54"/>
      <c r="L54"/>
      <c r="M54" s="73"/>
    </row>
    <row r="55" spans="1:13" x14ac:dyDescent="0.2">
      <c r="A55"/>
      <c r="B55" t="str">
        <f>F29&amp;" = [1 + "&amp;D19&amp;"] ^ "&amp;D17</f>
        <v>(14) = [1 + (9)] ^ (7)</v>
      </c>
      <c r="C55"/>
      <c r="D55"/>
      <c r="E55"/>
      <c r="F55"/>
      <c r="G55"/>
      <c r="H55"/>
      <c r="I55"/>
      <c r="J55"/>
      <c r="K55"/>
      <c r="L55"/>
      <c r="M55" s="73"/>
    </row>
    <row r="56" spans="1:13" x14ac:dyDescent="0.2">
      <c r="A56"/>
      <c r="B56" t="str">
        <f>G29&amp;" = ["&amp;D29&amp;" * "&amp;F29&amp;"] / ["&amp;C29&amp;" * "&amp;E29&amp;"]"</f>
        <v>(15) = [(12) * (14)] / [(11) * (13)]</v>
      </c>
      <c r="C56"/>
      <c r="D56"/>
      <c r="E56"/>
      <c r="F56"/>
      <c r="G56"/>
      <c r="H56"/>
      <c r="I56"/>
      <c r="J56"/>
      <c r="K56"/>
      <c r="L56"/>
      <c r="M56" s="73"/>
    </row>
    <row r="57" spans="1:13" x14ac:dyDescent="0.2">
      <c r="A57"/>
      <c r="C57"/>
      <c r="D57"/>
      <c r="E57"/>
      <c r="F57"/>
      <c r="G57"/>
      <c r="H57"/>
      <c r="I57"/>
      <c r="J57"/>
      <c r="K57"/>
      <c r="L57"/>
      <c r="M57" s="73"/>
    </row>
    <row r="58" spans="1:13" x14ac:dyDescent="0.2">
      <c r="A58"/>
      <c r="B58"/>
      <c r="C58"/>
      <c r="D58"/>
      <c r="E58"/>
      <c r="F58"/>
      <c r="G58"/>
      <c r="H58"/>
      <c r="I58"/>
      <c r="J58"/>
      <c r="K58"/>
      <c r="L58"/>
      <c r="M58" s="73"/>
    </row>
    <row r="59" spans="1:13" x14ac:dyDescent="0.2">
      <c r="A59"/>
      <c r="B59"/>
      <c r="C59"/>
      <c r="D59"/>
      <c r="E59"/>
      <c r="F59"/>
      <c r="G59"/>
      <c r="H59"/>
      <c r="I59"/>
      <c r="J59"/>
      <c r="K59"/>
      <c r="L59"/>
      <c r="M59" s="73"/>
    </row>
    <row r="60" spans="1:13" x14ac:dyDescent="0.2">
      <c r="A60"/>
      <c r="B60"/>
      <c r="C60" s="19"/>
      <c r="D60"/>
      <c r="E60"/>
      <c r="F60" s="19"/>
      <c r="G60" s="19"/>
      <c r="H60"/>
      <c r="I60"/>
      <c r="J60"/>
      <c r="K60"/>
      <c r="L60"/>
      <c r="M60" s="73"/>
    </row>
    <row r="61" spans="1:13" x14ac:dyDescent="0.2">
      <c r="A61"/>
      <c r="B61" s="23"/>
      <c r="C61" s="84"/>
      <c r="J61"/>
      <c r="K61"/>
      <c r="L61"/>
      <c r="M61" s="73"/>
    </row>
    <row r="62" spans="1:13" x14ac:dyDescent="0.2">
      <c r="A62"/>
      <c r="B62"/>
      <c r="C62"/>
      <c r="D62"/>
      <c r="E62"/>
      <c r="F62"/>
      <c r="G62"/>
      <c r="H62"/>
      <c r="I62"/>
      <c r="J62"/>
      <c r="K62"/>
      <c r="L62"/>
      <c r="M62" s="73"/>
    </row>
    <row r="63" spans="1:13" x14ac:dyDescent="0.2">
      <c r="A63"/>
      <c r="B63"/>
      <c r="C63"/>
      <c r="D63"/>
      <c r="E63"/>
      <c r="F63"/>
      <c r="G63"/>
      <c r="H63"/>
      <c r="I63"/>
      <c r="J63"/>
      <c r="K63"/>
      <c r="L63"/>
      <c r="M63" s="73"/>
    </row>
    <row r="64" spans="1:13" ht="12" thickBot="1" x14ac:dyDescent="0.25">
      <c r="A64"/>
      <c r="B64"/>
      <c r="C64"/>
      <c r="D64"/>
      <c r="E64"/>
      <c r="F64"/>
      <c r="G64"/>
      <c r="H64"/>
      <c r="I64"/>
      <c r="J64"/>
      <c r="K64"/>
      <c r="L64"/>
      <c r="M64" s="73"/>
    </row>
    <row r="65" spans="1:13" ht="12" thickBot="1" x14ac:dyDescent="0.25">
      <c r="A65" s="77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9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Y51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6640625" customWidth="1"/>
    <col min="2" max="2" width="11.33203125" customWidth="1"/>
    <col min="3" max="11" width="11.6640625" customWidth="1"/>
    <col min="12" max="12" width="4.6640625" customWidth="1"/>
  </cols>
  <sheetData>
    <row r="1" spans="1:19" x14ac:dyDescent="0.2">
      <c r="A1" s="8" t="str">
        <f>'1'!$A$1</f>
        <v>Texas Windstorm Insurance Association</v>
      </c>
      <c r="B1" s="12"/>
      <c r="L1" s="7" t="s">
        <v>60</v>
      </c>
      <c r="M1" s="1"/>
      <c r="S1" s="148"/>
    </row>
    <row r="2" spans="1:19" x14ac:dyDescent="0.2">
      <c r="A2" s="8" t="str">
        <f>'1'!$A$2</f>
        <v>Residential Property - Wind &amp; Hail</v>
      </c>
      <c r="B2" s="12"/>
      <c r="L2" s="7" t="s">
        <v>21</v>
      </c>
      <c r="M2" s="2"/>
    </row>
    <row r="3" spans="1:19" x14ac:dyDescent="0.2">
      <c r="A3" s="8" t="str">
        <f>'1'!$A$3</f>
        <v>Rate Level Review</v>
      </c>
      <c r="B3" s="12"/>
      <c r="M3" s="2"/>
    </row>
    <row r="4" spans="1:19" x14ac:dyDescent="0.2">
      <c r="A4" t="s">
        <v>80</v>
      </c>
      <c r="B4" s="12"/>
      <c r="M4" s="2"/>
    </row>
    <row r="5" spans="1:19" x14ac:dyDescent="0.2">
      <c r="A5" t="s">
        <v>289</v>
      </c>
      <c r="B5" s="12"/>
      <c r="M5" s="2"/>
    </row>
    <row r="6" spans="1:19" x14ac:dyDescent="0.2">
      <c r="M6" s="2"/>
    </row>
    <row r="7" spans="1:19" ht="12" thickBo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M7" s="2"/>
    </row>
    <row r="8" spans="1:19" ht="12" thickTop="1" x14ac:dyDescent="0.2">
      <c r="A8" t="s">
        <v>48</v>
      </c>
      <c r="M8" s="2"/>
    </row>
    <row r="9" spans="1:19" x14ac:dyDescent="0.2">
      <c r="A9" t="s">
        <v>49</v>
      </c>
      <c r="C9" s="10" t="s">
        <v>61</v>
      </c>
      <c r="M9" s="2"/>
      <c r="N9" s="17"/>
    </row>
    <row r="10" spans="1:19" x14ac:dyDescent="0.2">
      <c r="A10" t="s">
        <v>32</v>
      </c>
      <c r="M10" s="2"/>
      <c r="N10" t="s">
        <v>62</v>
      </c>
    </row>
    <row r="11" spans="1:19" x14ac:dyDescent="0.2">
      <c r="A11" s="9" t="str">
        <f>TEXT($N$23,"m/d")</f>
        <v>9/30</v>
      </c>
      <c r="B11" s="9"/>
      <c r="C11" s="121">
        <f>N11</f>
        <v>15</v>
      </c>
      <c r="D11" s="121">
        <f>C11+12</f>
        <v>27</v>
      </c>
      <c r="E11" s="121">
        <f t="shared" ref="E11:K11" si="0">D11+12</f>
        <v>39</v>
      </c>
      <c r="F11" s="121">
        <f t="shared" si="0"/>
        <v>51</v>
      </c>
      <c r="G11" s="121">
        <f t="shared" si="0"/>
        <v>63</v>
      </c>
      <c r="H11" s="121">
        <f t="shared" si="0"/>
        <v>75</v>
      </c>
      <c r="I11" s="121">
        <f t="shared" si="0"/>
        <v>87</v>
      </c>
      <c r="J11" s="121">
        <f t="shared" si="0"/>
        <v>99</v>
      </c>
      <c r="K11" s="121">
        <f t="shared" si="0"/>
        <v>111</v>
      </c>
      <c r="L11" s="23"/>
      <c r="M11" s="2"/>
      <c r="N11" s="58">
        <f>(YEAR($O$23)-YEAR($N$23)+1)*12+MONTH($O$23)-MONTH($N$23)</f>
        <v>15</v>
      </c>
    </row>
    <row r="12" spans="1:19" x14ac:dyDescent="0.2">
      <c r="A12" s="13" t="str">
        <f>TEXT(COLUMN(),"(#)")</f>
        <v>(1)</v>
      </c>
      <c r="B12" s="13"/>
      <c r="C12" s="11" t="str">
        <f t="shared" ref="C12:K12" si="1">TEXT(COLUMN()-1,"(#)")</f>
        <v>(2)</v>
      </c>
      <c r="D12" s="11" t="str">
        <f t="shared" si="1"/>
        <v>(3)</v>
      </c>
      <c r="E12" s="11" t="str">
        <f t="shared" si="1"/>
        <v>(4)</v>
      </c>
      <c r="F12" s="11" t="str">
        <f t="shared" si="1"/>
        <v>(5)</v>
      </c>
      <c r="G12" s="11" t="str">
        <f t="shared" si="1"/>
        <v>(6)</v>
      </c>
      <c r="H12" s="11" t="str">
        <f t="shared" si="1"/>
        <v>(7)</v>
      </c>
      <c r="I12" s="11" t="str">
        <f t="shared" si="1"/>
        <v>(8)</v>
      </c>
      <c r="J12" s="11" t="str">
        <f t="shared" si="1"/>
        <v>(9)</v>
      </c>
      <c r="K12" s="11" t="str">
        <f t="shared" si="1"/>
        <v>(10)</v>
      </c>
      <c r="L12" s="11"/>
      <c r="M12" s="2"/>
    </row>
    <row r="13" spans="1:19" x14ac:dyDescent="0.2">
      <c r="M13" s="2"/>
    </row>
    <row r="14" spans="1:19" x14ac:dyDescent="0.2">
      <c r="A14" t="str">
        <f t="shared" ref="A14:A22" si="2">TEXT(A15-1,"#")</f>
        <v>2016</v>
      </c>
      <c r="B14" s="23"/>
      <c r="C14" s="151">
        <f>'[2]EC LDF'!B63/1000</f>
        <v>498091.696</v>
      </c>
      <c r="D14" s="151">
        <f>'[2]EC LDF'!C63/1000</f>
        <v>556120.18799999997</v>
      </c>
      <c r="E14" s="151">
        <f>'[2]EC LDF'!D63/1000</f>
        <v>562298.31299999997</v>
      </c>
      <c r="F14" s="151">
        <f>'[2]EC LDF'!E63/1000</f>
        <v>564014.45499999996</v>
      </c>
      <c r="G14" s="151">
        <f>'[2]EC LDF'!F63/1000</f>
        <v>564747.31900000002</v>
      </c>
      <c r="H14" s="151">
        <f>'[2]EC LDF'!G63/1000</f>
        <v>565099.44799999997</v>
      </c>
      <c r="I14" s="151">
        <f>'[2]EC LDF'!H63/1000</f>
        <v>565152.90899999999</v>
      </c>
      <c r="J14" s="151">
        <f>'[2]EC LDF'!I63/1000</f>
        <v>565168.27</v>
      </c>
      <c r="K14" s="151">
        <f>'[2]EC LDF'!J63/1000</f>
        <v>565206.92500000005</v>
      </c>
      <c r="L14" s="53"/>
      <c r="M14" s="2"/>
    </row>
    <row r="15" spans="1:19" x14ac:dyDescent="0.2">
      <c r="A15" t="str">
        <f t="shared" si="2"/>
        <v>2017</v>
      </c>
      <c r="B15" s="23"/>
      <c r="C15" s="151">
        <f>'[2]EC LDF'!B67/1000</f>
        <v>665246.72199999995</v>
      </c>
      <c r="D15" s="151">
        <f>'[2]EC LDF'!C67/1000</f>
        <v>791814.27500000002</v>
      </c>
      <c r="E15" s="151">
        <f>'[2]EC LDF'!D67/1000</f>
        <v>816792.228</v>
      </c>
      <c r="F15" s="151">
        <f>'[2]EC LDF'!E67/1000</f>
        <v>822535.77599999995</v>
      </c>
      <c r="G15" s="151">
        <f>'[2]EC LDF'!F67/1000</f>
        <v>825860.304</v>
      </c>
      <c r="H15" s="151">
        <f>'[2]EC LDF'!G67/1000</f>
        <v>825685.73</v>
      </c>
      <c r="I15" s="151">
        <f>'[2]EC LDF'!H67/1000</f>
        <v>826174.28</v>
      </c>
      <c r="J15" s="151">
        <f>'[2]EC LDF'!I67/1000</f>
        <v>826197.04399999999</v>
      </c>
      <c r="K15" s="151">
        <f>'[2]EC LDF'!J67/1000</f>
        <v>826307.66200000001</v>
      </c>
      <c r="L15" s="53"/>
      <c r="M15" s="2"/>
    </row>
    <row r="16" spans="1:19" x14ac:dyDescent="0.2">
      <c r="A16" t="str">
        <f t="shared" si="2"/>
        <v>2018</v>
      </c>
      <c r="B16" s="23"/>
      <c r="C16" s="151">
        <f>'[2]EC LDF'!B71/1000</f>
        <v>186500.39600000001</v>
      </c>
      <c r="D16" s="151">
        <f>'[2]EC LDF'!C71/1000</f>
        <v>218189.068</v>
      </c>
      <c r="E16" s="151">
        <f>'[2]EC LDF'!D71/1000</f>
        <v>220721.21299999999</v>
      </c>
      <c r="F16" s="151">
        <f>'[2]EC LDF'!E71/1000</f>
        <v>221225.15</v>
      </c>
      <c r="G16" s="151">
        <f>'[2]EC LDF'!F71/1000</f>
        <v>221202.329</v>
      </c>
      <c r="H16" s="151">
        <f>'[2]EC LDF'!G71/1000</f>
        <v>221252.677</v>
      </c>
      <c r="I16" s="151">
        <f>'[2]EC LDF'!H71/1000</f>
        <v>221243.21</v>
      </c>
      <c r="J16" s="151">
        <f>'[2]EC LDF'!I71/1000</f>
        <v>221243.11</v>
      </c>
      <c r="K16" s="151"/>
      <c r="L16" s="53"/>
      <c r="M16" s="2"/>
    </row>
    <row r="17" spans="1:15" x14ac:dyDescent="0.2">
      <c r="A17" t="str">
        <f>TEXT(A18-1,"#")</f>
        <v>2019</v>
      </c>
      <c r="B17" s="23"/>
      <c r="C17" s="151">
        <f>'[2]EC LDF'!B75/1000</f>
        <v>283698.005</v>
      </c>
      <c r="D17" s="151">
        <f>'[2]EC LDF'!C75/1000</f>
        <v>318857.54399999999</v>
      </c>
      <c r="E17" s="151">
        <f>'[2]EC LDF'!D75/1000</f>
        <v>324430.70699999999</v>
      </c>
      <c r="F17" s="151">
        <f>'[2]EC LDF'!E75/1000</f>
        <v>325280.33299999998</v>
      </c>
      <c r="G17" s="151">
        <f>'[2]EC LDF'!F75/1000</f>
        <v>325471.342</v>
      </c>
      <c r="H17" s="151">
        <f>'[2]EC LDF'!G75/1000</f>
        <v>325561.75699999998</v>
      </c>
      <c r="I17" s="151">
        <f>'[2]EC LDF'!H75/1000</f>
        <v>325603.712</v>
      </c>
      <c r="J17" s="151"/>
      <c r="K17" s="151"/>
      <c r="L17" s="53"/>
      <c r="M17" s="2"/>
    </row>
    <row r="18" spans="1:15" x14ac:dyDescent="0.2">
      <c r="A18" t="str">
        <f t="shared" si="2"/>
        <v>2020</v>
      </c>
      <c r="B18" s="23"/>
      <c r="C18" s="151">
        <f>'[2]EC LDF'!B79/1000</f>
        <v>338256.14899999998</v>
      </c>
      <c r="D18" s="151">
        <f>'[2]EC LDF'!C79/1000</f>
        <v>390286.46600000001</v>
      </c>
      <c r="E18" s="151">
        <f>'[2]EC LDF'!D79/1000</f>
        <v>398055.50599999999</v>
      </c>
      <c r="F18" s="151">
        <f>'[2]EC LDF'!E79/1000</f>
        <v>400121.19099999999</v>
      </c>
      <c r="G18" s="151">
        <f>'[2]EC LDF'!F79/1000</f>
        <v>399860.761</v>
      </c>
      <c r="H18" s="151">
        <f>'[2]EC LDF'!G79/1000</f>
        <v>399596.29599999997</v>
      </c>
      <c r="I18" s="151"/>
      <c r="J18" s="151"/>
      <c r="K18" s="151"/>
      <c r="L18" s="53"/>
      <c r="M18" s="2"/>
    </row>
    <row r="19" spans="1:15" x14ac:dyDescent="0.2">
      <c r="A19" t="str">
        <f t="shared" si="2"/>
        <v>2021</v>
      </c>
      <c r="B19" s="23"/>
      <c r="C19" s="151">
        <f>'[2]EC LDF'!B83/1000</f>
        <v>421926.27</v>
      </c>
      <c r="D19" s="151">
        <f>'[2]EC LDF'!C83/1000</f>
        <v>488000.821</v>
      </c>
      <c r="E19" s="151">
        <f>'[2]EC LDF'!D83/1000</f>
        <v>492916.21299999999</v>
      </c>
      <c r="F19" s="151">
        <f>'[2]EC LDF'!E83/1000</f>
        <v>493766.53100000002</v>
      </c>
      <c r="G19" s="151">
        <f>'[2]EC LDF'!F83/1000</f>
        <v>494687.58199999999</v>
      </c>
      <c r="H19" s="151"/>
      <c r="I19" s="151"/>
      <c r="J19" s="151"/>
      <c r="K19" s="151"/>
      <c r="L19" s="53"/>
      <c r="M19" s="2"/>
    </row>
    <row r="20" spans="1:15" x14ac:dyDescent="0.2">
      <c r="A20" t="str">
        <f t="shared" si="2"/>
        <v>2022</v>
      </c>
      <c r="B20" s="23"/>
      <c r="C20" s="151">
        <f>'[2]EC LDF'!B87/1000</f>
        <v>255495.64300000001</v>
      </c>
      <c r="D20" s="151">
        <f>'[2]EC LDF'!C87/1000</f>
        <v>298125.73499999999</v>
      </c>
      <c r="E20" s="151">
        <f>'[2]EC LDF'!D87/1000</f>
        <v>300795.26699999999</v>
      </c>
      <c r="F20" s="151">
        <f>'[2]EC LDF'!E87/1000</f>
        <v>302815.77399999998</v>
      </c>
      <c r="G20" s="151"/>
      <c r="H20" s="151"/>
      <c r="I20" s="151"/>
      <c r="J20" s="151"/>
      <c r="K20" s="151"/>
      <c r="L20" s="53"/>
      <c r="M20" s="2"/>
    </row>
    <row r="21" spans="1:15" x14ac:dyDescent="0.2">
      <c r="A21" t="str">
        <f t="shared" si="2"/>
        <v>2023</v>
      </c>
      <c r="B21" s="23"/>
      <c r="C21" s="151">
        <f>'[2]EC LDF'!B91/1000</f>
        <v>582369.77099999995</v>
      </c>
      <c r="D21" s="151">
        <f>'[2]EC LDF'!C91/1000</f>
        <v>695059.43599999999</v>
      </c>
      <c r="E21" s="151">
        <f>'[2]EC LDF'!D91/1000</f>
        <v>705818.52399999998</v>
      </c>
      <c r="F21" s="151"/>
      <c r="G21" s="151"/>
      <c r="H21" s="151"/>
      <c r="I21" s="151"/>
      <c r="J21" s="151"/>
      <c r="K21" s="151"/>
      <c r="L21" s="53"/>
      <c r="M21" s="2"/>
    </row>
    <row r="22" spans="1:15" x14ac:dyDescent="0.2">
      <c r="A22" t="str">
        <f t="shared" si="2"/>
        <v>2024</v>
      </c>
      <c r="B22" s="23"/>
      <c r="C22" s="151">
        <f>'[2]EC LDF'!B95/1000</f>
        <v>1023272.241</v>
      </c>
      <c r="D22" s="151">
        <f>'[2]EC LDF'!C95/1000</f>
        <v>1156560.3810000001</v>
      </c>
      <c r="E22" s="151"/>
      <c r="F22" s="151"/>
      <c r="G22" s="151"/>
      <c r="H22" s="151"/>
      <c r="I22" s="151"/>
      <c r="J22" s="151"/>
      <c r="K22" s="151"/>
      <c r="L22" s="53"/>
      <c r="M22" s="2"/>
      <c r="N22" t="s">
        <v>193</v>
      </c>
      <c r="O22" t="s">
        <v>194</v>
      </c>
    </row>
    <row r="23" spans="1:15" x14ac:dyDescent="0.2">
      <c r="A23" t="str">
        <f>TEXT(YEAR($N$23),"#")</f>
        <v>2025</v>
      </c>
      <c r="B23" s="23"/>
      <c r="C23" s="151">
        <f>'[2]EC LDF'!B99/1000</f>
        <v>427154.25699999998</v>
      </c>
      <c r="D23" s="151"/>
      <c r="E23" s="151"/>
      <c r="F23" s="151"/>
      <c r="G23" s="151"/>
      <c r="H23" s="151"/>
      <c r="I23" s="151"/>
      <c r="J23" s="151"/>
      <c r="K23" s="151"/>
      <c r="L23" s="53"/>
      <c r="M23" s="2"/>
      <c r="N23" s="55">
        <f>'[2]EC LDF'!$B$1</f>
        <v>45930</v>
      </c>
      <c r="O23" s="55">
        <f>'[2]EC LDF'!$B$2</f>
        <v>46022</v>
      </c>
    </row>
    <row r="24" spans="1:15" x14ac:dyDescent="0.2">
      <c r="A24" s="9"/>
      <c r="B24" s="24"/>
      <c r="C24" s="54"/>
      <c r="D24" s="54"/>
      <c r="E24" s="54"/>
      <c r="F24" s="54"/>
      <c r="G24" s="54"/>
      <c r="H24" s="54"/>
      <c r="I24" s="54"/>
      <c r="J24" s="54"/>
      <c r="K24" s="54"/>
      <c r="L24" s="53"/>
      <c r="M24" s="2"/>
      <c r="N24" s="55"/>
    </row>
    <row r="25" spans="1:15" x14ac:dyDescent="0.2">
      <c r="A25" t="str">
        <f>A8</f>
        <v>Accident</v>
      </c>
      <c r="M25" s="2"/>
    </row>
    <row r="26" spans="1:15" x14ac:dyDescent="0.2">
      <c r="A26" t="str">
        <f t="shared" ref="A26:A28" si="3">A9</f>
        <v>Year</v>
      </c>
      <c r="C26" s="10" t="s">
        <v>63</v>
      </c>
      <c r="M26" s="2"/>
    </row>
    <row r="27" spans="1:15" x14ac:dyDescent="0.2">
      <c r="A27" t="str">
        <f t="shared" si="3"/>
        <v>Ending</v>
      </c>
      <c r="M27" s="2"/>
    </row>
    <row r="28" spans="1:15" x14ac:dyDescent="0.2">
      <c r="A28" s="9" t="str">
        <f t="shared" si="3"/>
        <v>9/30</v>
      </c>
      <c r="B28" s="9"/>
      <c r="C28" s="121" t="str">
        <f>N11&amp;" - "&amp;D11</f>
        <v>15 - 27</v>
      </c>
      <c r="D28" s="121" t="str">
        <f t="shared" ref="D28:J28" si="4">D11&amp;" - "&amp;E11</f>
        <v>27 - 39</v>
      </c>
      <c r="E28" s="121" t="str">
        <f t="shared" si="4"/>
        <v>39 - 51</v>
      </c>
      <c r="F28" s="121" t="str">
        <f t="shared" si="4"/>
        <v>51 - 63</v>
      </c>
      <c r="G28" s="121" t="str">
        <f t="shared" si="4"/>
        <v>63 - 75</v>
      </c>
      <c r="H28" s="121" t="str">
        <f t="shared" si="4"/>
        <v>75 - 87</v>
      </c>
      <c r="I28" s="121" t="str">
        <f t="shared" si="4"/>
        <v>87 - 99</v>
      </c>
      <c r="J28" s="121" t="str">
        <f t="shared" si="4"/>
        <v>99 - 111</v>
      </c>
      <c r="K28" s="121" t="str">
        <f>K11&amp;" - Ult"</f>
        <v>111 - Ult</v>
      </c>
      <c r="M28" s="2"/>
    </row>
    <row r="29" spans="1:15" x14ac:dyDescent="0.2">
      <c r="A29" s="13" t="str">
        <f>TEXT(COLUMN(),"(#)")</f>
        <v>(1)</v>
      </c>
      <c r="B29" s="13"/>
      <c r="C29" s="11" t="str">
        <f t="shared" ref="C29:K29" si="5">TEXT(COLUMN()-1,"(#)")</f>
        <v>(2)</v>
      </c>
      <c r="D29" s="11" t="str">
        <f t="shared" si="5"/>
        <v>(3)</v>
      </c>
      <c r="E29" s="11" t="str">
        <f t="shared" si="5"/>
        <v>(4)</v>
      </c>
      <c r="F29" s="11" t="str">
        <f t="shared" si="5"/>
        <v>(5)</v>
      </c>
      <c r="G29" s="11" t="str">
        <f t="shared" si="5"/>
        <v>(6)</v>
      </c>
      <c r="H29" s="11" t="str">
        <f t="shared" si="5"/>
        <v>(7)</v>
      </c>
      <c r="I29" s="11" t="str">
        <f t="shared" si="5"/>
        <v>(8)</v>
      </c>
      <c r="J29" s="11" t="str">
        <f t="shared" si="5"/>
        <v>(9)</v>
      </c>
      <c r="K29" s="11" t="str">
        <f t="shared" si="5"/>
        <v>(10)</v>
      </c>
      <c r="L29" s="11"/>
      <c r="M29" s="2"/>
    </row>
    <row r="30" spans="1:15" x14ac:dyDescent="0.2">
      <c r="M30" s="2"/>
    </row>
    <row r="31" spans="1:15" x14ac:dyDescent="0.2">
      <c r="A31" t="str">
        <f t="shared" ref="A31:A39" si="6">A14</f>
        <v>2016</v>
      </c>
      <c r="B31" s="23"/>
      <c r="C31" s="32">
        <f>IF(ISNUMBER(D14),D14/C14,"")</f>
        <v>1.1165016250341182</v>
      </c>
      <c r="D31" s="32">
        <f t="shared" ref="D31:J31" si="7">IF(ISNUMBER(E14),E14/D14,"")</f>
        <v>1.0111093341570978</v>
      </c>
      <c r="E31" s="32">
        <f t="shared" si="7"/>
        <v>1.0030520134247674</v>
      </c>
      <c r="F31" s="32">
        <f t="shared" si="7"/>
        <v>1.001299370953179</v>
      </c>
      <c r="G31" s="32">
        <f t="shared" si="7"/>
        <v>1.0006235160188515</v>
      </c>
      <c r="H31" s="32">
        <f t="shared" si="7"/>
        <v>1.0000946045871912</v>
      </c>
      <c r="I31" s="32">
        <f t="shared" si="7"/>
        <v>1.0000271802546805</v>
      </c>
      <c r="J31" s="32">
        <f t="shared" si="7"/>
        <v>1.0000683955594323</v>
      </c>
      <c r="K31" s="32">
        <v>1</v>
      </c>
      <c r="L31" s="32"/>
      <c r="M31" s="2"/>
    </row>
    <row r="32" spans="1:15" x14ac:dyDescent="0.2">
      <c r="A32" t="str">
        <f t="shared" si="6"/>
        <v>2017</v>
      </c>
      <c r="B32" s="23"/>
      <c r="C32" s="32">
        <f t="shared" ref="C32:J39" si="8">IF(ISNUMBER(D15),D15/C15,"")</f>
        <v>1.1902565601818931</v>
      </c>
      <c r="D32" s="32">
        <f t="shared" si="8"/>
        <v>1.0315452168376227</v>
      </c>
      <c r="E32" s="32">
        <f t="shared" si="8"/>
        <v>1.0070318347838147</v>
      </c>
      <c r="F32" s="32">
        <f t="shared" si="8"/>
        <v>1.0040418035263672</v>
      </c>
      <c r="G32" s="32">
        <f t="shared" si="8"/>
        <v>0.99978861558164922</v>
      </c>
      <c r="H32" s="32">
        <f t="shared" si="8"/>
        <v>1.0005916900126155</v>
      </c>
      <c r="I32" s="32">
        <f t="shared" si="8"/>
        <v>1.0000275535084437</v>
      </c>
      <c r="J32" s="32">
        <f t="shared" si="8"/>
        <v>1.0001338881575568</v>
      </c>
      <c r="K32" s="32" t="str">
        <f t="shared" ref="K32:K39" si="9">IF(ISNUMBER(M15),M15/K15,"")</f>
        <v/>
      </c>
      <c r="L32" s="32"/>
      <c r="M32" s="2"/>
    </row>
    <row r="33" spans="1:25" x14ac:dyDescent="0.2">
      <c r="A33" t="str">
        <f t="shared" si="6"/>
        <v>2018</v>
      </c>
      <c r="B33" s="23"/>
      <c r="C33" s="32">
        <f t="shared" si="8"/>
        <v>1.1699120896236594</v>
      </c>
      <c r="D33" s="32">
        <f t="shared" si="8"/>
        <v>1.0116052789592556</v>
      </c>
      <c r="E33" s="32">
        <f t="shared" si="8"/>
        <v>1.0022831380507138</v>
      </c>
      <c r="F33" s="32">
        <f t="shared" si="8"/>
        <v>0.99989684265102774</v>
      </c>
      <c r="G33" s="32">
        <f t="shared" si="8"/>
        <v>1.0002276106233945</v>
      </c>
      <c r="H33" s="32">
        <f t="shared" si="8"/>
        <v>0.99995721181714781</v>
      </c>
      <c r="I33" s="32">
        <f t="shared" si="8"/>
        <v>0.99999954800872759</v>
      </c>
      <c r="J33" s="32" t="str">
        <f t="shared" si="8"/>
        <v/>
      </c>
      <c r="K33" s="32" t="str">
        <f t="shared" si="9"/>
        <v/>
      </c>
      <c r="L33" s="32"/>
      <c r="M33" s="2"/>
    </row>
    <row r="34" spans="1:25" x14ac:dyDescent="0.2">
      <c r="A34" t="str">
        <f t="shared" si="6"/>
        <v>2019</v>
      </c>
      <c r="B34" s="23"/>
      <c r="C34" s="32">
        <f t="shared" si="8"/>
        <v>1.1239329793665627</v>
      </c>
      <c r="D34" s="32">
        <f t="shared" si="8"/>
        <v>1.0174785358065732</v>
      </c>
      <c r="E34" s="32">
        <f t="shared" si="8"/>
        <v>1.0026188211586273</v>
      </c>
      <c r="F34" s="32">
        <f t="shared" si="8"/>
        <v>1.0005872134913241</v>
      </c>
      <c r="G34" s="32">
        <f t="shared" si="8"/>
        <v>1.0002777971155445</v>
      </c>
      <c r="H34" s="32">
        <f t="shared" si="8"/>
        <v>1.0001288695588408</v>
      </c>
      <c r="I34" s="32" t="str">
        <f t="shared" si="8"/>
        <v/>
      </c>
      <c r="J34" s="32" t="str">
        <f t="shared" si="8"/>
        <v/>
      </c>
      <c r="K34" s="32" t="str">
        <f t="shared" si="9"/>
        <v/>
      </c>
      <c r="L34" s="32"/>
      <c r="M34" s="2"/>
    </row>
    <row r="35" spans="1:25" x14ac:dyDescent="0.2">
      <c r="A35" t="str">
        <f t="shared" si="6"/>
        <v>2020</v>
      </c>
      <c r="B35" s="23"/>
      <c r="C35" s="32">
        <f t="shared" si="8"/>
        <v>1.153819279128611</v>
      </c>
      <c r="D35" s="32">
        <f t="shared" si="8"/>
        <v>1.0199059938706663</v>
      </c>
      <c r="E35" s="32">
        <f t="shared" si="8"/>
        <v>1.0051894395853427</v>
      </c>
      <c r="F35" s="32">
        <f t="shared" si="8"/>
        <v>0.99934912220132821</v>
      </c>
      <c r="G35" s="32">
        <f t="shared" si="8"/>
        <v>0.99933860727084445</v>
      </c>
      <c r="H35" s="32" t="str">
        <f t="shared" si="8"/>
        <v/>
      </c>
      <c r="I35" s="32" t="str">
        <f t="shared" si="8"/>
        <v/>
      </c>
      <c r="J35" s="32" t="str">
        <f t="shared" si="8"/>
        <v/>
      </c>
      <c r="K35" s="32" t="str">
        <f t="shared" si="9"/>
        <v/>
      </c>
      <c r="L35" s="32"/>
      <c r="M35" s="2"/>
      <c r="Q35" s="19"/>
      <c r="R35" s="19"/>
      <c r="S35" s="19"/>
      <c r="T35" s="19"/>
      <c r="U35" s="19"/>
      <c r="V35" s="19"/>
      <c r="W35" s="19"/>
      <c r="X35" s="19"/>
      <c r="Y35" s="19"/>
    </row>
    <row r="36" spans="1:25" x14ac:dyDescent="0.2">
      <c r="A36" t="str">
        <f t="shared" si="6"/>
        <v>2021</v>
      </c>
      <c r="B36" s="23"/>
      <c r="C36" s="32">
        <f t="shared" si="8"/>
        <v>1.1566021262435258</v>
      </c>
      <c r="D36" s="32">
        <f t="shared" si="8"/>
        <v>1.0100725076444081</v>
      </c>
      <c r="E36" s="32">
        <f t="shared" si="8"/>
        <v>1.0017250761439247</v>
      </c>
      <c r="F36" s="32">
        <f t="shared" si="8"/>
        <v>1.0018653572937286</v>
      </c>
      <c r="G36" s="32" t="str">
        <f t="shared" si="8"/>
        <v/>
      </c>
      <c r="H36" s="32" t="str">
        <f t="shared" si="8"/>
        <v/>
      </c>
      <c r="I36" s="32" t="str">
        <f t="shared" si="8"/>
        <v/>
      </c>
      <c r="J36" s="32" t="str">
        <f t="shared" si="8"/>
        <v/>
      </c>
      <c r="K36" s="32" t="str">
        <f t="shared" si="9"/>
        <v/>
      </c>
      <c r="L36" s="32"/>
      <c r="M36" s="2"/>
      <c r="Q36" s="19"/>
      <c r="R36" s="19"/>
      <c r="S36" s="19"/>
      <c r="T36" s="19"/>
      <c r="U36" s="19"/>
      <c r="V36" s="19"/>
      <c r="W36" s="19"/>
      <c r="X36" s="19"/>
      <c r="Y36" s="19"/>
    </row>
    <row r="37" spans="1:25" x14ac:dyDescent="0.2">
      <c r="A37" t="str">
        <f t="shared" si="6"/>
        <v>2022</v>
      </c>
      <c r="B37" s="23"/>
      <c r="C37" s="32">
        <f t="shared" si="8"/>
        <v>1.166852520455701</v>
      </c>
      <c r="D37" s="32">
        <f t="shared" si="8"/>
        <v>1.0089543829552319</v>
      </c>
      <c r="E37" s="32">
        <f t="shared" si="8"/>
        <v>1.0067172167306742</v>
      </c>
      <c r="F37" s="32" t="str">
        <f t="shared" si="8"/>
        <v/>
      </c>
      <c r="G37" s="32" t="str">
        <f t="shared" si="8"/>
        <v/>
      </c>
      <c r="H37" s="32" t="str">
        <f t="shared" si="8"/>
        <v/>
      </c>
      <c r="I37" s="32" t="str">
        <f t="shared" si="8"/>
        <v/>
      </c>
      <c r="J37" s="32" t="str">
        <f t="shared" si="8"/>
        <v/>
      </c>
      <c r="K37" s="32" t="str">
        <f t="shared" si="9"/>
        <v/>
      </c>
      <c r="L37" s="32"/>
      <c r="M37" s="2"/>
      <c r="Q37" s="19"/>
      <c r="R37" s="19"/>
      <c r="S37" s="19"/>
      <c r="T37" s="19"/>
      <c r="U37" s="19"/>
      <c r="V37" s="19"/>
      <c r="W37" s="19"/>
      <c r="X37" s="19"/>
      <c r="Y37" s="19"/>
    </row>
    <row r="38" spans="1:25" x14ac:dyDescent="0.2">
      <c r="A38" t="str">
        <f t="shared" si="6"/>
        <v>2023</v>
      </c>
      <c r="B38" s="23"/>
      <c r="C38" s="32">
        <f t="shared" si="8"/>
        <v>1.1935019134088951</v>
      </c>
      <c r="D38" s="32">
        <f t="shared" si="8"/>
        <v>1.0154793783707441</v>
      </c>
      <c r="E38" s="32" t="str">
        <f t="shared" si="8"/>
        <v/>
      </c>
      <c r="F38" s="32" t="str">
        <f t="shared" si="8"/>
        <v/>
      </c>
      <c r="G38" s="32" t="str">
        <f t="shared" si="8"/>
        <v/>
      </c>
      <c r="H38" s="32" t="str">
        <f t="shared" si="8"/>
        <v/>
      </c>
      <c r="I38" s="32" t="str">
        <f t="shared" si="8"/>
        <v/>
      </c>
      <c r="J38" s="32" t="str">
        <f t="shared" si="8"/>
        <v/>
      </c>
      <c r="K38" s="32" t="str">
        <f t="shared" si="9"/>
        <v/>
      </c>
      <c r="L38" s="32"/>
      <c r="M38" s="2"/>
      <c r="Q38" s="19"/>
      <c r="R38" s="19"/>
      <c r="S38" s="19"/>
      <c r="T38" s="19"/>
      <c r="U38" s="19"/>
      <c r="V38" s="19"/>
      <c r="W38" s="19"/>
      <c r="X38" s="19"/>
      <c r="Y38" s="19"/>
    </row>
    <row r="39" spans="1:25" x14ac:dyDescent="0.2">
      <c r="A39" t="str">
        <f t="shared" si="6"/>
        <v>2024</v>
      </c>
      <c r="B39" s="23"/>
      <c r="C39" s="32">
        <f>IF(ISNUMBER(D22),D22/C22,"")</f>
        <v>1.1302567729871604</v>
      </c>
      <c r="D39" s="32" t="str">
        <f t="shared" si="8"/>
        <v/>
      </c>
      <c r="E39" s="32" t="str">
        <f t="shared" si="8"/>
        <v/>
      </c>
      <c r="F39" s="32" t="str">
        <f t="shared" si="8"/>
        <v/>
      </c>
      <c r="G39" s="32" t="str">
        <f t="shared" si="8"/>
        <v/>
      </c>
      <c r="H39" s="32" t="str">
        <f t="shared" si="8"/>
        <v/>
      </c>
      <c r="I39" s="32" t="str">
        <f t="shared" si="8"/>
        <v/>
      </c>
      <c r="J39" s="32" t="str">
        <f t="shared" si="8"/>
        <v/>
      </c>
      <c r="K39" s="32" t="str">
        <f t="shared" si="9"/>
        <v/>
      </c>
      <c r="L39" s="32"/>
      <c r="M39" s="2"/>
      <c r="Q39" s="19"/>
      <c r="R39" s="19"/>
      <c r="S39" s="19"/>
      <c r="T39" s="19"/>
      <c r="U39" s="19"/>
      <c r="V39" s="19"/>
      <c r="W39" s="19"/>
      <c r="X39" s="19"/>
      <c r="Y39" s="19"/>
    </row>
    <row r="40" spans="1:25" x14ac:dyDescent="0.2">
      <c r="A40" s="9"/>
      <c r="B40" s="24"/>
      <c r="C40" s="33"/>
      <c r="D40" s="33"/>
      <c r="E40" s="33"/>
      <c r="F40" s="33"/>
      <c r="G40" s="33"/>
      <c r="H40" s="33"/>
      <c r="I40" s="33"/>
      <c r="J40" s="33"/>
      <c r="K40" s="33"/>
      <c r="M40" s="2"/>
      <c r="Q40" s="19"/>
      <c r="R40" s="19"/>
      <c r="S40" s="19"/>
      <c r="T40" s="19"/>
      <c r="U40" s="19"/>
      <c r="V40" s="19"/>
      <c r="W40" s="19"/>
      <c r="X40" s="19"/>
      <c r="Y40" s="19"/>
    </row>
    <row r="41" spans="1:25" x14ac:dyDescent="0.2">
      <c r="C41" s="19"/>
      <c r="M41" s="2"/>
      <c r="Q41" s="19"/>
      <c r="R41" s="19"/>
      <c r="S41" s="19"/>
      <c r="T41" s="19"/>
      <c r="U41" s="19"/>
      <c r="V41" s="19"/>
      <c r="W41" s="19"/>
      <c r="X41" s="19"/>
      <c r="Y41" s="19"/>
    </row>
    <row r="42" spans="1:25" x14ac:dyDescent="0.2">
      <c r="A42" t="s">
        <v>64</v>
      </c>
      <c r="B42" s="23"/>
      <c r="C42" s="34">
        <f>AVERAGE(C31:C39)</f>
        <v>1.1557373184922362</v>
      </c>
      <c r="D42" s="34">
        <f t="shared" ref="D42:J42" si="10">AVERAGE(D31:D39)</f>
        <v>1.0157688285752</v>
      </c>
      <c r="E42" s="34">
        <f t="shared" si="10"/>
        <v>1.0040882199825523</v>
      </c>
      <c r="F42" s="34">
        <f t="shared" si="10"/>
        <v>1.0011732850194925</v>
      </c>
      <c r="G42" s="34">
        <f t="shared" si="10"/>
        <v>1.0000512293220569</v>
      </c>
      <c r="H42" s="34">
        <f t="shared" si="10"/>
        <v>1.000193093993949</v>
      </c>
      <c r="I42" s="34">
        <f t="shared" si="10"/>
        <v>1.0000180939239507</v>
      </c>
      <c r="J42" s="34">
        <f t="shared" si="10"/>
        <v>1.0001011418584946</v>
      </c>
      <c r="K42" s="29">
        <v>1</v>
      </c>
      <c r="M42" s="2"/>
      <c r="Q42" s="19"/>
      <c r="R42" s="19"/>
      <c r="S42" s="19"/>
      <c r="T42" s="19"/>
      <c r="U42" s="19"/>
      <c r="V42" s="19"/>
      <c r="W42" s="19"/>
      <c r="X42" s="19"/>
      <c r="Y42" s="19"/>
    </row>
    <row r="43" spans="1:25" x14ac:dyDescent="0.2">
      <c r="A43" t="s">
        <v>65</v>
      </c>
      <c r="B43" s="23"/>
      <c r="C43" s="34">
        <f>AVERAGE(C35:C39)</f>
        <v>1.1602065224447786</v>
      </c>
      <c r="D43" s="34">
        <f>AVERAGE(D34:D38)</f>
        <v>1.0143781597295249</v>
      </c>
      <c r="E43" s="34">
        <f>AVERAGE(E33:E37)</f>
        <v>1.0037067383338565</v>
      </c>
      <c r="F43" s="34">
        <f>AVERAGE(F32:F36)</f>
        <v>1.0011480678327551</v>
      </c>
      <c r="G43" s="34">
        <f>AVERAGE(G31:G35)</f>
        <v>1.0000512293220569</v>
      </c>
      <c r="H43" s="34">
        <f>AVERAGE(H31:H34)</f>
        <v>1.000193093993949</v>
      </c>
      <c r="I43" s="34">
        <f>AVERAGE(I31:I33)</f>
        <v>1.0000180939239507</v>
      </c>
      <c r="J43" s="34">
        <f>AVERAGE(J31:J32)</f>
        <v>1.0001011418584946</v>
      </c>
      <c r="M43" s="2"/>
      <c r="Q43" s="19"/>
      <c r="R43" s="19"/>
      <c r="S43" s="19"/>
      <c r="T43" s="19"/>
      <c r="U43" s="19"/>
      <c r="V43" s="19"/>
      <c r="W43" s="19"/>
      <c r="X43" s="19"/>
      <c r="Y43" s="19"/>
    </row>
    <row r="44" spans="1:25" x14ac:dyDescent="0.2">
      <c r="A44" t="s">
        <v>238</v>
      </c>
      <c r="C44" s="69">
        <v>1.1548583259613163</v>
      </c>
      <c r="D44" s="69">
        <v>1.0166192134716219</v>
      </c>
      <c r="E44" s="69">
        <v>1.0034856933400973</v>
      </c>
      <c r="F44" s="69">
        <v>1.0011278330613527</v>
      </c>
      <c r="G44" s="69">
        <v>1.0000489652714739</v>
      </c>
      <c r="H44" s="69">
        <v>1.0002712316653963</v>
      </c>
      <c r="I44" s="69">
        <v>1.0001102946528095</v>
      </c>
      <c r="J44" s="69">
        <v>1.0000345030150326</v>
      </c>
      <c r="K44" s="69">
        <v>1</v>
      </c>
      <c r="L44" s="69"/>
      <c r="M44" s="2"/>
      <c r="Q44" s="19"/>
      <c r="R44" s="19"/>
      <c r="S44" s="19"/>
      <c r="T44" s="19"/>
      <c r="U44" s="19"/>
      <c r="V44" s="19"/>
      <c r="W44" s="19"/>
      <c r="X44" s="19"/>
      <c r="Y44" s="19"/>
    </row>
    <row r="45" spans="1:25" x14ac:dyDescent="0.2">
      <c r="A45" t="s">
        <v>66</v>
      </c>
      <c r="C45" s="35">
        <f>1*C42+0*C44</f>
        <v>1.1557373184922362</v>
      </c>
      <c r="D45" s="35">
        <f t="shared" ref="D45:J45" si="11">1*D42+0*D44</f>
        <v>1.0157688285752</v>
      </c>
      <c r="E45" s="35">
        <f t="shared" si="11"/>
        <v>1.0040882199825523</v>
      </c>
      <c r="F45" s="35">
        <f t="shared" si="11"/>
        <v>1.0011732850194925</v>
      </c>
      <c r="G45" s="35">
        <f t="shared" si="11"/>
        <v>1.0000512293220569</v>
      </c>
      <c r="H45" s="35">
        <f t="shared" si="11"/>
        <v>1.000193093993949</v>
      </c>
      <c r="I45" s="35">
        <f t="shared" si="11"/>
        <v>1.0000180939239507</v>
      </c>
      <c r="J45" s="35">
        <f t="shared" si="11"/>
        <v>1.0001011418584946</v>
      </c>
      <c r="K45" s="35">
        <f>AVERAGE(K42,K44)</f>
        <v>1</v>
      </c>
      <c r="L45" s="35"/>
      <c r="M45" s="2"/>
      <c r="Q45" s="19"/>
      <c r="R45" s="19"/>
      <c r="S45" s="19"/>
      <c r="T45" s="19"/>
      <c r="U45" s="19"/>
      <c r="V45" s="19"/>
      <c r="W45" s="19"/>
      <c r="X45" s="19"/>
      <c r="Y45" s="19"/>
    </row>
    <row r="46" spans="1:25" x14ac:dyDescent="0.2">
      <c r="A46" t="s">
        <v>281</v>
      </c>
      <c r="C46" s="29">
        <f t="shared" ref="C46:J46" si="12">ROUND(C45*D46,3)</f>
        <v>1.18</v>
      </c>
      <c r="D46" s="29">
        <f t="shared" si="12"/>
        <v>1.0209999999999999</v>
      </c>
      <c r="E46" s="29">
        <f t="shared" si="12"/>
        <v>1.0049999999999999</v>
      </c>
      <c r="F46" s="29">
        <f t="shared" si="12"/>
        <v>1.0009999999999999</v>
      </c>
      <c r="G46" s="29">
        <f t="shared" si="12"/>
        <v>1</v>
      </c>
      <c r="H46" s="29">
        <f t="shared" si="12"/>
        <v>1</v>
      </c>
      <c r="I46" s="29">
        <f t="shared" si="12"/>
        <v>1</v>
      </c>
      <c r="J46" s="29">
        <f t="shared" si="12"/>
        <v>1</v>
      </c>
      <c r="K46" s="29">
        <v>1</v>
      </c>
      <c r="M46" s="2"/>
      <c r="Q46" s="19"/>
      <c r="R46" s="19"/>
      <c r="S46" s="19"/>
      <c r="T46" s="19"/>
      <c r="U46" s="19"/>
      <c r="V46" s="19"/>
      <c r="W46" s="19"/>
      <c r="X46" s="19"/>
      <c r="Y46" s="19"/>
    </row>
    <row r="47" spans="1:25" ht="12" thickBo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M47" s="2"/>
    </row>
    <row r="48" spans="1:25" ht="12" thickTop="1" x14ac:dyDescent="0.2">
      <c r="A48" t="s">
        <v>17</v>
      </c>
      <c r="M48" s="2"/>
    </row>
    <row r="49" spans="1:13" x14ac:dyDescent="0.2">
      <c r="B49" s="12" t="str">
        <f>"Provided by TICO.  Accident years ending "&amp;TEXT($N$23,"m/d/xx")</f>
        <v>Provided by TICO.  Accident years ending 9/30/xx</v>
      </c>
      <c r="M49" s="2"/>
    </row>
    <row r="50" spans="1:13" ht="12" thickBot="1" x14ac:dyDescent="0.25">
      <c r="M50" s="2"/>
    </row>
    <row r="51" spans="1:13" ht="12" thickBot="1" x14ac:dyDescent="0.25">
      <c r="A51" s="4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3"/>
    </row>
  </sheetData>
  <pageMargins left="0.5" right="0.5" top="0.5" bottom="0.5" header="0.5" footer="0.5"/>
  <pageSetup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05997-B5B2-4662-9320-B70C2A511345}">
  <sheetPr>
    <pageSetUpPr fitToPage="1"/>
  </sheetPr>
  <dimension ref="A1:G52"/>
  <sheetViews>
    <sheetView showGridLines="0" zoomScaleNormal="100" workbookViewId="0">
      <selection activeCell="B27" sqref="B27"/>
    </sheetView>
  </sheetViews>
  <sheetFormatPr defaultRowHeight="11.25" x14ac:dyDescent="0.2"/>
  <cols>
    <col min="1" max="1" width="15.83203125" customWidth="1"/>
    <col min="2" max="2" width="66.5" bestFit="1" customWidth="1"/>
    <col min="3" max="3" width="1.83203125" customWidth="1"/>
    <col min="4" max="4" width="115.33203125" bestFit="1" customWidth="1"/>
    <col min="5" max="5" width="1.83203125" customWidth="1"/>
    <col min="6" max="6" width="8.83203125" bestFit="1" customWidth="1"/>
    <col min="7" max="7" width="8.33203125" bestFit="1" customWidth="1"/>
  </cols>
  <sheetData>
    <row r="1" spans="1:7" ht="12" thickBot="1" x14ac:dyDescent="0.25"/>
    <row r="2" spans="1:7" x14ac:dyDescent="0.2">
      <c r="A2" s="195" t="s">
        <v>0</v>
      </c>
      <c r="B2" s="196"/>
      <c r="C2" s="196"/>
      <c r="D2" s="196"/>
      <c r="E2" s="196"/>
      <c r="F2" s="196"/>
      <c r="G2" s="197"/>
    </row>
    <row r="3" spans="1:7" x14ac:dyDescent="0.2">
      <c r="A3" s="198" t="s">
        <v>1</v>
      </c>
      <c r="G3" s="199"/>
    </row>
    <row r="4" spans="1:7" x14ac:dyDescent="0.2">
      <c r="A4" s="198" t="s">
        <v>2</v>
      </c>
      <c r="G4" s="199"/>
    </row>
    <row r="5" spans="1:7" hidden="1" x14ac:dyDescent="0.2">
      <c r="A5" s="200"/>
      <c r="B5" s="8"/>
      <c r="G5" s="199"/>
    </row>
    <row r="6" spans="1:7" x14ac:dyDescent="0.2">
      <c r="A6" s="201" t="s">
        <v>327</v>
      </c>
      <c r="B6" s="202"/>
      <c r="C6" s="202"/>
      <c r="D6" s="202"/>
      <c r="E6" s="202"/>
      <c r="F6" s="202"/>
      <c r="G6" s="203"/>
    </row>
    <row r="7" spans="1:7" hidden="1" x14ac:dyDescent="0.2">
      <c r="A7" s="200"/>
      <c r="B7" s="8"/>
      <c r="G7" s="199"/>
    </row>
    <row r="8" spans="1:7" x14ac:dyDescent="0.2">
      <c r="A8" s="200"/>
      <c r="G8" s="199"/>
    </row>
    <row r="9" spans="1:7" x14ac:dyDescent="0.2">
      <c r="A9" s="204" t="s">
        <v>381</v>
      </c>
      <c r="B9" s="140" t="s">
        <v>328</v>
      </c>
      <c r="D9" s="140" t="s">
        <v>382</v>
      </c>
      <c r="F9" s="140" t="s">
        <v>329</v>
      </c>
      <c r="G9" s="205" t="s">
        <v>330</v>
      </c>
    </row>
    <row r="10" spans="1:7" x14ac:dyDescent="0.2">
      <c r="A10" s="206">
        <v>1</v>
      </c>
      <c r="B10" t="str">
        <f>'1'!A4</f>
        <v>Summary of Indicated Rate Change</v>
      </c>
      <c r="D10" t="str">
        <f>'1'!$A$5</f>
        <v>By Method for Projecting Hurricane Loss &amp; LAE</v>
      </c>
      <c r="F10" t="str">
        <f>'1'!$K$1</f>
        <v>Exhibit 1</v>
      </c>
      <c r="G10" s="207"/>
    </row>
    <row r="11" spans="1:7" x14ac:dyDescent="0.2">
      <c r="A11" s="206">
        <v>2.1</v>
      </c>
      <c r="B11" t="str">
        <f>'2.1'!$A$4</f>
        <v>Projected Ultimate Non-Hurricane Loss &amp; LAE Ratio</v>
      </c>
      <c r="D11" t="str">
        <f>'2.1'!$A$5</f>
        <v>All Territory Weighted Average</v>
      </c>
      <c r="F11" t="str">
        <f>'2.1'!$J$1</f>
        <v>Exhibit 2</v>
      </c>
      <c r="G11" s="199" t="str">
        <f>'2.1'!$J$2</f>
        <v>Sheet 1</v>
      </c>
    </row>
    <row r="12" spans="1:7" x14ac:dyDescent="0.2">
      <c r="A12" s="206" t="s">
        <v>331</v>
      </c>
      <c r="B12" t="str">
        <f>'2.2a'!$A$4</f>
        <v>Projected Ultimate Non-Hurricane Loss &amp; LAE Ratio</v>
      </c>
      <c r="D12" t="str">
        <f>'2.2a'!$A$5</f>
        <v>Tier 1 - Territory 8 (Galveston County)</v>
      </c>
      <c r="F12" t="str">
        <f>'2.2a'!$J$1</f>
        <v>Exhibit 2</v>
      </c>
      <c r="G12" s="199" t="str">
        <f>'2.2a'!$J$2</f>
        <v>Sheet 2a</v>
      </c>
    </row>
    <row r="13" spans="1:7" x14ac:dyDescent="0.2">
      <c r="A13" s="206" t="s">
        <v>332</v>
      </c>
      <c r="B13" t="str">
        <f>'2.2b'!$A$4</f>
        <v>Projected Ultimate Non-Hurricane Loss &amp; LAE Ratio</v>
      </c>
      <c r="D13" t="str">
        <f>'2.2b'!$A$5</f>
        <v>Tier 1 - Territory 9 (Nueces County)</v>
      </c>
      <c r="F13" t="str">
        <f>'2.2b'!$J$1</f>
        <v>Exhibit 2</v>
      </c>
      <c r="G13" s="199" t="str">
        <f>'2.2b'!$J$2</f>
        <v>Sheet 2b</v>
      </c>
    </row>
    <row r="14" spans="1:7" x14ac:dyDescent="0.2">
      <c r="A14" s="206" t="s">
        <v>333</v>
      </c>
      <c r="B14" t="str">
        <f>'2.2c'!$A$4</f>
        <v>Projected Ultimate Non-Hurricane Loss &amp; LAE Ratio</v>
      </c>
      <c r="D14" t="str">
        <f>'2.2c'!$A$5</f>
        <v>Tier 1 - Territory 10 (Other Tier 1)</v>
      </c>
      <c r="F14" t="str">
        <f>'2.2c'!$J$1</f>
        <v>Exhibit 2</v>
      </c>
      <c r="G14" s="199" t="str">
        <f>'2.2c'!$J$2</f>
        <v>Sheet 2c</v>
      </c>
    </row>
    <row r="15" spans="1:7" x14ac:dyDescent="0.2">
      <c r="A15" s="206" t="s">
        <v>334</v>
      </c>
      <c r="B15" t="str">
        <f>'2.2d'!$A$4</f>
        <v>Projected Ultimate Non-Hurricane Loss &amp; LAE Ratio</v>
      </c>
      <c r="D15" t="str">
        <f>'2.2d'!$A$5</f>
        <v>Tier 2 - (Territories 1 and 11)</v>
      </c>
      <c r="F15" t="str">
        <f>'2.2d'!$J$1</f>
        <v>Exhibit 2</v>
      </c>
      <c r="G15" s="199" t="str">
        <f>'2.2d'!$J$2</f>
        <v>Sheet 2d</v>
      </c>
    </row>
    <row r="16" spans="1:7" x14ac:dyDescent="0.2">
      <c r="A16" s="206" t="s">
        <v>335</v>
      </c>
      <c r="B16" t="str">
        <f>'2.3a'!$A$4</f>
        <v>Interpolation of Development Factors</v>
      </c>
      <c r="F16" t="str">
        <f>'2.3a'!M1</f>
        <v>Exhibit 2</v>
      </c>
      <c r="G16" s="199" t="str">
        <f>'2.3a'!M2</f>
        <v>Sheet 3a</v>
      </c>
    </row>
    <row r="17" spans="1:7" x14ac:dyDescent="0.2">
      <c r="A17" s="206" t="s">
        <v>336</v>
      </c>
      <c r="B17" t="str">
        <f>'2.3b'!$A$4</f>
        <v>Projected Ultimate Non-Hurricane Loss</v>
      </c>
      <c r="D17" t="str">
        <f>'2.3b'!$A$5</f>
        <v>Tier 1 - Territory 8 (Galveston County)</v>
      </c>
      <c r="F17" t="str">
        <f>'2.3b'!$J$1</f>
        <v>Exhibit 2</v>
      </c>
      <c r="G17" s="199" t="str">
        <f>'2.3b'!$J$2</f>
        <v>Sheet 3b</v>
      </c>
    </row>
    <row r="18" spans="1:7" x14ac:dyDescent="0.2">
      <c r="A18" s="206" t="s">
        <v>337</v>
      </c>
      <c r="B18" t="str">
        <f>'2.3c'!$A$4</f>
        <v>Projected Ultimate Non-Hurricane Loss</v>
      </c>
      <c r="D18" t="str">
        <f>'2.3c'!$A$5</f>
        <v>Tier 1 - Territory 9 (Nueces County)</v>
      </c>
      <c r="F18" t="str">
        <f>'2.3c'!$J$1</f>
        <v>Exhibit 2</v>
      </c>
      <c r="G18" s="199" t="str">
        <f>'2.3c'!$J$2</f>
        <v>Sheet 3c</v>
      </c>
    </row>
    <row r="19" spans="1:7" x14ac:dyDescent="0.2">
      <c r="A19" s="206" t="s">
        <v>338</v>
      </c>
      <c r="B19" t="str">
        <f>'2.3d'!$A$4</f>
        <v>Projected Ultimate Non-Hurricane Loss</v>
      </c>
      <c r="D19" t="str">
        <f>'2.3d'!$A$5</f>
        <v>Tier 1 - Territory 10 (Other Tier 1)</v>
      </c>
      <c r="F19" t="str">
        <f>'2.3d'!$J$1</f>
        <v>Exhibit 2</v>
      </c>
      <c r="G19" s="199" t="str">
        <f>'2.3d'!$J$2</f>
        <v>Sheet 3d</v>
      </c>
    </row>
    <row r="20" spans="1:7" x14ac:dyDescent="0.2">
      <c r="A20" s="206" t="s">
        <v>371</v>
      </c>
      <c r="B20" t="str">
        <f>'2.3e'!$A$4</f>
        <v>Projected Ultimate Non-Hurricane Loss</v>
      </c>
      <c r="D20" t="str">
        <f>'2.3e'!$A$5</f>
        <v>Tier 2 - (Territories 1 and 11)</v>
      </c>
      <c r="F20" t="str">
        <f>'2.3e'!$J$1</f>
        <v>Exhibit 2</v>
      </c>
      <c r="G20" s="199" t="str">
        <f>'2.3e'!$J$2</f>
        <v>Sheet 3e</v>
      </c>
    </row>
    <row r="21" spans="1:7" x14ac:dyDescent="0.2">
      <c r="A21" s="206" t="s">
        <v>339</v>
      </c>
      <c r="B21" t="str">
        <f>'2.4a'!A4</f>
        <v>Summary of TWIA Historical Paid Loss as of 12/31/25</v>
      </c>
      <c r="D21" t="str">
        <f>'2.4a'!$A$5</f>
        <v>Tier 1 - Territory 8 (Galveston County)</v>
      </c>
      <c r="F21" t="str">
        <f>'2.4a'!$J$1</f>
        <v>Exhibit 2</v>
      </c>
      <c r="G21" s="199" t="str">
        <f>'2.4a'!$J$2</f>
        <v>Sheet 4a</v>
      </c>
    </row>
    <row r="22" spans="1:7" x14ac:dyDescent="0.2">
      <c r="A22" s="206" t="s">
        <v>340</v>
      </c>
      <c r="B22" t="str">
        <f>'2.4b'!A4</f>
        <v>Summary of TWIA Historical Paid Loss as of 12/31/25</v>
      </c>
      <c r="D22" t="str">
        <f>'2.4b'!$A$5</f>
        <v>Tier 1 - Territory 9 (Nueces County)</v>
      </c>
      <c r="F22" t="str">
        <f>'2.4b'!$J$1</f>
        <v>Exhibit 2</v>
      </c>
      <c r="G22" s="199" t="str">
        <f>'2.4b'!$J$2</f>
        <v>Sheet 4b</v>
      </c>
    </row>
    <row r="23" spans="1:7" x14ac:dyDescent="0.2">
      <c r="A23" s="206" t="s">
        <v>341</v>
      </c>
      <c r="B23" t="str">
        <f>'2.4c'!A4</f>
        <v>Summary of TWIA Historical Paid Loss as of 12/31/25</v>
      </c>
      <c r="D23" t="str">
        <f>'2.4c'!$A$5</f>
        <v>Tier 1 - Territory 10 (Other Tier 1)</v>
      </c>
      <c r="F23" t="str">
        <f>'2.4c'!$J$1</f>
        <v>Exhibit 2</v>
      </c>
      <c r="G23" s="199" t="str">
        <f>'2.4c'!$J$2</f>
        <v>Sheet 4c</v>
      </c>
    </row>
    <row r="24" spans="1:7" x14ac:dyDescent="0.2">
      <c r="A24" s="206" t="s">
        <v>342</v>
      </c>
      <c r="B24" t="str">
        <f>'2.4d'!A4</f>
        <v>Summary of TWIA Historical Paid Loss as of 12/31/25</v>
      </c>
      <c r="D24" t="str">
        <f>'2.4d'!$A$5</f>
        <v>Tier 2 - (Territories 1 and 11)</v>
      </c>
      <c r="F24" t="str">
        <f>'2.4d'!$J$1</f>
        <v>Exhibit 2</v>
      </c>
      <c r="G24" s="199" t="str">
        <f>'2.4d'!$J$2</f>
        <v>Sheet 4d</v>
      </c>
    </row>
    <row r="25" spans="1:7" x14ac:dyDescent="0.2">
      <c r="A25" s="206">
        <v>2.5</v>
      </c>
      <c r="B25" t="str">
        <f>'2.5'!$A$4</f>
        <v>Calculation of Net Trend Factors</v>
      </c>
      <c r="D25" s="208"/>
      <c r="F25" t="str">
        <f>'2.5'!$L$1</f>
        <v>Exhibit 2</v>
      </c>
      <c r="G25" s="199" t="str">
        <f>'2.5'!$L$2</f>
        <v>Sheet 5</v>
      </c>
    </row>
    <row r="26" spans="1:7" x14ac:dyDescent="0.2">
      <c r="A26" s="206">
        <v>3.1</v>
      </c>
      <c r="B26" t="str">
        <f>'3.1'!$A$4</f>
        <v>Incurred Loss Development Factors</v>
      </c>
      <c r="D26" t="str">
        <f>'3.1'!$A$5</f>
        <v>Statewide Industry Extended Coverage Dwelling Incurred Loss</v>
      </c>
      <c r="F26" t="str">
        <f>'3.1'!$L$1</f>
        <v>Exhibit 3</v>
      </c>
      <c r="G26" s="199" t="str">
        <f>'3.1'!$L$2</f>
        <v>Sheet 1</v>
      </c>
    </row>
    <row r="27" spans="1:7" x14ac:dyDescent="0.2">
      <c r="A27" s="206">
        <v>3.2</v>
      </c>
      <c r="B27" t="str">
        <f>'3.2'!$A$4</f>
        <v>Premium Trend Analysis</v>
      </c>
      <c r="D27" t="str">
        <f>'3.2'!$A$5</f>
        <v>TWIA Residential Written Premium at Present Rates (WPPR)</v>
      </c>
      <c r="F27" t="str">
        <f>'3.2'!L1</f>
        <v>Exhibit 3</v>
      </c>
      <c r="G27" s="199" t="str">
        <f>'3.2'!L2</f>
        <v>Sheet 2</v>
      </c>
    </row>
    <row r="28" spans="1:7" x14ac:dyDescent="0.2">
      <c r="A28" s="206" t="s">
        <v>343</v>
      </c>
      <c r="B28" t="str">
        <f>'3.3a'!$A$4</f>
        <v>Loss Trend Analysis</v>
      </c>
      <c r="D28" t="str">
        <f>'3.3a'!$A$5</f>
        <v>Summary of Indices and Calculation of Prospective Loss Costs</v>
      </c>
      <c r="F28" t="str">
        <f>'3.3a'!$L$1</f>
        <v>Exhibit 3</v>
      </c>
      <c r="G28" s="199" t="str">
        <f>'3.3a'!$L$2</f>
        <v>Sheet 3a</v>
      </c>
    </row>
    <row r="29" spans="1:7" x14ac:dyDescent="0.2">
      <c r="A29" s="206" t="s">
        <v>344</v>
      </c>
      <c r="B29" t="str">
        <f>'3.3b'!$A$4</f>
        <v>Loss Trend Analysis</v>
      </c>
      <c r="D29" t="str">
        <f>'3.3b'!$A$5</f>
        <v>Boeckh Residential Construction Index Trend (Statewide)</v>
      </c>
      <c r="F29" t="str">
        <f>'3.3b'!$L$1</f>
        <v>Exhibit 3</v>
      </c>
      <c r="G29" s="199" t="str">
        <f>'3.3b'!$L$2</f>
        <v>Sheet 3b</v>
      </c>
    </row>
    <row r="30" spans="1:7" x14ac:dyDescent="0.2">
      <c r="A30" s="206" t="s">
        <v>345</v>
      </c>
      <c r="B30" t="str">
        <f>'3.3c'!$A$4</f>
        <v>Loss Trend Analysis</v>
      </c>
      <c r="D30" t="str">
        <f>'3.3c'!$A$5</f>
        <v>Boeckh Residential Construction Index Trend (Coastal)</v>
      </c>
      <c r="F30" t="str">
        <f>'3.3c'!$L$1</f>
        <v>Exhibit 3</v>
      </c>
      <c r="G30" s="199" t="str">
        <f>'3.3c'!$L$2</f>
        <v>Sheet 3c</v>
      </c>
    </row>
    <row r="31" spans="1:7" x14ac:dyDescent="0.2">
      <c r="A31" s="206" t="s">
        <v>346</v>
      </c>
      <c r="B31" t="str">
        <f>'3.3d'!$A$4</f>
        <v>Loss Trend Analysis</v>
      </c>
      <c r="D31" t="str">
        <f>'3.3d'!$A$5</f>
        <v>Modified Consumer Price Index - External Trend</v>
      </c>
      <c r="F31" t="str">
        <f>'3.3d'!$L$1</f>
        <v>Exhibit 3</v>
      </c>
      <c r="G31" s="199" t="str">
        <f>'3.3d'!$L$2</f>
        <v>Sheet 3d</v>
      </c>
    </row>
    <row r="32" spans="1:7" x14ac:dyDescent="0.2">
      <c r="A32" s="206">
        <v>4</v>
      </c>
      <c r="B32" t="str">
        <f>'4'!$A$4</f>
        <v>Development of LAE Factor Using TWIA Commercial + Residential Experience</v>
      </c>
      <c r="D32" s="209"/>
      <c r="F32" t="str">
        <f>+'4'!J1</f>
        <v>Exhibit 4</v>
      </c>
      <c r="G32" s="199"/>
    </row>
    <row r="33" spans="1:7" x14ac:dyDescent="0.2">
      <c r="A33" s="206">
        <v>5</v>
      </c>
      <c r="B33" t="str">
        <f>'5'!A4</f>
        <v>Summary of Indicated Hurricane Loss &amp; LAE Ratios</v>
      </c>
      <c r="D33" s="209"/>
      <c r="F33" t="str">
        <f>+'5'!H1</f>
        <v>Exhibit 5</v>
      </c>
      <c r="G33" s="207"/>
    </row>
    <row r="34" spans="1:7" x14ac:dyDescent="0.2">
      <c r="A34" s="206">
        <v>6.1</v>
      </c>
      <c r="B34" t="str">
        <f>'6.1'!A4</f>
        <v>Industry Experience -- Residential Extended Coverage</v>
      </c>
      <c r="D34" t="str">
        <f>'6.1'!A5</f>
        <v>Hurricane Years Only</v>
      </c>
      <c r="F34" t="str">
        <f>'6.1'!J1</f>
        <v>Exhibit 6</v>
      </c>
      <c r="G34" s="199" t="str">
        <f>+'6.1'!J2</f>
        <v>Sheet 1</v>
      </c>
    </row>
    <row r="35" spans="1:7" x14ac:dyDescent="0.2">
      <c r="A35" s="206">
        <v>6.2</v>
      </c>
      <c r="B35" t="str">
        <f>'6.2'!A4</f>
        <v>Industry Experience - Residential Extended Coverage</v>
      </c>
      <c r="D35" t="str">
        <f>'6.2'!A5</f>
        <v>Non-Hurricane Loss Ratio</v>
      </c>
      <c r="F35" t="str">
        <f>+'6.2'!J1</f>
        <v>Exhibit 6</v>
      </c>
      <c r="G35" s="199" t="str">
        <f>+'6.2'!J2</f>
        <v>Sheet 2</v>
      </c>
    </row>
    <row r="36" spans="1:7" x14ac:dyDescent="0.2">
      <c r="A36" s="206">
        <v>6.3</v>
      </c>
      <c r="B36" t="str">
        <f>'6.3'!A4</f>
        <v>Industry Experience - Residential Extended Coverage</v>
      </c>
      <c r="D36" t="str">
        <f>'6.3'!A5</f>
        <v>Summary by Territory</v>
      </c>
      <c r="F36" t="str">
        <f>'6.3'!I1</f>
        <v>Exhibit 6</v>
      </c>
      <c r="G36" s="199" t="str">
        <f>'6.3'!I2</f>
        <v>Sheet 3</v>
      </c>
    </row>
    <row r="37" spans="1:7" x14ac:dyDescent="0.2">
      <c r="A37" s="206">
        <v>6.4</v>
      </c>
      <c r="B37" t="str">
        <f>'6.4'!$A$4</f>
        <v>Industry Experience - Residential Extended Coverage</v>
      </c>
      <c r="D37" t="str">
        <f>+'6.4'!A5</f>
        <v>Tier 1 - Territory 8 (Galveston County)</v>
      </c>
      <c r="F37" t="str">
        <f>+'6.4'!I1</f>
        <v>Exhibit 6</v>
      </c>
      <c r="G37" s="199" t="str">
        <f>+'6.4'!I2</f>
        <v>Sheet 4</v>
      </c>
    </row>
    <row r="38" spans="1:7" x14ac:dyDescent="0.2">
      <c r="A38" s="206">
        <v>6.5</v>
      </c>
      <c r="B38" t="str">
        <f>'6.5'!A4</f>
        <v>Industry Experience - Residential Extended Coverage</v>
      </c>
      <c r="D38" t="str">
        <f>+'6.5'!A5</f>
        <v>Tier 1 - Territory 9 (Nueces County)</v>
      </c>
      <c r="F38" t="str">
        <f>+'6.5'!I1</f>
        <v>Exhibit 6</v>
      </c>
      <c r="G38" s="199" t="str">
        <f>+'6.5'!I2</f>
        <v>Sheet 5</v>
      </c>
    </row>
    <row r="39" spans="1:7" x14ac:dyDescent="0.2">
      <c r="A39" s="206">
        <v>6.6</v>
      </c>
      <c r="B39" t="str">
        <f>'6.6'!A4</f>
        <v>Industry Experience - Residential Extended Coverage</v>
      </c>
      <c r="D39" t="str">
        <f>+'6.6'!A5</f>
        <v>Tier 1 - Territory 10 (Other Tier 1)</v>
      </c>
      <c r="F39" t="str">
        <f>+'6.6'!I1</f>
        <v>Exhibit 6</v>
      </c>
      <c r="G39" s="199" t="str">
        <f>+'6.6'!I2</f>
        <v>Sheet 6</v>
      </c>
    </row>
    <row r="40" spans="1:7" x14ac:dyDescent="0.2">
      <c r="A40" s="206">
        <v>6.7</v>
      </c>
      <c r="B40" t="str">
        <f>'6.7'!A4</f>
        <v>Industry Experience - Residential Extended Coverage</v>
      </c>
      <c r="D40" t="str">
        <f>+'6.7'!A5</f>
        <v>Tier 2 - (Territories 1 and 11)</v>
      </c>
      <c r="F40" t="str">
        <f>+'6.7'!I1</f>
        <v>Exhibit 6</v>
      </c>
      <c r="G40" s="199" t="str">
        <f>+'6.7'!I2</f>
        <v>Sheet 7</v>
      </c>
    </row>
    <row r="41" spans="1:7" x14ac:dyDescent="0.2">
      <c r="A41" s="206">
        <v>7.1</v>
      </c>
      <c r="B41" t="str">
        <f>'7.1'!A4</f>
        <v>Hurricane Loss Ratio - Verisk (AIR) Model</v>
      </c>
      <c r="D41" t="str">
        <f>'7.1'!A5</f>
        <v>Model Version: Verisk Touchstone 13.0 Tropical Cyclone (TC) and Severe Thunderstorm (ST)</v>
      </c>
      <c r="F41" t="str">
        <f>+'7.1'!K1</f>
        <v>Exhibit 7</v>
      </c>
      <c r="G41" s="199" t="str">
        <f>+'7.1'!K2</f>
        <v>Sheet 1</v>
      </c>
    </row>
    <row r="42" spans="1:7" x14ac:dyDescent="0.2">
      <c r="A42" s="206">
        <v>7.2</v>
      </c>
      <c r="B42" t="str">
        <f>'7.2'!A4</f>
        <v>Hurricane Loss Ratio - RMS Model</v>
      </c>
      <c r="D42" t="str">
        <f>'7.2'!A5</f>
        <v>Model Version: RMS RiskLink 25.0 Windstorm/Hurricane and Convective Storm (WS/CS)</v>
      </c>
      <c r="F42" t="str">
        <f>+'7.2'!K1</f>
        <v>Exhibit 7</v>
      </c>
      <c r="G42" s="199" t="str">
        <f>+'7.2'!K2</f>
        <v>Sheet 2</v>
      </c>
    </row>
    <row r="43" spans="1:7" x14ac:dyDescent="0.2">
      <c r="A43" s="206">
        <v>7.3</v>
      </c>
      <c r="B43" t="str">
        <f>'7.3'!A4</f>
        <v>Hurricane Loss Ratio - Impact Forecasting Model</v>
      </c>
      <c r="D43" t="str">
        <f>'7.3'!A5</f>
        <v>Model Version: Impact Forecasting ELEMENTS 18.0 Atlantic Tropical Cyclone and Severe Convective Storm</v>
      </c>
      <c r="F43" t="str">
        <f>+'7.3'!K1</f>
        <v>Exhibit 7</v>
      </c>
      <c r="G43" s="199" t="str">
        <f>'7.3'!K2</f>
        <v>Sheet 3</v>
      </c>
    </row>
    <row r="44" spans="1:7" x14ac:dyDescent="0.2">
      <c r="A44" s="206">
        <v>7.4</v>
      </c>
      <c r="B44" t="str">
        <f>'7.4'!A4</f>
        <v>Hurricane Loss Ratio - Cotality RQE Model</v>
      </c>
      <c r="D44" t="str">
        <f>'7.4'!A5</f>
        <v>Model Version: Cotality Risk Quantification &amp; Engineering (RQE) v25.0 North Atlantic Hurricane (HU) and Severe Convective Storm (SCS)</v>
      </c>
      <c r="F44" t="str">
        <f>+'7.4'!K1</f>
        <v>Exhibit 7</v>
      </c>
      <c r="G44" s="199" t="str">
        <f>'7.4'!K2</f>
        <v>Sheet 4</v>
      </c>
    </row>
    <row r="45" spans="1:7" x14ac:dyDescent="0.2">
      <c r="A45" s="206">
        <v>8</v>
      </c>
      <c r="B45" t="str">
        <f>'8'!A4</f>
        <v>Texas Hurricanes 1851 - 2025</v>
      </c>
      <c r="F45" t="str">
        <f>+'8'!J1</f>
        <v>Exhibit 8</v>
      </c>
      <c r="G45" s="207"/>
    </row>
    <row r="46" spans="1:7" x14ac:dyDescent="0.2">
      <c r="A46" s="206" t="s">
        <v>375</v>
      </c>
      <c r="B46" t="str">
        <f>'9.1a'!A4</f>
        <v>Calculation of TWIA Earned Premium at Present Rate Level</v>
      </c>
      <c r="D46" t="str">
        <f>+'9.1a'!A5</f>
        <v>Tier 1 - Territory 8 (Galveston County)</v>
      </c>
      <c r="F46" t="str">
        <f>+'9.1a'!J1</f>
        <v>Exhibit 9</v>
      </c>
      <c r="G46" s="199" t="str">
        <f>+'9.1a'!J2</f>
        <v>Sheet 1a</v>
      </c>
    </row>
    <row r="47" spans="1:7" x14ac:dyDescent="0.2">
      <c r="A47" s="206" t="s">
        <v>376</v>
      </c>
      <c r="B47" t="str">
        <f>'9.1b'!A4</f>
        <v>Calculation of TWIA Earned Premium at Present Rate Level</v>
      </c>
      <c r="D47" t="str">
        <f>+'9.1b'!A5</f>
        <v>Tier 1 - Territory 9 (Nueces County)</v>
      </c>
      <c r="F47" t="str">
        <f>+'9.1b'!J1</f>
        <v>Exhibit 9</v>
      </c>
      <c r="G47" s="199" t="str">
        <f>+'9.1b'!J2</f>
        <v>Sheet 1b</v>
      </c>
    </row>
    <row r="48" spans="1:7" x14ac:dyDescent="0.2">
      <c r="A48" s="206" t="s">
        <v>377</v>
      </c>
      <c r="B48" t="str">
        <f>'9.1c'!A4</f>
        <v>Calculation of TWIA Earned Premium at Present Rate Level</v>
      </c>
      <c r="D48" t="str">
        <f>+'9.1c'!A5</f>
        <v>Tier 1 - Territory 10 (Other Tier 1)</v>
      </c>
      <c r="F48" t="str">
        <f>+'9.1c'!J1</f>
        <v>Exhibit 9</v>
      </c>
      <c r="G48" s="199" t="str">
        <f>+'9.1c'!J2</f>
        <v>Sheet 1c</v>
      </c>
    </row>
    <row r="49" spans="1:7" x14ac:dyDescent="0.2">
      <c r="A49" s="206" t="s">
        <v>378</v>
      </c>
      <c r="B49" t="str">
        <f>'9.1d'!A4</f>
        <v>Calculation of TWIA Earned Premium at Present Rate Level</v>
      </c>
      <c r="D49" t="str">
        <f>+'9.1d'!A5</f>
        <v>Tier 2 - (Territories 1 and 11)</v>
      </c>
      <c r="F49" t="str">
        <f>+'9.1d'!J1</f>
        <v>Exhibit 9</v>
      </c>
      <c r="G49" s="199" t="str">
        <f>+'9.1d'!J2</f>
        <v>Sheet 1d</v>
      </c>
    </row>
    <row r="50" spans="1:7" x14ac:dyDescent="0.2">
      <c r="A50" s="206">
        <v>10.1</v>
      </c>
      <c r="B50" t="str">
        <f>'10.1'!A4</f>
        <v>Expenses and Variable Permissible Loss &amp; LAE Ratios</v>
      </c>
      <c r="F50" t="str">
        <f>'10.1'!K1</f>
        <v>Exhibit 10</v>
      </c>
      <c r="G50" s="199" t="str">
        <f>'10.1'!K2</f>
        <v>Sheet 1</v>
      </c>
    </row>
    <row r="51" spans="1:7" x14ac:dyDescent="0.2">
      <c r="A51" s="206">
        <v>10.199999999999999</v>
      </c>
      <c r="B51" t="str">
        <f>'10.2'!A4</f>
        <v>Development of Reinsurance Provision</v>
      </c>
      <c r="D51" t="str">
        <f>'10.2'!A5</f>
        <v>Using Average of Verisk and RMS Hurricane Models</v>
      </c>
      <c r="F51" t="str">
        <f>'10.2'!G1</f>
        <v>Exhibit 10</v>
      </c>
      <c r="G51" s="199" t="str">
        <f>'10.2'!G2</f>
        <v>Sheet 2</v>
      </c>
    </row>
    <row r="52" spans="1:7" ht="12" thickBot="1" x14ac:dyDescent="0.25">
      <c r="A52" s="210">
        <v>11</v>
      </c>
      <c r="B52" s="211" t="str">
        <f>'11'!A4</f>
        <v>Reconciliation of Premium Data to Annual Statement</v>
      </c>
      <c r="C52" s="211"/>
      <c r="D52" s="211"/>
      <c r="E52" s="211"/>
      <c r="F52" s="211" t="str">
        <f>'11'!J1</f>
        <v>Exhibit 11</v>
      </c>
      <c r="G52" s="212"/>
    </row>
  </sheetData>
  <pageMargins left="0.7" right="0.7" top="0.75" bottom="0.75" header="0.3" footer="0.3"/>
  <pageSetup scale="71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51">
    <tabColor rgb="FF92D050"/>
    <pageSetUpPr fitToPage="1"/>
  </sheetPr>
  <dimension ref="A1:T71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4.5" bestFit="1" customWidth="1"/>
    <col min="2" max="2" width="3.5" customWidth="1"/>
    <col min="3" max="3" width="14.33203125" style="11" customWidth="1"/>
    <col min="4" max="4" width="11.1640625" bestFit="1" customWidth="1"/>
    <col min="5" max="5" width="9.33203125" customWidth="1"/>
    <col min="6" max="6" width="15.6640625" customWidth="1"/>
    <col min="7" max="12" width="12.6640625" customWidth="1"/>
    <col min="17" max="18" width="12.1640625" bestFit="1" customWidth="1"/>
    <col min="19" max="19" width="9.1640625" bestFit="1" customWidth="1"/>
    <col min="20" max="20" width="12.1640625" bestFit="1" customWidth="1"/>
  </cols>
  <sheetData>
    <row r="1" spans="1:19" x14ac:dyDescent="0.2">
      <c r="A1" s="8" t="str">
        <f>'1'!$A$1</f>
        <v>Texas Windstorm Insurance Association</v>
      </c>
      <c r="L1" s="7" t="s">
        <v>60</v>
      </c>
      <c r="M1" s="1"/>
    </row>
    <row r="2" spans="1:19" x14ac:dyDescent="0.2">
      <c r="A2" s="8" t="str">
        <f>'1'!$A$2</f>
        <v>Residential Property - Wind &amp; Hail</v>
      </c>
      <c r="L2" s="7" t="s">
        <v>77</v>
      </c>
      <c r="M2" s="2"/>
    </row>
    <row r="3" spans="1:19" x14ac:dyDescent="0.2">
      <c r="A3" s="8" t="str">
        <f>'1'!$A$3</f>
        <v>Rate Level Review</v>
      </c>
      <c r="M3" s="2"/>
    </row>
    <row r="4" spans="1:19" x14ac:dyDescent="0.2">
      <c r="A4" t="s">
        <v>204</v>
      </c>
      <c r="M4" s="2"/>
    </row>
    <row r="5" spans="1:19" x14ac:dyDescent="0.2">
      <c r="A5" t="s">
        <v>388</v>
      </c>
      <c r="M5" s="2"/>
    </row>
    <row r="6" spans="1:19" x14ac:dyDescent="0.2">
      <c r="M6" s="2"/>
    </row>
    <row r="7" spans="1:19" ht="12" thickBot="1" x14ac:dyDescent="0.25">
      <c r="A7" s="6"/>
      <c r="B7" s="6"/>
      <c r="C7" s="101"/>
      <c r="D7" s="6"/>
      <c r="E7" s="6"/>
      <c r="F7" s="6"/>
      <c r="G7" s="6"/>
      <c r="H7" s="6"/>
      <c r="I7" s="6"/>
      <c r="J7" s="6"/>
      <c r="K7" s="6"/>
      <c r="L7" s="6"/>
      <c r="M7" s="2"/>
    </row>
    <row r="8" spans="1:19" ht="12" thickTop="1" x14ac:dyDescent="0.2">
      <c r="D8" s="11"/>
      <c r="E8" s="11"/>
      <c r="F8" s="11"/>
      <c r="G8" s="11"/>
      <c r="H8" s="11"/>
      <c r="I8" s="11"/>
      <c r="J8" s="11"/>
      <c r="K8" s="11"/>
      <c r="L8" s="11"/>
      <c r="M8" s="2"/>
    </row>
    <row r="9" spans="1:19" x14ac:dyDescent="0.2">
      <c r="D9" s="180"/>
      <c r="E9" s="11"/>
      <c r="F9" s="11"/>
      <c r="G9" s="11" t="s">
        <v>284</v>
      </c>
      <c r="H9" s="11" t="s">
        <v>387</v>
      </c>
      <c r="I9" s="218" t="s">
        <v>259</v>
      </c>
      <c r="J9" s="218"/>
      <c r="K9" s="218"/>
      <c r="L9" s="218"/>
      <c r="M9" s="2"/>
    </row>
    <row r="10" spans="1:19" x14ac:dyDescent="0.2">
      <c r="A10" t="s">
        <v>206</v>
      </c>
      <c r="C10" s="11" t="s">
        <v>283</v>
      </c>
      <c r="D10" s="11" t="s">
        <v>205</v>
      </c>
      <c r="E10" s="11" t="s">
        <v>384</v>
      </c>
      <c r="F10" s="11" t="s">
        <v>188</v>
      </c>
      <c r="G10" s="11" t="s">
        <v>64</v>
      </c>
      <c r="H10" s="11" t="s">
        <v>64</v>
      </c>
      <c r="I10" s="13"/>
      <c r="J10" s="13"/>
      <c r="K10" s="13"/>
      <c r="L10" s="13"/>
      <c r="M10" s="2"/>
      <c r="N10" s="11" t="s">
        <v>207</v>
      </c>
    </row>
    <row r="11" spans="1:19" x14ac:dyDescent="0.2">
      <c r="A11" s="9" t="s">
        <v>208</v>
      </c>
      <c r="B11" s="9"/>
      <c r="C11" s="121" t="s">
        <v>205</v>
      </c>
      <c r="D11" s="121" t="s">
        <v>109</v>
      </c>
      <c r="E11" s="121" t="s">
        <v>264</v>
      </c>
      <c r="F11" s="121" t="s">
        <v>258</v>
      </c>
      <c r="G11" s="121" t="s">
        <v>386</v>
      </c>
      <c r="H11" s="121" t="s">
        <v>386</v>
      </c>
      <c r="I11" s="121" t="s">
        <v>260</v>
      </c>
      <c r="J11" s="121" t="s">
        <v>253</v>
      </c>
      <c r="K11" s="121" t="s">
        <v>254</v>
      </c>
      <c r="L11" s="121" t="s">
        <v>255</v>
      </c>
      <c r="M11" s="2"/>
      <c r="N11" s="11" t="s">
        <v>32</v>
      </c>
      <c r="O11" s="119" t="s">
        <v>209</v>
      </c>
    </row>
    <row r="12" spans="1:19" x14ac:dyDescent="0.2">
      <c r="A12" s="13" t="str">
        <f>TEXT(COLUMN(),"(#)")</f>
        <v>(1)</v>
      </c>
      <c r="B12" s="13"/>
      <c r="C12" s="11" t="str">
        <f t="shared" ref="C12:L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44" t="s">
        <v>105</v>
      </c>
      <c r="I12" s="11" t="str">
        <f t="shared" si="0"/>
        <v>(8)</v>
      </c>
      <c r="J12" s="11" t="str">
        <f t="shared" si="0"/>
        <v>(9)</v>
      </c>
      <c r="K12" s="11" t="str">
        <f t="shared" si="0"/>
        <v>(10)</v>
      </c>
      <c r="L12" s="11" t="str">
        <f t="shared" si="0"/>
        <v>(11)</v>
      </c>
      <c r="M12" s="2"/>
    </row>
    <row r="13" spans="1:19" x14ac:dyDescent="0.2">
      <c r="M13" s="2"/>
    </row>
    <row r="14" spans="1:19" x14ac:dyDescent="0.2">
      <c r="A14" t="str">
        <f t="shared" ref="A14:A48" si="1">YEAR(N14)&amp;" / "&amp;MONTH(N14)/3</f>
        <v>2016 / 2</v>
      </c>
      <c r="C14" s="150">
        <f>'[2]TWIA 4 Premium Trend'!F42</f>
        <v>79991</v>
      </c>
      <c r="D14" s="235">
        <f>'[2]TWIA 4 Premium Trend'!E42</f>
        <v>125845764</v>
      </c>
      <c r="E14" s="152">
        <f>'[2]TWIA Historical EPPR'!J397</f>
        <v>1.1390546968233883</v>
      </c>
      <c r="F14" s="134">
        <f>D14*E14</f>
        <v>143345208.55952767</v>
      </c>
      <c r="G14" s="219">
        <f>F14/C14</f>
        <v>1792.0167088738442</v>
      </c>
      <c r="H14" s="219"/>
      <c r="I14" s="219"/>
      <c r="J14" s="219"/>
      <c r="K14" s="219"/>
      <c r="L14" s="219"/>
      <c r="M14" s="2"/>
      <c r="N14" s="47">
        <f t="shared" ref="N14:N43" si="2">DATE(YEAR(N15+1),MONTH(N15+1)-3,1)-1</f>
        <v>42551</v>
      </c>
      <c r="O14">
        <f t="shared" ref="O14:O48" si="3">YEAR(N14)+MONTH(N14)/12</f>
        <v>2016.5</v>
      </c>
      <c r="S14" s="34"/>
    </row>
    <row r="15" spans="1:19" x14ac:dyDescent="0.2">
      <c r="A15" t="str">
        <f t="shared" si="1"/>
        <v>2016 / 3</v>
      </c>
      <c r="C15" s="150">
        <f>'[2]TWIA 4 Premium Trend'!F43</f>
        <v>77932</v>
      </c>
      <c r="D15" s="235">
        <f>'[2]TWIA 4 Premium Trend'!E43</f>
        <v>123784247</v>
      </c>
      <c r="E15" s="152">
        <f>'[2]TWIA Historical EPPR'!J398</f>
        <v>1.1215581054592252</v>
      </c>
      <c r="F15" s="134">
        <f t="shared" ref="F15:F51" si="4">D15*E15</f>
        <v>138831225.55101678</v>
      </c>
      <c r="G15" s="219">
        <f t="shared" ref="G15:G52" si="5">F15/C15</f>
        <v>1781.4405578070212</v>
      </c>
      <c r="H15" s="219"/>
      <c r="I15" s="219"/>
      <c r="J15" s="219"/>
      <c r="K15" s="219"/>
      <c r="L15" s="219"/>
      <c r="M15" s="2"/>
      <c r="N15" s="47">
        <f t="shared" si="2"/>
        <v>42643</v>
      </c>
      <c r="O15">
        <f t="shared" si="3"/>
        <v>2016.75</v>
      </c>
      <c r="S15" s="34"/>
    </row>
    <row r="16" spans="1:19" x14ac:dyDescent="0.2">
      <c r="A16" t="str">
        <f t="shared" si="1"/>
        <v>2016 / 4</v>
      </c>
      <c r="C16" s="150">
        <f>'[2]TWIA 4 Premium Trend'!F44</f>
        <v>51030</v>
      </c>
      <c r="D16" s="235">
        <f>'[2]TWIA 4 Premium Trend'!E44</f>
        <v>81959449</v>
      </c>
      <c r="E16" s="152">
        <f>'[2]TWIA Historical EPPR'!J399</f>
        <v>1.1079450605128376</v>
      </c>
      <c r="F16" s="134">
        <f t="shared" si="4"/>
        <v>90806566.681903824</v>
      </c>
      <c r="G16" s="219">
        <f t="shared" si="5"/>
        <v>1779.4741658221403</v>
      </c>
      <c r="H16" s="219"/>
      <c r="I16" s="219"/>
      <c r="J16" s="219"/>
      <c r="K16" s="219"/>
      <c r="L16" s="219"/>
      <c r="M16" s="2"/>
      <c r="N16" s="47">
        <f t="shared" si="2"/>
        <v>42735</v>
      </c>
      <c r="O16">
        <f t="shared" si="3"/>
        <v>2017</v>
      </c>
      <c r="S16" s="34"/>
    </row>
    <row r="17" spans="1:19" x14ac:dyDescent="0.2">
      <c r="A17" t="str">
        <f t="shared" si="1"/>
        <v>2017 / 1</v>
      </c>
      <c r="C17" s="150">
        <f>'[2]TWIA 4 Premium Trend'!F45</f>
        <v>50991</v>
      </c>
      <c r="D17" s="235">
        <f>'[2]TWIA 4 Premium Trend'!E45</f>
        <v>79037984</v>
      </c>
      <c r="E17" s="152">
        <f>'[2]TWIA Historical EPPR'!J400</f>
        <v>1.1025</v>
      </c>
      <c r="F17" s="134">
        <f t="shared" si="4"/>
        <v>87139377.359999999</v>
      </c>
      <c r="G17" s="219">
        <f t="shared" si="5"/>
        <v>1708.9168159086898</v>
      </c>
      <c r="H17" s="220">
        <f>IFERROR(SUM(F14:F17)/SUM(C14:C17),0)</f>
        <v>1770.0827030146813</v>
      </c>
      <c r="I17" s="221">
        <f>GROWTH($H$17:$H$52,$O$17:$O$52,$O17,1)</f>
        <v>1599.9633360380958</v>
      </c>
      <c r="J17" s="219"/>
      <c r="K17" s="219"/>
      <c r="L17" s="219"/>
      <c r="M17" s="2"/>
      <c r="N17" s="47">
        <f t="shared" si="2"/>
        <v>42825</v>
      </c>
      <c r="O17">
        <f t="shared" si="3"/>
        <v>2017.25</v>
      </c>
      <c r="Q17" s="34"/>
      <c r="S17" s="34"/>
    </row>
    <row r="18" spans="1:19" x14ac:dyDescent="0.2">
      <c r="A18" t="str">
        <f t="shared" si="1"/>
        <v>2017 / 2</v>
      </c>
      <c r="B18" s="23"/>
      <c r="C18" s="150">
        <f>'[2]TWIA 4 Premium Trend'!F46</f>
        <v>73614</v>
      </c>
      <c r="D18" s="235">
        <f>'[2]TWIA 4 Premium Trend'!E46</f>
        <v>114547681</v>
      </c>
      <c r="E18" s="152">
        <f>'[2]TWIA Historical EPPR'!J401</f>
        <v>1.1025</v>
      </c>
      <c r="F18" s="134">
        <f t="shared" si="4"/>
        <v>126288818.30250001</v>
      </c>
      <c r="G18" s="219">
        <f t="shared" si="5"/>
        <v>1715.5543551837966</v>
      </c>
      <c r="H18" s="220">
        <f>IFERROR(SUM(F15:F18)/SUM(C15:C18),0)</f>
        <v>1747.3330042766629</v>
      </c>
      <c r="I18" s="221">
        <f t="shared" ref="I18:I51" si="6">GROWTH($H$17:$H$52,$O$17:$O$52,$O18,1)</f>
        <v>1618.1934703635175</v>
      </c>
      <c r="J18" s="219"/>
      <c r="K18" s="219"/>
      <c r="L18" s="219"/>
      <c r="M18" s="2"/>
      <c r="N18" s="47">
        <f t="shared" si="2"/>
        <v>42916</v>
      </c>
      <c r="O18">
        <f t="shared" si="3"/>
        <v>2017.5</v>
      </c>
      <c r="Q18" s="34"/>
      <c r="S18" s="34"/>
    </row>
    <row r="19" spans="1:19" x14ac:dyDescent="0.2">
      <c r="A19" t="str">
        <f t="shared" si="1"/>
        <v>2017 / 3</v>
      </c>
      <c r="C19" s="150">
        <f>'[2]TWIA 4 Premium Trend'!F47</f>
        <v>68864</v>
      </c>
      <c r="D19" s="235">
        <f>'[2]TWIA 4 Premium Trend'!E47</f>
        <v>108614623</v>
      </c>
      <c r="E19" s="152">
        <f>'[2]TWIA Historical EPPR'!J402</f>
        <v>1.1025</v>
      </c>
      <c r="F19" s="134">
        <f t="shared" si="4"/>
        <v>119747621.8575</v>
      </c>
      <c r="G19" s="219">
        <f t="shared" si="5"/>
        <v>1738.9001779957598</v>
      </c>
      <c r="H19" s="220">
        <f t="shared" ref="H19:H51" si="7">IFERROR(SUM(F16:F19)/SUM(C16:C19),0)</f>
        <v>1734.0863733671872</v>
      </c>
      <c r="I19" s="221">
        <f t="shared" si="6"/>
        <v>1636.6313205721722</v>
      </c>
      <c r="J19" s="219"/>
      <c r="K19" s="219"/>
      <c r="L19" s="219"/>
      <c r="M19" s="2"/>
      <c r="N19" s="47">
        <f t="shared" si="2"/>
        <v>43008</v>
      </c>
      <c r="O19">
        <f t="shared" si="3"/>
        <v>2017.75</v>
      </c>
      <c r="P19" s="113"/>
      <c r="Q19" s="34"/>
      <c r="S19" s="34"/>
    </row>
    <row r="20" spans="1:19" x14ac:dyDescent="0.2">
      <c r="A20" t="str">
        <f t="shared" si="1"/>
        <v>2017 / 4</v>
      </c>
      <c r="C20" s="150">
        <f>'[2]TWIA 4 Premium Trend'!F48</f>
        <v>45960</v>
      </c>
      <c r="D20" s="235">
        <f>'[2]TWIA 4 Premium Trend'!E48</f>
        <v>73697340</v>
      </c>
      <c r="E20" s="152">
        <f>'[2]TWIA Historical EPPR'!J403</f>
        <v>1.1025</v>
      </c>
      <c r="F20" s="134">
        <f t="shared" si="4"/>
        <v>81251317.350000009</v>
      </c>
      <c r="G20" s="219">
        <f t="shared" si="5"/>
        <v>1767.8702643603135</v>
      </c>
      <c r="H20" s="220">
        <f t="shared" si="7"/>
        <v>1730.8978230289567</v>
      </c>
      <c r="I20" s="221">
        <f t="shared" si="6"/>
        <v>1655.2792533986233</v>
      </c>
      <c r="J20" s="219"/>
      <c r="K20" s="219"/>
      <c r="L20" s="219"/>
      <c r="M20" s="2"/>
      <c r="N20" s="47">
        <f t="shared" si="2"/>
        <v>43100</v>
      </c>
      <c r="O20">
        <f t="shared" si="3"/>
        <v>2018</v>
      </c>
      <c r="P20" s="113"/>
      <c r="Q20" s="34"/>
      <c r="S20" s="34"/>
    </row>
    <row r="21" spans="1:19" x14ac:dyDescent="0.2">
      <c r="A21" t="str">
        <f t="shared" si="1"/>
        <v>2018 / 1</v>
      </c>
      <c r="C21" s="150">
        <f>'[2]TWIA 4 Premium Trend'!F49</f>
        <v>44101</v>
      </c>
      <c r="D21" s="235">
        <f>'[2]TWIA 4 Premium Trend'!E49</f>
        <v>71679332</v>
      </c>
      <c r="E21" s="152">
        <f>'[2]TWIA Historical EPPR'!J404</f>
        <v>1.0977035943920979</v>
      </c>
      <c r="F21" s="134">
        <f t="shared" si="4"/>
        <v>78682660.380024523</v>
      </c>
      <c r="G21" s="219">
        <f t="shared" si="5"/>
        <v>1784.1468533598902</v>
      </c>
      <c r="H21" s="220">
        <f t="shared" si="7"/>
        <v>1745.8164776232138</v>
      </c>
      <c r="I21" s="221">
        <f t="shared" si="6"/>
        <v>1674.1396625441625</v>
      </c>
      <c r="J21" s="219"/>
      <c r="K21" s="219"/>
      <c r="L21" s="219"/>
      <c r="M21" s="2"/>
      <c r="N21" s="47">
        <f t="shared" si="2"/>
        <v>43190</v>
      </c>
      <c r="O21">
        <f t="shared" si="3"/>
        <v>2018.25</v>
      </c>
      <c r="P21" s="113"/>
      <c r="Q21" s="34"/>
      <c r="S21" s="34"/>
    </row>
    <row r="22" spans="1:19" x14ac:dyDescent="0.2">
      <c r="A22" t="str">
        <f t="shared" si="1"/>
        <v>2018 / 2</v>
      </c>
      <c r="B22" s="23"/>
      <c r="C22" s="150">
        <f>'[2]TWIA 4 Premium Trend'!F50</f>
        <v>63851</v>
      </c>
      <c r="D22" s="235">
        <f>'[2]TWIA 4 Premium Trend'!E50</f>
        <v>104163394</v>
      </c>
      <c r="E22" s="152">
        <f>'[2]TWIA Historical EPPR'!J405</f>
        <v>1.0847791225980552</v>
      </c>
      <c r="F22" s="134">
        <f t="shared" si="4"/>
        <v>112994275.15015553</v>
      </c>
      <c r="G22" s="219">
        <f t="shared" si="5"/>
        <v>1769.6555284984656</v>
      </c>
      <c r="H22" s="220">
        <f t="shared" si="7"/>
        <v>1762.6489152228251</v>
      </c>
      <c r="I22" s="221">
        <f t="shared" si="6"/>
        <v>1693.2149689841415</v>
      </c>
      <c r="J22" s="219"/>
      <c r="K22" s="219"/>
      <c r="L22" s="219"/>
      <c r="M22" s="2"/>
      <c r="N22" s="47">
        <f t="shared" si="2"/>
        <v>43281</v>
      </c>
      <c r="O22">
        <f t="shared" si="3"/>
        <v>2018.5</v>
      </c>
      <c r="P22" s="113"/>
      <c r="Q22" s="34"/>
      <c r="S22" s="34"/>
    </row>
    <row r="23" spans="1:19" x14ac:dyDescent="0.2">
      <c r="A23" t="str">
        <f t="shared" si="1"/>
        <v>2018 / 3</v>
      </c>
      <c r="B23" s="23"/>
      <c r="C23" s="150">
        <f>'[2]TWIA 4 Premium Trend'!F51</f>
        <v>61408</v>
      </c>
      <c r="D23" s="235">
        <f>'[2]TWIA 4 Premium Trend'!E51</f>
        <v>101951681</v>
      </c>
      <c r="E23" s="152">
        <f>'[2]TWIA Historical EPPR'!J406</f>
        <v>1.0686047876661728</v>
      </c>
      <c r="F23" s="134">
        <f t="shared" si="4"/>
        <v>108946054.42721438</v>
      </c>
      <c r="G23" s="219">
        <f t="shared" si="5"/>
        <v>1774.1345496875713</v>
      </c>
      <c r="H23" s="220">
        <f t="shared" si="7"/>
        <v>1773.5199113291587</v>
      </c>
      <c r="I23" s="221">
        <f t="shared" si="6"/>
        <v>1712.5076212788067</v>
      </c>
      <c r="J23" s="219"/>
      <c r="K23" s="219"/>
      <c r="L23" s="219"/>
      <c r="M23" s="2"/>
      <c r="N23" s="47">
        <f t="shared" si="2"/>
        <v>43373</v>
      </c>
      <c r="O23">
        <f t="shared" si="3"/>
        <v>2018.75</v>
      </c>
      <c r="P23" s="114"/>
      <c r="Q23" s="34"/>
      <c r="S23" s="34"/>
    </row>
    <row r="24" spans="1:19" x14ac:dyDescent="0.2">
      <c r="A24" t="str">
        <f t="shared" si="1"/>
        <v>2018 / 4</v>
      </c>
      <c r="B24" s="23"/>
      <c r="C24" s="150">
        <f>'[2]TWIA 4 Premium Trend'!F52</f>
        <v>40418</v>
      </c>
      <c r="D24" s="235">
        <f>'[2]TWIA 4 Premium Trend'!E52</f>
        <v>68300637</v>
      </c>
      <c r="E24" s="152">
        <f>'[2]TWIA Historical EPPR'!J407</f>
        <v>1.0552047637197421</v>
      </c>
      <c r="F24" s="134">
        <f t="shared" si="4"/>
        <v>72071157.527492881</v>
      </c>
      <c r="G24" s="219">
        <f t="shared" si="5"/>
        <v>1783.1450721830095</v>
      </c>
      <c r="H24" s="220">
        <f t="shared" si="7"/>
        <v>1776.6121685061698</v>
      </c>
      <c r="I24" s="221">
        <f t="shared" si="6"/>
        <v>1732.0200958874609</v>
      </c>
      <c r="J24" s="219"/>
      <c r="K24" s="219"/>
      <c r="L24" s="219"/>
      <c r="M24" s="2"/>
      <c r="N24" s="47">
        <f t="shared" si="2"/>
        <v>43465</v>
      </c>
      <c r="O24">
        <f t="shared" si="3"/>
        <v>2019</v>
      </c>
      <c r="P24" s="114"/>
      <c r="Q24" s="34"/>
      <c r="S24" s="34"/>
    </row>
    <row r="25" spans="1:19" x14ac:dyDescent="0.2">
      <c r="A25" t="str">
        <f t="shared" si="1"/>
        <v>2019 / 1</v>
      </c>
      <c r="B25" s="23"/>
      <c r="C25" s="150">
        <f>'[2]TWIA 4 Premium Trend'!F53</f>
        <v>39758</v>
      </c>
      <c r="D25" s="235">
        <f>'[2]TWIA 4 Premium Trend'!E53</f>
        <v>65036872</v>
      </c>
      <c r="E25" s="152">
        <f>'[2]TWIA Historical EPPR'!J408</f>
        <v>1.05</v>
      </c>
      <c r="F25" s="134">
        <f t="shared" si="4"/>
        <v>68288715.600000009</v>
      </c>
      <c r="G25" s="219">
        <f t="shared" si="5"/>
        <v>1717.6094270335532</v>
      </c>
      <c r="H25" s="220">
        <f>IFERROR(SUM(F22:F25)/SUM(C22:C25),0)</f>
        <v>1763.575840070401</v>
      </c>
      <c r="I25" s="221">
        <f t="shared" si="6"/>
        <v>1751.7548974864185</v>
      </c>
      <c r="J25" s="221"/>
      <c r="K25" s="221"/>
      <c r="L25" s="221"/>
      <c r="M25" s="2"/>
      <c r="N25" s="47">
        <f t="shared" si="2"/>
        <v>43555</v>
      </c>
      <c r="O25">
        <f t="shared" si="3"/>
        <v>2019.25</v>
      </c>
      <c r="P25" s="114"/>
      <c r="Q25" s="34"/>
      <c r="S25" s="34"/>
    </row>
    <row r="26" spans="1:19" x14ac:dyDescent="0.2">
      <c r="A26" t="str">
        <f t="shared" si="1"/>
        <v>2019 / 2</v>
      </c>
      <c r="B26" s="23"/>
      <c r="C26" s="150">
        <f>'[2]TWIA 4 Premium Trend'!F54</f>
        <v>60805</v>
      </c>
      <c r="D26" s="235">
        <f>'[2]TWIA 4 Premium Trend'!E54</f>
        <v>99948528</v>
      </c>
      <c r="E26" s="152">
        <f>'[2]TWIA Historical EPPR'!J409</f>
        <v>1.0500000000000003</v>
      </c>
      <c r="F26" s="134">
        <f t="shared" si="4"/>
        <v>104945954.40000002</v>
      </c>
      <c r="G26" s="219">
        <f>F26/C26</f>
        <v>1725.9428402269555</v>
      </c>
      <c r="H26" s="220">
        <f t="shared" si="7"/>
        <v>1750.3514615651411</v>
      </c>
      <c r="I26" s="221">
        <f t="shared" si="6"/>
        <v>1771.7145592905888</v>
      </c>
      <c r="J26" s="221"/>
      <c r="K26" s="221"/>
      <c r="L26" s="221"/>
      <c r="M26" s="2"/>
      <c r="N26" s="47">
        <f t="shared" si="2"/>
        <v>43646</v>
      </c>
      <c r="O26">
        <f t="shared" si="3"/>
        <v>2019.5</v>
      </c>
      <c r="P26" s="114"/>
      <c r="Q26" s="34"/>
      <c r="S26" s="34"/>
    </row>
    <row r="27" spans="1:19" x14ac:dyDescent="0.2">
      <c r="A27" t="str">
        <f t="shared" si="1"/>
        <v>2019 / 3</v>
      </c>
      <c r="B27" s="23"/>
      <c r="C27" s="150">
        <f>'[2]TWIA 4 Premium Trend'!F55</f>
        <v>57547</v>
      </c>
      <c r="D27" s="235">
        <f>'[2]TWIA 4 Premium Trend'!E55</f>
        <v>97063357</v>
      </c>
      <c r="E27" s="152">
        <f>'[2]TWIA Historical EPPR'!J410</f>
        <v>1.05</v>
      </c>
      <c r="F27" s="134">
        <f t="shared" si="4"/>
        <v>101916524.85000001</v>
      </c>
      <c r="G27" s="219">
        <f t="shared" si="5"/>
        <v>1771.0136905485952</v>
      </c>
      <c r="H27" s="220">
        <f t="shared" si="7"/>
        <v>1748.9842862341482</v>
      </c>
      <c r="I27" s="221">
        <f t="shared" si="6"/>
        <v>1791.901643378498</v>
      </c>
      <c r="J27" s="221"/>
      <c r="K27" s="221"/>
      <c r="L27" s="221"/>
      <c r="M27" s="2"/>
      <c r="N27" s="47">
        <f t="shared" si="2"/>
        <v>43738</v>
      </c>
      <c r="O27">
        <f t="shared" si="3"/>
        <v>2019.75</v>
      </c>
      <c r="P27" s="114"/>
      <c r="Q27" s="34"/>
      <c r="S27" s="34"/>
    </row>
    <row r="28" spans="1:19" x14ac:dyDescent="0.2">
      <c r="A28" t="str">
        <f t="shared" si="1"/>
        <v>2019 / 4</v>
      </c>
      <c r="B28" s="23"/>
      <c r="C28" s="150">
        <f>'[2]TWIA 4 Premium Trend'!F56</f>
        <v>38375</v>
      </c>
      <c r="D28" s="235">
        <f>'[2]TWIA 4 Premium Trend'!E56</f>
        <v>65697652</v>
      </c>
      <c r="E28" s="152">
        <f>'[2]TWIA Historical EPPR'!J411</f>
        <v>1.05</v>
      </c>
      <c r="F28" s="134">
        <f t="shared" si="4"/>
        <v>68982534.600000009</v>
      </c>
      <c r="G28" s="219">
        <f t="shared" si="5"/>
        <v>1797.5904781758959</v>
      </c>
      <c r="H28" s="220">
        <f>IFERROR(SUM(F25:F28)/SUM(C25:C28),0)</f>
        <v>1751.4503878158641</v>
      </c>
      <c r="I28" s="221">
        <f>GROWTH($H$17:$H$52,$O$17:$O$52,$O28,1)</f>
        <v>1812.3187410212372</v>
      </c>
      <c r="J28" s="221"/>
      <c r="K28" s="221"/>
      <c r="L28" s="221"/>
      <c r="M28" s="2"/>
      <c r="N28" s="47">
        <f t="shared" si="2"/>
        <v>43830</v>
      </c>
      <c r="O28">
        <f t="shared" si="3"/>
        <v>2020</v>
      </c>
      <c r="P28" s="114"/>
      <c r="Q28" s="34"/>
      <c r="S28" s="34"/>
    </row>
    <row r="29" spans="1:19" x14ac:dyDescent="0.2">
      <c r="A29" t="str">
        <f t="shared" si="1"/>
        <v>2020 / 1</v>
      </c>
      <c r="B29" s="23"/>
      <c r="C29" s="150">
        <f>'[2]TWIA 4 Premium Trend'!F57</f>
        <v>38302</v>
      </c>
      <c r="D29" s="235">
        <f>'[2]TWIA 4 Premium Trend'!E57</f>
        <v>63498682</v>
      </c>
      <c r="E29" s="152">
        <f>'[2]TWIA Historical EPPR'!J412</f>
        <v>1.05</v>
      </c>
      <c r="F29" s="134">
        <f t="shared" si="4"/>
        <v>66673616.100000001</v>
      </c>
      <c r="G29" s="219">
        <f t="shared" si="5"/>
        <v>1740.7345856613233</v>
      </c>
      <c r="H29" s="220">
        <f t="shared" si="7"/>
        <v>1756.2446095196101</v>
      </c>
      <c r="I29" s="221">
        <f t="shared" si="6"/>
        <v>1832.9684730151644</v>
      </c>
      <c r="J29" s="221"/>
      <c r="K29" s="221"/>
      <c r="L29" s="221"/>
      <c r="M29" s="2"/>
      <c r="N29" s="47">
        <f t="shared" si="2"/>
        <v>43921</v>
      </c>
      <c r="O29">
        <f t="shared" si="3"/>
        <v>2020.25</v>
      </c>
      <c r="P29" s="114"/>
      <c r="Q29" s="34"/>
      <c r="S29" s="34"/>
    </row>
    <row r="30" spans="1:19" x14ac:dyDescent="0.2">
      <c r="A30" t="str">
        <f t="shared" si="1"/>
        <v>2020 / 2</v>
      </c>
      <c r="B30" s="23"/>
      <c r="C30" s="150">
        <f>'[2]TWIA 4 Premium Trend'!F58</f>
        <v>59374</v>
      </c>
      <c r="D30" s="235">
        <f>'[2]TWIA 4 Premium Trend'!E58</f>
        <v>98472763</v>
      </c>
      <c r="E30" s="152">
        <f>'[2]TWIA Historical EPPR'!J413</f>
        <v>1.0500000000000003</v>
      </c>
      <c r="F30" s="134">
        <f t="shared" si="4"/>
        <v>103396401.15000002</v>
      </c>
      <c r="G30" s="219">
        <f t="shared" si="5"/>
        <v>1741.4424015562372</v>
      </c>
      <c r="H30" s="220">
        <f t="shared" si="7"/>
        <v>1761.2221030175933</v>
      </c>
      <c r="I30" s="221">
        <f t="shared" si="6"/>
        <v>1853.8534900181626</v>
      </c>
      <c r="J30" s="221"/>
      <c r="K30" s="221"/>
      <c r="L30" s="221"/>
      <c r="M30" s="2"/>
      <c r="N30" s="47">
        <f t="shared" si="2"/>
        <v>44012</v>
      </c>
      <c r="O30">
        <f t="shared" si="3"/>
        <v>2020.5</v>
      </c>
      <c r="P30" s="114"/>
      <c r="Q30" s="34"/>
      <c r="S30" s="34"/>
    </row>
    <row r="31" spans="1:19" x14ac:dyDescent="0.2">
      <c r="A31" t="str">
        <f t="shared" si="1"/>
        <v>2020 / 3</v>
      </c>
      <c r="B31" s="23"/>
      <c r="C31" s="150">
        <f>'[2]TWIA 4 Premium Trend'!F59</f>
        <v>57963</v>
      </c>
      <c r="D31" s="235">
        <f>'[2]TWIA 4 Premium Trend'!E59</f>
        <v>98544861</v>
      </c>
      <c r="E31" s="152">
        <f>'[2]TWIA Historical EPPR'!J414</f>
        <v>1.05</v>
      </c>
      <c r="F31" s="134">
        <f t="shared" si="4"/>
        <v>103472104.05</v>
      </c>
      <c r="G31" s="219">
        <f t="shared" si="5"/>
        <v>1785.1405905491433</v>
      </c>
      <c r="H31" s="220">
        <f t="shared" si="7"/>
        <v>1765.4636052037483</v>
      </c>
      <c r="I31" s="221">
        <f t="shared" si="6"/>
        <v>1874.9764728899625</v>
      </c>
      <c r="J31" s="221"/>
      <c r="K31" s="221"/>
      <c r="L31" s="221"/>
      <c r="M31" s="2"/>
      <c r="N31" s="47">
        <f t="shared" si="2"/>
        <v>44104</v>
      </c>
      <c r="O31">
        <f t="shared" si="3"/>
        <v>2020.75</v>
      </c>
      <c r="P31" s="114"/>
      <c r="Q31" s="34"/>
      <c r="S31" s="34"/>
    </row>
    <row r="32" spans="1:19" x14ac:dyDescent="0.2">
      <c r="A32" t="str">
        <f t="shared" si="1"/>
        <v>2020 / 4</v>
      </c>
      <c r="C32" s="150">
        <f>'[2]TWIA 4 Premium Trend'!F60</f>
        <v>37911</v>
      </c>
      <c r="D32" s="235">
        <f>'[2]TWIA 4 Premium Trend'!E60</f>
        <v>65820531</v>
      </c>
      <c r="E32" s="152">
        <f>'[2]TWIA Historical EPPR'!J415</f>
        <v>1.05</v>
      </c>
      <c r="F32" s="134">
        <f t="shared" si="4"/>
        <v>69111557.549999997</v>
      </c>
      <c r="G32" s="219">
        <f t="shared" si="5"/>
        <v>1822.9948445042335</v>
      </c>
      <c r="H32" s="220">
        <f t="shared" si="7"/>
        <v>1770.362587703436</v>
      </c>
      <c r="I32" s="221">
        <f t="shared" si="6"/>
        <v>1896.3401330363442</v>
      </c>
      <c r="J32" s="221"/>
      <c r="K32" s="221"/>
      <c r="L32" s="221"/>
      <c r="M32" s="2"/>
      <c r="N32" s="47">
        <f t="shared" si="2"/>
        <v>44196</v>
      </c>
      <c r="O32">
        <f t="shared" si="3"/>
        <v>2021</v>
      </c>
      <c r="P32" s="114"/>
      <c r="Q32" s="34"/>
      <c r="S32" s="34"/>
    </row>
    <row r="33" spans="1:20" x14ac:dyDescent="0.2">
      <c r="A33" t="str">
        <f t="shared" si="1"/>
        <v>2021 / 1</v>
      </c>
      <c r="C33" s="150">
        <f>'[2]TWIA 4 Premium Trend'!F61</f>
        <v>39057</v>
      </c>
      <c r="D33" s="235">
        <f>'[2]TWIA 4 Premium Trend'!E61</f>
        <v>66582420</v>
      </c>
      <c r="E33" s="152">
        <f>'[2]TWIA Historical EPPR'!J416</f>
        <v>1.0499999999999998</v>
      </c>
      <c r="F33" s="134">
        <f t="shared" si="4"/>
        <v>69911540.999999985</v>
      </c>
      <c r="G33" s="219">
        <f t="shared" si="5"/>
        <v>1789.9874798371607</v>
      </c>
      <c r="H33" s="220">
        <f t="shared" si="7"/>
        <v>1780.1477252258048</v>
      </c>
      <c r="I33" s="221">
        <f t="shared" si="6"/>
        <v>1917.9472127570245</v>
      </c>
      <c r="J33" s="221">
        <f>GROWTH($H$33:$H$52,$O$33:$O$52,$O33,1)</f>
        <v>1745.594329640862</v>
      </c>
      <c r="K33" s="221"/>
      <c r="L33" s="221"/>
      <c r="M33" s="2"/>
      <c r="N33" s="47">
        <f t="shared" si="2"/>
        <v>44286</v>
      </c>
      <c r="O33">
        <f t="shared" si="3"/>
        <v>2021.25</v>
      </c>
      <c r="P33" s="114"/>
      <c r="Q33" s="34"/>
      <c r="R33" s="34"/>
      <c r="S33" s="34"/>
    </row>
    <row r="34" spans="1:20" x14ac:dyDescent="0.2">
      <c r="A34" t="str">
        <f t="shared" si="1"/>
        <v>2021 / 2</v>
      </c>
      <c r="C34" s="150">
        <f>'[2]TWIA 4 Premium Trend'!F62</f>
        <v>60541</v>
      </c>
      <c r="D34" s="235">
        <f>'[2]TWIA 4 Premium Trend'!E62</f>
        <v>103031428</v>
      </c>
      <c r="E34" s="152">
        <f>'[2]TWIA Historical EPPR'!J417</f>
        <v>1.05</v>
      </c>
      <c r="F34" s="134">
        <f t="shared" si="4"/>
        <v>108182999.40000001</v>
      </c>
      <c r="G34" s="219">
        <f t="shared" si="5"/>
        <v>1786.9377677937266</v>
      </c>
      <c r="H34" s="220">
        <f t="shared" si="7"/>
        <v>1794.0073360890563</v>
      </c>
      <c r="I34" s="221">
        <f t="shared" si="6"/>
        <v>1939.8004855977417</v>
      </c>
      <c r="J34" s="221">
        <f t="shared" ref="J34:J52" si="8">GROWTH($H$33:$H$52,$O$33:$O$52,$O34,1)</f>
        <v>1781.7926024177796</v>
      </c>
      <c r="K34" s="221"/>
      <c r="L34" s="221"/>
      <c r="M34" s="2"/>
      <c r="N34" s="47">
        <f t="shared" si="2"/>
        <v>44377</v>
      </c>
      <c r="O34">
        <f t="shared" si="3"/>
        <v>2021.5</v>
      </c>
      <c r="P34" s="114"/>
      <c r="Q34" s="34"/>
      <c r="R34" s="34"/>
      <c r="S34" s="34"/>
    </row>
    <row r="35" spans="1:20" x14ac:dyDescent="0.2">
      <c r="A35" t="str">
        <f t="shared" si="1"/>
        <v>2021 / 3</v>
      </c>
      <c r="C35" s="150">
        <f>'[2]TWIA 4 Premium Trend'!F63</f>
        <v>59878</v>
      </c>
      <c r="D35" s="235">
        <f>'[2]TWIA 4 Premium Trend'!E63</f>
        <v>105341091</v>
      </c>
      <c r="E35" s="152">
        <f>'[2]TWIA Historical EPPR'!J418</f>
        <v>1.05</v>
      </c>
      <c r="F35" s="134">
        <f t="shared" si="4"/>
        <v>110608145.55000001</v>
      </c>
      <c r="G35" s="219">
        <f t="shared" si="5"/>
        <v>1847.2251169043725</v>
      </c>
      <c r="H35" s="220">
        <f>IFERROR(SUM(F32:F35)/SUM(C32:C35),0)</f>
        <v>1812.7548597425362</v>
      </c>
      <c r="I35" s="221">
        <f t="shared" si="6"/>
        <v>1961.9027567063608</v>
      </c>
      <c r="J35" s="221">
        <f t="shared" si="8"/>
        <v>1818.7415163544342</v>
      </c>
      <c r="K35" s="221"/>
      <c r="L35" s="221"/>
      <c r="M35" s="2"/>
      <c r="N35" s="47">
        <f t="shared" si="2"/>
        <v>44469</v>
      </c>
      <c r="O35">
        <f t="shared" si="3"/>
        <v>2021.75</v>
      </c>
      <c r="P35" s="114"/>
      <c r="Q35" s="34"/>
      <c r="R35" s="34"/>
      <c r="S35" s="34"/>
    </row>
    <row r="36" spans="1:20" x14ac:dyDescent="0.2">
      <c r="A36" t="str">
        <f t="shared" si="1"/>
        <v>2021 / 4</v>
      </c>
      <c r="C36" s="150">
        <f>'[2]TWIA 4 Premium Trend'!F64</f>
        <v>39807</v>
      </c>
      <c r="D36" s="235">
        <f>'[2]TWIA 4 Premium Trend'!E64</f>
        <v>72365308</v>
      </c>
      <c r="E36" s="152">
        <f>'[2]TWIA Historical EPPR'!J419</f>
        <v>1.05</v>
      </c>
      <c r="F36" s="134">
        <f t="shared" si="4"/>
        <v>75983573.400000006</v>
      </c>
      <c r="G36" s="219">
        <f t="shared" si="5"/>
        <v>1908.7992915818827</v>
      </c>
      <c r="H36" s="220">
        <f t="shared" si="7"/>
        <v>1829.9918174154345</v>
      </c>
      <c r="I36" s="221">
        <f t="shared" si="6"/>
        <v>1984.2568631927861</v>
      </c>
      <c r="J36" s="221">
        <f t="shared" si="8"/>
        <v>1856.4566374463136</v>
      </c>
      <c r="K36" s="221"/>
      <c r="L36" s="221"/>
      <c r="M36" s="2"/>
      <c r="N36" s="47">
        <f t="shared" si="2"/>
        <v>44561</v>
      </c>
      <c r="O36">
        <f t="shared" si="3"/>
        <v>2022</v>
      </c>
      <c r="P36" s="114"/>
      <c r="Q36" s="34"/>
      <c r="R36" s="34"/>
      <c r="S36" s="34"/>
    </row>
    <row r="37" spans="1:20" x14ac:dyDescent="0.2">
      <c r="A37" t="str">
        <f t="shared" si="1"/>
        <v>2022 / 1</v>
      </c>
      <c r="C37" s="150">
        <f>'[2]TWIA 4 Premium Trend'!F65</f>
        <v>40733</v>
      </c>
      <c r="D37" s="235">
        <f>'[2]TWIA 4 Premium Trend'!E65</f>
        <v>76134863</v>
      </c>
      <c r="E37" s="152">
        <f>'[2]TWIA Historical EPPR'!J420</f>
        <v>1.0450235261797916</v>
      </c>
      <c r="F37" s="134">
        <f t="shared" si="4"/>
        <v>79562722.997475341</v>
      </c>
      <c r="G37" s="219">
        <f t="shared" si="5"/>
        <v>1953.2743229684861</v>
      </c>
      <c r="H37" s="220">
        <f t="shared" si="7"/>
        <v>1862.7552950973848</v>
      </c>
      <c r="I37" s="221">
        <f t="shared" si="6"/>
        <v>2006.8656744932489</v>
      </c>
      <c r="J37" s="221">
        <f t="shared" si="8"/>
        <v>1894.9538544799107</v>
      </c>
      <c r="K37" s="221">
        <f>GROWTH($H$37:$H$52,$O$37:$O$52,$O37,1)</f>
        <v>1887.9171339308575</v>
      </c>
      <c r="L37" s="221"/>
      <c r="M37" s="2"/>
      <c r="N37" s="47">
        <f t="shared" si="2"/>
        <v>44651</v>
      </c>
      <c r="O37">
        <f t="shared" si="3"/>
        <v>2022.25</v>
      </c>
      <c r="P37" s="114"/>
      <c r="Q37" s="34"/>
      <c r="R37" s="34"/>
      <c r="S37" s="34"/>
      <c r="T37" s="34"/>
    </row>
    <row r="38" spans="1:20" x14ac:dyDescent="0.2">
      <c r="A38" t="str">
        <f t="shared" si="1"/>
        <v>2022 / 2</v>
      </c>
      <c r="C38" s="150">
        <f>'[2]TWIA 4 Premium Trend'!F66</f>
        <v>61794</v>
      </c>
      <c r="D38" s="235">
        <f>'[2]TWIA 4 Premium Trend'!E66</f>
        <v>116935905</v>
      </c>
      <c r="E38" s="152">
        <f>'[2]TWIA Historical EPPR'!J421</f>
        <v>1.0319942552468826</v>
      </c>
      <c r="F38" s="134">
        <f t="shared" si="4"/>
        <v>120677182.19209522</v>
      </c>
      <c r="G38" s="219">
        <f t="shared" si="5"/>
        <v>1952.8948149026639</v>
      </c>
      <c r="H38" s="220">
        <f t="shared" si="7"/>
        <v>1913.0003369709543</v>
      </c>
      <c r="I38" s="221">
        <f t="shared" si="6"/>
        <v>2029.7320927385811</v>
      </c>
      <c r="J38" s="221">
        <f t="shared" si="8"/>
        <v>1934.2493857264219</v>
      </c>
      <c r="K38" s="221">
        <f t="shared" ref="K38:K52" si="9">GROWTH($H$37:$H$52,$O$37:$O$52,$O38,1)</f>
        <v>1927.881858273081</v>
      </c>
      <c r="L38" s="221"/>
      <c r="M38" s="2"/>
      <c r="N38" s="47">
        <f t="shared" si="2"/>
        <v>44742</v>
      </c>
      <c r="O38">
        <f t="shared" si="3"/>
        <v>2022.5</v>
      </c>
      <c r="P38" s="114"/>
      <c r="Q38" s="34"/>
      <c r="R38" s="34"/>
      <c r="S38" s="34"/>
      <c r="T38" s="34"/>
    </row>
    <row r="39" spans="1:20" x14ac:dyDescent="0.2">
      <c r="A39" t="str">
        <f t="shared" si="1"/>
        <v>2022 / 3</v>
      </c>
      <c r="B39" s="13"/>
      <c r="C39" s="150">
        <f>'[2]TWIA 4 Premium Trend'!F67</f>
        <v>79530</v>
      </c>
      <c r="D39" s="235">
        <f>'[2]TWIA 4 Premium Trend'!E67</f>
        <v>161132745</v>
      </c>
      <c r="E39" s="152">
        <f>'[2]TWIA Historical EPPR'!J422</f>
        <v>1.0156683690740602</v>
      </c>
      <c r="F39" s="134">
        <f t="shared" si="4"/>
        <v>163657432.31857643</v>
      </c>
      <c r="G39" s="219">
        <f t="shared" si="5"/>
        <v>2057.807523180893</v>
      </c>
      <c r="H39" s="220">
        <f t="shared" si="7"/>
        <v>1982.6601472440188</v>
      </c>
      <c r="I39" s="221">
        <f t="shared" si="6"/>
        <v>2052.8590531268546</v>
      </c>
      <c r="J39" s="221">
        <f t="shared" si="8"/>
        <v>1974.3597857743032</v>
      </c>
      <c r="K39" s="221">
        <f t="shared" si="9"/>
        <v>1968.6925833020109</v>
      </c>
      <c r="L39" s="221"/>
      <c r="M39" s="2"/>
      <c r="N39" s="47">
        <f t="shared" si="2"/>
        <v>44834</v>
      </c>
      <c r="O39">
        <f t="shared" si="3"/>
        <v>2022.75</v>
      </c>
      <c r="P39" s="114"/>
      <c r="Q39" s="34"/>
      <c r="R39" s="34"/>
      <c r="S39" s="34"/>
      <c r="T39" s="34"/>
    </row>
    <row r="40" spans="1:20" x14ac:dyDescent="0.2">
      <c r="A40" t="str">
        <f t="shared" si="1"/>
        <v>2022 / 4</v>
      </c>
      <c r="C40" s="150">
        <f>'[2]TWIA 4 Premium Trend'!F68</f>
        <v>43628</v>
      </c>
      <c r="D40" s="235">
        <f>'[2]TWIA 4 Premium Trend'!E68</f>
        <v>92639740</v>
      </c>
      <c r="E40" s="152">
        <f>'[2]TWIA Historical EPPR'!J423</f>
        <v>1.0038901573963255</v>
      </c>
      <c r="F40" s="134">
        <f>D40*E40</f>
        <v>93000123.169754669</v>
      </c>
      <c r="G40" s="219">
        <f t="shared" si="5"/>
        <v>2131.6613910735005</v>
      </c>
      <c r="H40" s="220">
        <f t="shared" si="7"/>
        <v>2024.4919275889035</v>
      </c>
      <c r="I40" s="221">
        <f t="shared" si="6"/>
        <v>2076.2495242999826</v>
      </c>
      <c r="J40" s="221">
        <f t="shared" si="8"/>
        <v>2015.3019525032357</v>
      </c>
      <c r="K40" s="221">
        <f t="shared" si="9"/>
        <v>2010.3672177402439</v>
      </c>
      <c r="L40" s="221"/>
      <c r="M40" s="2"/>
      <c r="N40" s="47">
        <f t="shared" si="2"/>
        <v>44926</v>
      </c>
      <c r="O40">
        <f t="shared" si="3"/>
        <v>2023</v>
      </c>
      <c r="P40" s="114"/>
      <c r="Q40" s="34"/>
      <c r="R40" s="34"/>
      <c r="S40" s="34"/>
      <c r="T40" s="34"/>
    </row>
    <row r="41" spans="1:20" x14ac:dyDescent="0.2">
      <c r="A41" t="str">
        <f t="shared" si="1"/>
        <v>2023 / 1</v>
      </c>
      <c r="B41" s="23"/>
      <c r="C41" s="150">
        <f>'[2]TWIA 4 Premium Trend'!F69</f>
        <v>46661</v>
      </c>
      <c r="D41" s="235">
        <f>'[2]TWIA 4 Premium Trend'!E69</f>
        <v>98545683</v>
      </c>
      <c r="E41" s="152">
        <f>'[2]TWIA Historical EPPR'!J424</f>
        <v>1</v>
      </c>
      <c r="F41" s="134">
        <f t="shared" si="4"/>
        <v>98545683</v>
      </c>
      <c r="G41" s="219">
        <f t="shared" si="5"/>
        <v>2111.9496581727781</v>
      </c>
      <c r="H41" s="220">
        <f t="shared" si="7"/>
        <v>2054.6360553182521</v>
      </c>
      <c r="I41" s="221">
        <f t="shared" si="6"/>
        <v>2099.9065087248632</v>
      </c>
      <c r="J41" s="221">
        <f t="shared" si="8"/>
        <v>2057.0931342032677</v>
      </c>
      <c r="K41" s="221">
        <f t="shared" si="9"/>
        <v>2052.924049414496</v>
      </c>
      <c r="L41" s="221">
        <f>GROWTH($H$41:$H$52,$O$41:$O$52,$O41,1)</f>
        <v>2061.6416554228863</v>
      </c>
      <c r="M41" s="2"/>
      <c r="N41" s="47">
        <f t="shared" si="2"/>
        <v>45016</v>
      </c>
      <c r="O41">
        <f t="shared" si="3"/>
        <v>2023.25</v>
      </c>
      <c r="P41" s="114"/>
      <c r="Q41" s="34"/>
      <c r="R41" s="34"/>
      <c r="S41" s="34"/>
      <c r="T41" s="34"/>
    </row>
    <row r="42" spans="1:20" x14ac:dyDescent="0.2">
      <c r="A42" t="str">
        <f t="shared" si="1"/>
        <v>2023 / 2</v>
      </c>
      <c r="B42" s="23"/>
      <c r="C42" s="150">
        <f>'[2]TWIA 4 Premium Trend'!F70</f>
        <v>68720</v>
      </c>
      <c r="D42" s="235">
        <f>'[2]TWIA 4 Premium Trend'!E70</f>
        <v>145450526</v>
      </c>
      <c r="E42" s="152">
        <f>'[2]TWIA Historical EPPR'!J425</f>
        <v>1</v>
      </c>
      <c r="F42" s="134">
        <f t="shared" si="4"/>
        <v>145450526</v>
      </c>
      <c r="G42" s="219">
        <f t="shared" si="5"/>
        <v>2116.5676076833529</v>
      </c>
      <c r="H42" s="220">
        <f t="shared" si="7"/>
        <v>2098.8340040342714</v>
      </c>
      <c r="I42" s="221">
        <f t="shared" si="6"/>
        <v>2123.8330430788792</v>
      </c>
      <c r="J42" s="221">
        <f t="shared" si="8"/>
        <v>2099.7509368410283</v>
      </c>
      <c r="K42" s="221">
        <f t="shared" si="9"/>
        <v>2096.3817532806784</v>
      </c>
      <c r="L42" s="221">
        <f t="shared" ref="L42:L51" si="10">GROWTH($H$41:$H$52,$O$41:$O$52,$O42,1)</f>
        <v>2103.8886869295243</v>
      </c>
      <c r="M42" s="2"/>
      <c r="N42" s="47">
        <f t="shared" si="2"/>
        <v>45107</v>
      </c>
      <c r="O42">
        <f t="shared" si="3"/>
        <v>2023.5</v>
      </c>
      <c r="P42" s="114"/>
      <c r="Q42" s="34"/>
      <c r="R42" s="34"/>
      <c r="S42" s="34"/>
      <c r="T42" s="34"/>
    </row>
    <row r="43" spans="1:20" x14ac:dyDescent="0.2">
      <c r="A43" t="str">
        <f t="shared" si="1"/>
        <v>2023 / 3</v>
      </c>
      <c r="B43" s="23"/>
      <c r="C43" s="150">
        <f>'[2]TWIA 4 Premium Trend'!F71</f>
        <v>83884</v>
      </c>
      <c r="D43" s="235">
        <f>'[2]TWIA 4 Premium Trend'!E71</f>
        <v>187414809</v>
      </c>
      <c r="E43" s="152">
        <f>'[2]TWIA Historical EPPR'!J426</f>
        <v>1</v>
      </c>
      <c r="F43" s="134">
        <f t="shared" si="4"/>
        <v>187414809</v>
      </c>
      <c r="G43" s="219">
        <f t="shared" si="5"/>
        <v>2234.2140217443134</v>
      </c>
      <c r="H43" s="220">
        <f t="shared" si="7"/>
        <v>2159.0212199188722</v>
      </c>
      <c r="I43" s="221">
        <f t="shared" si="6"/>
        <v>2148.0321986395134</v>
      </c>
      <c r="J43" s="221">
        <f t="shared" si="8"/>
        <v>2143.2933314768989</v>
      </c>
      <c r="K43" s="221">
        <f t="shared" si="9"/>
        <v>2140.7593996191526</v>
      </c>
      <c r="L43" s="221">
        <f t="shared" si="10"/>
        <v>2147.0014419562649</v>
      </c>
      <c r="M43" s="2"/>
      <c r="N43" s="47">
        <f t="shared" si="2"/>
        <v>45199</v>
      </c>
      <c r="O43">
        <f t="shared" si="3"/>
        <v>2023.75</v>
      </c>
      <c r="P43" s="114"/>
      <c r="Q43" s="34"/>
      <c r="R43" s="34"/>
      <c r="S43" s="34"/>
      <c r="T43" s="34"/>
    </row>
    <row r="44" spans="1:20" x14ac:dyDescent="0.2">
      <c r="A44" t="str">
        <f t="shared" si="1"/>
        <v>2023 / 4</v>
      </c>
      <c r="C44" s="150">
        <f>'[2]TWIA 4 Premium Trend'!F72</f>
        <v>48217</v>
      </c>
      <c r="D44" s="235">
        <f>'[2]TWIA 4 Premium Trend'!E72</f>
        <v>110838891</v>
      </c>
      <c r="E44" s="152">
        <f>'[2]TWIA Historical EPPR'!J427</f>
        <v>1</v>
      </c>
      <c r="F44" s="134">
        <f t="shared" si="4"/>
        <v>110838891</v>
      </c>
      <c r="G44" s="219">
        <f t="shared" si="5"/>
        <v>2298.7512910384303</v>
      </c>
      <c r="H44" s="220">
        <f t="shared" si="7"/>
        <v>2191.0680736376785</v>
      </c>
      <c r="I44" s="221">
        <f t="shared" si="6"/>
        <v>2172.5070816786756</v>
      </c>
      <c r="J44" s="221">
        <f t="shared" si="8"/>
        <v>2187.7386618359355</v>
      </c>
      <c r="K44" s="221">
        <f t="shared" si="9"/>
        <v>2186.0764624028716</v>
      </c>
      <c r="L44" s="221">
        <f t="shared" si="10"/>
        <v>2190.9976608551879</v>
      </c>
      <c r="M44" s="2"/>
      <c r="N44" s="47">
        <f t="shared" ref="N44:N51" si="11">DATE(YEAR(N45+1),MONTH(N45+1)-3,1)-1</f>
        <v>45291</v>
      </c>
      <c r="O44">
        <f t="shared" si="3"/>
        <v>2024</v>
      </c>
      <c r="P44" s="114"/>
      <c r="Q44" s="34"/>
      <c r="R44" s="34"/>
      <c r="S44" s="34"/>
      <c r="T44" s="34"/>
    </row>
    <row r="45" spans="1:20" x14ac:dyDescent="0.2">
      <c r="A45" t="str">
        <f t="shared" si="1"/>
        <v>2024 / 1</v>
      </c>
      <c r="B45" s="23"/>
      <c r="C45" s="150">
        <f>'[2]TWIA 4 Premium Trend'!F73</f>
        <v>52193</v>
      </c>
      <c r="D45" s="235">
        <f>'[2]TWIA 4 Premium Trend'!E73</f>
        <v>118764839</v>
      </c>
      <c r="E45" s="152">
        <f>'[2]TWIA Historical EPPR'!J428</f>
        <v>1</v>
      </c>
      <c r="F45" s="134">
        <f t="shared" si="4"/>
        <v>118764839</v>
      </c>
      <c r="G45" s="219">
        <f t="shared" si="5"/>
        <v>2275.4936294139061</v>
      </c>
      <c r="H45" s="220">
        <f t="shared" si="7"/>
        <v>2223.0748693748174</v>
      </c>
      <c r="I45" s="221">
        <f t="shared" si="6"/>
        <v>2197.2608338615246</v>
      </c>
      <c r="J45" s="221">
        <f>GROWTH($H$33:$H$52,$O$33:$O$52,$O45,1)</f>
        <v>2233.1056520357943</v>
      </c>
      <c r="K45" s="221">
        <f>GROWTH($H$37:$H$52,$O$37:$O$52,$O45,1)</f>
        <v>2232.3528278432595</v>
      </c>
      <c r="L45" s="221">
        <f>GROWTH($H$41:$H$52,$O$41:$O$52,$O45,1)</f>
        <v>2235.8954475125556</v>
      </c>
      <c r="M45" s="2"/>
      <c r="N45" s="47">
        <f t="shared" si="11"/>
        <v>45382</v>
      </c>
      <c r="O45">
        <f t="shared" si="3"/>
        <v>2024.25</v>
      </c>
      <c r="P45" s="19"/>
      <c r="Q45" s="34"/>
      <c r="R45" s="34"/>
      <c r="S45" s="34"/>
      <c r="T45" s="34"/>
    </row>
    <row r="46" spans="1:20" x14ac:dyDescent="0.2">
      <c r="A46" t="str">
        <f t="shared" si="1"/>
        <v>2024 / 2</v>
      </c>
      <c r="B46" s="23"/>
      <c r="C46" s="150">
        <f>'[2]TWIA 4 Premium Trend'!F74</f>
        <v>78062</v>
      </c>
      <c r="D46" s="235">
        <f>'[2]TWIA 4 Premium Trend'!E74</f>
        <v>180279216</v>
      </c>
      <c r="E46" s="152">
        <f>'[2]TWIA Historical EPPR'!J429</f>
        <v>1</v>
      </c>
      <c r="F46" s="134">
        <f>D46*E46</f>
        <v>180279216</v>
      </c>
      <c r="G46" s="219">
        <f t="shared" si="5"/>
        <v>2309.4362942276653</v>
      </c>
      <c r="H46" s="220">
        <f t="shared" si="7"/>
        <v>2276.6689345774444</v>
      </c>
      <c r="I46" s="221">
        <f t="shared" si="6"/>
        <v>2222.2966326495603</v>
      </c>
      <c r="J46" s="221">
        <f t="shared" si="8"/>
        <v>2279.413414474905</v>
      </c>
      <c r="K46" s="221">
        <f t="shared" si="9"/>
        <v>2279.6088031166341</v>
      </c>
      <c r="L46" s="221">
        <f t="shared" si="10"/>
        <v>2281.7132767983967</v>
      </c>
      <c r="M46" s="2"/>
      <c r="N46" s="47">
        <f t="shared" si="11"/>
        <v>45473</v>
      </c>
      <c r="O46">
        <f t="shared" si="3"/>
        <v>2024.5</v>
      </c>
      <c r="P46" s="19"/>
      <c r="Q46" s="34"/>
      <c r="R46" s="34"/>
      <c r="S46" s="34"/>
      <c r="T46" s="34"/>
    </row>
    <row r="47" spans="1:20" x14ac:dyDescent="0.2">
      <c r="A47" t="str">
        <f t="shared" si="1"/>
        <v>2024 / 3</v>
      </c>
      <c r="B47" s="23"/>
      <c r="C47" s="150">
        <f>'[2]TWIA 4 Premium Trend'!F75</f>
        <v>89036</v>
      </c>
      <c r="D47" s="235">
        <f>'[2]TWIA 4 Premium Trend'!E75</f>
        <v>218108697</v>
      </c>
      <c r="E47" s="152">
        <f>'[2]TWIA Historical EPPR'!J430</f>
        <v>1</v>
      </c>
      <c r="F47" s="134">
        <f t="shared" si="4"/>
        <v>218108697</v>
      </c>
      <c r="G47" s="219">
        <f>F47/C47</f>
        <v>2449.6686396513769</v>
      </c>
      <c r="H47" s="220">
        <f t="shared" si="7"/>
        <v>2347.5621028156165</v>
      </c>
      <c r="I47" s="221">
        <f t="shared" si="6"/>
        <v>2247.6176917085772</v>
      </c>
      <c r="J47" s="221">
        <f t="shared" si="8"/>
        <v>2326.6814578842914</v>
      </c>
      <c r="K47" s="221">
        <f t="shared" si="9"/>
        <v>2327.8651252757395</v>
      </c>
      <c r="L47" s="221">
        <f t="shared" si="10"/>
        <v>2328.4700021684234</v>
      </c>
      <c r="M47" s="2"/>
      <c r="N47" s="47">
        <f t="shared" si="11"/>
        <v>45565</v>
      </c>
      <c r="O47">
        <f t="shared" si="3"/>
        <v>2024.75</v>
      </c>
      <c r="P47" s="19"/>
      <c r="Q47" s="34"/>
      <c r="R47" s="34"/>
      <c r="S47" s="34"/>
      <c r="T47" s="34"/>
    </row>
    <row r="48" spans="1:20" x14ac:dyDescent="0.2">
      <c r="A48" t="str">
        <f t="shared" si="1"/>
        <v>2024 / 4</v>
      </c>
      <c r="B48" s="23"/>
      <c r="C48" s="150">
        <f>'[2]TWIA 4 Premium Trend'!F76</f>
        <v>53106</v>
      </c>
      <c r="D48" s="235">
        <f>'[2]TWIA 4 Premium Trend'!E76</f>
        <v>132579293</v>
      </c>
      <c r="E48" s="152">
        <f>'[2]TWIA Historical EPPR'!J431</f>
        <v>1</v>
      </c>
      <c r="F48" s="134">
        <f t="shared" si="4"/>
        <v>132579293</v>
      </c>
      <c r="G48" s="219">
        <f t="shared" si="5"/>
        <v>2496.5030881632961</v>
      </c>
      <c r="H48" s="220">
        <f t="shared" si="7"/>
        <v>2385.2393565274215</v>
      </c>
      <c r="I48" s="221">
        <f t="shared" si="6"/>
        <v>2273.2272613212813</v>
      </c>
      <c r="J48" s="221">
        <f t="shared" si="8"/>
        <v>2374.9296955460281</v>
      </c>
      <c r="K48" s="221">
        <f t="shared" si="9"/>
        <v>2377.1429703492768</v>
      </c>
      <c r="L48" s="221">
        <f t="shared" si="10"/>
        <v>2376.1848634223757</v>
      </c>
      <c r="M48" s="2"/>
      <c r="N48" s="47">
        <f t="shared" si="11"/>
        <v>45657</v>
      </c>
      <c r="O48">
        <f t="shared" si="3"/>
        <v>2025</v>
      </c>
      <c r="P48" s="19"/>
      <c r="Q48" s="34"/>
      <c r="R48" s="34"/>
      <c r="S48" s="34"/>
      <c r="T48" s="34"/>
    </row>
    <row r="49" spans="1:20" x14ac:dyDescent="0.2">
      <c r="A49" t="str">
        <f>YEAR(N49)&amp;" / "&amp;MONTH(N49)/3</f>
        <v>2025 / 1</v>
      </c>
      <c r="B49" s="23"/>
      <c r="C49" s="150">
        <f>'[2]TWIA 4 Premium Trend'!F77</f>
        <v>57045</v>
      </c>
      <c r="D49" s="235">
        <f>'[2]TWIA 4 Premium Trend'!E77</f>
        <v>141197547</v>
      </c>
      <c r="E49" s="152">
        <f>'[2]TWIA Historical EPPR'!J432</f>
        <v>1</v>
      </c>
      <c r="F49" s="134">
        <f t="shared" si="4"/>
        <v>141197547</v>
      </c>
      <c r="G49" s="219">
        <f t="shared" si="5"/>
        <v>2475.1958453852221</v>
      </c>
      <c r="H49" s="220">
        <f t="shared" si="7"/>
        <v>2424.408214276697</v>
      </c>
      <c r="I49" s="221">
        <f t="shared" si="6"/>
        <v>2299.1286288043111</v>
      </c>
      <c r="J49" s="221">
        <f t="shared" si="8"/>
        <v>2424.1784536827849</v>
      </c>
      <c r="K49" s="221">
        <f t="shared" si="9"/>
        <v>2427.4639626347052</v>
      </c>
      <c r="L49" s="221">
        <f t="shared" si="10"/>
        <v>2424.8774946206954</v>
      </c>
      <c r="M49" s="2"/>
      <c r="N49" s="47">
        <f t="shared" si="11"/>
        <v>45747</v>
      </c>
      <c r="O49">
        <f>YEAR(N49)+MONTH(N49)/12</f>
        <v>2025.25</v>
      </c>
      <c r="P49" s="114"/>
      <c r="Q49" s="34"/>
      <c r="R49" s="34"/>
      <c r="S49" s="34"/>
      <c r="T49" s="34"/>
    </row>
    <row r="50" spans="1:20" x14ac:dyDescent="0.2">
      <c r="A50" t="str">
        <f>YEAR(N50)&amp;" / "&amp;MONTH(N50)/3</f>
        <v>2025 / 2</v>
      </c>
      <c r="B50" s="23"/>
      <c r="C50" s="150">
        <f>'[2]TWIA 4 Premium Trend'!F78</f>
        <v>82617</v>
      </c>
      <c r="D50" s="235">
        <f>'[2]TWIA 4 Premium Trend'!E78</f>
        <v>206713550</v>
      </c>
      <c r="E50" s="152">
        <f>'[2]TWIA Historical EPPR'!J433</f>
        <v>1</v>
      </c>
      <c r="F50" s="134">
        <f t="shared" si="4"/>
        <v>206713550</v>
      </c>
      <c r="G50" s="219">
        <f t="shared" si="5"/>
        <v>2502.0703971337616</v>
      </c>
      <c r="H50" s="220">
        <f t="shared" si="7"/>
        <v>2479.0247370512839</v>
      </c>
      <c r="I50" s="221">
        <f t="shared" si="6"/>
        <v>2325.3251189303041</v>
      </c>
      <c r="J50" s="221">
        <f t="shared" si="8"/>
        <v>2474.4484800206856</v>
      </c>
      <c r="K50" s="221">
        <f t="shared" si="9"/>
        <v>2478.8501841874413</v>
      </c>
      <c r="L50" s="221">
        <f t="shared" si="10"/>
        <v>2474.5679321637631</v>
      </c>
      <c r="M50" s="2"/>
      <c r="N50" s="47">
        <f t="shared" si="11"/>
        <v>45838</v>
      </c>
      <c r="O50">
        <f>YEAR(N50)+MONTH(N50)/12</f>
        <v>2025.5</v>
      </c>
      <c r="P50" s="114"/>
      <c r="Q50" s="34"/>
      <c r="R50" s="34"/>
      <c r="S50" s="34"/>
      <c r="T50" s="34"/>
    </row>
    <row r="51" spans="1:20" x14ac:dyDescent="0.2">
      <c r="A51" t="str">
        <f>YEAR(N51)&amp;" / "&amp;MONTH(N51)/3</f>
        <v>2025 / 3</v>
      </c>
      <c r="B51" s="23"/>
      <c r="C51" s="150">
        <f>'[2]TWIA 4 Premium Trend'!F79</f>
        <v>91575</v>
      </c>
      <c r="D51" s="235">
        <f>'[2]TWIA 4 Premium Trend'!E79</f>
        <v>241489902</v>
      </c>
      <c r="E51" s="152">
        <f>'[2]TWIA Historical EPPR'!J434</f>
        <v>1</v>
      </c>
      <c r="F51" s="134">
        <f t="shared" si="4"/>
        <v>241489902</v>
      </c>
      <c r="G51" s="219">
        <f t="shared" si="5"/>
        <v>2637.0723669123668</v>
      </c>
      <c r="H51" s="220">
        <f t="shared" si="7"/>
        <v>2539.1175165205404</v>
      </c>
      <c r="I51" s="221">
        <f t="shared" si="6"/>
        <v>2351.8200943547699</v>
      </c>
      <c r="J51" s="221">
        <f t="shared" si="8"/>
        <v>2525.7609525300609</v>
      </c>
      <c r="K51" s="221">
        <f t="shared" si="9"/>
        <v>2531.3241845109183</v>
      </c>
      <c r="L51" s="221">
        <f t="shared" si="10"/>
        <v>2525.2766230366178</v>
      </c>
      <c r="M51" s="2"/>
      <c r="N51" s="47">
        <f t="shared" si="11"/>
        <v>45930</v>
      </c>
      <c r="O51">
        <f>YEAR(N51)+MONTH(N51)/12</f>
        <v>2025.75</v>
      </c>
      <c r="P51" s="114"/>
      <c r="Q51" s="34"/>
      <c r="R51" s="34"/>
      <c r="S51" s="34"/>
      <c r="T51" s="34"/>
    </row>
    <row r="52" spans="1:20" x14ac:dyDescent="0.2">
      <c r="A52" t="str">
        <f>YEAR(N52)&amp;" / "&amp;MONTH(N52)/3</f>
        <v>2025 / 4</v>
      </c>
      <c r="B52" s="23"/>
      <c r="C52" s="150">
        <f>'[2]TWIA 4 Premium Trend'!F80</f>
        <v>56149</v>
      </c>
      <c r="D52" s="235">
        <f>'[2]TWIA 4 Premium Trend'!E80</f>
        <v>143183447</v>
      </c>
      <c r="E52" s="152">
        <f>'[2]TWIA Historical EPPR'!J435</f>
        <v>1</v>
      </c>
      <c r="F52" s="134">
        <f>D52*E52</f>
        <v>143183447</v>
      </c>
      <c r="G52" s="219">
        <f t="shared" si="5"/>
        <v>2550.0622807173768</v>
      </c>
      <c r="H52" s="220">
        <f>IFERROR(SUM(F49:F52)/SUM(C49:C52),0)</f>
        <v>2549.1305978718519</v>
      </c>
      <c r="I52" s="221">
        <f>GROWTH($H$17:$H$52,$O$17:$O$52,$O52,1)</f>
        <v>2378.6169560475382</v>
      </c>
      <c r="J52" s="221">
        <f t="shared" si="8"/>
        <v>2578.137488347395</v>
      </c>
      <c r="K52" s="221">
        <f t="shared" si="9"/>
        <v>2584.9089904521347</v>
      </c>
      <c r="L52" s="221">
        <f>GROWTH($H$41:$H$52,$O$41:$O$52,$O52,1)</f>
        <v>2577.0244332226316</v>
      </c>
      <c r="M52" s="2"/>
      <c r="N52" s="59">
        <v>46022</v>
      </c>
      <c r="O52">
        <f>YEAR(N52)+MONTH(N52)/12</f>
        <v>2026</v>
      </c>
      <c r="P52" s="114"/>
      <c r="Q52" s="34"/>
      <c r="R52" s="34"/>
      <c r="S52" s="34"/>
      <c r="T52" s="34"/>
    </row>
    <row r="53" spans="1:20" x14ac:dyDescent="0.2">
      <c r="A53" s="9"/>
      <c r="B53" s="24"/>
      <c r="C53" s="122"/>
      <c r="D53" s="54"/>
      <c r="E53" s="33"/>
      <c r="F53" s="54"/>
      <c r="G53" s="87"/>
      <c r="H53" s="87"/>
      <c r="I53" s="89"/>
      <c r="J53" s="89"/>
      <c r="K53" s="89"/>
      <c r="L53" s="89"/>
      <c r="M53" s="2"/>
    </row>
    <row r="54" spans="1:20" x14ac:dyDescent="0.2">
      <c r="B54" s="23"/>
      <c r="C54" s="123"/>
      <c r="D54" s="53"/>
      <c r="E54" s="32"/>
      <c r="F54" s="53"/>
      <c r="G54" s="107"/>
      <c r="H54" s="107"/>
      <c r="I54" s="84"/>
      <c r="J54" s="84"/>
      <c r="K54" s="84"/>
      <c r="L54" s="84"/>
      <c r="M54" s="2"/>
      <c r="N54" s="59"/>
    </row>
    <row r="55" spans="1:20" x14ac:dyDescent="0.2">
      <c r="A55" s="62" t="s">
        <v>248</v>
      </c>
      <c r="B55" t="s">
        <v>262</v>
      </c>
      <c r="I55" s="42">
        <f>LOGEST($I$17:$I$52,$O$17:$O$52,1,1)-1</f>
        <v>4.6361266433604165E-2</v>
      </c>
      <c r="J55" s="42">
        <f>LOGEST($J$33:$J$52,$O$33:$O$52,1,1)-1</f>
        <v>8.5563708762622426E-2</v>
      </c>
      <c r="K55" s="42">
        <f>LOGEST($K$37:$K$52,$O$37:$O$52,1,1)-1</f>
        <v>8.7401566794420127E-2</v>
      </c>
      <c r="L55" s="42">
        <f>LOGEST($L$41:$L$52,$O$41:$O$52,1,1)-1</f>
        <v>8.4521862289378857E-2</v>
      </c>
      <c r="M55" s="2"/>
      <c r="N55" s="88"/>
      <c r="Q55" s="223"/>
      <c r="R55" s="223"/>
      <c r="S55" s="223"/>
      <c r="T55" s="223"/>
    </row>
    <row r="56" spans="1:20" x14ac:dyDescent="0.2">
      <c r="A56" s="62" t="s">
        <v>182</v>
      </c>
      <c r="B56" t="s">
        <v>261</v>
      </c>
      <c r="D56" s="19"/>
      <c r="F56" s="19"/>
      <c r="G56" s="19"/>
      <c r="H56" s="19"/>
      <c r="I56" s="42">
        <f>INDEX(LOGEST($H$17:$H$52,$O$17:$O$52,1,1),3,1)</f>
        <v>0.83292105401322236</v>
      </c>
      <c r="J56" s="42">
        <f>INDEX(LOGEST($H$33:$H$52,$O$33:$O$52,1,1),3,1)</f>
        <v>0.99488996439069965</v>
      </c>
      <c r="K56" s="42">
        <f>INDEX(LOGEST($H$37:$H$52,$O$37:$O$52,1,1),3,1)</f>
        <v>0.99516163781445099</v>
      </c>
      <c r="L56" s="42">
        <f>INDEX(LOGEST($H$41:$H$52,$O$41:$O$52,1,1),3,1)</f>
        <v>0.99460363254800854</v>
      </c>
      <c r="M56" s="2"/>
    </row>
    <row r="57" spans="1:20" x14ac:dyDescent="0.2">
      <c r="D57" s="19"/>
      <c r="F57" s="19"/>
      <c r="G57" s="19"/>
      <c r="H57" s="19"/>
      <c r="I57" s="19"/>
      <c r="J57" s="19"/>
      <c r="K57" s="19"/>
      <c r="L57" s="19"/>
      <c r="M57" s="2"/>
      <c r="N57" t="s">
        <v>358</v>
      </c>
    </row>
    <row r="58" spans="1:20" x14ac:dyDescent="0.2">
      <c r="A58" s="62" t="s">
        <v>263</v>
      </c>
      <c r="B58" s="12" t="s">
        <v>198</v>
      </c>
      <c r="D58" s="19"/>
      <c r="F58" s="19"/>
      <c r="G58" s="19"/>
      <c r="H58" s="19"/>
      <c r="I58" s="19"/>
      <c r="J58" s="19"/>
      <c r="K58" s="19"/>
      <c r="L58" s="162">
        <f>N58</f>
        <v>8.5829045948807137E-2</v>
      </c>
      <c r="M58" s="2"/>
      <c r="N58" s="20">
        <f>AVERAGE(J55:L55)</f>
        <v>8.5829045948807137E-2</v>
      </c>
    </row>
    <row r="59" spans="1:20" ht="12" thickBot="1" x14ac:dyDescent="0.25">
      <c r="A59" s="6"/>
      <c r="B59" s="6"/>
      <c r="C59" s="101"/>
      <c r="D59" s="6"/>
      <c r="E59" s="6"/>
      <c r="F59" s="6"/>
      <c r="G59" s="6"/>
      <c r="H59" s="6"/>
      <c r="I59" s="6"/>
      <c r="J59" s="6"/>
      <c r="K59" s="6"/>
      <c r="L59" s="6"/>
      <c r="M59" s="2"/>
    </row>
    <row r="60" spans="1:20" ht="12" thickTop="1" x14ac:dyDescent="0.2">
      <c r="M60" s="2"/>
    </row>
    <row r="61" spans="1:20" x14ac:dyDescent="0.2">
      <c r="A61" s="23" t="s">
        <v>17</v>
      </c>
      <c r="B61" s="23"/>
      <c r="C61" s="58" t="str">
        <f>C12&amp;" Provided by TWIA. Exposures written on inception"</f>
        <v>(2) Provided by TWIA. Exposures written on inception</v>
      </c>
      <c r="D61" s="23"/>
      <c r="E61" s="124"/>
      <c r="F61" s="23"/>
      <c r="M61" s="2"/>
    </row>
    <row r="62" spans="1:20" x14ac:dyDescent="0.2">
      <c r="A62" s="23"/>
      <c r="B62" s="23"/>
      <c r="C62" s="58" t="str">
        <f>D12&amp;" Provided by TWIA. Premium written on inception"</f>
        <v>(3) Provided by TWIA. Premium written on inception</v>
      </c>
      <c r="D62" s="23"/>
      <c r="E62" s="124"/>
      <c r="F62" s="23"/>
      <c r="H62" s="12"/>
      <c r="M62" s="2"/>
    </row>
    <row r="63" spans="1:20" x14ac:dyDescent="0.2">
      <c r="A63" s="23"/>
      <c r="B63" s="23"/>
      <c r="C63" s="58" t="str">
        <f>E12&amp;" Cumulative effect of annual rate changes"</f>
        <v>(4) Cumulative effect of annual rate changes</v>
      </c>
      <c r="D63" s="124"/>
      <c r="E63" s="23"/>
      <c r="F63" s="23"/>
      <c r="H63" s="23"/>
      <c r="M63" s="2"/>
    </row>
    <row r="64" spans="1:20" x14ac:dyDescent="0.2">
      <c r="A64" s="125"/>
      <c r="B64" s="23"/>
      <c r="C64" s="58" t="str">
        <f>F12&amp;" = "&amp;D12&amp;" * "&amp;E12</f>
        <v>(5) = (3) * (4)</v>
      </c>
      <c r="D64" s="23"/>
      <c r="E64" s="23"/>
      <c r="F64" s="23"/>
      <c r="H64" s="23"/>
      <c r="M64" s="2"/>
    </row>
    <row r="65" spans="1:13" x14ac:dyDescent="0.2">
      <c r="A65" s="23"/>
      <c r="B65" s="23"/>
      <c r="C65" s="125" t="s">
        <v>390</v>
      </c>
      <c r="D65" s="23"/>
      <c r="E65" s="23"/>
      <c r="F65" s="23"/>
      <c r="H65" s="23"/>
      <c r="M65" s="2"/>
    </row>
    <row r="66" spans="1:13" x14ac:dyDescent="0.2">
      <c r="A66" s="23"/>
      <c r="B66" s="23"/>
      <c r="C66" s="41" t="s">
        <v>389</v>
      </c>
      <c r="D66" s="23"/>
      <c r="E66" s="23"/>
      <c r="F66" s="23"/>
      <c r="M66" s="2"/>
    </row>
    <row r="67" spans="1:13" x14ac:dyDescent="0.2">
      <c r="A67" s="23"/>
      <c r="B67" s="23"/>
      <c r="C67" s="12" t="str">
        <f>I12&amp;" - "&amp;L12&amp;" = "&amp;H12&amp;" Fitted to an exponential distribution"</f>
        <v>(8) - (11) = (7) Fitted to an exponential distribution</v>
      </c>
      <c r="D67" s="23"/>
      <c r="E67" s="23"/>
      <c r="F67" s="23"/>
      <c r="M67" s="2"/>
    </row>
    <row r="68" spans="1:13" x14ac:dyDescent="0.2">
      <c r="A68" s="23"/>
      <c r="B68" s="23"/>
      <c r="C68" s="23" t="str">
        <f>'3.2'!A55&amp;" Fitted average annual change"</f>
        <v>(14) Fitted average annual change</v>
      </c>
      <c r="D68" s="126"/>
      <c r="E68" s="126"/>
      <c r="F68" s="126"/>
      <c r="G68" s="29"/>
      <c r="H68" s="29"/>
      <c r="I68" s="29"/>
      <c r="J68" s="29"/>
      <c r="K68" s="29"/>
      <c r="M68" s="2"/>
    </row>
    <row r="69" spans="1:13" x14ac:dyDescent="0.2">
      <c r="C69" s="23" t="str">
        <f>'3.2'!A56&amp;" Evaluates the predictability of the fitted curve"</f>
        <v>(15) Evaluates the predictability of the fitted curve</v>
      </c>
      <c r="G69" s="19"/>
      <c r="H69" s="19"/>
      <c r="I69" s="19"/>
      <c r="J69" s="19"/>
      <c r="K69" s="19"/>
      <c r="M69" s="2"/>
    </row>
    <row r="70" spans="1:13" ht="12" thickBot="1" x14ac:dyDescent="0.25">
      <c r="C70" s="23" t="str">
        <f>'3.2'!A58&amp;" Selected based on judgment, with equal weight given to 3-year, 4-year, and 5-year exponential fitted trends"</f>
        <v>(16) Selected based on judgment, with equal weight given to 3-year, 4-year, and 5-year exponential fitted trends</v>
      </c>
      <c r="D70" s="19"/>
      <c r="F70" s="19"/>
      <c r="G70" s="19"/>
      <c r="H70" s="19"/>
      <c r="I70" s="19"/>
      <c r="J70" s="19"/>
      <c r="K70" s="19"/>
      <c r="L70" s="19"/>
      <c r="M70" s="2"/>
    </row>
    <row r="71" spans="1:13" ht="12" thickBot="1" x14ac:dyDescent="0.25">
      <c r="A71" s="4"/>
      <c r="B71" s="5"/>
      <c r="C71" s="102"/>
      <c r="D71" s="5"/>
      <c r="E71" s="5"/>
      <c r="F71" s="5"/>
      <c r="G71" s="5"/>
      <c r="H71" s="5"/>
      <c r="I71" s="5"/>
      <c r="J71" s="5"/>
      <c r="K71" s="5"/>
      <c r="L71" s="5"/>
      <c r="M71" s="3"/>
    </row>
  </sheetData>
  <phoneticPr fontId="0" type="noConversion"/>
  <pageMargins left="0.5" right="0.5" top="0.5" bottom="0.5" header="0.5" footer="0.5"/>
  <pageSetup scale="90" orientation="portrait" blackAndWhite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7">
    <tabColor rgb="FF92D050"/>
  </sheetPr>
  <dimension ref="A1:Q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3.5" style="12" customWidth="1"/>
    <col min="2" max="2" width="10.6640625" style="12" customWidth="1"/>
    <col min="3" max="11" width="11.33203125" style="12" customWidth="1"/>
    <col min="12" max="12" width="5.1640625" style="12" customWidth="1"/>
    <col min="13" max="16384" width="11.33203125" style="12"/>
  </cols>
  <sheetData>
    <row r="1" spans="1:17" x14ac:dyDescent="0.2">
      <c r="A1" s="8" t="str">
        <f>'1'!$A$1</f>
        <v>Texas Windstorm Insurance Association</v>
      </c>
      <c r="C1"/>
      <c r="D1"/>
      <c r="E1"/>
      <c r="F1"/>
      <c r="G1"/>
      <c r="H1"/>
      <c r="I1"/>
      <c r="J1"/>
      <c r="K1"/>
      <c r="L1" s="7" t="s">
        <v>60</v>
      </c>
      <c r="M1" s="1"/>
    </row>
    <row r="2" spans="1:17" x14ac:dyDescent="0.2">
      <c r="A2" s="8" t="str">
        <f>'1'!$A$2</f>
        <v>Residential Property - Wind &amp; Hail</v>
      </c>
      <c r="C2"/>
      <c r="D2"/>
      <c r="E2"/>
      <c r="F2"/>
      <c r="G2"/>
      <c r="H2"/>
      <c r="I2"/>
      <c r="J2"/>
      <c r="K2"/>
      <c r="L2" s="7" t="s">
        <v>46</v>
      </c>
      <c r="M2" s="2"/>
    </row>
    <row r="3" spans="1:17" x14ac:dyDescent="0.2">
      <c r="A3" s="8" t="str">
        <f>'1'!$A$3</f>
        <v>Rate Level Review</v>
      </c>
      <c r="C3"/>
      <c r="D3"/>
      <c r="E3"/>
      <c r="F3"/>
      <c r="G3"/>
      <c r="H3"/>
      <c r="I3"/>
      <c r="J3"/>
      <c r="K3"/>
      <c r="L3"/>
      <c r="M3" s="2"/>
    </row>
    <row r="4" spans="1:17" x14ac:dyDescent="0.2">
      <c r="A4" s="63" t="s">
        <v>210</v>
      </c>
      <c r="C4"/>
      <c r="D4"/>
      <c r="E4"/>
      <c r="F4"/>
      <c r="G4"/>
      <c r="H4"/>
      <c r="I4"/>
      <c r="J4"/>
      <c r="K4"/>
      <c r="L4"/>
      <c r="M4" s="2"/>
    </row>
    <row r="5" spans="1:17" x14ac:dyDescent="0.2">
      <c r="A5" s="63" t="s">
        <v>211</v>
      </c>
      <c r="C5"/>
      <c r="D5"/>
      <c r="E5"/>
      <c r="F5"/>
      <c r="G5"/>
      <c r="H5"/>
      <c r="I5"/>
      <c r="J5"/>
      <c r="K5"/>
      <c r="L5"/>
      <c r="M5" s="2"/>
    </row>
    <row r="6" spans="1:17" x14ac:dyDescent="0.2">
      <c r="A6"/>
      <c r="B6"/>
      <c r="C6"/>
      <c r="D6"/>
      <c r="E6"/>
      <c r="F6"/>
      <c r="G6"/>
      <c r="H6"/>
      <c r="I6"/>
      <c r="J6"/>
      <c r="K6"/>
      <c r="L6"/>
      <c r="M6" s="2"/>
    </row>
    <row r="7" spans="1:17" ht="12" thickBot="1" x14ac:dyDescent="0.25">
      <c r="A7" s="6"/>
      <c r="B7" s="6"/>
      <c r="C7" s="6"/>
      <c r="D7" s="6"/>
      <c r="E7" s="6"/>
      <c r="F7" s="6"/>
      <c r="G7"/>
      <c r="H7"/>
      <c r="I7"/>
      <c r="J7"/>
      <c r="K7"/>
      <c r="L7"/>
      <c r="M7" s="2"/>
    </row>
    <row r="8" spans="1:17" ht="12" thickTop="1" x14ac:dyDescent="0.2">
      <c r="A8" t="s">
        <v>48</v>
      </c>
      <c r="B8"/>
      <c r="C8"/>
      <c r="D8"/>
      <c r="E8"/>
      <c r="F8"/>
      <c r="G8"/>
      <c r="H8"/>
      <c r="I8"/>
      <c r="J8"/>
      <c r="K8"/>
      <c r="L8"/>
      <c r="M8" s="2"/>
      <c r="N8" t="s">
        <v>193</v>
      </c>
    </row>
    <row r="9" spans="1:17" x14ac:dyDescent="0.2">
      <c r="A9" t="s">
        <v>49</v>
      </c>
      <c r="B9"/>
      <c r="D9"/>
      <c r="E9"/>
      <c r="F9"/>
      <c r="G9"/>
      <c r="H9"/>
      <c r="I9"/>
      <c r="J9"/>
      <c r="K9"/>
      <c r="L9"/>
      <c r="M9" s="2"/>
      <c r="N9" s="59">
        <v>45930</v>
      </c>
    </row>
    <row r="10" spans="1:17" x14ac:dyDescent="0.2">
      <c r="A10" t="s">
        <v>32</v>
      </c>
      <c r="B10"/>
      <c r="C10" s="11" t="s">
        <v>213</v>
      </c>
      <c r="D10" s="11" t="s">
        <v>214</v>
      </c>
      <c r="E10" s="11" t="s">
        <v>215</v>
      </c>
      <c r="F10" s="11" t="s">
        <v>115</v>
      </c>
      <c r="G10"/>
      <c r="H10"/>
      <c r="I10"/>
      <c r="J10"/>
      <c r="K10"/>
      <c r="L10"/>
      <c r="M10" s="2"/>
      <c r="O10" t="s">
        <v>216</v>
      </c>
      <c r="Q10"/>
    </row>
    <row r="11" spans="1:17" x14ac:dyDescent="0.2">
      <c r="A11" s="9" t="str">
        <f>TEXT($N$9,"m/d")</f>
        <v>9/30</v>
      </c>
      <c r="B11" s="9"/>
      <c r="C11" s="121" t="s">
        <v>217</v>
      </c>
      <c r="D11" s="121" t="s">
        <v>217</v>
      </c>
      <c r="E11" s="121" t="s">
        <v>218</v>
      </c>
      <c r="F11" s="121" t="s">
        <v>64</v>
      </c>
      <c r="G11"/>
      <c r="H11"/>
      <c r="I11"/>
      <c r="J11"/>
      <c r="K11"/>
      <c r="L11"/>
      <c r="M11" s="2"/>
      <c r="N11"/>
      <c r="O11" s="9" t="s">
        <v>213</v>
      </c>
      <c r="P11" s="9" t="s">
        <v>214</v>
      </c>
      <c r="Q11" s="9" t="s">
        <v>219</v>
      </c>
    </row>
    <row r="12" spans="1:17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 t="str">
        <f>TEXT(COLUMN()-1,"(#)")</f>
        <v>(5)</v>
      </c>
      <c r="G12"/>
      <c r="H12"/>
      <c r="I12"/>
      <c r="J12"/>
      <c r="K12"/>
      <c r="L12"/>
      <c r="M12" s="2"/>
    </row>
    <row r="13" spans="1:17" x14ac:dyDescent="0.2">
      <c r="A13"/>
      <c r="B13"/>
      <c r="C13"/>
      <c r="D13"/>
      <c r="E13"/>
      <c r="F13"/>
      <c r="G13"/>
      <c r="H13"/>
      <c r="I13"/>
      <c r="J13"/>
      <c r="K13"/>
      <c r="L13"/>
      <c r="M13" s="2"/>
    </row>
    <row r="14" spans="1:17" x14ac:dyDescent="0.2">
      <c r="A14" t="str">
        <f t="shared" ref="A14:A21" si="0">TEXT(A15-1,"#")</f>
        <v>2016</v>
      </c>
      <c r="B14" s="23"/>
      <c r="C14" s="29">
        <f>ROUND('3.3b'!$C$52/'3.3b'!$C$16,3)</f>
        <v>1.4550000000000001</v>
      </c>
      <c r="D14" s="29">
        <f>ROUND('3.3c'!$C$52/'3.3c'!$C$16,3)</f>
        <v>1.4790000000000001</v>
      </c>
      <c r="E14" s="29">
        <f>ROUND('3.3d'!$C$54/'3.3d'!$C$18,3)</f>
        <v>1.202</v>
      </c>
      <c r="F14" s="29">
        <f>ROUND(SUMPRODUCT(C14:E14,$O14:$Q14)/SUMIF(C14:E14,"&gt;0",$O14:$Q14),3)</f>
        <v>1.41</v>
      </c>
      <c r="G14"/>
      <c r="H14"/>
      <c r="I14"/>
      <c r="J14" s="29"/>
      <c r="K14" s="29"/>
      <c r="M14" s="2"/>
      <c r="O14" s="70">
        <v>0</v>
      </c>
      <c r="P14" s="70">
        <v>0.75</v>
      </c>
      <c r="Q14" s="70">
        <v>0.25</v>
      </c>
    </row>
    <row r="15" spans="1:17" x14ac:dyDescent="0.2">
      <c r="A15" t="str">
        <f t="shared" si="0"/>
        <v>2017</v>
      </c>
      <c r="B15" s="23"/>
      <c r="C15" s="29">
        <f>ROUND('3.3b'!$C$52/'3.3b'!$C$20,3)</f>
        <v>1.4390000000000001</v>
      </c>
      <c r="D15" s="29">
        <f>ROUND('3.3c'!$C$52/'3.3c'!$C$20,3)</f>
        <v>1.462</v>
      </c>
      <c r="E15" s="29">
        <f>ROUND('3.3d'!$C$54/'3.3d'!$C$22,3)</f>
        <v>1.2010000000000001</v>
      </c>
      <c r="F15" s="29">
        <f t="shared" ref="F15:F22" si="1">ROUND(SUMPRODUCT(C15:E15,$O15:$Q15)/SUMIF(C15:E15,"&gt;0",$O15:$Q15),3)</f>
        <v>1.397</v>
      </c>
      <c r="G15"/>
      <c r="H15"/>
      <c r="I15"/>
      <c r="J15" s="29"/>
      <c r="K15" s="29"/>
      <c r="L15"/>
      <c r="M15" s="2"/>
      <c r="O15" s="70">
        <v>0</v>
      </c>
      <c r="P15" s="70">
        <v>0.75</v>
      </c>
      <c r="Q15" s="70">
        <v>0.25</v>
      </c>
    </row>
    <row r="16" spans="1:17" x14ac:dyDescent="0.2">
      <c r="A16" t="str">
        <f t="shared" si="0"/>
        <v>2018</v>
      </c>
      <c r="B16" s="23"/>
      <c r="C16" s="29">
        <f>ROUND('3.3b'!$C$52/'3.3b'!$C$24,3)</f>
        <v>1.387</v>
      </c>
      <c r="D16" s="29">
        <f>ROUND('3.3c'!$C$52/'3.3c'!$C$24,3)</f>
        <v>1.407</v>
      </c>
      <c r="E16" s="29">
        <f>ROUND('3.3d'!$C$54/'3.3d'!$C$26,3)</f>
        <v>1.1930000000000001</v>
      </c>
      <c r="F16" s="29">
        <f t="shared" si="1"/>
        <v>1.3540000000000001</v>
      </c>
      <c r="G16"/>
      <c r="H16"/>
      <c r="I16"/>
      <c r="J16" s="29"/>
      <c r="K16" s="29"/>
      <c r="L16"/>
      <c r="M16" s="2"/>
      <c r="O16" s="70">
        <v>0</v>
      </c>
      <c r="P16" s="70">
        <v>0.75</v>
      </c>
      <c r="Q16" s="70">
        <v>0.25</v>
      </c>
    </row>
    <row r="17" spans="1:17" x14ac:dyDescent="0.2">
      <c r="A17" t="str">
        <f t="shared" si="0"/>
        <v>2019</v>
      </c>
      <c r="B17" s="23"/>
      <c r="C17" s="29">
        <f>ROUND('3.3b'!$C$52/'3.3b'!$C$28,3)</f>
        <v>1.355</v>
      </c>
      <c r="D17" s="29">
        <f>ROUND('3.3c'!$C$52/'3.3c'!$C$28,3)</f>
        <v>1.363</v>
      </c>
      <c r="E17" s="29">
        <f>ROUND('3.3d'!$C$54/'3.3d'!$C$30,3)</f>
        <v>1.157</v>
      </c>
      <c r="F17" s="29">
        <f t="shared" si="1"/>
        <v>1.3120000000000001</v>
      </c>
      <c r="G17"/>
      <c r="H17"/>
      <c r="I17"/>
      <c r="J17" s="29"/>
      <c r="K17" s="29"/>
      <c r="L17"/>
      <c r="M17" s="2"/>
      <c r="O17" s="70">
        <v>0</v>
      </c>
      <c r="P17" s="70">
        <v>0.75</v>
      </c>
      <c r="Q17" s="70">
        <v>0.25</v>
      </c>
    </row>
    <row r="18" spans="1:17" x14ac:dyDescent="0.2">
      <c r="A18" t="str">
        <f t="shared" si="0"/>
        <v>2020</v>
      </c>
      <c r="B18" s="23"/>
      <c r="C18" s="29">
        <f>ROUND('3.3b'!$C$52/'3.3b'!$C$32,3)</f>
        <v>1.345</v>
      </c>
      <c r="D18" s="29">
        <f>ROUND('3.3c'!$C$52/'3.3c'!$C$32,3)</f>
        <v>1.3640000000000001</v>
      </c>
      <c r="E18" s="29">
        <f>ROUND('3.3d'!$C$54/'3.3d'!$C$34,3)</f>
        <v>1.1970000000000001</v>
      </c>
      <c r="F18" s="29">
        <f t="shared" si="1"/>
        <v>1.3220000000000001</v>
      </c>
      <c r="G18"/>
      <c r="H18"/>
      <c r="I18"/>
      <c r="J18" s="29"/>
      <c r="K18" s="29"/>
      <c r="L18"/>
      <c r="M18" s="2"/>
      <c r="O18" s="70">
        <v>0</v>
      </c>
      <c r="P18" s="70">
        <v>0.75</v>
      </c>
      <c r="Q18" s="70">
        <v>0.25</v>
      </c>
    </row>
    <row r="19" spans="1:17" x14ac:dyDescent="0.2">
      <c r="A19" t="str">
        <f t="shared" si="0"/>
        <v>2021</v>
      </c>
      <c r="B19" s="23"/>
      <c r="C19" s="29">
        <f>ROUND('3.3b'!$C$52/'3.3b'!$C$36,3)</f>
        <v>1.2050000000000001</v>
      </c>
      <c r="D19" s="29">
        <f>ROUND('3.3c'!$C$52/'3.3c'!$C$36,3)</f>
        <v>1.2230000000000001</v>
      </c>
      <c r="E19" s="29">
        <f>ROUND('3.3d'!$C$54/'3.3d'!$C$38,3)</f>
        <v>1.111</v>
      </c>
      <c r="F19" s="29">
        <f t="shared" si="1"/>
        <v>1.1950000000000001</v>
      </c>
      <c r="G19"/>
      <c r="H19"/>
      <c r="I19"/>
      <c r="J19" s="29"/>
      <c r="K19" s="29"/>
      <c r="L19"/>
      <c r="M19" s="2"/>
      <c r="O19" s="70">
        <v>0</v>
      </c>
      <c r="P19" s="70">
        <v>0.75</v>
      </c>
      <c r="Q19" s="70">
        <v>0.25</v>
      </c>
    </row>
    <row r="20" spans="1:17" x14ac:dyDescent="0.2">
      <c r="A20" t="str">
        <f t="shared" si="0"/>
        <v>2022</v>
      </c>
      <c r="B20" s="23"/>
      <c r="C20" s="29">
        <f>ROUND('3.3b'!$C$52/'3.3b'!$C$40,3)</f>
        <v>1.04</v>
      </c>
      <c r="D20" s="29">
        <f>ROUND('3.3c'!$C$52/'3.3c'!$C$40,3)</f>
        <v>1.0389999999999999</v>
      </c>
      <c r="E20" s="29">
        <f>ROUND('3.3d'!$C$54/'3.3d'!$C$42,3)</f>
        <v>1.046</v>
      </c>
      <c r="F20" s="29">
        <f t="shared" si="1"/>
        <v>1.0409999999999999</v>
      </c>
      <c r="G20"/>
      <c r="H20"/>
      <c r="I20"/>
      <c r="J20" s="29"/>
      <c r="K20" s="29"/>
      <c r="L20"/>
      <c r="M20" s="2"/>
      <c r="O20" s="70">
        <v>0</v>
      </c>
      <c r="P20" s="70">
        <v>0.75</v>
      </c>
      <c r="Q20" s="70">
        <v>0.25</v>
      </c>
    </row>
    <row r="21" spans="1:17" x14ac:dyDescent="0.2">
      <c r="A21" t="str">
        <f t="shared" si="0"/>
        <v>2023</v>
      </c>
      <c r="B21" s="23"/>
      <c r="C21" s="29">
        <f>ROUND('3.3b'!$C$52/'3.3b'!$C$44,3)</f>
        <v>1.012</v>
      </c>
      <c r="D21" s="29">
        <f>ROUND('3.3c'!$C$52/'3.3c'!$C$44,3)</f>
        <v>1.0149999999999999</v>
      </c>
      <c r="E21" s="29">
        <f>ROUND('3.3d'!$C$54/'3.3d'!$C$46,3)</f>
        <v>1.0169999999999999</v>
      </c>
      <c r="F21" s="29">
        <f t="shared" si="1"/>
        <v>1.016</v>
      </c>
      <c r="G21"/>
      <c r="H21"/>
      <c r="I21"/>
      <c r="J21" s="29"/>
      <c r="K21" s="29"/>
      <c r="L21"/>
      <c r="M21" s="2"/>
      <c r="O21" s="70">
        <v>0</v>
      </c>
      <c r="P21" s="70">
        <v>0.75</v>
      </c>
      <c r="Q21" s="70">
        <v>0.25</v>
      </c>
    </row>
    <row r="22" spans="1:17" x14ac:dyDescent="0.2">
      <c r="A22" t="str">
        <f>TEXT(A23-1,"#")</f>
        <v>2024</v>
      </c>
      <c r="B22" s="23"/>
      <c r="C22" s="29">
        <f>ROUND('3.3b'!$C$52/'3.3b'!$C$48,3)</f>
        <v>1.0149999999999999</v>
      </c>
      <c r="D22" s="29">
        <f>ROUND('3.3c'!$C$52/'3.3c'!$C$48,3)</f>
        <v>1.02</v>
      </c>
      <c r="E22" s="29">
        <f>ROUND('3.3d'!$C$54/'3.3d'!$C$50,3)</f>
        <v>1.02</v>
      </c>
      <c r="F22" s="29">
        <f t="shared" si="1"/>
        <v>1.02</v>
      </c>
      <c r="G22"/>
      <c r="H22"/>
      <c r="I22"/>
      <c r="J22" s="29"/>
      <c r="K22" s="29"/>
      <c r="L22"/>
      <c r="M22" s="2"/>
      <c r="O22" s="70">
        <v>0</v>
      </c>
      <c r="P22" s="70">
        <v>0.75</v>
      </c>
      <c r="Q22" s="70">
        <v>0.25</v>
      </c>
    </row>
    <row r="23" spans="1:17" x14ac:dyDescent="0.2">
      <c r="A23" t="str">
        <f>TEXT(YEAR($N$9),"#")</f>
        <v>2025</v>
      </c>
      <c r="B23" s="23"/>
      <c r="C23" s="29">
        <f>ROUND('3.3b'!$C$52/'3.3b'!$C$52,3)</f>
        <v>1</v>
      </c>
      <c r="D23" s="29">
        <f>ROUND('3.3c'!$C$52/'3.3c'!$C$52,3)</f>
        <v>1</v>
      </c>
      <c r="E23" s="29">
        <f>ROUND('3.3d'!$C$54/'3.3d'!$C$54,3)</f>
        <v>1</v>
      </c>
      <c r="F23" s="29">
        <f>ROUND(SUMPRODUCT(C23:E23,$O23:$Q23)/SUMIF(C23:E23,"&gt;0",$O23:$Q23),3)</f>
        <v>1</v>
      </c>
      <c r="G23"/>
      <c r="H23"/>
      <c r="I23"/>
      <c r="J23" s="29"/>
      <c r="K23" s="29"/>
      <c r="L23"/>
      <c r="M23" s="2"/>
      <c r="O23" s="70">
        <v>0</v>
      </c>
      <c r="P23" s="70">
        <v>0.75</v>
      </c>
      <c r="Q23" s="70">
        <v>0.25</v>
      </c>
    </row>
    <row r="24" spans="1:17" x14ac:dyDescent="0.2">
      <c r="A24" s="9"/>
      <c r="B24" s="24"/>
      <c r="C24" s="30"/>
      <c r="D24" s="30"/>
      <c r="E24" s="30"/>
      <c r="F24" s="30"/>
      <c r="G24" s="29"/>
      <c r="H24" s="19"/>
      <c r="I24" s="19"/>
      <c r="J24" s="20"/>
      <c r="K24" s="20"/>
      <c r="L24" s="20"/>
      <c r="M24" s="2"/>
    </row>
    <row r="25" spans="1:17" x14ac:dyDescent="0.2">
      <c r="A25"/>
      <c r="B25"/>
      <c r="C25" s="19"/>
      <c r="D25"/>
      <c r="E25"/>
      <c r="F25"/>
      <c r="G25"/>
      <c r="H25"/>
      <c r="I25"/>
      <c r="J25"/>
      <c r="K25"/>
      <c r="L25"/>
      <c r="M25" s="2"/>
      <c r="Q25"/>
    </row>
    <row r="26" spans="1:17" x14ac:dyDescent="0.2">
      <c r="A26" s="12" t="s">
        <v>220</v>
      </c>
      <c r="H26"/>
      <c r="I26"/>
      <c r="J26"/>
      <c r="K26"/>
      <c r="L26"/>
      <c r="M26" s="2"/>
    </row>
    <row r="27" spans="1:17" x14ac:dyDescent="0.2">
      <c r="B27"/>
      <c r="C27" s="64"/>
      <c r="D27" s="64"/>
      <c r="E27" s="64"/>
      <c r="F27" s="64"/>
      <c r="G27"/>
      <c r="H27"/>
      <c r="I27"/>
      <c r="J27"/>
      <c r="K27"/>
      <c r="L27"/>
      <c r="M27" s="2"/>
    </row>
    <row r="28" spans="1:17" x14ac:dyDescent="0.2">
      <c r="A28" s="62" t="s">
        <v>106</v>
      </c>
      <c r="B28" t="s">
        <v>221</v>
      </c>
      <c r="C28" s="42">
        <f>ROUND('3.3b'!$G$56,3)</f>
        <v>4.7E-2</v>
      </c>
      <c r="D28" s="42">
        <f>ROUND('3.3c'!$G$56,3)</f>
        <v>0.05</v>
      </c>
      <c r="E28" s="42">
        <f>ROUND('3.3d'!$G$58,3)</f>
        <v>2.7E-2</v>
      </c>
      <c r="F28" s="42">
        <f>ROUND(SUMPRODUCT(C28:E28,$O28:$Q28)/SUMIF(C28:E28,"&gt;0",$O28:$Q28),3)</f>
        <v>4.3999999999999997E-2</v>
      </c>
      <c r="G28"/>
      <c r="H28"/>
      <c r="I28"/>
      <c r="J28"/>
      <c r="K28"/>
      <c r="L28"/>
      <c r="M28" s="2"/>
      <c r="O28" s="70">
        <v>0</v>
      </c>
      <c r="P28" s="70">
        <v>0.75</v>
      </c>
      <c r="Q28" s="70">
        <v>0.25</v>
      </c>
    </row>
    <row r="29" spans="1:17" x14ac:dyDescent="0.2">
      <c r="A29" s="62"/>
      <c r="B29"/>
      <c r="C29"/>
      <c r="D29"/>
      <c r="E29"/>
      <c r="F29" s="20"/>
      <c r="G29"/>
      <c r="H29"/>
      <c r="I29"/>
      <c r="J29"/>
      <c r="K29"/>
      <c r="L29"/>
      <c r="M29" s="2"/>
    </row>
    <row r="30" spans="1:17" x14ac:dyDescent="0.2">
      <c r="A30" s="62" t="s">
        <v>105</v>
      </c>
      <c r="B30" t="s">
        <v>223</v>
      </c>
      <c r="C30" s="29">
        <f>ROUND((1+C28)^$N$32,3)</f>
        <v>1.135</v>
      </c>
      <c r="D30" s="29">
        <f>ROUND((1+D28)^$N$32,3)</f>
        <v>1.1439999999999999</v>
      </c>
      <c r="E30" s="29">
        <f>ROUND((1+E28)^$N$32,3)</f>
        <v>1.0760000000000001</v>
      </c>
      <c r="F30" s="29">
        <f>ROUND((1+F28)^$N$32,3)</f>
        <v>1.1259999999999999</v>
      </c>
      <c r="G30"/>
      <c r="H30"/>
      <c r="I30"/>
      <c r="J30"/>
      <c r="K30"/>
      <c r="L30"/>
      <c r="M30" s="2"/>
      <c r="O30" s="12" t="s">
        <v>222</v>
      </c>
    </row>
    <row r="31" spans="1:17" ht="12" thickBot="1" x14ac:dyDescent="0.25">
      <c r="A31" s="6"/>
      <c r="B31" s="6"/>
      <c r="C31" s="6"/>
      <c r="D31" s="6"/>
      <c r="E31" s="6"/>
      <c r="F31" s="6"/>
      <c r="G31"/>
      <c r="H31"/>
      <c r="I31"/>
      <c r="J31"/>
      <c r="K31"/>
      <c r="L31"/>
      <c r="M31" s="2"/>
      <c r="N31" s="12" t="s">
        <v>197</v>
      </c>
      <c r="O31" s="95" t="s">
        <v>202</v>
      </c>
      <c r="P31" s="95" t="s">
        <v>203</v>
      </c>
    </row>
    <row r="32" spans="1:17" ht="12" thickTop="1" x14ac:dyDescent="0.2">
      <c r="A32"/>
      <c r="B32"/>
      <c r="C32"/>
      <c r="D32"/>
      <c r="E32"/>
      <c r="F32"/>
      <c r="G32"/>
      <c r="H32"/>
      <c r="I32"/>
      <c r="J32"/>
      <c r="K32"/>
      <c r="L32"/>
      <c r="M32" s="2"/>
      <c r="N32" s="51">
        <f>YEAR(P32)-YEAR(O32)+(MONTH(P32)-MONTH(O32))/12</f>
        <v>2.75</v>
      </c>
      <c r="O32" s="115">
        <f>DATE(YEAR(N9+1),MONTH(N9+1)-6,1)</f>
        <v>45748</v>
      </c>
      <c r="P32" s="115">
        <f>'2.5'!$I$15</f>
        <v>46753</v>
      </c>
    </row>
    <row r="33" spans="1:17" x14ac:dyDescent="0.2">
      <c r="A33" t="s">
        <v>17</v>
      </c>
      <c r="B33"/>
      <c r="C33"/>
      <c r="D33"/>
      <c r="E33"/>
      <c r="F33"/>
      <c r="G33"/>
      <c r="H33"/>
      <c r="I33"/>
      <c r="J33"/>
      <c r="K33"/>
      <c r="L33"/>
      <c r="M33" s="2"/>
    </row>
    <row r="34" spans="1:17" x14ac:dyDescent="0.2">
      <c r="A34"/>
      <c r="B34" s="12" t="str">
        <f>C12&amp;" = "&amp;'3.3b'!$L$1&amp;", "&amp;'3.3b'!$L$2&amp;" trended forward to "&amp;TEXT($N$9,"m/d/yyyy")</f>
        <v>(2) = Exhibit 3, Sheet 3b trended forward to 9/30/2025</v>
      </c>
      <c r="F34"/>
      <c r="G34"/>
      <c r="J34"/>
      <c r="K34"/>
      <c r="L34"/>
      <c r="M34" s="2"/>
    </row>
    <row r="35" spans="1:17" x14ac:dyDescent="0.2">
      <c r="A35"/>
      <c r="B35" s="12" t="str">
        <f>D12&amp;" = "&amp;'3.3c'!$L$1&amp;", "&amp;'3.3c'!$L$2&amp;" trended forward to "&amp;TEXT($N$9,"m/d/yyyy")</f>
        <v>(3) = Exhibit 3, Sheet 3c trended forward to 9/30/2025</v>
      </c>
      <c r="C35"/>
      <c r="D35"/>
      <c r="E35"/>
      <c r="F35"/>
      <c r="H35"/>
      <c r="I35"/>
      <c r="J35"/>
      <c r="K35"/>
      <c r="L35"/>
      <c r="M35" s="2"/>
    </row>
    <row r="36" spans="1:17" x14ac:dyDescent="0.2">
      <c r="A36"/>
      <c r="B36" s="12" t="str">
        <f>E12&amp;" = "&amp;'3.3d'!$L$1&amp;", "&amp;'3.3d'!$L$2</f>
        <v>(4) = Exhibit 3, Sheet 3d</v>
      </c>
      <c r="D36"/>
      <c r="E36"/>
      <c r="F36"/>
      <c r="H36"/>
      <c r="I36"/>
      <c r="J36"/>
      <c r="K36"/>
      <c r="L36"/>
      <c r="M36" s="2"/>
    </row>
    <row r="37" spans="1:17" x14ac:dyDescent="0.2">
      <c r="A37"/>
      <c r="B37" s="12" t="str">
        <f>F12&amp;" = 25% "&amp;E11&amp;" and 75% "&amp;D10&amp;" "&amp;D11&amp;" (most appropriate available by year)"</f>
        <v>(5) = 25% CPI and 75% Coastal Boeckh (most appropriate available by year)</v>
      </c>
      <c r="C37"/>
      <c r="D37"/>
      <c r="E37"/>
      <c r="F37"/>
      <c r="H37"/>
      <c r="I37"/>
      <c r="J37"/>
      <c r="K37"/>
      <c r="L37"/>
      <c r="M37" s="2"/>
    </row>
    <row r="38" spans="1:17" x14ac:dyDescent="0.2">
      <c r="B38" s="12" t="str">
        <f>A28&amp;" = "&amp;C12&amp;" - "&amp;F12&amp;" Fitted to an exponential curve using 5 years' data"</f>
        <v>(6) = (2) - (5) Fitted to an exponential curve using 5 years' data</v>
      </c>
      <c r="L38"/>
      <c r="M38" s="2"/>
    </row>
    <row r="39" spans="1:17" x14ac:dyDescent="0.2">
      <c r="A39" s="41"/>
      <c r="B39" t="str">
        <f>A30&amp;" = [1 + "&amp;A28&amp;"] ^ "&amp;$N$32&amp;" (trended from "&amp;TEXT($O$32,"m/d/yyyy")&amp;" to "&amp;TEXT($P$32,"m/d/yyyy")&amp;")"</f>
        <v>(7) = [1 + (6)] ^ 2.75 (trended from 4/1/2025 to 1/1/2028)</v>
      </c>
      <c r="C39" s="53"/>
      <c r="D39" s="28"/>
      <c r="E39" s="28"/>
      <c r="F39" s="29"/>
      <c r="G39" s="29"/>
      <c r="H39" s="19"/>
      <c r="I39" s="19"/>
      <c r="J39" s="20"/>
      <c r="K39" s="20"/>
      <c r="L39" s="20"/>
      <c r="M39" s="2"/>
    </row>
    <row r="40" spans="1:17" x14ac:dyDescent="0.2">
      <c r="A40" s="41"/>
      <c r="B40"/>
      <c r="C40" s="53"/>
      <c r="D40" s="28"/>
      <c r="E40" s="28"/>
      <c r="F40" s="20"/>
      <c r="G40" s="29"/>
      <c r="H40" s="19"/>
      <c r="I40" s="19"/>
      <c r="J40" s="20"/>
      <c r="K40" s="20"/>
      <c r="L40" s="20"/>
      <c r="M40" s="2"/>
    </row>
    <row r="41" spans="1:17" x14ac:dyDescent="0.2">
      <c r="A41" s="41"/>
      <c r="B41"/>
      <c r="C41" s="53"/>
      <c r="D41" s="28"/>
      <c r="E41" s="28"/>
      <c r="F41" s="20"/>
      <c r="G41" s="29"/>
      <c r="H41" s="19"/>
      <c r="I41" s="19"/>
      <c r="J41" s="20"/>
      <c r="K41" s="20"/>
      <c r="L41" s="20"/>
      <c r="M41" s="2"/>
    </row>
    <row r="42" spans="1:17" x14ac:dyDescent="0.2">
      <c r="A42"/>
      <c r="B42"/>
      <c r="C42" s="20"/>
      <c r="D42" s="20"/>
      <c r="E42" s="20"/>
      <c r="F42" s="20"/>
      <c r="G42"/>
      <c r="H42"/>
      <c r="I42"/>
      <c r="J42"/>
      <c r="K42"/>
      <c r="L42"/>
      <c r="M42" s="2"/>
      <c r="Q42"/>
    </row>
    <row r="43" spans="1:17" x14ac:dyDescent="0.2">
      <c r="A43" s="41"/>
      <c r="B43"/>
      <c r="C43" s="53"/>
      <c r="D43" s="28"/>
      <c r="E43" s="28"/>
      <c r="F43" s="20"/>
      <c r="G43" s="29"/>
      <c r="H43" s="19"/>
      <c r="I43" s="19"/>
      <c r="J43" s="20"/>
      <c r="K43" s="20"/>
      <c r="L43" s="20"/>
      <c r="M43" s="2"/>
    </row>
    <row r="44" spans="1:17" x14ac:dyDescent="0.2">
      <c r="A44"/>
      <c r="B44" s="23"/>
      <c r="C44" s="53"/>
      <c r="D44" s="28"/>
      <c r="E44" s="28"/>
      <c r="F44" s="20"/>
      <c r="G44" s="29"/>
      <c r="H44" s="19"/>
      <c r="I44" s="19"/>
      <c r="J44" s="20"/>
      <c r="K44" s="20"/>
      <c r="L44" s="20"/>
      <c r="M44" s="2"/>
    </row>
    <row r="45" spans="1:17" x14ac:dyDescent="0.2">
      <c r="A45" s="41"/>
      <c r="B45" s="23"/>
      <c r="C45" s="53"/>
      <c r="D45" s="28"/>
      <c r="E45" s="28"/>
      <c r="F45" s="20"/>
      <c r="G45" s="29"/>
      <c r="H45" s="19"/>
      <c r="I45" s="19"/>
      <c r="J45" s="20"/>
      <c r="K45" s="20"/>
      <c r="L45" s="20"/>
      <c r="M45" s="2"/>
    </row>
    <row r="46" spans="1:17" x14ac:dyDescent="0.2">
      <c r="A46"/>
      <c r="C46"/>
      <c r="D46"/>
      <c r="E46"/>
      <c r="F46"/>
      <c r="G46"/>
      <c r="H46"/>
      <c r="I46"/>
      <c r="L46"/>
      <c r="M46" s="2"/>
    </row>
    <row r="47" spans="1:17" x14ac:dyDescent="0.2">
      <c r="A47"/>
      <c r="C47"/>
      <c r="D47"/>
      <c r="E47"/>
      <c r="F47"/>
      <c r="H47"/>
      <c r="I47"/>
      <c r="J47"/>
      <c r="K47"/>
      <c r="L47"/>
      <c r="M47" s="2"/>
    </row>
    <row r="48" spans="1:17" x14ac:dyDescent="0.2">
      <c r="A48"/>
      <c r="C48" s="53"/>
      <c r="D48" s="28"/>
      <c r="E48" s="28"/>
      <c r="F48" s="29"/>
      <c r="G48" s="29"/>
      <c r="H48" s="19"/>
      <c r="I48" s="19"/>
      <c r="J48" s="20"/>
      <c r="K48" s="20"/>
      <c r="L48" s="20"/>
      <c r="M48" s="2"/>
    </row>
    <row r="49" spans="1:13" x14ac:dyDescent="0.2">
      <c r="A49"/>
      <c r="C49" s="53"/>
      <c r="D49" s="28"/>
      <c r="E49" s="28"/>
      <c r="F49" s="29"/>
      <c r="G49" s="29"/>
      <c r="H49" s="19"/>
      <c r="I49" s="19"/>
      <c r="J49" s="20"/>
      <c r="K49" s="20"/>
      <c r="L49" s="20"/>
      <c r="M49" s="2"/>
    </row>
    <row r="50" spans="1:13" x14ac:dyDescent="0.2">
      <c r="A50"/>
      <c r="C50" s="53"/>
      <c r="D50" s="28"/>
      <c r="E50" s="28"/>
      <c r="F50" s="29"/>
      <c r="G50" s="29"/>
      <c r="H50" s="19"/>
      <c r="I50" s="19"/>
      <c r="J50" s="20"/>
      <c r="K50" s="20"/>
      <c r="L50" s="20"/>
      <c r="M50" s="2"/>
    </row>
    <row r="51" spans="1:13" x14ac:dyDescent="0.2">
      <c r="A51"/>
      <c r="C51" s="19"/>
      <c r="D51"/>
      <c r="E51"/>
      <c r="F51"/>
      <c r="G51" s="19"/>
      <c r="H51" s="19"/>
      <c r="I51" s="19"/>
      <c r="J51" s="19"/>
      <c r="K51" s="19"/>
      <c r="L51"/>
      <c r="M51" s="2"/>
    </row>
    <row r="52" spans="1:13" x14ac:dyDescent="0.2">
      <c r="A52"/>
      <c r="C52" s="19"/>
      <c r="D52" s="19"/>
      <c r="E52"/>
      <c r="F52" s="19"/>
      <c r="G52" s="19"/>
      <c r="H52" s="19"/>
      <c r="I52" s="19"/>
      <c r="J52" s="20"/>
      <c r="K52" s="20"/>
      <c r="L52"/>
      <c r="M52" s="2"/>
    </row>
    <row r="53" spans="1:13" x14ac:dyDescent="0.2">
      <c r="A53" s="41"/>
      <c r="B53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2"/>
    </row>
    <row r="54" spans="1:13" x14ac:dyDescent="0.2">
      <c r="F54"/>
      <c r="M54" s="2"/>
    </row>
    <row r="55" spans="1:13" x14ac:dyDescent="0.2">
      <c r="F55"/>
      <c r="M55" s="2"/>
    </row>
    <row r="56" spans="1:13" x14ac:dyDescent="0.2">
      <c r="F56"/>
      <c r="M56" s="2"/>
    </row>
    <row r="57" spans="1:13" x14ac:dyDescent="0.2">
      <c r="F57"/>
      <c r="M57" s="2"/>
    </row>
    <row r="58" spans="1:13" x14ac:dyDescent="0.2">
      <c r="F58"/>
      <c r="M58" s="2"/>
    </row>
    <row r="59" spans="1:13" x14ac:dyDescent="0.2">
      <c r="F59"/>
      <c r="M59" s="2"/>
    </row>
    <row r="60" spans="1:13" x14ac:dyDescent="0.2">
      <c r="F60"/>
      <c r="M60" s="2"/>
    </row>
    <row r="61" spans="1:13" x14ac:dyDescent="0.2">
      <c r="F61"/>
      <c r="M61" s="2"/>
    </row>
    <row r="62" spans="1:13" x14ac:dyDescent="0.2">
      <c r="F62"/>
      <c r="M62" s="2"/>
    </row>
    <row r="63" spans="1:13" x14ac:dyDescent="0.2">
      <c r="F63"/>
      <c r="M63" s="2"/>
    </row>
    <row r="64" spans="1:13" x14ac:dyDescent="0.2">
      <c r="M64" s="2"/>
    </row>
    <row r="65" spans="1:13" x14ac:dyDescent="0.2">
      <c r="M65" s="2"/>
    </row>
    <row r="66" spans="1:13" x14ac:dyDescent="0.2">
      <c r="M66" s="2"/>
    </row>
    <row r="67" spans="1:13" x14ac:dyDescent="0.2">
      <c r="M67" s="2"/>
    </row>
    <row r="68" spans="1:13" ht="12" thickBot="1" x14ac:dyDescent="0.25">
      <c r="M68" s="2"/>
    </row>
    <row r="69" spans="1:13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3"/>
    </row>
  </sheetData>
  <phoneticPr fontId="4" type="noConversion"/>
  <pageMargins left="0.5" right="0.5" top="0.5" bottom="0.5" header="0.5" footer="0.5"/>
  <pageSetup orientation="portrait" blackAndWhite="1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8">
    <tabColor rgb="FF92D050"/>
  </sheetPr>
  <dimension ref="A1:Q63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3.5" style="12" customWidth="1"/>
    <col min="2" max="2" width="10.6640625" style="12" customWidth="1"/>
    <col min="3" max="11" width="11.5" style="12" customWidth="1"/>
    <col min="12" max="12" width="3.5" style="12" customWidth="1"/>
    <col min="13" max="16384" width="11.33203125" style="12"/>
  </cols>
  <sheetData>
    <row r="1" spans="1:17" x14ac:dyDescent="0.2">
      <c r="A1" s="8" t="str">
        <f>'1'!$A$1</f>
        <v>Texas Windstorm Insurance Association</v>
      </c>
      <c r="C1"/>
      <c r="D1"/>
      <c r="E1"/>
      <c r="F1"/>
      <c r="G1"/>
      <c r="H1"/>
      <c r="I1"/>
      <c r="J1"/>
      <c r="L1" s="7" t="s">
        <v>60</v>
      </c>
      <c r="M1" s="1"/>
      <c r="Q1" s="95"/>
    </row>
    <row r="2" spans="1:17" x14ac:dyDescent="0.2">
      <c r="A2" s="8" t="str">
        <f>'1'!$A$2</f>
        <v>Residential Property - Wind &amp; Hail</v>
      </c>
      <c r="C2"/>
      <c r="D2"/>
      <c r="E2"/>
      <c r="F2"/>
      <c r="G2"/>
      <c r="H2"/>
      <c r="I2"/>
      <c r="J2"/>
      <c r="L2" s="7" t="s">
        <v>52</v>
      </c>
      <c r="M2" s="2"/>
    </row>
    <row r="3" spans="1:17" x14ac:dyDescent="0.2">
      <c r="A3" s="8" t="str">
        <f>'1'!$A$3</f>
        <v>Rate Level Review</v>
      </c>
      <c r="C3"/>
      <c r="D3"/>
      <c r="E3"/>
      <c r="F3"/>
      <c r="G3"/>
      <c r="H3"/>
      <c r="I3"/>
      <c r="J3"/>
      <c r="K3"/>
      <c r="L3"/>
      <c r="M3" s="2"/>
    </row>
    <row r="4" spans="1:17" x14ac:dyDescent="0.2">
      <c r="A4" s="63" t="s">
        <v>210</v>
      </c>
      <c r="C4"/>
      <c r="D4"/>
      <c r="E4"/>
      <c r="F4"/>
      <c r="G4"/>
      <c r="H4"/>
      <c r="I4"/>
      <c r="J4"/>
      <c r="K4"/>
      <c r="L4"/>
      <c r="M4" s="2"/>
    </row>
    <row r="5" spans="1:17" x14ac:dyDescent="0.2">
      <c r="A5" s="63" t="s">
        <v>224</v>
      </c>
      <c r="C5"/>
      <c r="D5"/>
      <c r="E5"/>
      <c r="F5"/>
      <c r="G5"/>
      <c r="H5"/>
      <c r="I5"/>
      <c r="J5"/>
      <c r="K5"/>
      <c r="L5"/>
      <c r="M5" s="2"/>
    </row>
    <row r="6" spans="1:17" x14ac:dyDescent="0.2">
      <c r="B6"/>
      <c r="C6"/>
      <c r="D6"/>
      <c r="E6"/>
      <c r="F6"/>
      <c r="G6"/>
      <c r="H6"/>
      <c r="I6"/>
      <c r="J6"/>
      <c r="K6"/>
      <c r="L6"/>
      <c r="M6" s="2"/>
    </row>
    <row r="7" spans="1:17" ht="12" thickBo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/>
      <c r="M7" s="2"/>
    </row>
    <row r="8" spans="1:17" ht="12" thickTop="1" x14ac:dyDescent="0.2">
      <c r="A8"/>
      <c r="B8"/>
      <c r="C8"/>
      <c r="D8"/>
      <c r="E8"/>
      <c r="F8"/>
      <c r="G8"/>
      <c r="H8"/>
      <c r="I8"/>
      <c r="J8"/>
      <c r="K8"/>
      <c r="L8"/>
      <c r="M8" s="2"/>
      <c r="N8" t="s">
        <v>212</v>
      </c>
    </row>
    <row r="9" spans="1:17" x14ac:dyDescent="0.2">
      <c r="A9" t="s">
        <v>184</v>
      </c>
      <c r="B9"/>
      <c r="C9" s="180" t="s">
        <v>225</v>
      </c>
      <c r="D9" s="218" t="s">
        <v>226</v>
      </c>
      <c r="E9" s="218"/>
      <c r="F9" s="218"/>
      <c r="G9" s="218"/>
      <c r="H9" s="218"/>
      <c r="I9" s="218"/>
      <c r="J9" s="218"/>
      <c r="K9" s="218"/>
      <c r="L9"/>
      <c r="M9" s="2"/>
      <c r="N9" s="59">
        <v>46022</v>
      </c>
    </row>
    <row r="10" spans="1:17" x14ac:dyDescent="0.2">
      <c r="A10" t="s">
        <v>208</v>
      </c>
      <c r="B10"/>
      <c r="C10" s="11" t="s">
        <v>213</v>
      </c>
      <c r="D10" s="11" t="s">
        <v>227</v>
      </c>
      <c r="E10" s="11"/>
      <c r="F10" s="11" t="s">
        <v>228</v>
      </c>
      <c r="G10" s="11"/>
      <c r="H10" s="11" t="s">
        <v>229</v>
      </c>
      <c r="I10" s="11"/>
      <c r="J10" s="11" t="s">
        <v>230</v>
      </c>
      <c r="K10" s="11"/>
      <c r="L10"/>
      <c r="M10" s="2"/>
      <c r="P10"/>
      <c r="Q10"/>
    </row>
    <row r="11" spans="1:17" x14ac:dyDescent="0.2">
      <c r="A11" s="9" t="s">
        <v>32</v>
      </c>
      <c r="B11" s="9"/>
      <c r="C11" s="121" t="s">
        <v>209</v>
      </c>
      <c r="D11" s="121" t="s">
        <v>231</v>
      </c>
      <c r="E11" s="121" t="s">
        <v>232</v>
      </c>
      <c r="F11" s="121" t="s">
        <v>231</v>
      </c>
      <c r="G11" s="121" t="s">
        <v>232</v>
      </c>
      <c r="H11" s="121" t="s">
        <v>231</v>
      </c>
      <c r="I11" s="121" t="s">
        <v>232</v>
      </c>
      <c r="J11" s="121" t="s">
        <v>231</v>
      </c>
      <c r="K11" s="121" t="s">
        <v>232</v>
      </c>
      <c r="L11"/>
      <c r="M11" s="2"/>
      <c r="N11" s="9" t="s">
        <v>209</v>
      </c>
      <c r="Q11"/>
    </row>
    <row r="12" spans="1:17" x14ac:dyDescent="0.2">
      <c r="A12" s="13" t="str">
        <f>TEXT(COLUMN(),"(#)")</f>
        <v>(1)</v>
      </c>
      <c r="B12" s="13"/>
      <c r="C12" s="11" t="str">
        <f t="shared" ref="C12:K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11" t="str">
        <f t="shared" si="0"/>
        <v>(7)</v>
      </c>
      <c r="I12" s="11" t="str">
        <f t="shared" si="0"/>
        <v>(8)</v>
      </c>
      <c r="J12" s="11" t="str">
        <f t="shared" si="0"/>
        <v>(9)</v>
      </c>
      <c r="K12" s="11" t="str">
        <f t="shared" si="0"/>
        <v>(10)</v>
      </c>
      <c r="L12" s="11"/>
      <c r="M12" s="2"/>
      <c r="Q12"/>
    </row>
    <row r="13" spans="1:17" x14ac:dyDescent="0.2">
      <c r="A13"/>
      <c r="B13"/>
      <c r="C13"/>
      <c r="D13"/>
      <c r="E13"/>
      <c r="F13"/>
      <c r="G13"/>
      <c r="H13"/>
      <c r="I13"/>
      <c r="J13"/>
      <c r="K13"/>
      <c r="L13"/>
      <c r="M13" s="2"/>
      <c r="O13"/>
      <c r="Q13"/>
    </row>
    <row r="14" spans="1:17" x14ac:dyDescent="0.2">
      <c r="A14" s="12" t="str">
        <f t="shared" ref="A14:A51" si="1">TEXT(DATE(YEAR(A15+1),MONTH(A15+1)-3,1)-1,"mm/dd/yyyy")</f>
        <v>03/31/2016</v>
      </c>
      <c r="B14" s="23"/>
      <c r="C14" s="186">
        <f>'[2]Boeckh (R)'!D78</f>
        <v>2316.8597112500001</v>
      </c>
      <c r="D14" s="187">
        <f>TREND($C$14:$C$53,$N$14:$N$53,$N14,TRUE)</f>
        <v>2102.8583357716561</v>
      </c>
      <c r="E14" s="187">
        <f>GROWTH($C$14:$C$53,$N$14:$N$53,$N14,TRUE)</f>
        <v>2157.1002121060114</v>
      </c>
      <c r="F14" s="137"/>
      <c r="G14" s="137"/>
      <c r="H14" s="137"/>
      <c r="I14" s="137"/>
      <c r="J14" s="137"/>
      <c r="K14" s="137"/>
      <c r="L14"/>
      <c r="M14" s="2"/>
      <c r="N14" s="12">
        <f t="shared" ref="N14:N53" si="2">YEAR(A14)+MONTH(A14)/12</f>
        <v>2016.25</v>
      </c>
      <c r="O14"/>
      <c r="Q14"/>
    </row>
    <row r="15" spans="1:17" x14ac:dyDescent="0.2">
      <c r="A15" s="12" t="str">
        <f t="shared" si="1"/>
        <v>06/30/2016</v>
      </c>
      <c r="B15" s="23"/>
      <c r="C15" s="186">
        <f>'[2]Boeckh (R)'!D79</f>
        <v>2308.8483694531246</v>
      </c>
      <c r="D15" s="187">
        <f t="shared" ref="D15:D53" si="3">TREND($C$14:$C$53,$N$14:$N$53,$N15,TRUE)</f>
        <v>2137.7251440144028</v>
      </c>
      <c r="E15" s="187">
        <f t="shared" ref="E15:E53" si="4">GROWTH($C$14:$C$53,$N$14:$N$53,$N15,TRUE)</f>
        <v>2184.1591124054162</v>
      </c>
      <c r="F15" s="137"/>
      <c r="G15" s="137"/>
      <c r="H15" s="137"/>
      <c r="I15" s="137"/>
      <c r="J15" s="137"/>
      <c r="K15" s="137"/>
      <c r="L15"/>
      <c r="M15" s="2"/>
      <c r="N15" s="12">
        <f t="shared" si="2"/>
        <v>2016.5</v>
      </c>
      <c r="O15" s="17"/>
      <c r="P15" s="17"/>
      <c r="Q15" s="17"/>
    </row>
    <row r="16" spans="1:17" x14ac:dyDescent="0.2">
      <c r="A16" s="12" t="str">
        <f t="shared" si="1"/>
        <v>09/30/2016</v>
      </c>
      <c r="B16" s="23"/>
      <c r="C16" s="186">
        <f>'[2]Boeckh (R)'!D80</f>
        <v>2301.7327350781243</v>
      </c>
      <c r="D16" s="187">
        <f t="shared" si="3"/>
        <v>2172.5919522572076</v>
      </c>
      <c r="E16" s="187">
        <f t="shared" si="4"/>
        <v>2211.5574425010373</v>
      </c>
      <c r="F16" s="137"/>
      <c r="G16" s="137"/>
      <c r="H16" s="137"/>
      <c r="I16" s="137"/>
      <c r="J16" s="137"/>
      <c r="K16" s="137"/>
      <c r="L16"/>
      <c r="M16" s="2"/>
      <c r="N16" s="12">
        <f t="shared" si="2"/>
        <v>2016.75</v>
      </c>
      <c r="O16"/>
      <c r="Q16"/>
    </row>
    <row r="17" spans="1:17" x14ac:dyDescent="0.2">
      <c r="A17" s="12" t="str">
        <f t="shared" si="1"/>
        <v>12/31/2016</v>
      </c>
      <c r="B17" s="23"/>
      <c r="C17" s="186">
        <f>'[2]Boeckh (R)'!D81</f>
        <v>2297.0642337499994</v>
      </c>
      <c r="D17" s="187">
        <f t="shared" si="3"/>
        <v>2207.4587604999542</v>
      </c>
      <c r="E17" s="187">
        <f t="shared" si="4"/>
        <v>2239.2994602372542</v>
      </c>
      <c r="F17" s="137"/>
      <c r="G17" s="137"/>
      <c r="H17" s="137"/>
      <c r="I17" s="137"/>
      <c r="J17" s="137"/>
      <c r="K17" s="137"/>
      <c r="L17"/>
      <c r="M17" s="2"/>
      <c r="N17" s="12">
        <f t="shared" si="2"/>
        <v>2017</v>
      </c>
      <c r="O17"/>
      <c r="Q17"/>
    </row>
    <row r="18" spans="1:17" x14ac:dyDescent="0.2">
      <c r="A18" s="12" t="str">
        <f t="shared" si="1"/>
        <v>03/31/2017</v>
      </c>
      <c r="B18" s="23"/>
      <c r="C18" s="186">
        <f>'[2]Boeckh (R)'!D82</f>
        <v>2299.9654217968746</v>
      </c>
      <c r="D18" s="187">
        <f t="shared" si="3"/>
        <v>2242.3255687427591</v>
      </c>
      <c r="E18" s="187">
        <f t="shared" si="4"/>
        <v>2267.3894768693108</v>
      </c>
      <c r="F18" s="137"/>
      <c r="G18" s="137"/>
      <c r="H18" s="137"/>
      <c r="I18" s="137"/>
      <c r="J18" s="137"/>
      <c r="K18" s="137"/>
      <c r="L18"/>
      <c r="M18" s="2"/>
      <c r="N18" s="12">
        <f t="shared" si="2"/>
        <v>2017.25</v>
      </c>
      <c r="Q18"/>
    </row>
    <row r="19" spans="1:17" x14ac:dyDescent="0.2">
      <c r="A19" s="12" t="str">
        <f t="shared" si="1"/>
        <v>06/30/2017</v>
      </c>
      <c r="B19" s="23"/>
      <c r="C19" s="186">
        <f>'[2]Boeckh (R)'!D83</f>
        <v>2310.3676560937502</v>
      </c>
      <c r="D19" s="187">
        <f t="shared" si="3"/>
        <v>2277.1923769855639</v>
      </c>
      <c r="E19" s="187">
        <f t="shared" si="4"/>
        <v>2295.8318577333066</v>
      </c>
      <c r="F19" s="137"/>
      <c r="G19" s="137"/>
      <c r="H19" s="137"/>
      <c r="I19" s="137"/>
      <c r="J19" s="137"/>
      <c r="K19" s="137"/>
      <c r="L19"/>
      <c r="M19" s="2"/>
      <c r="N19" s="12">
        <f t="shared" si="2"/>
        <v>2017.5</v>
      </c>
      <c r="Q19"/>
    </row>
    <row r="20" spans="1:17" x14ac:dyDescent="0.2">
      <c r="A20" s="12" t="str">
        <f t="shared" si="1"/>
        <v>09/30/2017</v>
      </c>
      <c r="B20" s="23"/>
      <c r="C20" s="186">
        <f>'[2]Boeckh (R)'!D84</f>
        <v>2326.9189541406249</v>
      </c>
      <c r="D20" s="187">
        <f t="shared" si="3"/>
        <v>2312.0591852283105</v>
      </c>
      <c r="E20" s="187">
        <f t="shared" si="4"/>
        <v>2324.6310229245942</v>
      </c>
      <c r="F20" s="137"/>
      <c r="G20" s="137"/>
      <c r="H20" s="137"/>
      <c r="I20" s="137"/>
      <c r="J20" s="137"/>
      <c r="K20" s="137"/>
      <c r="L20"/>
      <c r="M20" s="2"/>
      <c r="N20" s="12">
        <f t="shared" si="2"/>
        <v>2017.75</v>
      </c>
      <c r="Q20"/>
    </row>
    <row r="21" spans="1:17" x14ac:dyDescent="0.2">
      <c r="A21" s="12" t="str">
        <f t="shared" si="1"/>
        <v>12/31/2017</v>
      </c>
      <c r="B21" s="23"/>
      <c r="C21" s="186">
        <f>'[2]Boeckh (R)'!D85</f>
        <v>2344.4436935937501</v>
      </c>
      <c r="D21" s="187">
        <f>TREND($C$14:$C$53,$N$14:$N$53,$N21,TRUE)</f>
        <v>2346.9259934711154</v>
      </c>
      <c r="E21" s="187">
        <f t="shared" si="4"/>
        <v>2353.7914479846831</v>
      </c>
      <c r="F21" s="137"/>
      <c r="G21" s="137"/>
      <c r="H21" s="137"/>
      <c r="I21" s="137"/>
      <c r="J21" s="137"/>
      <c r="K21" s="137"/>
      <c r="L21"/>
      <c r="M21" s="2"/>
      <c r="N21" s="12">
        <f t="shared" si="2"/>
        <v>2018</v>
      </c>
      <c r="Q21"/>
    </row>
    <row r="22" spans="1:17" x14ac:dyDescent="0.2">
      <c r="A22" s="12" t="str">
        <f t="shared" si="1"/>
        <v>03/31/2018</v>
      </c>
      <c r="B22" s="23"/>
      <c r="C22" s="186">
        <f>'[2]Boeckh (R)'!D86</f>
        <v>2364.4085915625001</v>
      </c>
      <c r="D22" s="187">
        <f t="shared" si="3"/>
        <v>2381.792801713862</v>
      </c>
      <c r="E22" s="187">
        <f t="shared" si="4"/>
        <v>2383.3176645967646</v>
      </c>
      <c r="F22" s="137"/>
      <c r="G22" s="137"/>
      <c r="H22" s="137"/>
      <c r="I22" s="137"/>
      <c r="J22" s="137"/>
      <c r="K22" s="137"/>
      <c r="L22"/>
      <c r="M22" s="2"/>
      <c r="N22" s="12">
        <f t="shared" si="2"/>
        <v>2018.25</v>
      </c>
      <c r="Q22"/>
    </row>
    <row r="23" spans="1:17" x14ac:dyDescent="0.2">
      <c r="A23" s="12" t="str">
        <f t="shared" si="1"/>
        <v>06/30/2018</v>
      </c>
      <c r="B23" s="23"/>
      <c r="C23" s="186">
        <f>'[2]Boeckh (R)'!D87</f>
        <v>2387.6886100000002</v>
      </c>
      <c r="D23" s="187">
        <f t="shared" si="3"/>
        <v>2416.6596099566668</v>
      </c>
      <c r="E23" s="187">
        <f t="shared" si="4"/>
        <v>2413.2142612899574</v>
      </c>
      <c r="F23" s="137"/>
      <c r="G23" s="137"/>
      <c r="H23" s="137"/>
      <c r="I23" s="137"/>
      <c r="J23" s="137"/>
      <c r="K23" s="137"/>
      <c r="L23"/>
      <c r="M23" s="2"/>
      <c r="N23" s="12">
        <f t="shared" si="2"/>
        <v>2018.5</v>
      </c>
      <c r="Q23"/>
    </row>
    <row r="24" spans="1:17" x14ac:dyDescent="0.2">
      <c r="A24" s="12" t="str">
        <f t="shared" si="1"/>
        <v>09/30/2018</v>
      </c>
      <c r="B24"/>
      <c r="C24" s="186">
        <f>'[2]Boeckh (R)'!D88</f>
        <v>2414.2457574218752</v>
      </c>
      <c r="D24" s="187">
        <f t="shared" si="3"/>
        <v>2451.5264181994717</v>
      </c>
      <c r="E24" s="187">
        <f t="shared" si="4"/>
        <v>2443.4858841523901</v>
      </c>
      <c r="F24" s="137"/>
      <c r="G24" s="137"/>
      <c r="H24" s="137"/>
      <c r="I24" s="137"/>
      <c r="J24" s="137"/>
      <c r="K24" s="137"/>
      <c r="L24"/>
      <c r="M24" s="2"/>
      <c r="N24" s="12">
        <f t="shared" si="2"/>
        <v>2018.75</v>
      </c>
      <c r="Q24"/>
    </row>
    <row r="25" spans="1:17" x14ac:dyDescent="0.2">
      <c r="A25" s="12" t="str">
        <f t="shared" si="1"/>
        <v>12/31/2018</v>
      </c>
      <c r="B25"/>
      <c r="C25" s="186">
        <f>'[2]Boeckh (R)'!D89</f>
        <v>2441.8576814062503</v>
      </c>
      <c r="D25" s="187">
        <f t="shared" si="3"/>
        <v>2486.3932264422183</v>
      </c>
      <c r="E25" s="187">
        <f t="shared" si="4"/>
        <v>2474.1372375532274</v>
      </c>
      <c r="F25" s="137"/>
      <c r="G25" s="137"/>
      <c r="H25" s="137"/>
      <c r="I25" s="137"/>
      <c r="J25" s="137"/>
      <c r="K25" s="137"/>
      <c r="L25"/>
      <c r="M25" s="2"/>
      <c r="N25" s="12">
        <f t="shared" si="2"/>
        <v>2019</v>
      </c>
      <c r="Q25"/>
    </row>
    <row r="26" spans="1:17" x14ac:dyDescent="0.2">
      <c r="A26" s="12" t="str">
        <f t="shared" si="1"/>
        <v>03/31/2019</v>
      </c>
      <c r="B26"/>
      <c r="C26" s="186">
        <f>'[2]Boeckh (R)'!D90</f>
        <v>2462.4360618750002</v>
      </c>
      <c r="D26" s="187">
        <f t="shared" si="3"/>
        <v>2521.2600346850231</v>
      </c>
      <c r="E26" s="187">
        <f t="shared" si="4"/>
        <v>2505.1730848737534</v>
      </c>
      <c r="F26" s="137"/>
      <c r="G26" s="137"/>
      <c r="H26" s="137"/>
      <c r="I26" s="137"/>
      <c r="J26" s="137"/>
      <c r="K26" s="137"/>
      <c r="L26"/>
      <c r="M26" s="2"/>
      <c r="N26" s="12">
        <f t="shared" si="2"/>
        <v>2019.25</v>
      </c>
    </row>
    <row r="27" spans="1:17" x14ac:dyDescent="0.2">
      <c r="A27" s="12" t="str">
        <f t="shared" si="1"/>
        <v>06/30/2019</v>
      </c>
      <c r="B27"/>
      <c r="C27" s="186">
        <f>'[2]Boeckh (R)'!D91</f>
        <v>2472.2692012499997</v>
      </c>
      <c r="D27" s="187">
        <f t="shared" si="3"/>
        <v>2556.1268429277698</v>
      </c>
      <c r="E27" s="187">
        <f t="shared" si="4"/>
        <v>2536.5982492476282</v>
      </c>
      <c r="F27" s="137"/>
      <c r="G27" s="137"/>
      <c r="H27" s="137"/>
      <c r="I27" s="137"/>
      <c r="J27" s="137"/>
      <c r="K27" s="137"/>
      <c r="L27"/>
      <c r="M27" s="2"/>
      <c r="N27" s="12">
        <f t="shared" si="2"/>
        <v>2019.5</v>
      </c>
    </row>
    <row r="28" spans="1:17" x14ac:dyDescent="0.2">
      <c r="A28" s="12" t="str">
        <f t="shared" si="1"/>
        <v>09/30/2019</v>
      </c>
      <c r="B28"/>
      <c r="C28" s="186">
        <f>'[2]Boeckh (R)'!D92</f>
        <v>2471.8088552343752</v>
      </c>
      <c r="D28" s="187">
        <f t="shared" si="3"/>
        <v>2590.9936511705746</v>
      </c>
      <c r="E28" s="187">
        <f t="shared" si="4"/>
        <v>2568.4176143104241</v>
      </c>
      <c r="F28" s="137"/>
      <c r="G28" s="137"/>
      <c r="H28" s="137"/>
      <c r="I28" s="137"/>
      <c r="J28" s="137"/>
      <c r="K28" s="137"/>
      <c r="L28"/>
      <c r="M28" s="2"/>
      <c r="N28" s="12">
        <f t="shared" si="2"/>
        <v>2019.75</v>
      </c>
    </row>
    <row r="29" spans="1:17" x14ac:dyDescent="0.2">
      <c r="A29" s="12" t="str">
        <f t="shared" si="1"/>
        <v>12/31/2019</v>
      </c>
      <c r="B29"/>
      <c r="C29" s="186">
        <f>'[2]Boeckh (R)'!D93</f>
        <v>2469.6238896093746</v>
      </c>
      <c r="D29" s="187">
        <f t="shared" si="3"/>
        <v>2625.8604594133794</v>
      </c>
      <c r="E29" s="187">
        <f t="shared" si="4"/>
        <v>2600.6361249585725</v>
      </c>
      <c r="F29" s="137"/>
      <c r="G29" s="137"/>
      <c r="H29" s="137"/>
      <c r="I29" s="137"/>
      <c r="J29" s="137"/>
      <c r="K29" s="137"/>
      <c r="L29"/>
      <c r="M29" s="2"/>
      <c r="N29" s="12">
        <f t="shared" si="2"/>
        <v>2020</v>
      </c>
    </row>
    <row r="30" spans="1:17" x14ac:dyDescent="0.2">
      <c r="A30" s="12" t="str">
        <f t="shared" si="1"/>
        <v>03/31/2020</v>
      </c>
      <c r="B30"/>
      <c r="C30" s="186">
        <f>'[2]Boeckh (R)'!D94</f>
        <v>2470.564533515625</v>
      </c>
      <c r="D30" s="187">
        <f t="shared" si="3"/>
        <v>2660.7272676561261</v>
      </c>
      <c r="E30" s="187">
        <f t="shared" si="4"/>
        <v>2633.2587881178238</v>
      </c>
      <c r="F30" s="137"/>
      <c r="G30" s="137"/>
      <c r="H30" s="137"/>
      <c r="I30" s="137"/>
      <c r="J30" s="137"/>
      <c r="K30" s="137"/>
      <c r="L30"/>
      <c r="M30" s="2"/>
      <c r="N30" s="12">
        <f t="shared" si="2"/>
        <v>2020.25</v>
      </c>
      <c r="O30" s="51"/>
      <c r="P30" s="37"/>
    </row>
    <row r="31" spans="1:17" x14ac:dyDescent="0.2">
      <c r="A31" s="12" t="str">
        <f t="shared" si="1"/>
        <v>06/30/2020</v>
      </c>
      <c r="B31"/>
      <c r="C31" s="186">
        <f>'[2]Boeckh (R)'!D95</f>
        <v>2477.4528532031245</v>
      </c>
      <c r="D31" s="187">
        <f t="shared" si="3"/>
        <v>2695.5940758989309</v>
      </c>
      <c r="E31" s="187">
        <f t="shared" si="4"/>
        <v>2666.2906735213514</v>
      </c>
      <c r="F31" s="137"/>
      <c r="G31" s="137"/>
      <c r="H31" s="137"/>
      <c r="I31" s="137"/>
      <c r="J31" s="137"/>
      <c r="K31" s="137"/>
      <c r="L31" s="29"/>
      <c r="M31" s="2"/>
      <c r="N31" s="12">
        <f t="shared" si="2"/>
        <v>2020.5</v>
      </c>
    </row>
    <row r="32" spans="1:17" x14ac:dyDescent="0.2">
      <c r="A32" s="12" t="str">
        <f t="shared" si="1"/>
        <v>09/30/2020</v>
      </c>
      <c r="B32"/>
      <c r="C32" s="186">
        <f>'[2]Boeckh (R)'!D96</f>
        <v>2488.8197098437499</v>
      </c>
      <c r="D32" s="187">
        <f t="shared" si="3"/>
        <v>2730.4608841416775</v>
      </c>
      <c r="E32" s="187">
        <f t="shared" si="4"/>
        <v>2699.7369144976537</v>
      </c>
      <c r="F32" s="137"/>
      <c r="G32" s="137"/>
      <c r="H32" s="137"/>
      <c r="I32" s="137"/>
      <c r="J32" s="137"/>
      <c r="K32" s="137"/>
      <c r="L32" s="29"/>
      <c r="M32" s="2"/>
      <c r="N32" s="12">
        <f t="shared" si="2"/>
        <v>2020.75</v>
      </c>
    </row>
    <row r="33" spans="1:14" x14ac:dyDescent="0.2">
      <c r="A33" s="12" t="str">
        <f t="shared" si="1"/>
        <v>12/31/2020</v>
      </c>
      <c r="B33" s="23"/>
      <c r="C33" s="186">
        <f>'[2]Boeckh (R)'!D97</f>
        <v>2517.113092890625</v>
      </c>
      <c r="D33" s="187">
        <f t="shared" si="3"/>
        <v>2765.3276923844824</v>
      </c>
      <c r="E33" s="187">
        <f t="shared" si="4"/>
        <v>2733.6027087681446</v>
      </c>
      <c r="F33" s="137"/>
      <c r="G33" s="137"/>
      <c r="H33" s="137"/>
      <c r="I33" s="137"/>
      <c r="J33" s="137"/>
      <c r="K33" s="137"/>
      <c r="L33" s="29"/>
      <c r="M33" s="2"/>
      <c r="N33" s="12">
        <f t="shared" si="2"/>
        <v>2021</v>
      </c>
    </row>
    <row r="34" spans="1:14" x14ac:dyDescent="0.2">
      <c r="A34" s="12" t="str">
        <f t="shared" si="1"/>
        <v>03/31/2021</v>
      </c>
      <c r="B34" s="23"/>
      <c r="C34" s="186">
        <f>'[2]Boeckh (R)'!D98</f>
        <v>2553.825550234375</v>
      </c>
      <c r="D34" s="187">
        <f t="shared" si="3"/>
        <v>2800.1945006272872</v>
      </c>
      <c r="E34" s="187">
        <f t="shared" si="4"/>
        <v>2767.893319255139</v>
      </c>
      <c r="F34" s="187">
        <f>TREND($C$34:$C$53,$N$34:$N$53,$N34,TRUE)</f>
        <v>2837.5140084408922</v>
      </c>
      <c r="G34" s="187">
        <f t="shared" ref="G34:G52" si="5">GROWTH($C$34:$C$53,$N$34:$N$53,$N34,TRUE)</f>
        <v>2829.3841906578104</v>
      </c>
      <c r="H34" s="137"/>
      <c r="I34" s="137"/>
      <c r="J34" s="137"/>
      <c r="K34" s="137"/>
      <c r="L34" s="29"/>
      <c r="M34" s="2"/>
      <c r="N34" s="12">
        <f t="shared" si="2"/>
        <v>2021.25</v>
      </c>
    </row>
    <row r="35" spans="1:14" x14ac:dyDescent="0.2">
      <c r="A35" s="12" t="str">
        <f t="shared" si="1"/>
        <v>06/30/2021</v>
      </c>
      <c r="B35"/>
      <c r="C35" s="186">
        <f>'[2]Boeckh (R)'!D99</f>
        <v>2628.0789369531253</v>
      </c>
      <c r="D35" s="187">
        <f t="shared" si="3"/>
        <v>2835.0613088700338</v>
      </c>
      <c r="E35" s="187">
        <f t="shared" si="4"/>
        <v>2802.6140748995836</v>
      </c>
      <c r="F35" s="187">
        <f t="shared" ref="F35:F52" si="6">TREND($C$34:$C$53,$N$34:$N$53,$N35,TRUE)</f>
        <v>2872.3333456958644</v>
      </c>
      <c r="G35" s="187">
        <f t="shared" si="5"/>
        <v>2862.2892542812128</v>
      </c>
      <c r="H35" s="137"/>
      <c r="I35" s="137"/>
      <c r="J35" s="137"/>
      <c r="K35" s="137"/>
      <c r="L35" s="29"/>
      <c r="M35" s="2"/>
      <c r="N35" s="12">
        <f t="shared" si="2"/>
        <v>2021.5</v>
      </c>
    </row>
    <row r="36" spans="1:14" x14ac:dyDescent="0.2">
      <c r="A36" s="12" t="str">
        <f t="shared" si="1"/>
        <v>09/30/2021</v>
      </c>
      <c r="C36" s="186">
        <f>'[2]Boeckh (R)'!D100</f>
        <v>2779.6052010937501</v>
      </c>
      <c r="D36" s="187">
        <f t="shared" si="3"/>
        <v>2869.9281171128387</v>
      </c>
      <c r="E36" s="187">
        <f t="shared" si="4"/>
        <v>2837.7703714892432</v>
      </c>
      <c r="F36" s="187">
        <f t="shared" si="6"/>
        <v>2907.1526829508948</v>
      </c>
      <c r="G36" s="187">
        <f t="shared" si="5"/>
        <v>2895.5769959500781</v>
      </c>
      <c r="H36" s="137"/>
      <c r="I36" s="137"/>
      <c r="J36" s="137"/>
      <c r="K36" s="137"/>
      <c r="L36"/>
      <c r="M36" s="2"/>
      <c r="N36" s="12">
        <f t="shared" si="2"/>
        <v>2021.75</v>
      </c>
    </row>
    <row r="37" spans="1:14" x14ac:dyDescent="0.2">
      <c r="A37" s="12" t="str">
        <f t="shared" si="1"/>
        <v>12/31/2021</v>
      </c>
      <c r="C37" s="186">
        <f>'[2]Boeckh (R)'!D101</f>
        <v>2895.5646959374999</v>
      </c>
      <c r="D37" s="187">
        <f t="shared" si="3"/>
        <v>2904.7949253555853</v>
      </c>
      <c r="E37" s="187">
        <f t="shared" si="4"/>
        <v>2873.3676724972306</v>
      </c>
      <c r="F37" s="187">
        <f t="shared" si="6"/>
        <v>2941.972020205867</v>
      </c>
      <c r="G37" s="187">
        <f t="shared" si="5"/>
        <v>2929.2518661189279</v>
      </c>
      <c r="H37" s="137"/>
      <c r="I37" s="187"/>
      <c r="J37" s="137"/>
      <c r="K37" s="187"/>
      <c r="M37" s="2"/>
      <c r="N37" s="12">
        <f t="shared" si="2"/>
        <v>2022</v>
      </c>
    </row>
    <row r="38" spans="1:14" x14ac:dyDescent="0.2">
      <c r="A38" s="12" t="str">
        <f t="shared" si="1"/>
        <v>03/31/2022</v>
      </c>
      <c r="C38" s="186">
        <f>'[2]Boeckh (R)'!D102</f>
        <v>3017.4004797656248</v>
      </c>
      <c r="D38" s="187">
        <f t="shared" si="3"/>
        <v>2939.6617335983901</v>
      </c>
      <c r="E38" s="187">
        <f t="shared" si="4"/>
        <v>2909.4115099310634</v>
      </c>
      <c r="F38" s="187">
        <f t="shared" si="6"/>
        <v>2976.7913574608392</v>
      </c>
      <c r="G38" s="187">
        <f t="shared" si="5"/>
        <v>2963.3183669998439</v>
      </c>
      <c r="H38" s="187">
        <f t="shared" ref="H38:H53" si="7">TREND($C$38:$C$53,$N$38:$N$53,$N38,TRUE)</f>
        <v>3184.6287538315664</v>
      </c>
      <c r="I38" s="187">
        <f t="shared" ref="I38:I53" si="8">GROWTH($C$38:$C$53,$N$38:$N$53,$N38,TRUE)</f>
        <v>3183.0120324963996</v>
      </c>
      <c r="J38" s="137"/>
      <c r="K38" s="137"/>
      <c r="L38" s="29"/>
      <c r="M38" s="2"/>
      <c r="N38" s="12">
        <f t="shared" si="2"/>
        <v>2022.25</v>
      </c>
    </row>
    <row r="39" spans="1:14" x14ac:dyDescent="0.2">
      <c r="A39" s="12" t="str">
        <f t="shared" si="1"/>
        <v>06/30/2022</v>
      </c>
      <c r="C39" s="186">
        <f>'[2]Boeckh (R)'!D103</f>
        <v>3154.3352633593749</v>
      </c>
      <c r="D39" s="187">
        <f t="shared" si="3"/>
        <v>2974.528541841195</v>
      </c>
      <c r="E39" s="187">
        <f t="shared" si="4"/>
        <v>2945.9074851923629</v>
      </c>
      <c r="F39" s="187">
        <f t="shared" si="6"/>
        <v>3011.6106947158696</v>
      </c>
      <c r="G39" s="187">
        <f t="shared" si="5"/>
        <v>2997.7810531647287</v>
      </c>
      <c r="H39" s="187">
        <f t="shared" si="7"/>
        <v>3197.5855855127447</v>
      </c>
      <c r="I39" s="187">
        <f t="shared" si="8"/>
        <v>3195.8629188020727</v>
      </c>
      <c r="J39" s="137"/>
      <c r="K39" s="137"/>
      <c r="L39" s="29"/>
      <c r="M39" s="2"/>
      <c r="N39" s="12">
        <f t="shared" si="2"/>
        <v>2022.5</v>
      </c>
    </row>
    <row r="40" spans="1:14" x14ac:dyDescent="0.2">
      <c r="A40" s="12" t="str">
        <f t="shared" si="1"/>
        <v>09/30/2022</v>
      </c>
      <c r="C40" s="186">
        <f>'[2]Boeckh (R)'!D104</f>
        <v>3219.3118212499999</v>
      </c>
      <c r="D40" s="187">
        <f t="shared" si="3"/>
        <v>3009.3953500839416</v>
      </c>
      <c r="E40" s="187">
        <f t="shared" si="4"/>
        <v>2982.8612699473442</v>
      </c>
      <c r="F40" s="187">
        <f t="shared" si="6"/>
        <v>3046.4300319708418</v>
      </c>
      <c r="G40" s="187">
        <f t="shared" si="5"/>
        <v>3032.6445321539009</v>
      </c>
      <c r="H40" s="187">
        <f t="shared" si="7"/>
        <v>3210.5424171939376</v>
      </c>
      <c r="I40" s="187">
        <f t="shared" si="8"/>
        <v>3208.7656884424873</v>
      </c>
      <c r="J40" s="137"/>
      <c r="K40" s="137"/>
      <c r="L40" s="29"/>
      <c r="M40" s="2"/>
      <c r="N40" s="12">
        <f t="shared" si="2"/>
        <v>2022.75</v>
      </c>
    </row>
    <row r="41" spans="1:14" x14ac:dyDescent="0.2">
      <c r="A41" s="12" t="str">
        <f t="shared" si="1"/>
        <v>12/31/2022</v>
      </c>
      <c r="C41" s="186">
        <f>'[2]Boeckh (R)'!D105</f>
        <v>3296.2684528125001</v>
      </c>
      <c r="D41" s="187">
        <f t="shared" si="3"/>
        <v>3044.2621583267464</v>
      </c>
      <c r="E41" s="187">
        <f>GROWTH($C$14:$C$53,$N$14:$N$53,$N41,TRUE)</f>
        <v>3020.2786070082216</v>
      </c>
      <c r="F41" s="187">
        <f t="shared" si="6"/>
        <v>3081.249369225814</v>
      </c>
      <c r="G41" s="187">
        <f t="shared" si="5"/>
        <v>3067.9134650924452</v>
      </c>
      <c r="H41" s="187">
        <f t="shared" si="7"/>
        <v>3223.4992488751159</v>
      </c>
      <c r="I41" s="187">
        <f t="shared" si="8"/>
        <v>3221.7205508880993</v>
      </c>
      <c r="J41" s="137"/>
      <c r="K41" s="137"/>
      <c r="L41" s="19"/>
      <c r="M41" s="2"/>
      <c r="N41" s="12">
        <f t="shared" si="2"/>
        <v>2023</v>
      </c>
    </row>
    <row r="42" spans="1:14" x14ac:dyDescent="0.2">
      <c r="A42" s="12" t="str">
        <f t="shared" si="1"/>
        <v>03/31/2023</v>
      </c>
      <c r="C42" s="186">
        <f>'[2]Boeckh (R)'!D106</f>
        <v>3344.8543199999999</v>
      </c>
      <c r="D42" s="187">
        <f t="shared" si="3"/>
        <v>3079.1289665694931</v>
      </c>
      <c r="E42" s="187">
        <f t="shared" si="4"/>
        <v>3058.1653112256722</v>
      </c>
      <c r="F42" s="187">
        <f>TREND($C$34:$C$53,$N$34:$N$53,$N42,TRUE)</f>
        <v>3116.0687064808444</v>
      </c>
      <c r="G42" s="187">
        <f t="shared" si="5"/>
        <v>3103.5925673130473</v>
      </c>
      <c r="H42" s="187">
        <f t="shared" si="7"/>
        <v>3236.4560805562942</v>
      </c>
      <c r="I42" s="187">
        <f t="shared" si="8"/>
        <v>3234.7277164549982</v>
      </c>
      <c r="J42" s="187">
        <f t="shared" ref="J42:J52" si="9">TREND($C$42:$C$53,$N$42:$N$53,$N42,TRUE)</f>
        <v>3301.7213098026841</v>
      </c>
      <c r="K42" s="187">
        <f>GROWTH($C$42:$C$53,$N$42:$N$53,$N42,TRUE)</f>
        <v>3301.7133109755036</v>
      </c>
      <c r="L42" s="65"/>
      <c r="M42" s="2"/>
      <c r="N42" s="12">
        <f t="shared" si="2"/>
        <v>2023.25</v>
      </c>
    </row>
    <row r="43" spans="1:14" x14ac:dyDescent="0.2">
      <c r="A43" s="12" t="str">
        <f t="shared" si="1"/>
        <v>06/30/2023</v>
      </c>
      <c r="B43"/>
      <c r="C43" s="186">
        <f>'[2]Boeckh (R)'!D107</f>
        <v>3333.4699680468748</v>
      </c>
      <c r="D43" s="187">
        <f t="shared" si="3"/>
        <v>3113.9957748122979</v>
      </c>
      <c r="E43" s="187">
        <f t="shared" si="4"/>
        <v>3096.5272703924938</v>
      </c>
      <c r="F43" s="187">
        <f t="shared" si="6"/>
        <v>3150.8880437358166</v>
      </c>
      <c r="G43" s="187">
        <f t="shared" si="5"/>
        <v>3139.6866089867631</v>
      </c>
      <c r="H43" s="187">
        <f t="shared" si="7"/>
        <v>3249.4129122374725</v>
      </c>
      <c r="I43" s="187">
        <f t="shared" si="8"/>
        <v>3247.7873963083903</v>
      </c>
      <c r="J43" s="187">
        <f t="shared" si="9"/>
        <v>3304.7653723515832</v>
      </c>
      <c r="K43" s="187">
        <f t="shared" ref="K43:K52" si="10">GROWTH($C$42:$C$53,$N$42:$N$53,$N43,TRUE)</f>
        <v>3304.7323222439823</v>
      </c>
      <c r="L43" s="65"/>
      <c r="M43" s="2"/>
      <c r="N43" s="12">
        <f t="shared" si="2"/>
        <v>2023.5</v>
      </c>
    </row>
    <row r="44" spans="1:14" x14ac:dyDescent="0.2">
      <c r="A44" s="12" t="str">
        <f t="shared" si="1"/>
        <v>09/30/2023</v>
      </c>
      <c r="C44" s="186">
        <f>'[2]Boeckh (R)'!D108</f>
        <v>3307.8842595312494</v>
      </c>
      <c r="D44" s="187">
        <f t="shared" si="3"/>
        <v>3148.8625830550445</v>
      </c>
      <c r="E44" s="187">
        <f t="shared" si="4"/>
        <v>3135.3704461585999</v>
      </c>
      <c r="F44" s="187">
        <f t="shared" si="6"/>
        <v>3185.7073809907888</v>
      </c>
      <c r="G44" s="187">
        <f t="shared" si="5"/>
        <v>3176.2004157604224</v>
      </c>
      <c r="H44" s="187">
        <f t="shared" si="7"/>
        <v>3262.3697439186508</v>
      </c>
      <c r="I44" s="187">
        <f t="shared" si="8"/>
        <v>3260.8998024660959</v>
      </c>
      <c r="J44" s="187">
        <f t="shared" si="9"/>
        <v>3307.8094349004787</v>
      </c>
      <c r="K44" s="187">
        <f t="shared" si="10"/>
        <v>3307.7540940274389</v>
      </c>
      <c r="L44" s="65"/>
      <c r="M44" s="2"/>
      <c r="N44" s="12">
        <f t="shared" si="2"/>
        <v>2023.75</v>
      </c>
    </row>
    <row r="45" spans="1:14" x14ac:dyDescent="0.2">
      <c r="A45" s="12" t="str">
        <f t="shared" si="1"/>
        <v>12/31/2023</v>
      </c>
      <c r="C45" s="186">
        <f>'[2]Boeckh (R)'!D109</f>
        <v>3285.5129274999999</v>
      </c>
      <c r="D45" s="187">
        <f t="shared" si="3"/>
        <v>3183.7293912978494</v>
      </c>
      <c r="E45" s="187">
        <f t="shared" si="4"/>
        <v>3174.7008749574898</v>
      </c>
      <c r="F45" s="187">
        <f t="shared" si="6"/>
        <v>3220.5267182458192</v>
      </c>
      <c r="G45" s="187">
        <f t="shared" si="5"/>
        <v>3213.1388694021589</v>
      </c>
      <c r="H45" s="187">
        <f t="shared" si="7"/>
        <v>3275.3265755998436</v>
      </c>
      <c r="I45" s="187">
        <f t="shared" si="8"/>
        <v>3274.0651478018285</v>
      </c>
      <c r="J45" s="187">
        <f t="shared" si="9"/>
        <v>3310.8534974493741</v>
      </c>
      <c r="K45" s="187">
        <f t="shared" si="10"/>
        <v>3310.7786288500233</v>
      </c>
      <c r="L45" s="65"/>
      <c r="M45" s="2"/>
      <c r="N45" s="12">
        <f t="shared" si="2"/>
        <v>2024</v>
      </c>
    </row>
    <row r="46" spans="1:14" x14ac:dyDescent="0.2">
      <c r="A46" s="12" t="str">
        <f t="shared" si="1"/>
        <v>03/31/2024</v>
      </c>
      <c r="C46" s="186">
        <f>'[2]Boeckh (R)'!D110</f>
        <v>3281.84020453125</v>
      </c>
      <c r="D46" s="187">
        <f t="shared" si="3"/>
        <v>3218.5961995406542</v>
      </c>
      <c r="E46" s="187">
        <f t="shared" si="4"/>
        <v>3214.5246689443434</v>
      </c>
      <c r="F46" s="187">
        <f t="shared" si="6"/>
        <v>3255.3460555007914</v>
      </c>
      <c r="G46" s="187">
        <f t="shared" si="5"/>
        <v>3250.5069084537213</v>
      </c>
      <c r="H46" s="187">
        <f t="shared" si="7"/>
        <v>3288.2834072810219</v>
      </c>
      <c r="I46" s="187">
        <f t="shared" si="8"/>
        <v>3287.2836460488393</v>
      </c>
      <c r="J46" s="187">
        <f t="shared" si="9"/>
        <v>3313.8975599982696</v>
      </c>
      <c r="K46" s="187">
        <f>GROWTH($C$42:$C$53,$N$42:$N$53,$N46,TRUE)</f>
        <v>3313.8059292381945</v>
      </c>
      <c r="L46" s="65"/>
      <c r="M46" s="2"/>
      <c r="N46" s="12">
        <f t="shared" si="2"/>
        <v>2024.25</v>
      </c>
    </row>
    <row r="47" spans="1:14" x14ac:dyDescent="0.2">
      <c r="A47" s="12" t="str">
        <f t="shared" si="1"/>
        <v>06/30/2024</v>
      </c>
      <c r="C47" s="186">
        <f>'[2]Boeckh (R)'!D111</f>
        <v>3287.730966171875</v>
      </c>
      <c r="D47" s="187">
        <f t="shared" si="3"/>
        <v>3253.4630077834008</v>
      </c>
      <c r="E47" s="187">
        <f t="shared" si="4"/>
        <v>3254.8480169458808</v>
      </c>
      <c r="F47" s="187">
        <f t="shared" si="6"/>
        <v>3290.1653927557636</v>
      </c>
      <c r="G47" s="187">
        <f t="shared" si="5"/>
        <v>3288.3095288911072</v>
      </c>
      <c r="H47" s="187">
        <f t="shared" si="7"/>
        <v>3301.2402389622002</v>
      </c>
      <c r="I47" s="187">
        <f t="shared" si="8"/>
        <v>3300.5555118031971</v>
      </c>
      <c r="J47" s="187">
        <f>TREND($C$42:$C$53,$N$42:$N$53,$N47,TRUE)</f>
        <v>3316.9416225471687</v>
      </c>
      <c r="K47" s="187">
        <f>GROWTH($C$42:$C$53,$N$42:$N$53,$N47,TRUE)</f>
        <v>3316.8359977207197</v>
      </c>
      <c r="L47" s="65"/>
      <c r="M47" s="2"/>
      <c r="N47" s="12">
        <f t="shared" si="2"/>
        <v>2024.5</v>
      </c>
    </row>
    <row r="48" spans="1:14" x14ac:dyDescent="0.2">
      <c r="A48" s="12" t="str">
        <f t="shared" si="1"/>
        <v>09/30/2024</v>
      </c>
      <c r="B48"/>
      <c r="C48" s="186">
        <f>'[2]Boeckh (R)'!D112</f>
        <v>3298.2033414843754</v>
      </c>
      <c r="D48" s="187">
        <f t="shared" si="3"/>
        <v>3288.3298160262057</v>
      </c>
      <c r="E48" s="187">
        <f t="shared" si="4"/>
        <v>3295.6771854221415</v>
      </c>
      <c r="F48" s="187">
        <f t="shared" si="6"/>
        <v>3324.984730010794</v>
      </c>
      <c r="G48" s="187">
        <f t="shared" si="5"/>
        <v>3326.5517847921865</v>
      </c>
      <c r="H48" s="187">
        <f t="shared" si="7"/>
        <v>3314.1970706433785</v>
      </c>
      <c r="I48" s="187">
        <f t="shared" si="8"/>
        <v>3313.88096052746</v>
      </c>
      <c r="J48" s="187">
        <f t="shared" si="9"/>
        <v>3319.9856850960641</v>
      </c>
      <c r="K48" s="187">
        <f t="shared" si="10"/>
        <v>3319.8688368286876</v>
      </c>
      <c r="L48" s="65"/>
      <c r="M48" s="2"/>
      <c r="N48" s="12">
        <f t="shared" si="2"/>
        <v>2024.75</v>
      </c>
    </row>
    <row r="49" spans="1:15" x14ac:dyDescent="0.2">
      <c r="A49" s="12" t="str">
        <f t="shared" si="1"/>
        <v>12/31/2024</v>
      </c>
      <c r="C49" s="186">
        <f>'[2]Boeckh (R)'!D113</f>
        <v>3310.2231765625002</v>
      </c>
      <c r="D49" s="187">
        <f t="shared" si="3"/>
        <v>3323.1966242689523</v>
      </c>
      <c r="E49" s="187">
        <f t="shared" si="4"/>
        <v>3337.0185194403207</v>
      </c>
      <c r="F49" s="187">
        <f t="shared" si="6"/>
        <v>3359.8040672657662</v>
      </c>
      <c r="G49" s="187">
        <f t="shared" si="5"/>
        <v>3365.2387890125451</v>
      </c>
      <c r="H49" s="187">
        <f t="shared" si="7"/>
        <v>3327.1539023245568</v>
      </c>
      <c r="I49" s="187">
        <f t="shared" si="8"/>
        <v>3327.2602085540134</v>
      </c>
      <c r="J49" s="187">
        <f t="shared" si="9"/>
        <v>3323.0297476449596</v>
      </c>
      <c r="K49" s="187">
        <f t="shared" si="10"/>
        <v>3322.9044490954911</v>
      </c>
      <c r="L49" s="65"/>
      <c r="M49" s="2"/>
      <c r="N49" s="12">
        <f t="shared" si="2"/>
        <v>2025</v>
      </c>
    </row>
    <row r="50" spans="1:15" x14ac:dyDescent="0.2">
      <c r="A50" s="12" t="str">
        <f t="shared" si="1"/>
        <v>03/31/2025</v>
      </c>
      <c r="C50" s="186">
        <f>'[2]Boeckh (R)'!D114</f>
        <v>3319.6232509374995</v>
      </c>
      <c r="D50" s="187">
        <f>TREND($C$14:$C$53,$N$14:$N$53,$N50,TRUE)</f>
        <v>3358.0634325117571</v>
      </c>
      <c r="E50" s="187">
        <f t="shared" si="4"/>
        <v>3378.8784436608303</v>
      </c>
      <c r="F50" s="187">
        <f t="shared" si="6"/>
        <v>3394.6234045207966</v>
      </c>
      <c r="G50" s="187">
        <f t="shared" si="5"/>
        <v>3404.3757138692063</v>
      </c>
      <c r="H50" s="187">
        <f t="shared" si="7"/>
        <v>3340.1107340057497</v>
      </c>
      <c r="I50" s="187">
        <f t="shared" si="8"/>
        <v>3340.6934730886455</v>
      </c>
      <c r="J50" s="187">
        <f t="shared" si="9"/>
        <v>3326.0738101938587</v>
      </c>
      <c r="K50" s="187">
        <f t="shared" si="10"/>
        <v>3325.9428370568439</v>
      </c>
      <c r="L50" s="65"/>
      <c r="M50" s="2"/>
      <c r="N50" s="12">
        <f t="shared" si="2"/>
        <v>2025.25</v>
      </c>
    </row>
    <row r="51" spans="1:15" x14ac:dyDescent="0.2">
      <c r="A51" s="12" t="str">
        <f t="shared" si="1"/>
        <v>06/30/2025</v>
      </c>
      <c r="C51" s="186">
        <f>'[2]Boeckh (R)'!D115</f>
        <v>3330.7148392187505</v>
      </c>
      <c r="D51" s="187">
        <f t="shared" si="3"/>
        <v>3392.930240754562</v>
      </c>
      <c r="E51" s="187">
        <f t="shared" si="4"/>
        <v>3421.263463335722</v>
      </c>
      <c r="F51" s="187">
        <f t="shared" si="6"/>
        <v>3429.4427417757688</v>
      </c>
      <c r="G51" s="187">
        <f t="shared" si="5"/>
        <v>3443.9677918318139</v>
      </c>
      <c r="H51" s="187">
        <f t="shared" si="7"/>
        <v>3353.067565686928</v>
      </c>
      <c r="I51" s="187">
        <f t="shared" si="8"/>
        <v>3354.1809722141497</v>
      </c>
      <c r="J51" s="187">
        <f t="shared" si="9"/>
        <v>3329.1178727427541</v>
      </c>
      <c r="K51" s="187">
        <f t="shared" si="10"/>
        <v>3328.9840032507755</v>
      </c>
      <c r="L51" s="65"/>
      <c r="M51" s="2"/>
      <c r="N51" s="12">
        <f t="shared" si="2"/>
        <v>2025.5</v>
      </c>
    </row>
    <row r="52" spans="1:15" x14ac:dyDescent="0.2">
      <c r="A52" s="12" t="str">
        <f>TEXT(DATE(YEAR(A53+1),MONTH(A53+1)-3,1)-1,"mm/dd/yyyy")</f>
        <v>09/30/2025</v>
      </c>
      <c r="C52" s="186">
        <f>'[2]Boeckh (R)'!D116</f>
        <v>3348.6651778125001</v>
      </c>
      <c r="D52" s="187">
        <f t="shared" si="3"/>
        <v>3427.7970489973086</v>
      </c>
      <c r="E52" s="187">
        <f t="shared" si="4"/>
        <v>3464.1801653196389</v>
      </c>
      <c r="F52" s="187">
        <f t="shared" si="6"/>
        <v>3464.262079030741</v>
      </c>
      <c r="G52" s="187">
        <f t="shared" si="5"/>
        <v>3484.0203162225821</v>
      </c>
      <c r="H52" s="187">
        <f t="shared" si="7"/>
        <v>3366.0243973681063</v>
      </c>
      <c r="I52" s="187">
        <f t="shared" si="8"/>
        <v>3367.7229248936987</v>
      </c>
      <c r="J52" s="187">
        <f t="shared" si="9"/>
        <v>3332.1619352916496</v>
      </c>
      <c r="K52" s="187">
        <f t="shared" si="10"/>
        <v>3332.0279502176422</v>
      </c>
      <c r="L52" s="65"/>
      <c r="M52" s="2"/>
      <c r="N52" s="12">
        <f t="shared" si="2"/>
        <v>2025.75</v>
      </c>
    </row>
    <row r="53" spans="1:15" x14ac:dyDescent="0.2">
      <c r="A53" s="12" t="str">
        <f>TEXT(N9,"mm/dd/yyyy")</f>
        <v>12/31/2025</v>
      </c>
      <c r="C53" s="186">
        <f>'[2]Boeckh (R)'!D117</f>
        <v>3372.8414140625005</v>
      </c>
      <c r="D53" s="187">
        <f t="shared" si="3"/>
        <v>3462.6638572401134</v>
      </c>
      <c r="E53" s="187">
        <f t="shared" si="4"/>
        <v>3507.6352190934467</v>
      </c>
      <c r="F53" s="187">
        <f>TREND($C$34:$C$53,$N$34:$N$53,$N53,TRUE)</f>
        <v>3499.0814162857714</v>
      </c>
      <c r="G53" s="187">
        <f>GROWTH($C$34:$C$53,$N$34:$N$53,$N53,TRUE)</f>
        <v>3524.5386419236015</v>
      </c>
      <c r="H53" s="187">
        <f t="shared" si="7"/>
        <v>3378.9812290492846</v>
      </c>
      <c r="I53" s="187">
        <f t="shared" si="8"/>
        <v>3381.3195509745851</v>
      </c>
      <c r="J53" s="187">
        <f>TREND($C$42:$C$53,$N$42:$N$53,$N53,TRUE)</f>
        <v>3335.205997840545</v>
      </c>
      <c r="K53" s="187">
        <f>GROWTH($C$42:$C$53,$N$42:$N$53,$N53,TRUE)</f>
        <v>3335.0746805001181</v>
      </c>
      <c r="L53" s="65"/>
      <c r="M53" s="2"/>
      <c r="N53" s="12">
        <f t="shared" si="2"/>
        <v>2026</v>
      </c>
    </row>
    <row r="54" spans="1:15" x14ac:dyDescent="0.2">
      <c r="A54" s="66"/>
      <c r="B54" s="9"/>
      <c r="C54" s="94"/>
      <c r="D54" s="67"/>
      <c r="E54" s="67"/>
      <c r="F54" s="67"/>
      <c r="G54" s="67"/>
      <c r="H54" s="67"/>
      <c r="I54" s="67"/>
      <c r="J54" s="67"/>
      <c r="K54" s="67"/>
      <c r="L54"/>
      <c r="M54" s="2"/>
    </row>
    <row r="55" spans="1:15" x14ac:dyDescent="0.2">
      <c r="A55"/>
      <c r="C55"/>
      <c r="D55"/>
      <c r="E55"/>
      <c r="F55"/>
      <c r="H55"/>
      <c r="J55"/>
      <c r="K55"/>
      <c r="L55"/>
      <c r="M55" s="2"/>
    </row>
    <row r="56" spans="1:15" x14ac:dyDescent="0.2">
      <c r="A56" s="12" t="s">
        <v>233</v>
      </c>
      <c r="C56"/>
      <c r="D56" s="20">
        <f>(D53-D49)/D53</f>
        <v>4.0277439197439827E-2</v>
      </c>
      <c r="E56" s="20">
        <f>LOGEST($C$14:$C$53,$N$14:$N$53,TRUE,TRUE)-1</f>
        <v>5.112848450171148E-2</v>
      </c>
      <c r="F56" s="20">
        <f>(F53-F49)/F53</f>
        <v>3.9803974943757169E-2</v>
      </c>
      <c r="G56" s="20">
        <f>LOGEST($C$34:$C$53,$N$34:$N$53,TRUE,TRUE)-1</f>
        <v>4.7336864602646411E-2</v>
      </c>
      <c r="H56" s="20">
        <f>(H53-H49)/H53</f>
        <v>1.5338151712464521E-2</v>
      </c>
      <c r="I56" s="20">
        <f>LOGEST($C$38:$C$53,$N$38:$N$53,TRUE,TRUE)-1</f>
        <v>1.6247404480599137E-2</v>
      </c>
      <c r="J56" s="20">
        <f>(J53-J49)/J53</f>
        <v>3.6508240281017852E-3</v>
      </c>
      <c r="K56" s="20">
        <f>LOGEST($C$42:$C$53,$N$42:$N$53,TRUE,TRUE)-1</f>
        <v>3.6625282463178532E-3</v>
      </c>
      <c r="L56" s="20"/>
      <c r="M56" s="2"/>
    </row>
    <row r="57" spans="1:15" x14ac:dyDescent="0.2">
      <c r="A57" t="s">
        <v>234</v>
      </c>
      <c r="B57"/>
      <c r="C57" s="53"/>
      <c r="D57" s="28">
        <f>INDEX(LINEST($C$14:$C$53,$N$14:$N$53,TRUE,TRUE),3,1)</f>
        <v>0.89021710558240852</v>
      </c>
      <c r="E57" s="28">
        <f>INDEX(LOGEST($C$14:$C$53,$N$14:$N$53,TRUE,TRUE),3,1)</f>
        <v>0.90045540569615601</v>
      </c>
      <c r="F57" s="28">
        <f>INDEX(LINEST($C$34:$C$53,$N$34:$N$53,TRUE,TRUE),3,1)</f>
        <v>0.66284759189928222</v>
      </c>
      <c r="G57" s="28">
        <f>INDEX(LOGEST($C$34:$C$53,$N$34:$N$53,TRUE,TRUE),3,1)</f>
        <v>0.64813572958674159</v>
      </c>
      <c r="H57" s="28">
        <f>INDEX(LINEST($C$38:$C$53,$N$38:$N$53,TRUE,TRUE),3,1)</f>
        <v>0.49503437259058708</v>
      </c>
      <c r="I57" s="28">
        <f>INDEX(LOGEST($C$38:$C$53,$N$38:$N$53,TRUE,TRUE),3,1)</f>
        <v>0.48889829132995949</v>
      </c>
      <c r="J57" s="28">
        <f>INDEX(LINEST($C$42:$C$53,$N$42:$N$53,TRUE,TRUE),3,1)</f>
        <v>0.14881886949767395</v>
      </c>
      <c r="K57" s="28">
        <f>INDEX(LOGEST($C$42:$C$53,$N$42:$N$53,TRUE,TRUE),3,1)</f>
        <v>0.1481574196965128</v>
      </c>
      <c r="L57" s="28"/>
      <c r="M57" s="2"/>
      <c r="O57" s="120"/>
    </row>
    <row r="58" spans="1:15" ht="12" thickBo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/>
      <c r="M58" s="2"/>
    </row>
    <row r="59" spans="1:15" ht="12" thickTop="1" x14ac:dyDescent="0.2">
      <c r="A59"/>
      <c r="B59"/>
      <c r="C59"/>
      <c r="D59"/>
      <c r="E59"/>
      <c r="F59"/>
      <c r="G59"/>
      <c r="H59"/>
      <c r="I59"/>
      <c r="J59"/>
      <c r="K59"/>
      <c r="L59"/>
      <c r="M59" s="2"/>
    </row>
    <row r="60" spans="1:15" x14ac:dyDescent="0.2">
      <c r="A60" t="s">
        <v>17</v>
      </c>
      <c r="B60"/>
      <c r="F60"/>
      <c r="G60"/>
      <c r="H60"/>
      <c r="I60"/>
      <c r="J60"/>
      <c r="K60"/>
      <c r="L60"/>
      <c r="M60" s="2"/>
    </row>
    <row r="61" spans="1:15" x14ac:dyDescent="0.2">
      <c r="A61"/>
      <c r="B61" s="12" t="str">
        <f>C12&amp;" = Average index for Austin, Corpus Christi, Dallas, El Paso, Fort Worth, Houston, Odessa, and San Antonio"</f>
        <v>(2) = Average index for Austin, Corpus Christi, Dallas, El Paso, Fort Worth, Houston, Odessa, and San Antonio</v>
      </c>
      <c r="C61"/>
      <c r="D61"/>
      <c r="E61"/>
      <c r="F61"/>
      <c r="H61"/>
      <c r="J61"/>
      <c r="K61"/>
      <c r="L61"/>
      <c r="M61" s="2"/>
    </row>
    <row r="62" spans="1:15" ht="12" thickBot="1" x14ac:dyDescent="0.25">
      <c r="B62" s="12" t="str">
        <f>D12&amp;" - "&amp;K12&amp;" = "&amp;C12&amp;" Fitted to linear and exponential distributions"</f>
        <v>(3) - (10) = (2) Fitted to linear and exponential distributions</v>
      </c>
      <c r="K62"/>
      <c r="L62"/>
      <c r="M62" s="2"/>
    </row>
    <row r="63" spans="1:15" ht="12" thickBot="1" x14ac:dyDescent="0.25">
      <c r="A63" s="4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3"/>
    </row>
  </sheetData>
  <phoneticPr fontId="4" type="noConversion"/>
  <pageMargins left="0.5" right="0.5" top="0.5" bottom="0.5" header="0.5" footer="0.5"/>
  <pageSetup orientation="portrait" blackAndWhite="1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9">
    <tabColor rgb="FF92D050"/>
  </sheetPr>
  <dimension ref="A1:Q69"/>
  <sheetViews>
    <sheetView showGridLines="0" topLeftCell="A21" zoomScaleNormal="100" workbookViewId="0">
      <selection activeCell="P38" sqref="P38"/>
    </sheetView>
  </sheetViews>
  <sheetFormatPr defaultColWidth="11.33203125" defaultRowHeight="11.25" x14ac:dyDescent="0.2"/>
  <cols>
    <col min="1" max="1" width="3.5" style="12" customWidth="1"/>
    <col min="2" max="2" width="10.6640625" style="12" customWidth="1"/>
    <col min="3" max="11" width="11.5" style="12" customWidth="1"/>
    <col min="12" max="12" width="3.5" style="12" customWidth="1"/>
    <col min="13" max="16384" width="11.33203125" style="12"/>
  </cols>
  <sheetData>
    <row r="1" spans="1:17" x14ac:dyDescent="0.2">
      <c r="A1" s="8" t="str">
        <f>'1'!$A$1</f>
        <v>Texas Windstorm Insurance Association</v>
      </c>
      <c r="C1"/>
      <c r="D1"/>
      <c r="E1"/>
      <c r="F1"/>
      <c r="G1"/>
      <c r="H1"/>
      <c r="I1"/>
      <c r="J1"/>
      <c r="L1" s="7" t="s">
        <v>60</v>
      </c>
      <c r="M1" s="1"/>
      <c r="Q1" s="95"/>
    </row>
    <row r="2" spans="1:17" x14ac:dyDescent="0.2">
      <c r="A2" s="8" t="str">
        <f>'1'!$A$2</f>
        <v>Residential Property - Wind &amp; Hail</v>
      </c>
      <c r="C2"/>
      <c r="D2"/>
      <c r="E2"/>
      <c r="F2"/>
      <c r="G2"/>
      <c r="H2"/>
      <c r="I2"/>
      <c r="J2"/>
      <c r="L2" s="7" t="s">
        <v>53</v>
      </c>
      <c r="M2" s="2"/>
    </row>
    <row r="3" spans="1:17" x14ac:dyDescent="0.2">
      <c r="A3" s="8" t="str">
        <f>'1'!$A$3</f>
        <v>Rate Level Review</v>
      </c>
      <c r="C3"/>
      <c r="D3"/>
      <c r="E3"/>
      <c r="F3"/>
      <c r="G3"/>
      <c r="H3"/>
      <c r="I3"/>
      <c r="J3"/>
      <c r="K3"/>
      <c r="L3"/>
      <c r="M3" s="2"/>
    </row>
    <row r="4" spans="1:17" x14ac:dyDescent="0.2">
      <c r="A4" s="63" t="s">
        <v>210</v>
      </c>
      <c r="C4"/>
      <c r="D4"/>
      <c r="E4"/>
      <c r="F4"/>
      <c r="G4"/>
      <c r="H4"/>
      <c r="I4"/>
      <c r="J4"/>
      <c r="K4"/>
      <c r="L4"/>
      <c r="M4" s="2"/>
    </row>
    <row r="5" spans="1:17" x14ac:dyDescent="0.2">
      <c r="A5" s="63" t="s">
        <v>235</v>
      </c>
      <c r="C5"/>
      <c r="D5"/>
      <c r="E5"/>
      <c r="F5"/>
      <c r="G5"/>
      <c r="H5"/>
      <c r="I5"/>
      <c r="J5"/>
      <c r="K5"/>
      <c r="L5"/>
      <c r="M5" s="2"/>
    </row>
    <row r="6" spans="1:17" x14ac:dyDescent="0.2">
      <c r="B6"/>
      <c r="C6"/>
      <c r="D6"/>
      <c r="E6"/>
      <c r="F6"/>
      <c r="G6"/>
      <c r="H6"/>
      <c r="I6"/>
      <c r="J6"/>
      <c r="K6"/>
      <c r="L6"/>
      <c r="M6" s="2"/>
    </row>
    <row r="7" spans="1:17" ht="12" thickBo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/>
      <c r="M7" s="2"/>
    </row>
    <row r="8" spans="1:17" ht="12" thickTop="1" x14ac:dyDescent="0.2">
      <c r="A8"/>
      <c r="B8"/>
      <c r="C8"/>
      <c r="D8"/>
      <c r="E8"/>
      <c r="F8"/>
      <c r="G8"/>
      <c r="H8"/>
      <c r="I8"/>
      <c r="J8"/>
      <c r="K8"/>
      <c r="L8"/>
      <c r="M8" s="2"/>
      <c r="N8" t="s">
        <v>212</v>
      </c>
    </row>
    <row r="9" spans="1:17" x14ac:dyDescent="0.2">
      <c r="A9" t="s">
        <v>184</v>
      </c>
      <c r="B9"/>
      <c r="C9" s="180" t="s">
        <v>225</v>
      </c>
      <c r="D9" s="218" t="s">
        <v>226</v>
      </c>
      <c r="E9" s="218"/>
      <c r="F9" s="218"/>
      <c r="G9" s="218"/>
      <c r="H9" s="218"/>
      <c r="I9" s="218"/>
      <c r="J9" s="218"/>
      <c r="K9" s="218"/>
      <c r="L9"/>
      <c r="M9" s="2"/>
      <c r="N9" s="37">
        <f>'3.3d'!N9</f>
        <v>46022</v>
      </c>
    </row>
    <row r="10" spans="1:17" x14ac:dyDescent="0.2">
      <c r="A10" t="s">
        <v>208</v>
      </c>
      <c r="B10"/>
      <c r="C10" s="11" t="s">
        <v>214</v>
      </c>
      <c r="D10" s="11" t="s">
        <v>227</v>
      </c>
      <c r="E10" s="11"/>
      <c r="F10" s="11" t="s">
        <v>228</v>
      </c>
      <c r="G10" s="11"/>
      <c r="H10" s="11" t="s">
        <v>229</v>
      </c>
      <c r="I10" s="11"/>
      <c r="J10" s="11" t="s">
        <v>230</v>
      </c>
      <c r="K10" s="11"/>
      <c r="L10"/>
      <c r="M10" s="2"/>
    </row>
    <row r="11" spans="1:17" x14ac:dyDescent="0.2">
      <c r="A11" s="9" t="s">
        <v>32</v>
      </c>
      <c r="B11" s="9"/>
      <c r="C11" s="121" t="s">
        <v>209</v>
      </c>
      <c r="D11" s="121" t="s">
        <v>231</v>
      </c>
      <c r="E11" s="121" t="s">
        <v>232</v>
      </c>
      <c r="F11" s="121" t="s">
        <v>231</v>
      </c>
      <c r="G11" s="121" t="s">
        <v>232</v>
      </c>
      <c r="H11" s="121" t="s">
        <v>231</v>
      </c>
      <c r="I11" s="121" t="s">
        <v>232</v>
      </c>
      <c r="J11" s="121" t="s">
        <v>231</v>
      </c>
      <c r="K11" s="121" t="s">
        <v>232</v>
      </c>
      <c r="L11"/>
      <c r="M11" s="2"/>
      <c r="N11" s="9" t="s">
        <v>209</v>
      </c>
    </row>
    <row r="12" spans="1:17" x14ac:dyDescent="0.2">
      <c r="A12" s="13" t="str">
        <f>TEXT(COLUMN(),"(#)")</f>
        <v>(1)</v>
      </c>
      <c r="B12" s="13"/>
      <c r="C12" s="11" t="str">
        <f t="shared" ref="C12:K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11" t="str">
        <f t="shared" si="0"/>
        <v>(7)</v>
      </c>
      <c r="I12" s="11" t="str">
        <f t="shared" si="0"/>
        <v>(8)</v>
      </c>
      <c r="J12" s="11" t="str">
        <f t="shared" si="0"/>
        <v>(9)</v>
      </c>
      <c r="K12" s="11" t="str">
        <f t="shared" si="0"/>
        <v>(10)</v>
      </c>
      <c r="L12" s="11"/>
      <c r="M12" s="2"/>
    </row>
    <row r="13" spans="1:17" x14ac:dyDescent="0.2">
      <c r="A13"/>
      <c r="B13"/>
      <c r="C13"/>
      <c r="D13"/>
      <c r="E13"/>
      <c r="F13"/>
      <c r="G13"/>
      <c r="H13"/>
      <c r="I13"/>
      <c r="J13"/>
      <c r="K13"/>
      <c r="L13"/>
      <c r="M13" s="2"/>
    </row>
    <row r="14" spans="1:17" x14ac:dyDescent="0.2">
      <c r="A14" s="12" t="str">
        <f t="shared" ref="A14:A51" si="1">TEXT(DATE(YEAR(A15+1),MONTH(A15+1)-3,1)-1,"mm/dd/yyyy")</f>
        <v>03/31/2016</v>
      </c>
      <c r="B14" s="23"/>
      <c r="C14" s="186">
        <f>'[2]Boeckh (R)'!E78</f>
        <v>2328.926275625</v>
      </c>
      <c r="D14" s="187">
        <f>TREND($C$14:$C$53,$N$14:$N$53,$N14,TRUE)</f>
        <v>2107.0388923654682</v>
      </c>
      <c r="E14" s="187">
        <f>GROWTH($C$14:$C$53,$N$14:$N$53,$N14,TRUE)</f>
        <v>2165.9531199218895</v>
      </c>
      <c r="F14" s="187"/>
      <c r="G14" s="187"/>
      <c r="H14" s="137"/>
      <c r="I14" s="137"/>
      <c r="J14" s="137"/>
      <c r="K14" s="137"/>
      <c r="L14"/>
      <c r="M14" s="2"/>
      <c r="N14" s="12">
        <f t="shared" ref="N14:N53" si="2">YEAR(A14)+MONTH(A14)/12</f>
        <v>2016.25</v>
      </c>
    </row>
    <row r="15" spans="1:17" x14ac:dyDescent="0.2">
      <c r="A15" s="12" t="str">
        <f t="shared" si="1"/>
        <v>06/30/2016</v>
      </c>
      <c r="B15" s="23"/>
      <c r="C15" s="186">
        <f>'[2]Boeckh (R)'!E79</f>
        <v>2321.1029637499996</v>
      </c>
      <c r="D15" s="187">
        <f>TREND($C$14:$C$53,$N$14:$N$53,$N15,TRUE)</f>
        <v>2143.6995684725116</v>
      </c>
      <c r="E15" s="187">
        <f>GROWTH($C$14:$C$53,$N$14:$N$53,$N15,TRUE)</f>
        <v>2194.1338362202946</v>
      </c>
      <c r="F15" s="187"/>
      <c r="G15" s="187"/>
      <c r="H15" s="137"/>
      <c r="I15" s="137"/>
      <c r="J15" s="137"/>
      <c r="K15" s="137"/>
      <c r="L15"/>
      <c r="M15" s="2"/>
      <c r="N15" s="12">
        <f t="shared" si="2"/>
        <v>2016.5</v>
      </c>
    </row>
    <row r="16" spans="1:17" x14ac:dyDescent="0.2">
      <c r="A16" s="12" t="str">
        <f t="shared" si="1"/>
        <v>09/30/2016</v>
      </c>
      <c r="B16" s="23"/>
      <c r="C16" s="186">
        <f>'[2]Boeckh (R)'!E80</f>
        <v>2313.9314587499998</v>
      </c>
      <c r="D16" s="187">
        <f>TREND($C$14:$C$53,$N$14:$N$53,$N16,TRUE)</f>
        <v>2180.360244579555</v>
      </c>
      <c r="E16" s="187">
        <f>GROWTH($C$14:$C$53,$N$14:$N$53,$N16,TRUE)</f>
        <v>2222.6812053163926</v>
      </c>
      <c r="F16" s="187"/>
      <c r="G16" s="187"/>
      <c r="H16" s="137"/>
      <c r="I16" s="137"/>
      <c r="J16" s="137"/>
      <c r="K16" s="137"/>
      <c r="L16"/>
      <c r="M16" s="2"/>
      <c r="N16" s="12">
        <f t="shared" si="2"/>
        <v>2016.75</v>
      </c>
    </row>
    <row r="17" spans="1:14" x14ac:dyDescent="0.2">
      <c r="A17" s="12" t="str">
        <f t="shared" si="1"/>
        <v>12/31/2016</v>
      </c>
      <c r="B17" s="23"/>
      <c r="C17" s="186">
        <f>'[2]Boeckh (R)'!E81</f>
        <v>2308.5551312499992</v>
      </c>
      <c r="D17" s="187">
        <f>TREND($C$14:$C$53,$N$14:$N$53,$N17,TRUE)</f>
        <v>2217.0209206866566</v>
      </c>
      <c r="E17" s="187">
        <f>GROWTH($C$14:$C$53,$N$14:$N$53,$N17,TRUE)</f>
        <v>2251.5999976451694</v>
      </c>
      <c r="F17" s="187"/>
      <c r="G17" s="187"/>
      <c r="H17" s="137"/>
      <c r="I17" s="137"/>
      <c r="J17" s="137"/>
      <c r="K17" s="137"/>
      <c r="L17"/>
      <c r="M17" s="2"/>
      <c r="N17" s="12">
        <f t="shared" si="2"/>
        <v>2017</v>
      </c>
    </row>
    <row r="18" spans="1:14" x14ac:dyDescent="0.2">
      <c r="A18" s="12" t="str">
        <f t="shared" si="1"/>
        <v>03/31/2017</v>
      </c>
      <c r="B18" s="23"/>
      <c r="C18" s="186">
        <f>'[2]Boeckh (R)'!E82</f>
        <v>2311.6614853124997</v>
      </c>
      <c r="D18" s="187">
        <f>TREND($C$14:$C$53,$N$14:$N$53,$N18,TRUE)</f>
        <v>2253.6815967937</v>
      </c>
      <c r="E18" s="187">
        <f t="shared" ref="E18:E53" si="3">GROWTH($C$14:$C$53,$N$14:$N$53,$N18,TRUE)</f>
        <v>2280.8950457085443</v>
      </c>
      <c r="F18" s="187"/>
      <c r="G18" s="187"/>
      <c r="H18" s="137"/>
      <c r="I18" s="137"/>
      <c r="J18" s="137"/>
      <c r="K18" s="137"/>
      <c r="L18"/>
      <c r="M18" s="2"/>
      <c r="N18" s="12">
        <f t="shared" si="2"/>
        <v>2017.25</v>
      </c>
    </row>
    <row r="19" spans="1:14" x14ac:dyDescent="0.2">
      <c r="A19" s="12" t="str">
        <f t="shared" si="1"/>
        <v>06/30/2017</v>
      </c>
      <c r="B19" s="23"/>
      <c r="C19" s="186">
        <f>'[2]Boeckh (R)'!E83</f>
        <v>2324.2521321875001</v>
      </c>
      <c r="D19" s="187">
        <f t="shared" ref="D19:D53" si="4">TREND($C$14:$C$53,$N$14:$N$53,$N19,TRUE)</f>
        <v>2290.3422729007434</v>
      </c>
      <c r="E19" s="187">
        <f t="shared" si="3"/>
        <v>2310.5712448830986</v>
      </c>
      <c r="F19" s="187"/>
      <c r="G19" s="187"/>
      <c r="H19" s="137"/>
      <c r="I19" s="137"/>
      <c r="J19" s="137"/>
      <c r="K19" s="137"/>
      <c r="L19"/>
      <c r="M19" s="2"/>
      <c r="N19" s="12">
        <f t="shared" si="2"/>
        <v>2017.5</v>
      </c>
    </row>
    <row r="20" spans="1:14" x14ac:dyDescent="0.2">
      <c r="A20" s="12" t="str">
        <f t="shared" si="1"/>
        <v>09/30/2017</v>
      </c>
      <c r="B20" s="23"/>
      <c r="C20" s="186">
        <f>'[2]Boeckh (R)'!E84</f>
        <v>2341.2863140625004</v>
      </c>
      <c r="D20" s="187">
        <f t="shared" si="4"/>
        <v>2327.0029490077868</v>
      </c>
      <c r="E20" s="187">
        <f t="shared" si="3"/>
        <v>2340.6335542379993</v>
      </c>
      <c r="F20" s="187"/>
      <c r="G20" s="187"/>
      <c r="H20" s="137"/>
      <c r="I20" s="137"/>
      <c r="J20" s="137"/>
      <c r="K20" s="137"/>
      <c r="L20"/>
      <c r="M20" s="2"/>
      <c r="N20" s="12">
        <f t="shared" si="2"/>
        <v>2017.75</v>
      </c>
    </row>
    <row r="21" spans="1:14" x14ac:dyDescent="0.2">
      <c r="A21" s="12" t="str">
        <f t="shared" si="1"/>
        <v>12/31/2017</v>
      </c>
      <c r="B21" s="23"/>
      <c r="C21" s="186">
        <f>'[2]Boeckh (R)'!E85</f>
        <v>2360.5971425000002</v>
      </c>
      <c r="D21" s="187">
        <f t="shared" si="4"/>
        <v>2363.6636251148884</v>
      </c>
      <c r="E21" s="187">
        <f t="shared" si="3"/>
        <v>2371.0869973637491</v>
      </c>
      <c r="F21" s="187"/>
      <c r="G21" s="187"/>
      <c r="H21" s="137"/>
      <c r="I21" s="137"/>
      <c r="J21" s="137"/>
      <c r="K21" s="137"/>
      <c r="L21"/>
      <c r="M21" s="2"/>
      <c r="N21" s="12">
        <f t="shared" si="2"/>
        <v>2018</v>
      </c>
    </row>
    <row r="22" spans="1:14" x14ac:dyDescent="0.2">
      <c r="A22" s="12" t="str">
        <f t="shared" si="1"/>
        <v>03/31/2018</v>
      </c>
      <c r="B22" s="23"/>
      <c r="C22" s="186">
        <f>'[2]Boeckh (R)'!E86</f>
        <v>2380.8820321875</v>
      </c>
      <c r="D22" s="187">
        <f t="shared" si="4"/>
        <v>2400.3243012219318</v>
      </c>
      <c r="E22" s="187">
        <f t="shared" si="3"/>
        <v>2401.9366632115284</v>
      </c>
      <c r="F22" s="187"/>
      <c r="G22" s="187"/>
      <c r="H22" s="137"/>
      <c r="I22" s="137"/>
      <c r="J22" s="137"/>
      <c r="K22" s="137"/>
      <c r="L22"/>
      <c r="M22" s="2"/>
      <c r="N22" s="12">
        <f t="shared" si="2"/>
        <v>2018.25</v>
      </c>
    </row>
    <row r="23" spans="1:14" x14ac:dyDescent="0.2">
      <c r="A23" s="12" t="str">
        <f t="shared" si="1"/>
        <v>06/30/2018</v>
      </c>
      <c r="B23" s="23"/>
      <c r="C23" s="186">
        <f>'[2]Boeckh (R)'!E87</f>
        <v>2404.7366340625003</v>
      </c>
      <c r="D23" s="187">
        <f t="shared" si="4"/>
        <v>2436.9849773289752</v>
      </c>
      <c r="E23" s="187">
        <f t="shared" si="3"/>
        <v>2433.1877069437874</v>
      </c>
      <c r="F23" s="187"/>
      <c r="G23" s="187"/>
      <c r="H23" s="137"/>
      <c r="I23" s="137"/>
      <c r="J23" s="137"/>
      <c r="K23" s="137"/>
      <c r="L23"/>
      <c r="M23" s="2"/>
      <c r="N23" s="12">
        <f t="shared" si="2"/>
        <v>2018.5</v>
      </c>
    </row>
    <row r="24" spans="1:14" x14ac:dyDescent="0.2">
      <c r="A24" s="12" t="str">
        <f t="shared" si="1"/>
        <v>09/30/2018</v>
      </c>
      <c r="B24"/>
      <c r="C24" s="186">
        <f>'[2]Boeckh (R)'!E88</f>
        <v>2433.9268390625002</v>
      </c>
      <c r="D24" s="187">
        <f t="shared" si="4"/>
        <v>2473.6456534360186</v>
      </c>
      <c r="E24" s="187">
        <f t="shared" si="3"/>
        <v>2464.8453507956074</v>
      </c>
      <c r="F24" s="187"/>
      <c r="G24" s="187"/>
      <c r="H24" s="137"/>
      <c r="I24" s="137"/>
      <c r="J24" s="137"/>
      <c r="K24" s="137"/>
      <c r="L24"/>
      <c r="M24" s="2"/>
      <c r="N24" s="12">
        <f t="shared" si="2"/>
        <v>2018.75</v>
      </c>
    </row>
    <row r="25" spans="1:14" x14ac:dyDescent="0.2">
      <c r="A25" s="12" t="str">
        <f t="shared" si="1"/>
        <v>12/31/2018</v>
      </c>
      <c r="B25"/>
      <c r="C25" s="186">
        <f>'[2]Boeckh (R)'!E89</f>
        <v>2468.2195434374999</v>
      </c>
      <c r="D25" s="187">
        <f t="shared" si="4"/>
        <v>2510.3063295431202</v>
      </c>
      <c r="E25" s="187">
        <f t="shared" si="3"/>
        <v>2496.9148849472599</v>
      </c>
      <c r="F25" s="187"/>
      <c r="G25" s="187"/>
      <c r="H25" s="137"/>
      <c r="I25" s="137"/>
      <c r="J25" s="137"/>
      <c r="K25" s="137"/>
      <c r="L25"/>
      <c r="M25" s="2"/>
      <c r="N25" s="12">
        <f t="shared" si="2"/>
        <v>2019</v>
      </c>
    </row>
    <row r="26" spans="1:14" x14ac:dyDescent="0.2">
      <c r="A26" s="12" t="str">
        <f t="shared" si="1"/>
        <v>03/31/2019</v>
      </c>
      <c r="B26"/>
      <c r="C26" s="186">
        <f>'[2]Boeckh (R)'!E90</f>
        <v>2494.8023631249998</v>
      </c>
      <c r="D26" s="187">
        <f t="shared" si="4"/>
        <v>2546.9670056501636</v>
      </c>
      <c r="E26" s="187">
        <f t="shared" si="3"/>
        <v>2529.4016684084372</v>
      </c>
      <c r="F26" s="187"/>
      <c r="G26" s="187"/>
      <c r="H26" s="137"/>
      <c r="I26" s="137"/>
      <c r="J26" s="137"/>
      <c r="K26" s="137"/>
      <c r="L26"/>
      <c r="M26" s="2"/>
      <c r="N26" s="12">
        <f t="shared" si="2"/>
        <v>2019.25</v>
      </c>
    </row>
    <row r="27" spans="1:14" x14ac:dyDescent="0.2">
      <c r="A27" s="12" t="str">
        <f t="shared" si="1"/>
        <v>06/30/2019</v>
      </c>
      <c r="B27"/>
      <c r="C27" s="186">
        <f>'[2]Boeckh (R)'!E91</f>
        <v>2508.7636481249997</v>
      </c>
      <c r="D27" s="187">
        <f t="shared" si="4"/>
        <v>2583.627681757207</v>
      </c>
      <c r="E27" s="187">
        <f t="shared" si="3"/>
        <v>2562.3111299136704</v>
      </c>
      <c r="F27" s="187"/>
      <c r="G27" s="187"/>
      <c r="H27" s="137"/>
      <c r="I27" s="137"/>
      <c r="J27" s="137"/>
      <c r="K27" s="137"/>
      <c r="L27"/>
      <c r="M27" s="2"/>
      <c r="N27" s="12">
        <f t="shared" si="2"/>
        <v>2019.5</v>
      </c>
    </row>
    <row r="28" spans="1:14" x14ac:dyDescent="0.2">
      <c r="A28" s="12" t="str">
        <f t="shared" si="1"/>
        <v>09/30/2019</v>
      </c>
      <c r="B28"/>
      <c r="C28" s="186">
        <f>'[2]Boeckh (R)'!E92</f>
        <v>2511.0424249999996</v>
      </c>
      <c r="D28" s="187">
        <f t="shared" si="4"/>
        <v>2620.2883578643086</v>
      </c>
      <c r="E28" s="187">
        <f t="shared" si="3"/>
        <v>2595.6487688293951</v>
      </c>
      <c r="F28" s="187"/>
      <c r="G28" s="187"/>
      <c r="H28" s="137"/>
      <c r="I28" s="137"/>
      <c r="J28" s="137"/>
      <c r="K28" s="137"/>
      <c r="L28"/>
      <c r="M28" s="2"/>
      <c r="N28" s="12">
        <f t="shared" si="2"/>
        <v>2019.75</v>
      </c>
    </row>
    <row r="29" spans="1:14" x14ac:dyDescent="0.2">
      <c r="A29" s="12" t="str">
        <f t="shared" si="1"/>
        <v>12/31/2019</v>
      </c>
      <c r="B29"/>
      <c r="C29" s="186">
        <f>'[2]Boeckh (R)'!E93</f>
        <v>2504.6715812499997</v>
      </c>
      <c r="D29" s="187">
        <f>TREND($C$14:$C$53,$N$14:$N$53,$N29,TRUE)</f>
        <v>2656.949033971352</v>
      </c>
      <c r="E29" s="187">
        <f t="shared" si="3"/>
        <v>2629.4201560731426</v>
      </c>
      <c r="F29" s="187"/>
      <c r="G29" s="187"/>
      <c r="H29" s="137"/>
      <c r="I29" s="137"/>
      <c r="J29" s="137"/>
      <c r="K29" s="137"/>
      <c r="L29"/>
      <c r="M29" s="2"/>
      <c r="N29" s="12">
        <f t="shared" si="2"/>
        <v>2020</v>
      </c>
    </row>
    <row r="30" spans="1:14" x14ac:dyDescent="0.2">
      <c r="A30" s="12" t="str">
        <f t="shared" si="1"/>
        <v>03/31/2020</v>
      </c>
      <c r="B30"/>
      <c r="C30" s="186">
        <f>'[2]Boeckh (R)'!E94</f>
        <v>2503.0625909374999</v>
      </c>
      <c r="D30" s="187">
        <f t="shared" si="4"/>
        <v>2693.6097100783954</v>
      </c>
      <c r="E30" s="187">
        <f t="shared" si="3"/>
        <v>2663.6309350443698</v>
      </c>
      <c r="F30" s="187"/>
      <c r="G30" s="187"/>
      <c r="H30" s="137"/>
      <c r="I30" s="137"/>
      <c r="J30" s="137"/>
      <c r="K30" s="137"/>
      <c r="L30"/>
      <c r="M30" s="2"/>
      <c r="N30" s="12">
        <f t="shared" si="2"/>
        <v>2020.25</v>
      </c>
    </row>
    <row r="31" spans="1:14" x14ac:dyDescent="0.2">
      <c r="A31" s="12" t="str">
        <f t="shared" si="1"/>
        <v>06/30/2020</v>
      </c>
      <c r="B31"/>
      <c r="C31" s="186">
        <f>'[2]Boeckh (R)'!E95</f>
        <v>2503.5070984375002</v>
      </c>
      <c r="D31" s="187">
        <f t="shared" si="4"/>
        <v>2730.2703861854388</v>
      </c>
      <c r="E31" s="187">
        <f t="shared" si="3"/>
        <v>2698.2868225673869</v>
      </c>
      <c r="F31" s="187"/>
      <c r="G31" s="187"/>
      <c r="H31" s="137"/>
      <c r="I31" s="137"/>
      <c r="J31" s="137"/>
      <c r="K31" s="137"/>
      <c r="L31" s="29"/>
      <c r="M31" s="2"/>
      <c r="N31" s="12">
        <f t="shared" si="2"/>
        <v>2020.5</v>
      </c>
    </row>
    <row r="32" spans="1:14" x14ac:dyDescent="0.2">
      <c r="A32" s="12" t="str">
        <f t="shared" si="1"/>
        <v>09/30/2020</v>
      </c>
      <c r="B32"/>
      <c r="C32" s="186">
        <f>'[2]Boeckh (R)'!E96</f>
        <v>2509.7375362500002</v>
      </c>
      <c r="D32" s="187">
        <f t="shared" si="4"/>
        <v>2766.9310622925404</v>
      </c>
      <c r="E32" s="187">
        <f t="shared" si="3"/>
        <v>2733.3936098469003</v>
      </c>
      <c r="F32" s="187"/>
      <c r="G32" s="187"/>
      <c r="H32" s="137"/>
      <c r="I32" s="137"/>
      <c r="J32" s="137"/>
      <c r="K32" s="137"/>
      <c r="L32" s="29"/>
      <c r="M32" s="2"/>
      <c r="N32" s="12">
        <f t="shared" si="2"/>
        <v>2020.75</v>
      </c>
    </row>
    <row r="33" spans="1:14" x14ac:dyDescent="0.2">
      <c r="A33" s="12" t="str">
        <f t="shared" si="1"/>
        <v>12/31/2020</v>
      </c>
      <c r="B33" s="23"/>
      <c r="C33" s="186">
        <f>'[2]Boeckh (R)'!E97</f>
        <v>2532.3197928125001</v>
      </c>
      <c r="D33" s="187">
        <f t="shared" si="4"/>
        <v>2803.5917383995838</v>
      </c>
      <c r="E33" s="187">
        <f t="shared" si="3"/>
        <v>2768.9571634356071</v>
      </c>
      <c r="F33" s="187"/>
      <c r="G33" s="187"/>
      <c r="H33" s="137"/>
      <c r="I33" s="137"/>
      <c r="J33" s="137"/>
      <c r="K33" s="137"/>
      <c r="L33" s="29"/>
      <c r="M33" s="2"/>
      <c r="N33" s="12">
        <f t="shared" si="2"/>
        <v>2021</v>
      </c>
    </row>
    <row r="34" spans="1:14" x14ac:dyDescent="0.2">
      <c r="A34" s="12" t="str">
        <f t="shared" si="1"/>
        <v>03/31/2021</v>
      </c>
      <c r="B34" s="23"/>
      <c r="C34" s="186">
        <f>'[2]Boeckh (R)'!E98</f>
        <v>2564.4391178125002</v>
      </c>
      <c r="D34" s="187">
        <f t="shared" si="4"/>
        <v>2840.2524145066272</v>
      </c>
      <c r="E34" s="187">
        <f t="shared" si="3"/>
        <v>2804.9834262146073</v>
      </c>
      <c r="F34" s="187">
        <f>TREND($C$34:$C$53,$N$34:$N$53,$N34,TRUE)</f>
        <v>2871.8145059107337</v>
      </c>
      <c r="G34" s="187">
        <f t="shared" ref="G34:G53" si="5">GROWTH($C$34:$C$53,$N$34:$N$53,$N34,TRUE)</f>
        <v>2862.1852166328754</v>
      </c>
      <c r="H34" s="137"/>
      <c r="I34" s="137"/>
      <c r="J34" s="137"/>
      <c r="K34" s="137"/>
      <c r="L34" s="29"/>
      <c r="M34" s="2"/>
      <c r="N34" s="12">
        <f t="shared" si="2"/>
        <v>2021.25</v>
      </c>
    </row>
    <row r="35" spans="1:14" x14ac:dyDescent="0.2">
      <c r="A35" s="12" t="str">
        <f t="shared" si="1"/>
        <v>06/30/2021</v>
      </c>
      <c r="B35"/>
      <c r="C35" s="186">
        <f>'[2]Boeckh (R)'!E99</f>
        <v>2646.7160724999999</v>
      </c>
      <c r="D35" s="187">
        <f t="shared" si="4"/>
        <v>2876.9130906136706</v>
      </c>
      <c r="E35" s="187">
        <f t="shared" si="3"/>
        <v>2841.4784183863367</v>
      </c>
      <c r="F35" s="187">
        <f t="shared" ref="F35:F53" si="6">TREND($C$34:$C$53,$N$34:$N$53,$N35,TRUE)</f>
        <v>2909.0492846043198</v>
      </c>
      <c r="G35" s="187">
        <f t="shared" si="5"/>
        <v>2897.2928841019402</v>
      </c>
      <c r="H35" s="137"/>
      <c r="I35" s="137"/>
      <c r="J35" s="137"/>
      <c r="K35" s="137"/>
      <c r="L35" s="29"/>
      <c r="M35" s="2"/>
      <c r="N35" s="12">
        <f t="shared" si="2"/>
        <v>2021.5</v>
      </c>
    </row>
    <row r="36" spans="1:14" x14ac:dyDescent="0.2">
      <c r="A36" s="12" t="str">
        <f t="shared" si="1"/>
        <v>09/30/2021</v>
      </c>
      <c r="C36" s="186">
        <f>'[2]Boeckh (R)'!E100</f>
        <v>2798.3876768749997</v>
      </c>
      <c r="D36" s="187">
        <f t="shared" si="4"/>
        <v>2913.5737667207723</v>
      </c>
      <c r="E36" s="187">
        <f t="shared" si="3"/>
        <v>2878.4482384808152</v>
      </c>
      <c r="F36" s="187">
        <f t="shared" si="6"/>
        <v>2946.2840632979642</v>
      </c>
      <c r="G36" s="187">
        <f t="shared" si="5"/>
        <v>2932.8311834909646</v>
      </c>
      <c r="H36" s="137"/>
      <c r="I36" s="137"/>
      <c r="J36" s="137"/>
      <c r="K36" s="137"/>
      <c r="L36"/>
      <c r="M36" s="2"/>
      <c r="N36" s="12">
        <f t="shared" si="2"/>
        <v>2021.75</v>
      </c>
    </row>
    <row r="37" spans="1:14" x14ac:dyDescent="0.2">
      <c r="A37" s="12" t="str">
        <f t="shared" si="1"/>
        <v>12/31/2021</v>
      </c>
      <c r="C37" s="186">
        <f>'[2]Boeckh (R)'!E101</f>
        <v>2934.1078499999994</v>
      </c>
      <c r="D37" s="187">
        <f t="shared" si="4"/>
        <v>2950.2344428278157</v>
      </c>
      <c r="E37" s="187">
        <f t="shared" si="3"/>
        <v>2915.8990643746306</v>
      </c>
      <c r="F37" s="187">
        <f t="shared" si="6"/>
        <v>2983.5188419915503</v>
      </c>
      <c r="G37" s="187">
        <f t="shared" si="5"/>
        <v>2968.8053969466237</v>
      </c>
      <c r="H37" s="137"/>
      <c r="I37" s="187"/>
      <c r="J37" s="137"/>
      <c r="K37" s="187"/>
      <c r="M37" s="2"/>
      <c r="N37" s="12">
        <f t="shared" si="2"/>
        <v>2022</v>
      </c>
    </row>
    <row r="38" spans="1:14" x14ac:dyDescent="0.2">
      <c r="A38" s="12" t="str">
        <f t="shared" si="1"/>
        <v>03/31/2022</v>
      </c>
      <c r="C38" s="186">
        <f>'[2]Boeckh (R)'!E102</f>
        <v>3069.3141046874998</v>
      </c>
      <c r="D38" s="187">
        <f t="shared" si="4"/>
        <v>2986.8951189348591</v>
      </c>
      <c r="E38" s="187">
        <f t="shared" si="3"/>
        <v>2953.8371543231751</v>
      </c>
      <c r="F38" s="187">
        <f t="shared" si="6"/>
        <v>3020.7536206851364</v>
      </c>
      <c r="G38" s="187">
        <f t="shared" si="5"/>
        <v>3005.2208714067224</v>
      </c>
      <c r="H38" s="187">
        <f>TREND($C$38:$C$53,$N$38:$N$53,$N38,TRUE)</f>
        <v>3247.6845780215954</v>
      </c>
      <c r="I38" s="187">
        <f t="shared" ref="I38:I53" si="7">GROWTH($C$38:$C$53,$N$38:$N$53,$N38,TRUE)</f>
        <v>3245.8980834532363</v>
      </c>
      <c r="J38" s="137"/>
      <c r="K38" s="137"/>
      <c r="L38" s="29"/>
      <c r="M38" s="2"/>
      <c r="N38" s="12">
        <f t="shared" si="2"/>
        <v>2022.25</v>
      </c>
    </row>
    <row r="39" spans="1:14" x14ac:dyDescent="0.2">
      <c r="A39" s="12" t="str">
        <f t="shared" si="1"/>
        <v>06/30/2022</v>
      </c>
      <c r="C39" s="186">
        <f>'[2]Boeckh (R)'!E103</f>
        <v>3213.7870209375005</v>
      </c>
      <c r="D39" s="187">
        <f t="shared" si="4"/>
        <v>3023.5557950419025</v>
      </c>
      <c r="E39" s="187">
        <f t="shared" si="3"/>
        <v>2992.2688480066799</v>
      </c>
      <c r="F39" s="187">
        <f t="shared" si="6"/>
        <v>3057.9883993787807</v>
      </c>
      <c r="G39" s="187">
        <f t="shared" si="5"/>
        <v>3042.0830193946713</v>
      </c>
      <c r="H39" s="187">
        <f t="shared" ref="H39:H53" si="8">TREND($C$38:$C$53,$N$38:$N$53,$N39,TRUE)</f>
        <v>3261.0536955588177</v>
      </c>
      <c r="I39" s="187">
        <f t="shared" si="7"/>
        <v>3259.1601948605444</v>
      </c>
      <c r="J39" s="137"/>
      <c r="K39" s="137"/>
      <c r="L39" s="29"/>
      <c r="M39" s="2"/>
      <c r="N39" s="12">
        <f t="shared" si="2"/>
        <v>2022.5</v>
      </c>
    </row>
    <row r="40" spans="1:14" x14ac:dyDescent="0.2">
      <c r="A40" s="12" t="str">
        <f t="shared" si="1"/>
        <v>09/30/2022</v>
      </c>
      <c r="C40" s="186">
        <f>'[2]Boeckh (R)'!E104</f>
        <v>3295.1099487500001</v>
      </c>
      <c r="D40" s="187">
        <f>TREND($C$14:$C$53,$N$14:$N$53,$N40,TRUE)</f>
        <v>3060.2164711490041</v>
      </c>
      <c r="E40" s="187">
        <f t="shared" si="3"/>
        <v>3031.2005675894961</v>
      </c>
      <c r="F40" s="187">
        <f t="shared" si="6"/>
        <v>3095.2231780723669</v>
      </c>
      <c r="G40" s="187">
        <f t="shared" si="5"/>
        <v>3079.3973198241306</v>
      </c>
      <c r="H40" s="187">
        <f t="shared" si="8"/>
        <v>3274.4228130960546</v>
      </c>
      <c r="I40" s="187">
        <f t="shared" si="7"/>
        <v>3272.4764926885391</v>
      </c>
      <c r="J40" s="137"/>
      <c r="K40" s="137"/>
      <c r="L40" s="29"/>
      <c r="M40" s="2"/>
      <c r="N40" s="12">
        <f t="shared" si="2"/>
        <v>2022.75</v>
      </c>
    </row>
    <row r="41" spans="1:14" x14ac:dyDescent="0.2">
      <c r="A41" s="12" t="str">
        <f t="shared" si="1"/>
        <v>12/31/2022</v>
      </c>
      <c r="C41" s="186">
        <f>'[2]Boeckh (R)'!E105</f>
        <v>3370.7672275000004</v>
      </c>
      <c r="D41" s="187">
        <f t="shared" si="4"/>
        <v>3096.8771472560475</v>
      </c>
      <c r="E41" s="187">
        <f t="shared" si="3"/>
        <v>3070.6388187931439</v>
      </c>
      <c r="F41" s="187">
        <f t="shared" si="6"/>
        <v>3132.4579567660112</v>
      </c>
      <c r="G41" s="187">
        <f t="shared" si="5"/>
        <v>3117.1693188133149</v>
      </c>
      <c r="H41" s="187">
        <f t="shared" si="8"/>
        <v>3287.7919306332769</v>
      </c>
      <c r="I41" s="187">
        <f t="shared" si="7"/>
        <v>3285.8471983324025</v>
      </c>
      <c r="J41" s="137"/>
      <c r="K41" s="137"/>
      <c r="L41" s="19"/>
      <c r="M41" s="2"/>
      <c r="N41" s="12">
        <f t="shared" si="2"/>
        <v>2023</v>
      </c>
    </row>
    <row r="42" spans="1:14" x14ac:dyDescent="0.2">
      <c r="A42" s="12" t="str">
        <f t="shared" si="1"/>
        <v>03/31/2023</v>
      </c>
      <c r="C42" s="186">
        <f>'[2]Boeckh (R)'!E106</f>
        <v>3421.7608509374995</v>
      </c>
      <c r="D42" s="187">
        <f t="shared" si="4"/>
        <v>3133.5378233630909</v>
      </c>
      <c r="E42" s="187">
        <f t="shared" si="3"/>
        <v>3110.5901919837138</v>
      </c>
      <c r="F42" s="187">
        <f t="shared" si="6"/>
        <v>3169.6927354595973</v>
      </c>
      <c r="G42" s="187">
        <f t="shared" si="5"/>
        <v>3155.4046305092793</v>
      </c>
      <c r="H42" s="187">
        <f t="shared" si="8"/>
        <v>3301.1610481704993</v>
      </c>
      <c r="I42" s="187">
        <f t="shared" si="7"/>
        <v>3299.2725340919874</v>
      </c>
      <c r="J42" s="187">
        <f>TREND($C$42:$C$53,$N$42:$N$53,$N42,TRUE)</f>
        <v>3365.2407340945538</v>
      </c>
      <c r="K42" s="187">
        <f t="shared" ref="K42:K53" si="9">GROWTH($C$42:$C$53,$N$42:$N$53,$N42,TRUE)</f>
        <v>3365.1956060595667</v>
      </c>
      <c r="L42" s="65"/>
      <c r="M42" s="2"/>
      <c r="N42" s="12">
        <f t="shared" si="2"/>
        <v>2023.25</v>
      </c>
    </row>
    <row r="43" spans="1:14" x14ac:dyDescent="0.2">
      <c r="A43" s="12" t="str">
        <f t="shared" si="1"/>
        <v>06/30/2023</v>
      </c>
      <c r="B43"/>
      <c r="C43" s="186">
        <f>'[2]Boeckh (R)'!E107</f>
        <v>3405.4167349999998</v>
      </c>
      <c r="D43" s="187">
        <f>TREND($C$14:$C$53,$N$14:$N$53,$N43,TRUE)</f>
        <v>3170.1984994701925</v>
      </c>
      <c r="E43" s="187">
        <f t="shared" si="3"/>
        <v>3151.0613632730319</v>
      </c>
      <c r="F43" s="187">
        <f t="shared" si="6"/>
        <v>3206.9275141531834</v>
      </c>
      <c r="G43" s="187">
        <f t="shared" si="5"/>
        <v>3194.1089379225464</v>
      </c>
      <c r="H43" s="187">
        <f t="shared" si="8"/>
        <v>3314.5301657077216</v>
      </c>
      <c r="I43" s="187">
        <f t="shared" si="7"/>
        <v>3312.7527231753506</v>
      </c>
      <c r="J43" s="187">
        <f t="shared" ref="J43:J52" si="10">TREND($C$42:$C$53,$N$42:$N$53,$N43,TRUE)</f>
        <v>3368.8071013945955</v>
      </c>
      <c r="K43" s="187">
        <f t="shared" si="9"/>
        <v>3368.7285629940707</v>
      </c>
      <c r="L43" s="65"/>
      <c r="M43" s="2"/>
      <c r="N43" s="12">
        <f t="shared" si="2"/>
        <v>2023.5</v>
      </c>
    </row>
    <row r="44" spans="1:14" x14ac:dyDescent="0.2">
      <c r="A44" s="12" t="str">
        <f t="shared" si="1"/>
        <v>09/30/2023</v>
      </c>
      <c r="C44" s="186">
        <f>'[2]Boeckh (R)'!E108</f>
        <v>3374.2541518750004</v>
      </c>
      <c r="D44" s="187">
        <f t="shared" si="4"/>
        <v>3206.8591755772359</v>
      </c>
      <c r="E44" s="187">
        <f t="shared" si="3"/>
        <v>3192.0590956341393</v>
      </c>
      <c r="F44" s="187">
        <f t="shared" si="6"/>
        <v>3244.1622928468278</v>
      </c>
      <c r="G44" s="187">
        <f t="shared" si="5"/>
        <v>3233.2879937715152</v>
      </c>
      <c r="H44" s="187">
        <f t="shared" si="8"/>
        <v>3327.8992832449439</v>
      </c>
      <c r="I44" s="187">
        <f t="shared" si="7"/>
        <v>3326.287989702535</v>
      </c>
      <c r="J44" s="187">
        <f t="shared" si="10"/>
        <v>3372.3734686946409</v>
      </c>
      <c r="K44" s="187">
        <f t="shared" si="9"/>
        <v>3372.2652290100491</v>
      </c>
      <c r="L44" s="65"/>
      <c r="M44" s="2"/>
      <c r="N44" s="12">
        <f t="shared" si="2"/>
        <v>2023.75</v>
      </c>
    </row>
    <row r="45" spans="1:14" x14ac:dyDescent="0.2">
      <c r="A45" s="12" t="str">
        <f t="shared" si="1"/>
        <v>12/31/2023</v>
      </c>
      <c r="C45" s="186">
        <f>'[2]Boeckh (R)'!E109</f>
        <v>3345.5545734374996</v>
      </c>
      <c r="D45" s="187">
        <f t="shared" si="4"/>
        <v>3243.5198516842793</v>
      </c>
      <c r="E45" s="187">
        <f t="shared" si="3"/>
        <v>3233.5902400316932</v>
      </c>
      <c r="F45" s="187">
        <f t="shared" si="6"/>
        <v>3281.3970715404139</v>
      </c>
      <c r="G45" s="187">
        <f t="shared" si="5"/>
        <v>3272.947621337682</v>
      </c>
      <c r="H45" s="187">
        <f t="shared" si="8"/>
        <v>3341.2684007821663</v>
      </c>
      <c r="I45" s="187">
        <f t="shared" si="7"/>
        <v>3339.878558709363</v>
      </c>
      <c r="J45" s="187">
        <f t="shared" si="10"/>
        <v>3375.9398359946827</v>
      </c>
      <c r="K45" s="187">
        <f t="shared" si="9"/>
        <v>3375.8056080014999</v>
      </c>
      <c r="L45" s="65"/>
      <c r="M45" s="2"/>
      <c r="N45" s="12">
        <f t="shared" si="2"/>
        <v>2024</v>
      </c>
    </row>
    <row r="46" spans="1:14" x14ac:dyDescent="0.2">
      <c r="A46" s="12" t="str">
        <f t="shared" si="1"/>
        <v>03/31/2024</v>
      </c>
      <c r="C46" s="186">
        <f>'[2]Boeckh (R)'!E110</f>
        <v>3335.7008337500001</v>
      </c>
      <c r="D46" s="187">
        <f t="shared" si="4"/>
        <v>3280.1805277913227</v>
      </c>
      <c r="E46" s="187">
        <f t="shared" si="3"/>
        <v>3275.6617365666748</v>
      </c>
      <c r="F46" s="187">
        <f t="shared" si="6"/>
        <v>3318.6318502340582</v>
      </c>
      <c r="G46" s="187">
        <f t="shared" si="5"/>
        <v>3313.0937153311265</v>
      </c>
      <c r="H46" s="187">
        <f t="shared" si="8"/>
        <v>3354.6375183193886</v>
      </c>
      <c r="I46" s="187">
        <f t="shared" si="7"/>
        <v>3353.5246561510185</v>
      </c>
      <c r="J46" s="187">
        <f t="shared" si="10"/>
        <v>3379.506203294728</v>
      </c>
      <c r="K46" s="187">
        <f t="shared" si="9"/>
        <v>3379.3497038664927</v>
      </c>
      <c r="L46" s="65"/>
      <c r="M46" s="2"/>
      <c r="N46" s="12">
        <f t="shared" si="2"/>
        <v>2024.25</v>
      </c>
    </row>
    <row r="47" spans="1:14" x14ac:dyDescent="0.2">
      <c r="A47" s="12" t="str">
        <f t="shared" si="1"/>
        <v>06/30/2024</v>
      </c>
      <c r="C47" s="186">
        <f>'[2]Boeckh (R)'!E111</f>
        <v>3342.8309256250004</v>
      </c>
      <c r="D47" s="187">
        <f t="shared" si="4"/>
        <v>3316.8412038984243</v>
      </c>
      <c r="E47" s="187">
        <f t="shared" si="3"/>
        <v>3318.2806156359757</v>
      </c>
      <c r="F47" s="187">
        <f t="shared" si="6"/>
        <v>3355.8666289276443</v>
      </c>
      <c r="G47" s="187">
        <f t="shared" si="5"/>
        <v>3353.7322427666527</v>
      </c>
      <c r="H47" s="187">
        <f t="shared" si="8"/>
        <v>3368.0066358566255</v>
      </c>
      <c r="I47" s="187">
        <f t="shared" si="7"/>
        <v>3367.2265089059856</v>
      </c>
      <c r="J47" s="187">
        <f t="shared" si="10"/>
        <v>3383.0725705947698</v>
      </c>
      <c r="K47" s="187">
        <f t="shared" si="9"/>
        <v>3382.897520507192</v>
      </c>
      <c r="L47" s="65"/>
      <c r="M47" s="2"/>
      <c r="N47" s="12">
        <f t="shared" si="2"/>
        <v>2024.5</v>
      </c>
    </row>
    <row r="48" spans="1:14" x14ac:dyDescent="0.2">
      <c r="A48" s="12" t="str">
        <f t="shared" si="1"/>
        <v>09/30/2024</v>
      </c>
      <c r="B48"/>
      <c r="C48" s="186">
        <f>'[2]Boeckh (R)'!E112</f>
        <v>3355.4095378125003</v>
      </c>
      <c r="D48" s="187">
        <f t="shared" si="4"/>
        <v>3353.5018800054677</v>
      </c>
      <c r="E48" s="187">
        <f t="shared" si="3"/>
        <v>3361.4539991075007</v>
      </c>
      <c r="F48" s="187">
        <f t="shared" si="6"/>
        <v>3393.1014076212305</v>
      </c>
      <c r="G48" s="187">
        <f t="shared" si="5"/>
        <v>3394.8692438506382</v>
      </c>
      <c r="H48" s="187">
        <f t="shared" si="8"/>
        <v>3381.3757533938478</v>
      </c>
      <c r="I48" s="187">
        <f t="shared" si="7"/>
        <v>3380.9843447796625</v>
      </c>
      <c r="J48" s="187">
        <f t="shared" si="10"/>
        <v>3386.6389378948152</v>
      </c>
      <c r="K48" s="187">
        <f t="shared" si="9"/>
        <v>3386.4490618298632</v>
      </c>
      <c r="L48" s="65"/>
      <c r="M48" s="2"/>
      <c r="N48" s="12">
        <f t="shared" si="2"/>
        <v>2024.75</v>
      </c>
    </row>
    <row r="49" spans="1:14" x14ac:dyDescent="0.2">
      <c r="A49" s="12" t="str">
        <f t="shared" si="1"/>
        <v>12/31/2024</v>
      </c>
      <c r="C49" s="186">
        <f>'[2]Boeckh (R)'!E113</f>
        <v>3371.7454990625001</v>
      </c>
      <c r="D49" s="187">
        <f t="shared" si="4"/>
        <v>3390.1625561125111</v>
      </c>
      <c r="E49" s="187">
        <f t="shared" si="3"/>
        <v>3405.1891015100887</v>
      </c>
      <c r="F49" s="187">
        <f t="shared" si="6"/>
        <v>3430.3361863148748</v>
      </c>
      <c r="G49" s="187">
        <f t="shared" si="5"/>
        <v>3436.5108328789952</v>
      </c>
      <c r="H49" s="187">
        <f t="shared" si="8"/>
        <v>3394.7448709310702</v>
      </c>
      <c r="I49" s="187">
        <f t="shared" si="7"/>
        <v>3394.7983925082126</v>
      </c>
      <c r="J49" s="187">
        <f t="shared" si="10"/>
        <v>3390.2053051948606</v>
      </c>
      <c r="K49" s="187">
        <f t="shared" si="9"/>
        <v>3390.0043317448699</v>
      </c>
      <c r="L49" s="65"/>
      <c r="M49" s="2"/>
      <c r="N49" s="12">
        <f t="shared" si="2"/>
        <v>2025</v>
      </c>
    </row>
    <row r="50" spans="1:14" x14ac:dyDescent="0.2">
      <c r="A50" s="12" t="str">
        <f t="shared" si="1"/>
        <v>03/31/2025</v>
      </c>
      <c r="C50" s="186">
        <f>'[2]Boeckh (R)'!E114</f>
        <v>3387.52019625</v>
      </c>
      <c r="D50" s="187">
        <f t="shared" si="4"/>
        <v>3426.8232322195545</v>
      </c>
      <c r="E50" s="187">
        <f t="shared" si="3"/>
        <v>3449.4932312391957</v>
      </c>
      <c r="F50" s="187">
        <f t="shared" si="6"/>
        <v>3467.5709650084609</v>
      </c>
      <c r="G50" s="187">
        <f t="shared" si="5"/>
        <v>3478.6631991456638</v>
      </c>
      <c r="H50" s="187">
        <f t="shared" si="8"/>
        <v>3408.1139884682925</v>
      </c>
      <c r="I50" s="187">
        <f t="shared" si="7"/>
        <v>3408.6688817624458</v>
      </c>
      <c r="J50" s="187">
        <f t="shared" si="10"/>
        <v>3393.7716724949023</v>
      </c>
      <c r="K50" s="187">
        <f t="shared" si="9"/>
        <v>3393.5633341666812</v>
      </c>
      <c r="L50" s="65"/>
      <c r="M50" s="2"/>
      <c r="N50" s="12">
        <f t="shared" si="2"/>
        <v>2025.25</v>
      </c>
    </row>
    <row r="51" spans="1:14" x14ac:dyDescent="0.2">
      <c r="A51" s="12" t="str">
        <f t="shared" si="1"/>
        <v>06/30/2025</v>
      </c>
      <c r="C51" s="186">
        <f>'[2]Boeckh (R)'!E115</f>
        <v>3403.6533259375001</v>
      </c>
      <c r="D51" s="187">
        <f t="shared" si="4"/>
        <v>3463.4839083266561</v>
      </c>
      <c r="E51" s="187">
        <f t="shared" si="3"/>
        <v>3494.3737917779786</v>
      </c>
      <c r="F51" s="187">
        <f t="shared" si="6"/>
        <v>3504.8057437021052</v>
      </c>
      <c r="G51" s="187">
        <f t="shared" si="5"/>
        <v>3521.3326078627392</v>
      </c>
      <c r="H51" s="187">
        <f t="shared" si="8"/>
        <v>3421.4831060055149</v>
      </c>
      <c r="I51" s="187">
        <f t="shared" si="7"/>
        <v>3422.5960431514641</v>
      </c>
      <c r="J51" s="187">
        <f t="shared" si="10"/>
        <v>3397.3380397949477</v>
      </c>
      <c r="K51" s="187">
        <f t="shared" si="9"/>
        <v>3397.1260730138774</v>
      </c>
      <c r="L51" s="65"/>
      <c r="M51" s="2"/>
      <c r="N51" s="12">
        <f t="shared" si="2"/>
        <v>2025.5</v>
      </c>
    </row>
    <row r="52" spans="1:14" x14ac:dyDescent="0.2">
      <c r="A52" s="12" t="str">
        <f>TEXT(DATE(YEAR(A53+1),MONTH(A53+1)-3,1)-1,"mm/dd/yyyy")</f>
        <v>09/30/2025</v>
      </c>
      <c r="C52" s="186">
        <f>'[2]Boeckh (R)'!E116</f>
        <v>3423.4402756250001</v>
      </c>
      <c r="D52" s="187">
        <f t="shared" si="4"/>
        <v>3500.1445844336995</v>
      </c>
      <c r="E52" s="187">
        <f t="shared" si="3"/>
        <v>3539.8382829347529</v>
      </c>
      <c r="F52" s="187">
        <f t="shared" si="6"/>
        <v>3542.0405223956914</v>
      </c>
      <c r="G52" s="187">
        <f t="shared" si="5"/>
        <v>3564.5254010916324</v>
      </c>
      <c r="H52" s="187">
        <f t="shared" si="8"/>
        <v>3434.8522235427372</v>
      </c>
      <c r="I52" s="187">
        <f t="shared" si="7"/>
        <v>3436.5801082266917</v>
      </c>
      <c r="J52" s="187">
        <f t="shared" si="10"/>
        <v>3400.9044070949894</v>
      </c>
      <c r="K52" s="187">
        <f t="shared" si="9"/>
        <v>3400.6925522091506</v>
      </c>
      <c r="L52" s="65"/>
      <c r="M52" s="2"/>
      <c r="N52" s="12">
        <f t="shared" si="2"/>
        <v>2025.75</v>
      </c>
    </row>
    <row r="53" spans="1:14" x14ac:dyDescent="0.2">
      <c r="A53" s="12" t="str">
        <f>TEXT(N9,"mm/dd/yyyy")</f>
        <v>12/31/2025</v>
      </c>
      <c r="C53" s="186">
        <f>'[2]Boeckh (R)'!E117</f>
        <v>3450.9821456250002</v>
      </c>
      <c r="D53" s="187">
        <f t="shared" si="4"/>
        <v>3536.8052605407429</v>
      </c>
      <c r="E53" s="187">
        <f t="shared" si="3"/>
        <v>3585.8943020961119</v>
      </c>
      <c r="F53" s="187">
        <f t="shared" si="6"/>
        <v>3579.2753010892775</v>
      </c>
      <c r="G53" s="187">
        <f t="shared" si="5"/>
        <v>3608.2479986857106</v>
      </c>
      <c r="H53" s="187">
        <f t="shared" si="8"/>
        <v>3448.2213410799595</v>
      </c>
      <c r="I53" s="187">
        <f t="shared" si="7"/>
        <v>3450.6213094855539</v>
      </c>
      <c r="J53" s="187">
        <f>TREND($C$42:$C$53,$N$42:$N$53,$N53,TRUE)</f>
        <v>3404.4707743950348</v>
      </c>
      <c r="K53" s="187">
        <f t="shared" si="9"/>
        <v>3404.2627756793136</v>
      </c>
      <c r="L53" s="65"/>
      <c r="M53" s="2"/>
      <c r="N53" s="12">
        <f t="shared" si="2"/>
        <v>2026</v>
      </c>
    </row>
    <row r="54" spans="1:14" x14ac:dyDescent="0.2">
      <c r="A54" s="66"/>
      <c r="B54" s="9"/>
      <c r="C54" s="94"/>
      <c r="D54" s="67"/>
      <c r="E54" s="67"/>
      <c r="F54" s="67"/>
      <c r="G54" s="67"/>
      <c r="H54" s="67"/>
      <c r="I54" s="67"/>
      <c r="J54" s="67"/>
      <c r="K54" s="67"/>
      <c r="M54" s="2"/>
    </row>
    <row r="55" spans="1:14" x14ac:dyDescent="0.2">
      <c r="A55"/>
      <c r="C55"/>
      <c r="D55"/>
      <c r="E55"/>
      <c r="F55"/>
      <c r="G55"/>
      <c r="H55"/>
      <c r="J55"/>
      <c r="K55"/>
      <c r="L55"/>
      <c r="M55" s="2"/>
    </row>
    <row r="56" spans="1:14" x14ac:dyDescent="0.2">
      <c r="A56" s="12" t="s">
        <v>233</v>
      </c>
      <c r="C56"/>
      <c r="D56" s="20">
        <f>(D53-D49)/D53</f>
        <v>4.1461910856186515E-2</v>
      </c>
      <c r="E56" s="20">
        <f>LOGEST($C$14:$C$53,$N$14:$N$53,TRUE,TRUE)-1</f>
        <v>5.3067596306427767E-2</v>
      </c>
      <c r="F56" s="20">
        <f>(F53-F49)/F53</f>
        <v>4.1611528101533901E-2</v>
      </c>
      <c r="G56" s="20">
        <f>LOGEST($C$34:$C$53,$N$34:$N$53,TRUE,TRUE)-1</f>
        <v>4.9974283265332931E-2</v>
      </c>
      <c r="H56" s="20">
        <f>(H53-H49)/H53</f>
        <v>1.5508421548177323E-2</v>
      </c>
      <c r="I56" s="20">
        <f>LOGEST($C$38:$C$53,$N$38:$N$53,TRUE,TRUE)-1</f>
        <v>1.6443661897719508E-2</v>
      </c>
      <c r="J56" s="20">
        <f>(J53-J49)/J53</f>
        <v>4.190216378846489E-3</v>
      </c>
      <c r="K56" s="20">
        <f>LOGEST($C$42:$C$53,$N$42:$N$53,TRUE,TRUE)-1</f>
        <v>4.2060252846647384E-3</v>
      </c>
      <c r="L56" s="20"/>
      <c r="M56" s="2"/>
    </row>
    <row r="57" spans="1:14" x14ac:dyDescent="0.2">
      <c r="A57" t="s">
        <v>234</v>
      </c>
      <c r="B57"/>
      <c r="C57" s="53"/>
      <c r="D57" s="28">
        <f>INDEX(LINEST($C$14:$C$53,$N$14:$N$53,TRUE,TRUE),3,1)</f>
        <v>0.88812193306568998</v>
      </c>
      <c r="E57" s="28">
        <f>INDEX(LOGEST($C$14:$C$53,$N$14:$N$53,TRUE,TRUE),3,1)</f>
        <v>0.89918552955000897</v>
      </c>
      <c r="F57" s="28">
        <f>INDEX(LINEST($C$34:$C$53,$N$34:$N$53,TRUE,TRUE),3,1)</f>
        <v>0.65415126058197171</v>
      </c>
      <c r="G57" s="28">
        <f>INDEX(LOGEST($C$34:$C$53,$N$34:$N$53,TRUE,TRUE),3,1)</f>
        <v>0.63934031983398509</v>
      </c>
      <c r="H57" s="28">
        <f>INDEX(LINEST($C$38:$C$53,$N$38:$N$53,TRUE,TRUE),3,1)</f>
        <v>0.46681119668977133</v>
      </c>
      <c r="I57" s="28">
        <f>INDEX(LOGEST($C$38:$C$53,$N$38:$N$53,TRUE,TRUE),3,1)</f>
        <v>0.46166577759706134</v>
      </c>
      <c r="J57" s="28">
        <f>INDEX(LINEST($C$42:$C$53,$N$42:$N$53,TRUE,TRUE),3,1)</f>
        <v>0.1221920129452215</v>
      </c>
      <c r="K57" s="28">
        <f>INDEX(LOGEST($C$42:$C$53,$N$42:$N$53,TRUE,TRUE),3,1)</f>
        <v>0.12148378133332585</v>
      </c>
      <c r="L57" s="28"/>
      <c r="M57" s="2"/>
    </row>
    <row r="58" spans="1:14" ht="12" thickBo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/>
      <c r="M58" s="2"/>
    </row>
    <row r="59" spans="1:14" ht="12" thickTop="1" x14ac:dyDescent="0.2">
      <c r="A59"/>
      <c r="B59"/>
      <c r="C59"/>
      <c r="D59"/>
      <c r="E59"/>
      <c r="F59"/>
      <c r="G59"/>
      <c r="H59"/>
      <c r="I59"/>
      <c r="M59" s="2"/>
    </row>
    <row r="60" spans="1:14" x14ac:dyDescent="0.2">
      <c r="A60" t="s">
        <v>17</v>
      </c>
      <c r="B60"/>
      <c r="F60"/>
      <c r="G60"/>
      <c r="H60"/>
      <c r="I60"/>
      <c r="J60"/>
      <c r="K60"/>
      <c r="L60"/>
      <c r="M60" s="2"/>
    </row>
    <row r="61" spans="1:14" x14ac:dyDescent="0.2">
      <c r="A61"/>
      <c r="B61" s="12" t="str">
        <f>C12&amp;" = Average index for Corpus Christi and Houston"</f>
        <v>(2) = Average index for Corpus Christi and Houston</v>
      </c>
      <c r="C61"/>
      <c r="D61"/>
      <c r="E61"/>
      <c r="F61"/>
      <c r="H61"/>
      <c r="J61"/>
      <c r="K61"/>
      <c r="L61"/>
      <c r="M61" s="2"/>
    </row>
    <row r="62" spans="1:14" x14ac:dyDescent="0.2">
      <c r="B62" s="12" t="str">
        <f>D12&amp;" - "&amp;K12&amp;" = "&amp;C12&amp;" Fitted to linear and exponential distributions"</f>
        <v>(3) - (10) = (2) Fitted to linear and exponential distributions</v>
      </c>
      <c r="I62"/>
      <c r="M62" s="2"/>
    </row>
    <row r="63" spans="1:14" x14ac:dyDescent="0.2">
      <c r="I63"/>
      <c r="M63" s="2"/>
    </row>
    <row r="64" spans="1:14" x14ac:dyDescent="0.2">
      <c r="I64"/>
      <c r="M64" s="2"/>
    </row>
    <row r="65" spans="1:13" x14ac:dyDescent="0.2">
      <c r="I65"/>
      <c r="M65" s="2"/>
    </row>
    <row r="66" spans="1:13" x14ac:dyDescent="0.2">
      <c r="I66"/>
      <c r="M66" s="2"/>
    </row>
    <row r="67" spans="1:13" x14ac:dyDescent="0.2">
      <c r="I67"/>
      <c r="M67" s="2"/>
    </row>
    <row r="68" spans="1:13" ht="12" thickBot="1" x14ac:dyDescent="0.25">
      <c r="A68"/>
      <c r="D68"/>
      <c r="E68"/>
      <c r="F68"/>
      <c r="H68"/>
      <c r="J68"/>
      <c r="K68"/>
      <c r="L68"/>
      <c r="M68" s="2"/>
    </row>
    <row r="69" spans="1:13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3"/>
    </row>
  </sheetData>
  <phoneticPr fontId="4" type="noConversion"/>
  <pageMargins left="0.5" right="0.5" top="0.5" bottom="0.5" header="0.5" footer="0.5"/>
  <pageSetup orientation="portrait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0">
    <tabColor rgb="FF92D050"/>
  </sheetPr>
  <dimension ref="A1:Q70"/>
  <sheetViews>
    <sheetView showGridLines="0" topLeftCell="A27" zoomScaleNormal="100" workbookViewId="0">
      <selection activeCell="P38" sqref="P38"/>
    </sheetView>
  </sheetViews>
  <sheetFormatPr defaultColWidth="11.33203125" defaultRowHeight="11.25" x14ac:dyDescent="0.2"/>
  <cols>
    <col min="1" max="1" width="3.5" style="12" customWidth="1"/>
    <col min="2" max="2" width="10.6640625" style="12" customWidth="1"/>
    <col min="3" max="11" width="11.5" style="12" customWidth="1"/>
    <col min="12" max="12" width="3.5" style="12" customWidth="1"/>
    <col min="13" max="16384" width="11.33203125" style="12"/>
  </cols>
  <sheetData>
    <row r="1" spans="1:17" x14ac:dyDescent="0.2">
      <c r="A1" s="8" t="str">
        <f>'1'!$A$1</f>
        <v>Texas Windstorm Insurance Association</v>
      </c>
      <c r="C1"/>
      <c r="D1"/>
      <c r="E1"/>
      <c r="F1"/>
      <c r="G1"/>
      <c r="H1"/>
      <c r="I1"/>
      <c r="J1"/>
      <c r="L1" s="7" t="s">
        <v>60</v>
      </c>
      <c r="M1" s="1"/>
      <c r="Q1" s="95"/>
    </row>
    <row r="2" spans="1:17" x14ac:dyDescent="0.2">
      <c r="A2" s="8" t="str">
        <f>'1'!$A$2</f>
        <v>Residential Property - Wind &amp; Hail</v>
      </c>
      <c r="C2"/>
      <c r="D2"/>
      <c r="E2"/>
      <c r="F2"/>
      <c r="G2"/>
      <c r="H2"/>
      <c r="I2"/>
      <c r="J2"/>
      <c r="L2" s="7" t="s">
        <v>54</v>
      </c>
      <c r="M2" s="2"/>
    </row>
    <row r="3" spans="1:17" x14ac:dyDescent="0.2">
      <c r="A3" s="8" t="str">
        <f>'1'!$A$3</f>
        <v>Rate Level Review</v>
      </c>
      <c r="C3"/>
      <c r="D3"/>
      <c r="E3"/>
      <c r="F3"/>
      <c r="G3"/>
      <c r="H3"/>
      <c r="I3"/>
      <c r="J3"/>
      <c r="K3"/>
      <c r="L3"/>
      <c r="M3" s="2"/>
    </row>
    <row r="4" spans="1:17" x14ac:dyDescent="0.2">
      <c r="A4" s="63" t="s">
        <v>210</v>
      </c>
      <c r="C4"/>
      <c r="D4"/>
      <c r="E4"/>
      <c r="F4"/>
      <c r="G4"/>
      <c r="H4"/>
      <c r="I4"/>
      <c r="J4"/>
      <c r="K4"/>
      <c r="L4"/>
      <c r="M4" s="2"/>
    </row>
    <row r="5" spans="1:17" x14ac:dyDescent="0.2">
      <c r="A5" s="63" t="s">
        <v>236</v>
      </c>
      <c r="C5"/>
      <c r="D5"/>
      <c r="E5"/>
      <c r="F5"/>
      <c r="G5"/>
      <c r="H5"/>
      <c r="I5"/>
      <c r="J5"/>
      <c r="K5"/>
      <c r="L5"/>
      <c r="M5" s="2"/>
    </row>
    <row r="6" spans="1:17" x14ac:dyDescent="0.2">
      <c r="B6"/>
      <c r="C6"/>
      <c r="D6"/>
      <c r="E6"/>
      <c r="F6"/>
      <c r="G6"/>
      <c r="H6"/>
      <c r="I6"/>
      <c r="J6"/>
      <c r="K6"/>
      <c r="L6"/>
      <c r="M6" s="2"/>
    </row>
    <row r="7" spans="1:17" ht="12" thickBo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/>
      <c r="M7" s="2"/>
    </row>
    <row r="8" spans="1:17" ht="12" thickTop="1" x14ac:dyDescent="0.2">
      <c r="A8"/>
      <c r="B8"/>
      <c r="C8"/>
      <c r="D8"/>
      <c r="E8"/>
      <c r="F8"/>
      <c r="G8"/>
      <c r="H8"/>
      <c r="I8"/>
      <c r="J8"/>
      <c r="K8"/>
      <c r="L8"/>
      <c r="M8" s="2"/>
      <c r="N8" t="s">
        <v>212</v>
      </c>
    </row>
    <row r="9" spans="1:17" x14ac:dyDescent="0.2">
      <c r="A9" t="s">
        <v>184</v>
      </c>
      <c r="B9"/>
      <c r="C9" s="180"/>
      <c r="D9" s="218" t="s">
        <v>226</v>
      </c>
      <c r="E9" s="218"/>
      <c r="F9" s="222"/>
      <c r="G9" s="218"/>
      <c r="H9" s="218"/>
      <c r="I9" s="218"/>
      <c r="J9" s="218"/>
      <c r="K9" s="218"/>
      <c r="L9"/>
      <c r="M9" s="2"/>
      <c r="N9" s="59">
        <v>46022</v>
      </c>
    </row>
    <row r="10" spans="1:17" x14ac:dyDescent="0.2">
      <c r="A10" t="s">
        <v>208</v>
      </c>
      <c r="B10"/>
      <c r="C10" s="11" t="s">
        <v>215</v>
      </c>
      <c r="D10" s="11" t="s">
        <v>227</v>
      </c>
      <c r="E10" s="11"/>
      <c r="F10" s="240" t="s">
        <v>228</v>
      </c>
      <c r="G10" s="240"/>
      <c r="H10" s="240" t="s">
        <v>229</v>
      </c>
      <c r="I10" s="240"/>
      <c r="J10" s="240" t="s">
        <v>230</v>
      </c>
      <c r="K10" s="240"/>
      <c r="L10"/>
      <c r="M10" s="2"/>
    </row>
    <row r="11" spans="1:17" x14ac:dyDescent="0.2">
      <c r="A11" s="9" t="s">
        <v>32</v>
      </c>
      <c r="B11" s="9"/>
      <c r="C11" s="121" t="s">
        <v>218</v>
      </c>
      <c r="D11" s="121" t="s">
        <v>231</v>
      </c>
      <c r="E11" s="121" t="s">
        <v>232</v>
      </c>
      <c r="F11" s="121" t="s">
        <v>231</v>
      </c>
      <c r="G11" s="121" t="s">
        <v>232</v>
      </c>
      <c r="H11" s="121" t="s">
        <v>231</v>
      </c>
      <c r="I11" s="121" t="s">
        <v>232</v>
      </c>
      <c r="J11" s="121" t="s">
        <v>231</v>
      </c>
      <c r="K11" s="121" t="s">
        <v>232</v>
      </c>
      <c r="L11"/>
      <c r="M11" s="2"/>
      <c r="N11" s="9" t="s">
        <v>209</v>
      </c>
    </row>
    <row r="12" spans="1:17" x14ac:dyDescent="0.2">
      <c r="A12" s="13" t="str">
        <f>TEXT(COLUMN(),"(#)")</f>
        <v>(1)</v>
      </c>
      <c r="B12" s="13"/>
      <c r="C12" s="11" t="str">
        <f t="shared" ref="C12:K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11" t="str">
        <f t="shared" si="0"/>
        <v>(7)</v>
      </c>
      <c r="I12" s="11" t="str">
        <f t="shared" si="0"/>
        <v>(8)</v>
      </c>
      <c r="J12" s="11" t="str">
        <f t="shared" si="0"/>
        <v>(9)</v>
      </c>
      <c r="K12" s="11" t="str">
        <f t="shared" si="0"/>
        <v>(10)</v>
      </c>
      <c r="L12" s="11"/>
      <c r="M12" s="2"/>
    </row>
    <row r="13" spans="1:17" x14ac:dyDescent="0.2">
      <c r="A13"/>
      <c r="B13"/>
      <c r="C13"/>
      <c r="D13"/>
      <c r="E13"/>
      <c r="F13"/>
      <c r="G13"/>
      <c r="H13"/>
      <c r="I13"/>
      <c r="J13"/>
      <c r="K13"/>
      <c r="L13"/>
      <c r="M13" s="2"/>
    </row>
    <row r="14" spans="1:17" x14ac:dyDescent="0.2">
      <c r="A14" s="12" t="str">
        <f t="shared" ref="A14:A53" si="1">TEXT(DATE(YEAR(A15+1),MONTH(A15+1)-3,1)-1,"mm/dd/yyyy")</f>
        <v>09/30/2015</v>
      </c>
      <c r="B14" s="23"/>
      <c r="C14" s="149">
        <f>[2]CPI!G116</f>
        <v>190.88</v>
      </c>
      <c r="D14" s="65">
        <f>TREND($C$14:$C$55,$N$14:$N$55,$N14,TRUE)</f>
        <v>184.09581395348687</v>
      </c>
      <c r="E14" s="65">
        <f>GROWTH($C$14:$C$55,$N$14:$N$55,$N14,TRUE)</f>
        <v>185.22546041579875</v>
      </c>
      <c r="F14" s="65"/>
      <c r="G14" s="65"/>
      <c r="H14" s="29"/>
      <c r="I14"/>
      <c r="J14" s="29"/>
      <c r="K14"/>
      <c r="L14"/>
      <c r="M14" s="2"/>
      <c r="N14" s="12">
        <f t="shared" ref="N14:N55" si="2">YEAR(A14)+MONTH(A14)/12</f>
        <v>2015.75</v>
      </c>
    </row>
    <row r="15" spans="1:17" x14ac:dyDescent="0.2">
      <c r="A15" s="12" t="str">
        <f t="shared" si="1"/>
        <v>12/31/2015</v>
      </c>
      <c r="C15" s="149">
        <f>[2]CPI!G117</f>
        <v>191.87</v>
      </c>
      <c r="D15" s="65">
        <f t="shared" ref="D15:D54" si="3">TREND($C$14:$C$55,$N$14:$N$55,$N15,TRUE)</f>
        <v>185.3145895794496</v>
      </c>
      <c r="E15" s="65">
        <f t="shared" ref="E15:E55" si="4">GROWTH($C$14:$C$55,$N$14:$N$55,$N15,TRUE)</f>
        <v>186.296933164287</v>
      </c>
      <c r="K15"/>
      <c r="L15"/>
      <c r="M15" s="2"/>
      <c r="N15" s="12">
        <f t="shared" si="2"/>
        <v>2016</v>
      </c>
    </row>
    <row r="16" spans="1:17" x14ac:dyDescent="0.2">
      <c r="A16" s="12" t="str">
        <f t="shared" si="1"/>
        <v>03/31/2016</v>
      </c>
      <c r="B16" s="23"/>
      <c r="C16" s="149">
        <f>[2]CPI!G118</f>
        <v>192.44</v>
      </c>
      <c r="D16" s="65">
        <f t="shared" si="3"/>
        <v>186.53336520541234</v>
      </c>
      <c r="E16" s="65">
        <f t="shared" si="4"/>
        <v>187.3746040555572</v>
      </c>
      <c r="F16" s="65"/>
      <c r="G16" s="65"/>
      <c r="H16" s="29"/>
      <c r="I16"/>
      <c r="J16" s="29"/>
      <c r="K16"/>
      <c r="L16"/>
      <c r="M16" s="2"/>
      <c r="N16" s="12">
        <f t="shared" si="2"/>
        <v>2016.25</v>
      </c>
    </row>
    <row r="17" spans="1:14" x14ac:dyDescent="0.2">
      <c r="A17" s="12" t="str">
        <f t="shared" si="1"/>
        <v>06/30/2016</v>
      </c>
      <c r="B17" s="23"/>
      <c r="C17" s="149">
        <f>[2]CPI!G119</f>
        <v>193.31</v>
      </c>
      <c r="D17" s="65">
        <f t="shared" si="3"/>
        <v>187.75214083137325</v>
      </c>
      <c r="E17" s="65">
        <f t="shared" si="4"/>
        <v>188.45850894397597</v>
      </c>
      <c r="F17" s="65"/>
      <c r="G17" s="65"/>
      <c r="H17" s="29"/>
      <c r="I17"/>
      <c r="J17" s="29"/>
      <c r="K17"/>
      <c r="L17"/>
      <c r="M17" s="2"/>
      <c r="N17" s="12">
        <f t="shared" si="2"/>
        <v>2016.5</v>
      </c>
    </row>
    <row r="18" spans="1:14" x14ac:dyDescent="0.2">
      <c r="A18" s="12" t="str">
        <f t="shared" si="1"/>
        <v>09/30/2016</v>
      </c>
      <c r="B18" s="23"/>
      <c r="C18" s="149">
        <f>[2]CPI!G120</f>
        <v>194.01</v>
      </c>
      <c r="D18" s="65">
        <f t="shared" si="3"/>
        <v>188.97091645733599</v>
      </c>
      <c r="E18" s="65">
        <f t="shared" si="4"/>
        <v>189.54868389131127</v>
      </c>
      <c r="F18" s="65"/>
      <c r="G18" s="65"/>
      <c r="H18" s="29"/>
      <c r="I18"/>
      <c r="J18" s="29"/>
      <c r="K18"/>
      <c r="L18"/>
      <c r="M18" s="2"/>
      <c r="N18" s="12">
        <f t="shared" si="2"/>
        <v>2016.75</v>
      </c>
    </row>
    <row r="19" spans="1:14" x14ac:dyDescent="0.2">
      <c r="A19" s="12" t="str">
        <f t="shared" si="1"/>
        <v>12/31/2016</v>
      </c>
      <c r="B19" s="23"/>
      <c r="C19" s="149">
        <f>[2]CPI!G121</f>
        <v>194.59</v>
      </c>
      <c r="D19" s="65">
        <f t="shared" si="3"/>
        <v>190.18969208329872</v>
      </c>
      <c r="E19" s="65">
        <f t="shared" si="4"/>
        <v>190.64516516794268</v>
      </c>
      <c r="F19" s="65"/>
      <c r="G19" s="65"/>
      <c r="H19" s="29"/>
      <c r="I19"/>
      <c r="J19" s="29"/>
      <c r="K19"/>
      <c r="L19"/>
      <c r="M19" s="2"/>
      <c r="N19" s="12">
        <f t="shared" si="2"/>
        <v>2017</v>
      </c>
    </row>
    <row r="20" spans="1:14" x14ac:dyDescent="0.2">
      <c r="A20" s="12" t="str">
        <f t="shared" si="1"/>
        <v>03/31/2017</v>
      </c>
      <c r="B20" s="23"/>
      <c r="C20" s="149">
        <f>[2]CPI!G122</f>
        <v>193.7</v>
      </c>
      <c r="D20" s="65">
        <f>TREND($C$14:$C$55,$N$14:$N$55,$N20,TRUE)</f>
        <v>191.40846770925964</v>
      </c>
      <c r="E20" s="65">
        <f t="shared" si="4"/>
        <v>191.74798925405744</v>
      </c>
      <c r="F20" s="65"/>
      <c r="G20" s="65"/>
      <c r="H20" s="29"/>
      <c r="I20"/>
      <c r="J20" s="29"/>
      <c r="K20"/>
      <c r="L20"/>
      <c r="M20" s="2"/>
      <c r="N20" s="12">
        <f t="shared" si="2"/>
        <v>2017.25</v>
      </c>
    </row>
    <row r="21" spans="1:14" x14ac:dyDescent="0.2">
      <c r="A21" s="12" t="str">
        <f t="shared" si="1"/>
        <v>06/30/2017</v>
      </c>
      <c r="B21" s="23"/>
      <c r="C21" s="149">
        <f>[2]CPI!G123</f>
        <v>193.92</v>
      </c>
      <c r="D21" s="65">
        <f t="shared" si="3"/>
        <v>192.62724333522237</v>
      </c>
      <c r="E21" s="65">
        <f t="shared" si="4"/>
        <v>192.85719284087503</v>
      </c>
      <c r="F21" s="65"/>
      <c r="G21" s="65"/>
      <c r="H21" s="29"/>
      <c r="I21"/>
      <c r="J21" s="29"/>
      <c r="K21"/>
      <c r="L21"/>
      <c r="M21" s="2"/>
      <c r="N21" s="12">
        <f t="shared" si="2"/>
        <v>2017.5</v>
      </c>
    </row>
    <row r="22" spans="1:14" x14ac:dyDescent="0.2">
      <c r="A22" s="12" t="str">
        <f t="shared" si="1"/>
        <v>09/30/2017</v>
      </c>
      <c r="B22" s="23"/>
      <c r="C22" s="149">
        <f>[2]CPI!G124</f>
        <v>194.21</v>
      </c>
      <c r="D22" s="65">
        <f t="shared" si="3"/>
        <v>193.84601896118511</v>
      </c>
      <c r="E22" s="65">
        <f t="shared" si="4"/>
        <v>193.97281283185825</v>
      </c>
      <c r="F22" s="65"/>
      <c r="G22" s="65"/>
      <c r="H22" s="29"/>
      <c r="I22"/>
      <c r="J22" s="29"/>
      <c r="K22"/>
      <c r="L22"/>
      <c r="M22" s="2"/>
      <c r="N22" s="12">
        <f t="shared" si="2"/>
        <v>2017.75</v>
      </c>
    </row>
    <row r="23" spans="1:14" x14ac:dyDescent="0.2">
      <c r="A23" s="12" t="str">
        <f t="shared" si="1"/>
        <v>12/31/2017</v>
      </c>
      <c r="B23" s="23"/>
      <c r="C23" s="149">
        <f>[2]CPI!G125</f>
        <v>194.56</v>
      </c>
      <c r="D23" s="65">
        <f t="shared" si="3"/>
        <v>195.06479458714784</v>
      </c>
      <c r="E23" s="65">
        <f t="shared" si="4"/>
        <v>195.09488634394529</v>
      </c>
      <c r="F23" s="65"/>
      <c r="G23" s="65"/>
      <c r="H23" s="29"/>
      <c r="I23"/>
      <c r="J23" s="29"/>
      <c r="K23"/>
      <c r="L23"/>
      <c r="M23" s="2"/>
      <c r="N23" s="12">
        <f t="shared" si="2"/>
        <v>2018</v>
      </c>
    </row>
    <row r="24" spans="1:14" x14ac:dyDescent="0.2">
      <c r="A24" s="12" t="str">
        <f t="shared" si="1"/>
        <v>03/31/2018</v>
      </c>
      <c r="B24"/>
      <c r="C24" s="149">
        <f>[2]CPI!G126</f>
        <v>196.12</v>
      </c>
      <c r="D24" s="65">
        <f t="shared" si="3"/>
        <v>196.28357021310876</v>
      </c>
      <c r="E24" s="65">
        <f t="shared" si="4"/>
        <v>196.22345070878848</v>
      </c>
      <c r="F24" s="65"/>
      <c r="G24" s="65"/>
      <c r="H24"/>
      <c r="I24"/>
      <c r="J24"/>
      <c r="K24"/>
      <c r="L24"/>
      <c r="M24" s="2"/>
      <c r="N24" s="12">
        <f t="shared" si="2"/>
        <v>2018.25</v>
      </c>
    </row>
    <row r="25" spans="1:14" x14ac:dyDescent="0.2">
      <c r="A25" s="12" t="str">
        <f t="shared" si="1"/>
        <v>06/30/2018</v>
      </c>
      <c r="B25"/>
      <c r="C25" s="149">
        <f>[2]CPI!G127</f>
        <v>196.18</v>
      </c>
      <c r="D25" s="65">
        <f t="shared" si="3"/>
        <v>197.50234583907149</v>
      </c>
      <c r="E25" s="65">
        <f t="shared" si="4"/>
        <v>197.358543473987</v>
      </c>
      <c r="F25" s="65"/>
      <c r="G25" s="65"/>
      <c r="H25"/>
      <c r="I25"/>
      <c r="J25"/>
      <c r="K25"/>
      <c r="L25"/>
      <c r="M25" s="2"/>
      <c r="N25" s="12">
        <f t="shared" si="2"/>
        <v>2018.5</v>
      </c>
    </row>
    <row r="26" spans="1:14" x14ac:dyDescent="0.2">
      <c r="A26" s="12" t="str">
        <f t="shared" si="1"/>
        <v>09/30/2018</v>
      </c>
      <c r="B26"/>
      <c r="C26" s="149">
        <f>[2]CPI!G128</f>
        <v>195.43</v>
      </c>
      <c r="D26" s="65">
        <f t="shared" si="3"/>
        <v>198.72112146503423</v>
      </c>
      <c r="E26" s="65">
        <f t="shared" si="4"/>
        <v>198.50020240434685</v>
      </c>
      <c r="F26" s="65"/>
      <c r="G26" s="65"/>
      <c r="H26"/>
      <c r="I26"/>
      <c r="J26"/>
      <c r="K26"/>
      <c r="L26"/>
      <c r="M26" s="2"/>
      <c r="N26" s="12">
        <f t="shared" si="2"/>
        <v>2018.75</v>
      </c>
    </row>
    <row r="27" spans="1:14" x14ac:dyDescent="0.2">
      <c r="A27" s="12" t="str">
        <f t="shared" si="1"/>
        <v>12/31/2018</v>
      </c>
      <c r="B27"/>
      <c r="C27" s="149">
        <f>[2]CPI!G129</f>
        <v>196.96</v>
      </c>
      <c r="D27" s="65">
        <f t="shared" si="3"/>
        <v>199.93989709099696</v>
      </c>
      <c r="E27" s="65">
        <f t="shared" si="4"/>
        <v>199.64846548312636</v>
      </c>
      <c r="F27" s="65"/>
      <c r="G27" s="65"/>
      <c r="H27"/>
      <c r="I27"/>
      <c r="J27"/>
      <c r="K27"/>
      <c r="L27"/>
      <c r="M27" s="2"/>
      <c r="N27" s="12">
        <f t="shared" si="2"/>
        <v>2019</v>
      </c>
    </row>
    <row r="28" spans="1:14" x14ac:dyDescent="0.2">
      <c r="A28" s="12" t="str">
        <f t="shared" si="1"/>
        <v>03/31/2019</v>
      </c>
      <c r="B28"/>
      <c r="C28" s="149">
        <f>[2]CPI!G130</f>
        <v>199.25</v>
      </c>
      <c r="D28" s="65">
        <f t="shared" si="3"/>
        <v>201.15867271695788</v>
      </c>
      <c r="E28" s="65">
        <f t="shared" si="4"/>
        <v>200.80337091331103</v>
      </c>
      <c r="F28" s="65"/>
      <c r="G28" s="65"/>
      <c r="H28"/>
      <c r="I28"/>
      <c r="J28"/>
      <c r="K28"/>
      <c r="L28"/>
      <c r="M28" s="2"/>
      <c r="N28" s="12">
        <f t="shared" si="2"/>
        <v>2019.25</v>
      </c>
    </row>
    <row r="29" spans="1:14" x14ac:dyDescent="0.2">
      <c r="A29" s="12" t="str">
        <f t="shared" si="1"/>
        <v>06/30/2019</v>
      </c>
      <c r="B29"/>
      <c r="C29" s="149">
        <f>[2]CPI!G131</f>
        <v>200.74</v>
      </c>
      <c r="D29" s="65">
        <f t="shared" si="3"/>
        <v>202.37744834292062</v>
      </c>
      <c r="E29" s="65">
        <f>GROWTH($C$14:$C$55,$N$14:$N$55,$N29,TRUE)</f>
        <v>201.96495711887482</v>
      </c>
      <c r="F29" s="65"/>
      <c r="G29" s="65"/>
      <c r="H29"/>
      <c r="I29"/>
      <c r="J29"/>
      <c r="K29"/>
      <c r="L29"/>
      <c r="M29" s="2"/>
      <c r="N29" s="12">
        <f t="shared" si="2"/>
        <v>2019.5</v>
      </c>
    </row>
    <row r="30" spans="1:14" x14ac:dyDescent="0.2">
      <c r="A30" s="12" t="str">
        <f t="shared" si="1"/>
        <v>09/30/2019</v>
      </c>
      <c r="B30"/>
      <c r="C30" s="149">
        <f>[2]CPI!G132</f>
        <v>201.64</v>
      </c>
      <c r="D30" s="65">
        <f t="shared" si="3"/>
        <v>203.59622396888335</v>
      </c>
      <c r="E30" s="65">
        <f t="shared" si="4"/>
        <v>203.13326274606246</v>
      </c>
      <c r="F30" s="65"/>
      <c r="G30" s="65"/>
      <c r="H30"/>
      <c r="I30"/>
      <c r="J30"/>
      <c r="K30"/>
      <c r="L30"/>
      <c r="M30" s="2"/>
      <c r="N30" s="12">
        <f t="shared" si="2"/>
        <v>2019.75</v>
      </c>
    </row>
    <row r="31" spans="1:14" x14ac:dyDescent="0.2">
      <c r="A31" s="12" t="str">
        <f t="shared" si="1"/>
        <v>12/31/2019</v>
      </c>
      <c r="B31"/>
      <c r="C31" s="149">
        <f>[2]CPI!G133</f>
        <v>199.23</v>
      </c>
      <c r="D31" s="65">
        <f t="shared" si="3"/>
        <v>204.81499959484427</v>
      </c>
      <c r="E31" s="65">
        <f t="shared" si="4"/>
        <v>204.30832666467992</v>
      </c>
      <c r="F31" s="65"/>
      <c r="G31" s="65"/>
      <c r="H31" s="20"/>
      <c r="I31" s="29"/>
      <c r="J31" s="20"/>
      <c r="K31" s="29"/>
      <c r="L31" s="29"/>
      <c r="M31" s="2"/>
      <c r="N31" s="12">
        <f t="shared" si="2"/>
        <v>2020</v>
      </c>
    </row>
    <row r="32" spans="1:14" x14ac:dyDescent="0.2">
      <c r="A32" s="12" t="str">
        <f t="shared" si="1"/>
        <v>03/31/2020</v>
      </c>
      <c r="B32"/>
      <c r="C32" s="149">
        <f>[2]CPI!G134</f>
        <v>197.33</v>
      </c>
      <c r="D32" s="65">
        <f t="shared" si="3"/>
        <v>206.033775220807</v>
      </c>
      <c r="E32" s="65">
        <f t="shared" si="4"/>
        <v>205.49018796937719</v>
      </c>
      <c r="F32" s="65"/>
      <c r="G32" s="65"/>
      <c r="H32" s="20"/>
      <c r="I32" s="29"/>
      <c r="J32" s="20"/>
      <c r="K32" s="29"/>
      <c r="L32" s="29"/>
      <c r="M32" s="2"/>
      <c r="N32" s="12">
        <f t="shared" si="2"/>
        <v>2020.25</v>
      </c>
    </row>
    <row r="33" spans="1:14" x14ac:dyDescent="0.2">
      <c r="A33" s="12" t="str">
        <f t="shared" si="1"/>
        <v>06/30/2020</v>
      </c>
      <c r="B33" s="23"/>
      <c r="C33" s="149">
        <f>[2]CPI!G135</f>
        <v>192.3</v>
      </c>
      <c r="D33" s="65">
        <f t="shared" si="3"/>
        <v>207.25255084676974</v>
      </c>
      <c r="E33" s="65">
        <f t="shared" si="4"/>
        <v>206.67888598096079</v>
      </c>
      <c r="F33" s="65"/>
      <c r="G33" s="65"/>
      <c r="H33" s="20"/>
      <c r="I33" s="29"/>
      <c r="J33" s="20"/>
      <c r="K33" s="29"/>
      <c r="L33" s="29"/>
      <c r="M33" s="2"/>
      <c r="N33" s="12">
        <f t="shared" si="2"/>
        <v>2020.5</v>
      </c>
    </row>
    <row r="34" spans="1:14" x14ac:dyDescent="0.2">
      <c r="A34" s="12" t="str">
        <f t="shared" si="1"/>
        <v>09/30/2020</v>
      </c>
      <c r="B34" s="23"/>
      <c r="C34" s="149">
        <f>[2]CPI!G136</f>
        <v>194.87</v>
      </c>
      <c r="D34" s="65">
        <f t="shared" si="3"/>
        <v>208.47132647273247</v>
      </c>
      <c r="E34" s="65">
        <f t="shared" si="4"/>
        <v>207.87446024769019</v>
      </c>
      <c r="F34" s="65"/>
      <c r="G34" s="65"/>
      <c r="H34" s="20"/>
      <c r="I34" s="29"/>
      <c r="J34" s="20"/>
      <c r="K34" s="29"/>
      <c r="L34" s="29"/>
      <c r="M34" s="2"/>
      <c r="N34" s="12">
        <f t="shared" si="2"/>
        <v>2020.75</v>
      </c>
    </row>
    <row r="35" spans="1:14" x14ac:dyDescent="0.2">
      <c r="A35" s="12" t="str">
        <f t="shared" si="1"/>
        <v>12/31/2020</v>
      </c>
      <c r="B35"/>
      <c r="C35" s="149">
        <f>[2]CPI!G137</f>
        <v>194.94</v>
      </c>
      <c r="D35" s="65">
        <f t="shared" si="3"/>
        <v>209.69010209869339</v>
      </c>
      <c r="E35" s="65">
        <f>GROWTH($C$14:$C$55,$N$14:$N$55,$N35,TRUE)</f>
        <v>209.07695054660542</v>
      </c>
      <c r="F35" s="65"/>
      <c r="G35" s="65"/>
      <c r="H35" s="29"/>
      <c r="I35" s="29"/>
      <c r="J35" s="29"/>
      <c r="K35" s="29"/>
      <c r="L35" s="29"/>
      <c r="M35" s="2"/>
      <c r="N35" s="12">
        <f t="shared" si="2"/>
        <v>2021</v>
      </c>
    </row>
    <row r="36" spans="1:14" x14ac:dyDescent="0.2">
      <c r="A36" s="12" t="str">
        <f t="shared" si="1"/>
        <v>03/31/2021</v>
      </c>
      <c r="C36" s="149">
        <f>[2]CPI!G138</f>
        <v>195.03</v>
      </c>
      <c r="D36" s="65">
        <f t="shared" si="3"/>
        <v>210.90887772465612</v>
      </c>
      <c r="E36" s="65">
        <f t="shared" si="4"/>
        <v>210.28639688484009</v>
      </c>
      <c r="F36" s="65">
        <f>TREND($C$36:$C$55,$N$36:$N$55,$N36,TRUE)</f>
        <v>210.40400000000045</v>
      </c>
      <c r="G36" s="65">
        <f>GROWTH($C$36:$C$55,$N$36:$N$55,$N36,TRUE)</f>
        <v>210.2575136652296</v>
      </c>
      <c r="H36"/>
      <c r="I36"/>
      <c r="J36"/>
      <c r="K36"/>
      <c r="L36"/>
      <c r="M36" s="2"/>
      <c r="N36" s="12">
        <f t="shared" si="2"/>
        <v>2021.25</v>
      </c>
    </row>
    <row r="37" spans="1:14" x14ac:dyDescent="0.2">
      <c r="A37" s="12" t="str">
        <f t="shared" si="1"/>
        <v>06/30/2021</v>
      </c>
      <c r="C37" s="149">
        <f>[2]CPI!G139</f>
        <v>205.55</v>
      </c>
      <c r="D37" s="65">
        <f t="shared" si="3"/>
        <v>212.12765335061886</v>
      </c>
      <c r="E37" s="65">
        <f t="shared" si="4"/>
        <v>211.50283950095675</v>
      </c>
      <c r="F37" s="65">
        <f t="shared" ref="F37:F54" si="5">TREND($C$36:$C$55,$N$36:$N$55,$N37,TRUE)</f>
        <v>211.85047368420965</v>
      </c>
      <c r="G37" s="65">
        <f t="shared" ref="G37:G54" si="6">GROWTH($C$36:$C$55,$N$36:$N$55,$N37,TRUE)</f>
        <v>211.65480519530129</v>
      </c>
      <c r="H37"/>
      <c r="J37"/>
      <c r="M37" s="2"/>
      <c r="N37" s="12">
        <f t="shared" si="2"/>
        <v>2021.5</v>
      </c>
    </row>
    <row r="38" spans="1:14" x14ac:dyDescent="0.2">
      <c r="A38" s="12" t="str">
        <f t="shared" si="1"/>
        <v>09/30/2021</v>
      </c>
      <c r="C38" s="149">
        <f>[2]CPI!G140</f>
        <v>209.84</v>
      </c>
      <c r="D38" s="65">
        <f t="shared" si="3"/>
        <v>213.34642897658159</v>
      </c>
      <c r="E38" s="65">
        <f t="shared" si="4"/>
        <v>212.7263188662904</v>
      </c>
      <c r="F38" s="65">
        <f t="shared" si="5"/>
        <v>213.29694736842066</v>
      </c>
      <c r="G38" s="65">
        <f t="shared" si="6"/>
        <v>213.06138259385855</v>
      </c>
      <c r="H38" s="65"/>
      <c r="I38" s="65"/>
      <c r="J38" s="29"/>
      <c r="K38" s="29"/>
      <c r="L38" s="29"/>
      <c r="M38" s="2"/>
      <c r="N38" s="12">
        <f t="shared" si="2"/>
        <v>2021.75</v>
      </c>
    </row>
    <row r="39" spans="1:14" x14ac:dyDescent="0.2">
      <c r="A39" s="12" t="str">
        <f t="shared" si="1"/>
        <v>12/31/2021</v>
      </c>
      <c r="C39" s="149">
        <f>[2]CPI!G141</f>
        <v>216.65</v>
      </c>
      <c r="D39" s="65">
        <f t="shared" si="3"/>
        <v>214.56520460254251</v>
      </c>
      <c r="E39" s="65">
        <f t="shared" si="4"/>
        <v>213.95687568628432</v>
      </c>
      <c r="F39" s="65">
        <f t="shared" si="5"/>
        <v>214.74342105263167</v>
      </c>
      <c r="G39" s="65">
        <f t="shared" si="6"/>
        <v>214.47730757125601</v>
      </c>
      <c r="H39" s="65"/>
      <c r="I39" s="65"/>
      <c r="J39" s="29"/>
      <c r="K39" s="29"/>
      <c r="L39" s="29"/>
      <c r="M39" s="2"/>
      <c r="N39" s="12">
        <f t="shared" si="2"/>
        <v>2022</v>
      </c>
    </row>
    <row r="40" spans="1:14" x14ac:dyDescent="0.2">
      <c r="A40" s="12" t="str">
        <f t="shared" si="1"/>
        <v>03/31/2022</v>
      </c>
      <c r="C40" s="149">
        <f>[2]CPI!G142</f>
        <v>220.02</v>
      </c>
      <c r="D40" s="65">
        <f t="shared" si="3"/>
        <v>215.78398022850524</v>
      </c>
      <c r="E40" s="65">
        <f t="shared" si="4"/>
        <v>215.1945509018563</v>
      </c>
      <c r="F40" s="65">
        <f t="shared" si="5"/>
        <v>216.18989473684269</v>
      </c>
      <c r="G40" s="65">
        <f t="shared" si="6"/>
        <v>215.90264224794706</v>
      </c>
      <c r="H40" s="65">
        <f>TREND($C$40:$C$55,$N$40:$N$55,$N40,TRUE)</f>
        <v>223.36772058823499</v>
      </c>
      <c r="I40" s="65">
        <f>GROWTH($C$40:$C$55,$N$40:$N$55,$N40,TRUE)</f>
        <v>223.37023956600771</v>
      </c>
      <c r="J40" s="29"/>
      <c r="K40" s="29"/>
      <c r="L40" s="29"/>
      <c r="M40" s="2"/>
      <c r="N40" s="12">
        <f t="shared" si="2"/>
        <v>2022.25</v>
      </c>
    </row>
    <row r="41" spans="1:14" x14ac:dyDescent="0.2">
      <c r="A41" s="12" t="str">
        <f t="shared" si="1"/>
        <v>06/30/2022</v>
      </c>
      <c r="C41" s="149">
        <f>[2]CPI!G143</f>
        <v>222.75</v>
      </c>
      <c r="D41" s="65">
        <f t="shared" si="3"/>
        <v>217.00275585446798</v>
      </c>
      <c r="E41" s="65">
        <f t="shared" si="4"/>
        <v>216.43938569074882</v>
      </c>
      <c r="F41" s="65">
        <f t="shared" si="5"/>
        <v>217.63636842105188</v>
      </c>
      <c r="G41" s="65">
        <f t="shared" si="6"/>
        <v>217.33744915722028</v>
      </c>
      <c r="H41" s="65">
        <f t="shared" ref="H41:H54" si="7">TREND($C$40:$C$55,$N$40:$N$55,$N41,TRUE)</f>
        <v>224.05069117647054</v>
      </c>
      <c r="I41" s="65">
        <f t="shared" ref="I41:I54" si="8">GROWTH($C$40:$C$55,$N$40:$N$55,$N41,TRUE)</f>
        <v>224.04208385444477</v>
      </c>
      <c r="J41"/>
      <c r="K41" s="19"/>
      <c r="L41" s="19"/>
      <c r="M41" s="2"/>
      <c r="N41" s="12">
        <f t="shared" si="2"/>
        <v>2022.5</v>
      </c>
    </row>
    <row r="42" spans="1:14" x14ac:dyDescent="0.2">
      <c r="A42" s="12" t="str">
        <f t="shared" si="1"/>
        <v>09/30/2022</v>
      </c>
      <c r="C42" s="149">
        <f>[2]CPI!G144</f>
        <v>222.86</v>
      </c>
      <c r="D42" s="65">
        <f t="shared" si="3"/>
        <v>218.22153148042889</v>
      </c>
      <c r="E42" s="65">
        <f t="shared" si="4"/>
        <v>217.69142146891119</v>
      </c>
      <c r="F42" s="65">
        <f t="shared" si="5"/>
        <v>219.0828421052629</v>
      </c>
      <c r="G42" s="65">
        <f t="shared" si="6"/>
        <v>218.7817912479305</v>
      </c>
      <c r="H42" s="65">
        <f t="shared" si="7"/>
        <v>224.73366176470518</v>
      </c>
      <c r="I42" s="65">
        <f t="shared" si="8"/>
        <v>224.71594888991135</v>
      </c>
      <c r="J42" s="65"/>
      <c r="K42" s="65"/>
      <c r="L42" s="65"/>
      <c r="M42" s="2"/>
      <c r="N42" s="12">
        <f t="shared" si="2"/>
        <v>2022.75</v>
      </c>
    </row>
    <row r="43" spans="1:14" x14ac:dyDescent="0.2">
      <c r="A43" s="12" t="str">
        <f t="shared" si="1"/>
        <v>12/31/2022</v>
      </c>
      <c r="B43"/>
      <c r="C43" s="149">
        <f>[2]CPI!G145</f>
        <v>226.55</v>
      </c>
      <c r="D43" s="65">
        <f t="shared" si="3"/>
        <v>219.44030710639163</v>
      </c>
      <c r="E43" s="65">
        <f t="shared" si="4"/>
        <v>218.95069989186663</v>
      </c>
      <c r="F43" s="65">
        <f t="shared" si="5"/>
        <v>220.52931578947391</v>
      </c>
      <c r="G43" s="65">
        <f t="shared" si="6"/>
        <v>220.23573188727289</v>
      </c>
      <c r="H43" s="65">
        <f t="shared" si="7"/>
        <v>225.41663235294072</v>
      </c>
      <c r="I43" s="65">
        <f t="shared" si="8"/>
        <v>225.39184075032986</v>
      </c>
      <c r="J43" s="65"/>
      <c r="K43" s="65"/>
      <c r="L43" s="65"/>
      <c r="M43" s="2"/>
      <c r="N43" s="12">
        <f t="shared" si="2"/>
        <v>2023</v>
      </c>
    </row>
    <row r="44" spans="1:14" x14ac:dyDescent="0.2">
      <c r="A44" s="12" t="str">
        <f t="shared" si="1"/>
        <v>03/31/2023</v>
      </c>
      <c r="C44" s="149">
        <f>[2]CPI!G146</f>
        <v>231.14</v>
      </c>
      <c r="D44" s="65">
        <f t="shared" si="3"/>
        <v>220.65908273235436</v>
      </c>
      <c r="E44" s="65">
        <f t="shared" si="4"/>
        <v>220.21726285610296</v>
      </c>
      <c r="F44" s="65">
        <f>TREND($C$36:$C$55,$N$36:$N$55,$N44,TRUE)</f>
        <v>221.97578947368493</v>
      </c>
      <c r="G44" s="65">
        <f t="shared" si="6"/>
        <v>221.6993348635508</v>
      </c>
      <c r="H44" s="65">
        <f t="shared" si="7"/>
        <v>226.09960294117627</v>
      </c>
      <c r="I44" s="65">
        <f t="shared" si="8"/>
        <v>226.06976553190694</v>
      </c>
      <c r="J44" s="65">
        <f>TREND($C$44:$C$55,$N$44:$N$55,$N44,TRUE)</f>
        <v>228.45423076923089</v>
      </c>
      <c r="K44" s="65">
        <f>GROWTH($C$44:$C$55,$N$44:$N$55,$N44,TRUE)</f>
        <v>228.46262760036717</v>
      </c>
      <c r="L44" s="65"/>
      <c r="M44" s="2"/>
      <c r="N44" s="12">
        <f t="shared" si="2"/>
        <v>2023.25</v>
      </c>
    </row>
    <row r="45" spans="1:14" x14ac:dyDescent="0.2">
      <c r="A45" s="12" t="str">
        <f t="shared" si="1"/>
        <v>06/30/2023</v>
      </c>
      <c r="C45" s="149">
        <f>[2]CPI!G147</f>
        <v>229.61</v>
      </c>
      <c r="D45" s="65">
        <f>TREND($C$14:$C$55,$N$14:$N$55,$N45,TRUE)</f>
        <v>221.8778583583171</v>
      </c>
      <c r="E45" s="65">
        <f t="shared" si="4"/>
        <v>221.49115250047103</v>
      </c>
      <c r="F45" s="65">
        <f t="shared" si="5"/>
        <v>223.42226315789412</v>
      </c>
      <c r="G45" s="65">
        <f t="shared" si="6"/>
        <v>223.17266438898497</v>
      </c>
      <c r="H45" s="65">
        <f t="shared" si="7"/>
        <v>226.78257352941091</v>
      </c>
      <c r="I45" s="65">
        <f t="shared" si="8"/>
        <v>226.74972934918264</v>
      </c>
      <c r="J45" s="65">
        <f t="shared" ref="J45:J54" si="9">TREND($C$44:$C$55,$N$44:$N$55,$N45,TRUE)</f>
        <v>228.79073426573405</v>
      </c>
      <c r="K45" s="65">
        <f t="shared" ref="K45:K54" si="10">GROWTH($C$44:$C$55,$N$44:$N$55,$N45,TRUE)</f>
        <v>228.79493786629862</v>
      </c>
      <c r="L45" s="65"/>
      <c r="M45" s="2"/>
      <c r="N45" s="12">
        <f t="shared" si="2"/>
        <v>2023.5</v>
      </c>
    </row>
    <row r="46" spans="1:14" x14ac:dyDescent="0.2">
      <c r="A46" s="12" t="str">
        <f t="shared" si="1"/>
        <v>09/30/2023</v>
      </c>
      <c r="C46" s="149">
        <f>[2]CPI!G148</f>
        <v>229.34</v>
      </c>
      <c r="D46" s="65">
        <f t="shared" si="3"/>
        <v>223.09663398427801</v>
      </c>
      <c r="E46" s="65">
        <f>GROWTH($C$14:$C$55,$N$14:$N$55,$N46,TRUE)</f>
        <v>222.77241120757571</v>
      </c>
      <c r="F46" s="65">
        <f t="shared" si="5"/>
        <v>224.86873684210514</v>
      </c>
      <c r="G46" s="65">
        <f t="shared" si="6"/>
        <v>224.65578510252629</v>
      </c>
      <c r="H46" s="65">
        <f t="shared" si="7"/>
        <v>227.46554411764646</v>
      </c>
      <c r="I46" s="65">
        <f t="shared" si="8"/>
        <v>227.43173833508826</v>
      </c>
      <c r="J46" s="65">
        <f t="shared" si="9"/>
        <v>229.12723776223766</v>
      </c>
      <c r="K46" s="65">
        <f t="shared" si="10"/>
        <v>229.12773149405646</v>
      </c>
      <c r="L46" s="65"/>
      <c r="M46" s="2"/>
      <c r="N46" s="12">
        <f t="shared" si="2"/>
        <v>2023.75</v>
      </c>
    </row>
    <row r="47" spans="1:14" x14ac:dyDescent="0.2">
      <c r="A47" s="12" t="str">
        <f t="shared" si="1"/>
        <v>12/31/2023</v>
      </c>
      <c r="C47" s="149">
        <f>[2]CPI!G149</f>
        <v>227</v>
      </c>
      <c r="D47" s="65">
        <f t="shared" si="3"/>
        <v>224.31540961024075</v>
      </c>
      <c r="E47" s="65">
        <f t="shared" si="4"/>
        <v>224.06108160519875</v>
      </c>
      <c r="F47" s="65">
        <f t="shared" si="5"/>
        <v>226.31521052631615</v>
      </c>
      <c r="G47" s="65">
        <f t="shared" si="6"/>
        <v>226.14876207268665</v>
      </c>
      <c r="H47" s="65">
        <f t="shared" si="7"/>
        <v>228.14851470588201</v>
      </c>
      <c r="I47" s="65">
        <f t="shared" si="8"/>
        <v>228.11579864100369</v>
      </c>
      <c r="J47" s="65">
        <f t="shared" si="9"/>
        <v>229.46374125874127</v>
      </c>
      <c r="K47" s="65">
        <f t="shared" si="10"/>
        <v>229.46100918671411</v>
      </c>
      <c r="L47" s="65"/>
      <c r="M47" s="2"/>
      <c r="N47" s="12">
        <f t="shared" si="2"/>
        <v>2024</v>
      </c>
    </row>
    <row r="48" spans="1:14" x14ac:dyDescent="0.2">
      <c r="A48" s="12" t="str">
        <f t="shared" si="1"/>
        <v>03/31/2024</v>
      </c>
      <c r="B48"/>
      <c r="C48" s="149">
        <f>[2]CPI!G150</f>
        <v>230.06</v>
      </c>
      <c r="D48" s="65">
        <f t="shared" si="3"/>
        <v>225.53418523620348</v>
      </c>
      <c r="E48" s="65">
        <f t="shared" si="4"/>
        <v>225.35720656770417</v>
      </c>
      <c r="F48" s="65">
        <f t="shared" si="5"/>
        <v>227.76168421052716</v>
      </c>
      <c r="G48" s="65">
        <f t="shared" si="6"/>
        <v>227.65166080040501</v>
      </c>
      <c r="H48" s="65">
        <f t="shared" si="7"/>
        <v>228.83148529411756</v>
      </c>
      <c r="I48" s="65">
        <f t="shared" si="8"/>
        <v>228.80191643680755</v>
      </c>
      <c r="J48" s="65">
        <f>TREND($C$44:$C$55,$N$44:$N$55,$N48,TRUE)</f>
        <v>229.80024475524488</v>
      </c>
      <c r="K48" s="65">
        <f t="shared" si="10"/>
        <v>229.79477164836806</v>
      </c>
      <c r="L48" s="65"/>
      <c r="M48" s="2"/>
      <c r="N48" s="12">
        <f t="shared" si="2"/>
        <v>2024.25</v>
      </c>
    </row>
    <row r="49" spans="1:14" x14ac:dyDescent="0.2">
      <c r="A49" s="12" t="str">
        <f t="shared" si="1"/>
        <v>06/30/2024</v>
      </c>
      <c r="C49" s="149">
        <f>[2]CPI!G151</f>
        <v>228.88</v>
      </c>
      <c r="D49" s="65">
        <f t="shared" si="3"/>
        <v>226.75296086216622</v>
      </c>
      <c r="E49" s="65">
        <f t="shared" si="4"/>
        <v>226.6608292174775</v>
      </c>
      <c r="F49" s="65">
        <f t="shared" si="5"/>
        <v>229.20815789473636</v>
      </c>
      <c r="G49" s="65">
        <f t="shared" si="6"/>
        <v>229.16454722190824</v>
      </c>
      <c r="H49" s="65">
        <f t="shared" si="7"/>
        <v>229.51445588235219</v>
      </c>
      <c r="I49" s="65">
        <f t="shared" si="8"/>
        <v>229.49009791093934</v>
      </c>
      <c r="J49" s="65">
        <f t="shared" si="9"/>
        <v>230.13674825174803</v>
      </c>
      <c r="K49" s="65">
        <f t="shared" si="10"/>
        <v>230.12901958413897</v>
      </c>
      <c r="L49" s="65"/>
      <c r="M49" s="2"/>
      <c r="N49" s="12">
        <f t="shared" si="2"/>
        <v>2024.5</v>
      </c>
    </row>
    <row r="50" spans="1:14" x14ac:dyDescent="0.2">
      <c r="A50" s="12" t="str">
        <f t="shared" si="1"/>
        <v>09/30/2024</v>
      </c>
      <c r="C50" s="149">
        <f>[2]CPI!G152</f>
        <v>228.58</v>
      </c>
      <c r="D50" s="65">
        <f t="shared" si="3"/>
        <v>227.97173648812714</v>
      </c>
      <c r="E50" s="65">
        <f t="shared" si="4"/>
        <v>227.97199292634934</v>
      </c>
      <c r="F50" s="65">
        <f t="shared" si="5"/>
        <v>230.65463157894737</v>
      </c>
      <c r="G50" s="65">
        <f t="shared" si="6"/>
        <v>230.6874877116168</v>
      </c>
      <c r="H50" s="65">
        <f t="shared" si="7"/>
        <v>230.19742647058774</v>
      </c>
      <c r="I50" s="65">
        <f t="shared" si="8"/>
        <v>230.18034927044931</v>
      </c>
      <c r="J50" s="65">
        <f t="shared" si="9"/>
        <v>230.47325174825164</v>
      </c>
      <c r="K50" s="65">
        <f t="shared" si="10"/>
        <v>230.4637537001727</v>
      </c>
      <c r="L50" s="65"/>
      <c r="M50" s="2"/>
      <c r="N50" s="12">
        <f t="shared" si="2"/>
        <v>2024.75</v>
      </c>
    </row>
    <row r="51" spans="1:14" x14ac:dyDescent="0.2">
      <c r="A51" s="12" t="str">
        <f t="shared" si="1"/>
        <v>12/31/2024</v>
      </c>
      <c r="C51" s="149">
        <f>[2]CPI!G153</f>
        <v>230.94</v>
      </c>
      <c r="D51" s="65">
        <f t="shared" si="3"/>
        <v>229.19051211408987</v>
      </c>
      <c r="E51" s="65">
        <f t="shared" si="4"/>
        <v>229.29074131704306</v>
      </c>
      <c r="F51" s="65">
        <f t="shared" si="5"/>
        <v>232.10110526315839</v>
      </c>
      <c r="G51" s="65">
        <f t="shared" si="6"/>
        <v>232.22054908504376</v>
      </c>
      <c r="H51" s="65">
        <f t="shared" si="7"/>
        <v>230.88039705882329</v>
      </c>
      <c r="I51" s="65">
        <f t="shared" si="8"/>
        <v>230.87267674105715</v>
      </c>
      <c r="J51" s="65">
        <f t="shared" si="9"/>
        <v>230.80975524475525</v>
      </c>
      <c r="K51" s="65">
        <f t="shared" si="10"/>
        <v>230.79897470364347</v>
      </c>
      <c r="L51" s="65"/>
      <c r="M51" s="2"/>
      <c r="N51" s="12">
        <f t="shared" si="2"/>
        <v>2025</v>
      </c>
    </row>
    <row r="52" spans="1:14" x14ac:dyDescent="0.2">
      <c r="A52" s="12" t="str">
        <f t="shared" si="1"/>
        <v>03/31/2025</v>
      </c>
      <c r="C52" s="149">
        <f>[2]CPI!G154</f>
        <v>229.67</v>
      </c>
      <c r="D52" s="65">
        <f t="shared" si="3"/>
        <v>230.4092877400526</v>
      </c>
      <c r="E52" s="65">
        <f t="shared" si="4"/>
        <v>230.61711826463102</v>
      </c>
      <c r="F52" s="65">
        <f t="shared" si="5"/>
        <v>233.54757894736758</v>
      </c>
      <c r="G52" s="65">
        <f t="shared" si="6"/>
        <v>233.76379860173765</v>
      </c>
      <c r="H52" s="65">
        <f t="shared" si="7"/>
        <v>231.56336764705793</v>
      </c>
      <c r="I52" s="65">
        <f t="shared" si="8"/>
        <v>231.5670865672104</v>
      </c>
      <c r="J52" s="65">
        <f t="shared" si="9"/>
        <v>231.14625874125886</v>
      </c>
      <c r="K52" s="65">
        <f>GROWTH($C$44:$C$55,$N$44:$N$55,$N52,TRUE)</f>
        <v>231.13468330275288</v>
      </c>
      <c r="L52" s="65"/>
      <c r="M52" s="2"/>
      <c r="N52" s="12">
        <f t="shared" si="2"/>
        <v>2025.25</v>
      </c>
    </row>
    <row r="53" spans="1:14" x14ac:dyDescent="0.2">
      <c r="A53" s="12" t="str">
        <f t="shared" si="1"/>
        <v>06/30/2025</v>
      </c>
      <c r="C53" s="149">
        <f>[2]CPI!G155</f>
        <v>230.36</v>
      </c>
      <c r="D53" s="65">
        <f t="shared" si="3"/>
        <v>231.62806336601352</v>
      </c>
      <c r="E53" s="65">
        <f t="shared" si="4"/>
        <v>231.95116789798294</v>
      </c>
      <c r="F53" s="65">
        <f t="shared" si="5"/>
        <v>234.9940526315786</v>
      </c>
      <c r="G53" s="65">
        <f t="shared" si="6"/>
        <v>235.31730396822843</v>
      </c>
      <c r="H53" s="65">
        <f t="shared" si="7"/>
        <v>232.24633823529348</v>
      </c>
      <c r="I53" s="65">
        <f t="shared" si="8"/>
        <v>232.26358501213514</v>
      </c>
      <c r="J53" s="65">
        <f t="shared" si="9"/>
        <v>231.48276223776202</v>
      </c>
      <c r="K53" s="65">
        <f t="shared" si="10"/>
        <v>231.470880206733</v>
      </c>
      <c r="L53" s="65"/>
      <c r="M53" s="2"/>
      <c r="N53" s="12">
        <f t="shared" si="2"/>
        <v>2025.5</v>
      </c>
    </row>
    <row r="54" spans="1:14" x14ac:dyDescent="0.2">
      <c r="A54" s="12" t="str">
        <f>TEXT(DATE(YEAR(A55+1),MONTH(A55+1)-3,1)-1,"mm/dd/yyyy")</f>
        <v>09/30/2025</v>
      </c>
      <c r="C54" s="149">
        <f>[2]CPI!G156</f>
        <v>233.22</v>
      </c>
      <c r="D54" s="65">
        <f t="shared" si="3"/>
        <v>232.84683899197626</v>
      </c>
      <c r="E54" s="65">
        <f t="shared" si="4"/>
        <v>233.2929346012472</v>
      </c>
      <c r="F54" s="65">
        <f t="shared" si="5"/>
        <v>236.44052631578961</v>
      </c>
      <c r="G54" s="65">
        <f t="shared" si="6"/>
        <v>236.88113334099285</v>
      </c>
      <c r="H54" s="65">
        <f t="shared" si="7"/>
        <v>232.92930882352903</v>
      </c>
      <c r="I54" s="65">
        <f t="shared" si="8"/>
        <v>232.96217835789906</v>
      </c>
      <c r="J54" s="65">
        <f t="shared" si="9"/>
        <v>231.81926573426563</v>
      </c>
      <c r="K54" s="65">
        <f t="shared" si="10"/>
        <v>231.80756612584767</v>
      </c>
      <c r="L54"/>
      <c r="M54" s="2"/>
      <c r="N54" s="12">
        <f t="shared" si="2"/>
        <v>2025.75</v>
      </c>
    </row>
    <row r="55" spans="1:14" x14ac:dyDescent="0.2">
      <c r="A55" s="12" t="str">
        <f>TEXT($N$9,"mm/dd/yyyy")</f>
        <v>12/31/2025</v>
      </c>
      <c r="C55" s="149">
        <f>[2]CPI!G157</f>
        <v>234.86</v>
      </c>
      <c r="D55" s="65">
        <f>TREND($C$14:$C$55,$N$14:$N$55,$N55,TRUE)</f>
        <v>234.06561461793899</v>
      </c>
      <c r="E55" s="65">
        <f t="shared" si="4"/>
        <v>234.64246301531597</v>
      </c>
      <c r="F55" s="65">
        <f>TREND($C$36:$C$55,$N$36:$N$55,$N55,TRUE)</f>
        <v>237.88700000000063</v>
      </c>
      <c r="G55" s="65">
        <f>GROWTH($C$36:$C$55,$N$36:$N$55,$N55,TRUE)</f>
        <v>238.45535532945655</v>
      </c>
      <c r="H55" s="65">
        <f>TREND($C$40:$C$55,$N$40:$N$55,$N55,TRUE)</f>
        <v>233.61227941176458</v>
      </c>
      <c r="I55" s="65">
        <f>GROWTH($C$40:$C$55,$N$40:$N$55,$N55,TRUE)</f>
        <v>233.66287290546228</v>
      </c>
      <c r="J55" s="65">
        <f>TREND($C$44:$C$55,$N$44:$N$55,$N55,TRUE)</f>
        <v>232.15576923076924</v>
      </c>
      <c r="K55" s="65">
        <f>GROWTH($C$44:$C$55,$N$44:$N$55,$N55,TRUE)</f>
        <v>232.14474177139331</v>
      </c>
      <c r="L55"/>
      <c r="M55" s="2"/>
      <c r="N55" s="12">
        <f t="shared" si="2"/>
        <v>2026</v>
      </c>
    </row>
    <row r="56" spans="1:14" x14ac:dyDescent="0.2">
      <c r="A56" s="86"/>
      <c r="B56" s="9"/>
      <c r="C56" s="94"/>
      <c r="D56" s="67"/>
      <c r="E56" s="67"/>
      <c r="F56" s="67"/>
      <c r="G56" s="67"/>
      <c r="H56" s="67"/>
      <c r="I56" s="67"/>
      <c r="J56" s="67"/>
      <c r="K56" s="67"/>
      <c r="L56"/>
      <c r="M56" s="2"/>
    </row>
    <row r="57" spans="1:14" x14ac:dyDescent="0.2">
      <c r="A57"/>
      <c r="C57"/>
      <c r="D57"/>
      <c r="E57"/>
      <c r="F57"/>
      <c r="G57"/>
      <c r="H57"/>
      <c r="J57"/>
      <c r="K57"/>
      <c r="L57"/>
      <c r="M57" s="2"/>
    </row>
    <row r="58" spans="1:14" x14ac:dyDescent="0.2">
      <c r="A58" s="12" t="s">
        <v>233</v>
      </c>
      <c r="C58"/>
      <c r="D58" s="20">
        <f>(D55-D51)/D55</f>
        <v>2.0827931141473559E-2</v>
      </c>
      <c r="E58" s="20">
        <f>LOGEST($C$14:$C$55,$N$14:$N$55,TRUE,TRUE)-1</f>
        <v>2.3340330566910428E-2</v>
      </c>
      <c r="F58" s="20">
        <f>(F55-F51)/F55</f>
        <v>2.4322029942124717E-2</v>
      </c>
      <c r="G58" s="20">
        <f>LOGEST($C$36:$C$55,$N$36:$N$55,TRUE,TRUE)-1</f>
        <v>2.6848641384139338E-2</v>
      </c>
      <c r="H58" s="20">
        <f>(H55-H51)/H55</f>
        <v>1.169408714225194E-2</v>
      </c>
      <c r="I58" s="20">
        <f>LOGEST($C$40:$C$55,$N$40:$N$55,TRUE,TRUE)-1</f>
        <v>1.2085432558717413E-2</v>
      </c>
      <c r="J58" s="20">
        <f>(J55-J51)/J55</f>
        <v>5.7978916073199594E-3</v>
      </c>
      <c r="K58" s="20">
        <f>LOGEST($C$44:$C$55,$N$44:$N$55,TRUE,TRUE)-1</f>
        <v>5.8309057459113856E-3</v>
      </c>
      <c r="L58" s="20"/>
      <c r="M58" s="2"/>
    </row>
    <row r="59" spans="1:14" x14ac:dyDescent="0.2">
      <c r="A59" t="s">
        <v>234</v>
      </c>
      <c r="B59"/>
      <c r="C59" s="53"/>
      <c r="D59" s="28">
        <f>INDEX(LINEST($C$14:$C$55,$N$14:$N$55,TRUE,TRUE),3,1)</f>
        <v>0.84714420270685897</v>
      </c>
      <c r="E59" s="28">
        <f>INDEX(LOGEST($C$14:$C$55,$N$14:$N$55,TRUE,TRUE),3,1)</f>
        <v>0.84883436699477599</v>
      </c>
      <c r="F59" s="28">
        <f>INDEX(LINEST($C$36:$C$55,$N$36:$N$55,TRUE,TRUE),3,1)</f>
        <v>0.70123721708649944</v>
      </c>
      <c r="G59" s="28">
        <f>INDEX(LOGEST($C$36:$C$55,$N$36:$N$55,TRUE,TRUE),3,1)</f>
        <v>0.68529571508267917</v>
      </c>
      <c r="H59" s="28">
        <f>INDEX(LINEST($C$40:$C$55,$N$40:$N$55,TRUE,TRUE),3,1)</f>
        <v>0.69608471515427695</v>
      </c>
      <c r="I59" s="28">
        <f>INDEX(LOGEST($C$40:$C$55,$N$40:$N$55,TRUE,TRUE),3,1)</f>
        <v>0.69457729381044653</v>
      </c>
      <c r="J59" s="28">
        <f>INDEX(LINEST($C$44:$C$55,$N$44:$N$55,TRUE,TRUE),3,1)</f>
        <v>0.33625542776522488</v>
      </c>
      <c r="K59" s="28">
        <f>INDEX(LOGEST($C$44:$C$55,$N$44:$N$55,TRUE,TRUE),3,1)</f>
        <v>0.33493350767265978</v>
      </c>
      <c r="L59" s="28"/>
      <c r="M59" s="2"/>
    </row>
    <row r="60" spans="1:14" ht="12" thickBo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/>
      <c r="M60" s="2"/>
    </row>
    <row r="61" spans="1:14" ht="12" thickTop="1" x14ac:dyDescent="0.2">
      <c r="A61"/>
      <c r="B61"/>
      <c r="C61"/>
      <c r="D61"/>
      <c r="E61"/>
      <c r="F61"/>
      <c r="G61"/>
      <c r="H61"/>
      <c r="I61"/>
      <c r="J61"/>
      <c r="K61"/>
      <c r="L61"/>
      <c r="M61" s="2"/>
    </row>
    <row r="62" spans="1:14" x14ac:dyDescent="0.2">
      <c r="A62" t="s">
        <v>17</v>
      </c>
      <c r="B62"/>
      <c r="F62"/>
      <c r="G62"/>
      <c r="H62"/>
      <c r="I62"/>
      <c r="J62"/>
      <c r="K62"/>
      <c r="L62"/>
      <c r="M62" s="2"/>
    </row>
    <row r="63" spans="1:14" x14ac:dyDescent="0.2">
      <c r="A63"/>
      <c r="B63" s="12" t="str">
        <f>C12&amp;" = Weighted average of CPI for Lodging, Apparel, Furnishings, and Medical Care"</f>
        <v>(2) = Weighted average of CPI for Lodging, Apparel, Furnishings, and Medical Care</v>
      </c>
      <c r="C63"/>
      <c r="D63"/>
      <c r="E63"/>
      <c r="F63"/>
      <c r="H63"/>
      <c r="J63"/>
      <c r="K63"/>
      <c r="L63"/>
      <c r="M63" s="2"/>
    </row>
    <row r="64" spans="1:14" x14ac:dyDescent="0.2">
      <c r="A64"/>
      <c r="B64" s="12" t="str">
        <f>D12&amp;" - "&amp;K12&amp;" = "&amp;C12&amp;" Fitted to linear and exponential distributions"</f>
        <v>(3) - (10) = (2) Fitted to linear and exponential distributions</v>
      </c>
      <c r="D64"/>
      <c r="E64"/>
      <c r="F64"/>
      <c r="H64"/>
      <c r="J64"/>
      <c r="K64"/>
      <c r="L64"/>
      <c r="M64" s="2"/>
    </row>
    <row r="65" spans="1:13" x14ac:dyDescent="0.2">
      <c r="A65"/>
      <c r="D65"/>
      <c r="E65"/>
      <c r="F65"/>
      <c r="H65"/>
      <c r="J65"/>
      <c r="K65"/>
      <c r="L65"/>
      <c r="M65" s="2"/>
    </row>
    <row r="66" spans="1:13" x14ac:dyDescent="0.2">
      <c r="A66"/>
      <c r="D66"/>
      <c r="E66"/>
      <c r="F66"/>
      <c r="H66"/>
      <c r="J66"/>
      <c r="K66"/>
      <c r="L66"/>
      <c r="M66" s="2"/>
    </row>
    <row r="67" spans="1:13" x14ac:dyDescent="0.2">
      <c r="A67"/>
      <c r="D67"/>
      <c r="E67"/>
      <c r="F67"/>
      <c r="H67"/>
      <c r="J67"/>
      <c r="K67"/>
      <c r="L67"/>
      <c r="M67" s="2"/>
    </row>
    <row r="68" spans="1:13" x14ac:dyDescent="0.2">
      <c r="A68"/>
      <c r="D68"/>
      <c r="E68"/>
      <c r="F68"/>
      <c r="H68"/>
      <c r="J68"/>
      <c r="K68"/>
      <c r="L68"/>
      <c r="M68" s="2"/>
    </row>
    <row r="69" spans="1:13" ht="12" thickBot="1" x14ac:dyDescent="0.25">
      <c r="A69"/>
      <c r="B69"/>
      <c r="C69" s="53"/>
      <c r="D69" s="28"/>
      <c r="E69" s="28"/>
      <c r="F69" s="28"/>
      <c r="G69" s="28"/>
      <c r="H69" s="28"/>
      <c r="I69" s="28"/>
      <c r="J69" s="28"/>
      <c r="K69" s="28"/>
      <c r="L69" s="28"/>
      <c r="M69" s="2"/>
    </row>
    <row r="70" spans="1:13" ht="12" thickBot="1" x14ac:dyDescent="0.25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3"/>
    </row>
  </sheetData>
  <mergeCells count="3">
    <mergeCell ref="F10:G10"/>
    <mergeCell ref="H10:I10"/>
    <mergeCell ref="J10:K10"/>
  </mergeCells>
  <phoneticPr fontId="4" type="noConversion"/>
  <pageMargins left="0.5" right="0.5" top="0.5" bottom="0.5" header="0.5" footer="0.5"/>
  <pageSetup orientation="portrait" blackAndWhite="1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1">
    <tabColor rgb="FF92D050"/>
    <pageSetUpPr fitToPage="1"/>
  </sheetPr>
  <dimension ref="A1:M74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6.6640625" customWidth="1"/>
    <col min="3" max="6" width="15.33203125" customWidth="1"/>
    <col min="7" max="9" width="11.33203125" customWidth="1"/>
    <col min="10" max="10" width="4" customWidth="1"/>
  </cols>
  <sheetData>
    <row r="1" spans="1:12" x14ac:dyDescent="0.2">
      <c r="A1" s="8" t="str">
        <f>'1'!$A$1</f>
        <v>Texas Windstorm Insurance Association</v>
      </c>
      <c r="B1" s="12"/>
      <c r="J1" s="7" t="s">
        <v>68</v>
      </c>
      <c r="K1" s="1"/>
    </row>
    <row r="2" spans="1:12" x14ac:dyDescent="0.2">
      <c r="A2" s="8" t="str">
        <f>'1'!$A$2</f>
        <v>Residential Property - Wind &amp; Hail</v>
      </c>
      <c r="B2" s="12"/>
      <c r="J2" s="7"/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391</v>
      </c>
      <c r="B4" s="12"/>
      <c r="K4" s="2"/>
    </row>
    <row r="5" spans="1:12" x14ac:dyDescent="0.2">
      <c r="K5" s="2"/>
    </row>
    <row r="6" spans="1:12" ht="12" thickBot="1" x14ac:dyDescent="0.25">
      <c r="A6" s="6"/>
      <c r="B6" s="6"/>
      <c r="C6" s="6"/>
      <c r="D6" s="6"/>
      <c r="E6" s="6"/>
      <c r="F6" s="6"/>
      <c r="K6" s="2"/>
    </row>
    <row r="7" spans="1:12" ht="12" thickTop="1" x14ac:dyDescent="0.2">
      <c r="A7" t="s">
        <v>48</v>
      </c>
      <c r="K7" s="2"/>
    </row>
    <row r="8" spans="1:12" x14ac:dyDescent="0.2">
      <c r="A8" t="s">
        <v>49</v>
      </c>
      <c r="C8" s="180"/>
      <c r="D8" s="11"/>
      <c r="E8" s="11" t="s">
        <v>33</v>
      </c>
      <c r="F8" s="11"/>
      <c r="K8" s="2"/>
      <c r="L8" s="17"/>
    </row>
    <row r="9" spans="1:12" x14ac:dyDescent="0.2">
      <c r="A9" t="s">
        <v>32</v>
      </c>
      <c r="C9" s="11" t="s">
        <v>33</v>
      </c>
      <c r="D9" s="11" t="s">
        <v>33</v>
      </c>
      <c r="E9" s="11" t="s">
        <v>69</v>
      </c>
      <c r="F9" s="11" t="s">
        <v>6</v>
      </c>
      <c r="K9" s="2"/>
    </row>
    <row r="10" spans="1:12" x14ac:dyDescent="0.2">
      <c r="A10" s="9" t="s">
        <v>431</v>
      </c>
      <c r="B10" s="9"/>
      <c r="C10" s="121" t="s">
        <v>39</v>
      </c>
      <c r="D10" s="121" t="s">
        <v>34</v>
      </c>
      <c r="E10" s="121" t="s">
        <v>70</v>
      </c>
      <c r="F10" s="121" t="s">
        <v>71</v>
      </c>
      <c r="K10" s="2"/>
    </row>
    <row r="11" spans="1:12" x14ac:dyDescent="0.2">
      <c r="A11" s="13" t="str">
        <f>TEXT(COLUMN(),"(#)")</f>
        <v>(1)</v>
      </c>
      <c r="B11" s="13"/>
      <c r="C11" s="11" t="str">
        <f>TEXT(COLUMN()-1,"(#)")</f>
        <v>(2)</v>
      </c>
      <c r="D11" s="11" t="str">
        <f>TEXT(COLUMN()-1,"(#)")</f>
        <v>(3)</v>
      </c>
      <c r="E11" s="11" t="str">
        <f>TEXT(COLUMN()-1,"(#)")</f>
        <v>(4)</v>
      </c>
      <c r="F11" s="11" t="str">
        <f>TEXT(COLUMN()-1,"(#)")</f>
        <v>(5)</v>
      </c>
      <c r="K11" s="2"/>
    </row>
    <row r="12" spans="1:12" x14ac:dyDescent="0.2">
      <c r="A12" s="111"/>
      <c r="C12" s="26"/>
      <c r="D12" s="26"/>
      <c r="K12" s="2"/>
    </row>
    <row r="13" spans="1:12" x14ac:dyDescent="0.2">
      <c r="A13" s="111">
        <v>1980</v>
      </c>
      <c r="B13" s="23"/>
      <c r="C13" s="151">
        <f>'[3]4'!C13</f>
        <v>12911</v>
      </c>
      <c r="D13" s="151">
        <f>'[3]4'!D13</f>
        <v>1318</v>
      </c>
      <c r="E13" s="152">
        <f>'[3]4'!E13</f>
        <v>0.10199999999999999</v>
      </c>
      <c r="F13" s="31" t="s">
        <v>72</v>
      </c>
      <c r="K13" s="2"/>
    </row>
    <row r="14" spans="1:12" x14ac:dyDescent="0.2">
      <c r="A14" t="str">
        <f t="shared" ref="A14:A58" si="0">TEXT(A13+1,"#")</f>
        <v>1981</v>
      </c>
      <c r="B14" s="23"/>
      <c r="C14" s="151">
        <f>'[3]4'!C14</f>
        <v>2512</v>
      </c>
      <c r="D14" s="151">
        <f>'[3]4'!D14</f>
        <v>543</v>
      </c>
      <c r="E14" s="152">
        <f>'[3]4'!E14</f>
        <v>0.216</v>
      </c>
      <c r="F14" s="31"/>
      <c r="K14" s="2"/>
    </row>
    <row r="15" spans="1:12" x14ac:dyDescent="0.2">
      <c r="A15" t="str">
        <f t="shared" si="0"/>
        <v>1982</v>
      </c>
      <c r="B15" s="23"/>
      <c r="C15" s="151">
        <f>'[3]4'!C15</f>
        <v>796</v>
      </c>
      <c r="D15" s="151">
        <f>'[3]4'!D15</f>
        <v>565</v>
      </c>
      <c r="E15" s="152">
        <f>'[3]4'!E15</f>
        <v>0.71</v>
      </c>
      <c r="F15" s="31"/>
      <c r="K15" s="2"/>
    </row>
    <row r="16" spans="1:12" x14ac:dyDescent="0.2">
      <c r="A16" t="str">
        <f t="shared" si="0"/>
        <v>1983</v>
      </c>
      <c r="B16" s="23"/>
      <c r="C16" s="151">
        <f>'[3]4'!C16</f>
        <v>148999</v>
      </c>
      <c r="D16" s="151">
        <f>'[3]4'!D16</f>
        <v>9127</v>
      </c>
      <c r="E16" s="152">
        <f>'[3]4'!E16</f>
        <v>6.0999999999999999E-2</v>
      </c>
      <c r="F16" s="31" t="s">
        <v>72</v>
      </c>
      <c r="K16" s="2"/>
    </row>
    <row r="17" spans="1:11" x14ac:dyDescent="0.2">
      <c r="A17" t="str">
        <f t="shared" si="0"/>
        <v>1984</v>
      </c>
      <c r="B17" s="23"/>
      <c r="C17" s="151">
        <f>'[3]4'!C17</f>
        <v>999</v>
      </c>
      <c r="D17" s="151">
        <f>'[3]4'!D17</f>
        <v>324</v>
      </c>
      <c r="E17" s="152">
        <f>'[3]4'!E17</f>
        <v>0.32400000000000001</v>
      </c>
      <c r="F17" s="31"/>
      <c r="K17" s="2"/>
    </row>
    <row r="18" spans="1:11" x14ac:dyDescent="0.2">
      <c r="A18" t="str">
        <f t="shared" si="0"/>
        <v>1985</v>
      </c>
      <c r="B18" s="23"/>
      <c r="C18" s="151">
        <f>'[3]4'!C18</f>
        <v>512</v>
      </c>
      <c r="D18" s="151">
        <f>'[3]4'!D18</f>
        <v>297</v>
      </c>
      <c r="E18" s="152">
        <f>'[3]4'!E18</f>
        <v>0.57999999999999996</v>
      </c>
      <c r="F18" s="31"/>
      <c r="K18" s="2"/>
    </row>
    <row r="19" spans="1:11" x14ac:dyDescent="0.2">
      <c r="A19" t="str">
        <f t="shared" si="0"/>
        <v>1986</v>
      </c>
      <c r="B19" s="23"/>
      <c r="C19" s="151">
        <f>'[3]4'!C19</f>
        <v>881</v>
      </c>
      <c r="D19" s="151">
        <f>'[3]4'!D19</f>
        <v>505</v>
      </c>
      <c r="E19" s="152">
        <f>'[3]4'!E19</f>
        <v>0.57299999999999995</v>
      </c>
      <c r="F19" s="31" t="s">
        <v>72</v>
      </c>
      <c r="K19" s="2"/>
    </row>
    <row r="20" spans="1:11" x14ac:dyDescent="0.2">
      <c r="A20" t="str">
        <f t="shared" si="0"/>
        <v>1987</v>
      </c>
      <c r="B20" s="23"/>
      <c r="C20" s="151">
        <f>'[3]4'!C20</f>
        <v>1897</v>
      </c>
      <c r="D20" s="151">
        <f>'[3]4'!D20</f>
        <v>1056</v>
      </c>
      <c r="E20" s="152">
        <f>'[3]4'!E20</f>
        <v>0.55700000000000005</v>
      </c>
      <c r="F20" s="31"/>
      <c r="K20" s="2"/>
    </row>
    <row r="21" spans="1:11" x14ac:dyDescent="0.2">
      <c r="A21" t="str">
        <f t="shared" si="0"/>
        <v>1988</v>
      </c>
      <c r="C21" s="151">
        <f>'[3]4'!C21</f>
        <v>1160</v>
      </c>
      <c r="D21" s="151">
        <f>'[3]4'!D21</f>
        <v>357</v>
      </c>
      <c r="E21" s="152">
        <f>'[3]4'!E21</f>
        <v>0.308</v>
      </c>
      <c r="F21" s="17"/>
      <c r="K21" s="2"/>
    </row>
    <row r="22" spans="1:11" x14ac:dyDescent="0.2">
      <c r="A22" t="str">
        <f t="shared" si="0"/>
        <v>1989</v>
      </c>
      <c r="C22" s="151">
        <f>'[3]4'!C22</f>
        <v>12296</v>
      </c>
      <c r="D22" s="151">
        <f>'[3]4'!D22</f>
        <v>3528</v>
      </c>
      <c r="E22" s="152">
        <f>'[3]4'!E22</f>
        <v>0.28699999999999998</v>
      </c>
      <c r="F22" s="17" t="s">
        <v>72</v>
      </c>
      <c r="K22" s="2"/>
    </row>
    <row r="23" spans="1:11" x14ac:dyDescent="0.2">
      <c r="A23" t="str">
        <f t="shared" si="0"/>
        <v>1990</v>
      </c>
      <c r="C23" s="151">
        <f>'[3]4'!C23</f>
        <v>335</v>
      </c>
      <c r="D23" s="151">
        <f>'[3]4'!D23</f>
        <v>225</v>
      </c>
      <c r="E23" s="152">
        <f>'[3]4'!E23</f>
        <v>0.67200000000000004</v>
      </c>
      <c r="F23" s="17"/>
      <c r="K23" s="2"/>
    </row>
    <row r="24" spans="1:11" x14ac:dyDescent="0.2">
      <c r="A24" t="str">
        <f t="shared" si="0"/>
        <v>1991</v>
      </c>
      <c r="C24" s="151">
        <f>'[3]4'!C24</f>
        <v>1217</v>
      </c>
      <c r="D24" s="151">
        <f>'[3]4'!D24</f>
        <v>729</v>
      </c>
      <c r="E24" s="152">
        <f>'[3]4'!E24</f>
        <v>0.59899999999999998</v>
      </c>
      <c r="F24" s="17"/>
      <c r="K24" s="2"/>
    </row>
    <row r="25" spans="1:11" x14ac:dyDescent="0.2">
      <c r="A25" t="str">
        <f t="shared" si="0"/>
        <v>1992</v>
      </c>
      <c r="C25" s="151">
        <f>'[3]4'!C25</f>
        <v>489</v>
      </c>
      <c r="D25" s="151">
        <f>'[3]4'!D25</f>
        <v>554</v>
      </c>
      <c r="E25" s="152">
        <f>'[3]4'!E25</f>
        <v>1.133</v>
      </c>
      <c r="F25" s="17"/>
      <c r="K25" s="2"/>
    </row>
    <row r="26" spans="1:11" x14ac:dyDescent="0.2">
      <c r="A26" t="str">
        <f t="shared" si="0"/>
        <v>1993</v>
      </c>
      <c r="C26" s="151">
        <f>'[3]4'!C26</f>
        <v>3375</v>
      </c>
      <c r="D26" s="151">
        <f>'[3]4'!D26</f>
        <v>1375</v>
      </c>
      <c r="E26" s="152">
        <f>'[3]4'!E26</f>
        <v>0.40699999999999997</v>
      </c>
      <c r="F26" s="17"/>
      <c r="K26" s="2"/>
    </row>
    <row r="27" spans="1:11" x14ac:dyDescent="0.2">
      <c r="A27" t="str">
        <f t="shared" si="0"/>
        <v>1994</v>
      </c>
      <c r="C27" s="151">
        <f>'[3]4'!C27</f>
        <v>679</v>
      </c>
      <c r="D27" s="151">
        <f>'[3]4'!D27</f>
        <v>507</v>
      </c>
      <c r="E27" s="152">
        <f>'[3]4'!E27</f>
        <v>0.747</v>
      </c>
      <c r="F27" s="17"/>
      <c r="K27" s="2"/>
    </row>
    <row r="28" spans="1:11" x14ac:dyDescent="0.2">
      <c r="A28" t="str">
        <f t="shared" si="0"/>
        <v>1995</v>
      </c>
      <c r="C28" s="151">
        <f>'[3]4'!C28</f>
        <v>2977</v>
      </c>
      <c r="D28" s="151">
        <f>'[3]4'!D28</f>
        <v>903</v>
      </c>
      <c r="E28" s="152">
        <f>'[3]4'!E28</f>
        <v>0.30299999999999999</v>
      </c>
      <c r="F28" s="17"/>
      <c r="K28" s="2"/>
    </row>
    <row r="29" spans="1:11" x14ac:dyDescent="0.2">
      <c r="A29" t="str">
        <f t="shared" si="0"/>
        <v>1996</v>
      </c>
      <c r="C29" s="151">
        <f>'[3]4'!C29</f>
        <v>1166</v>
      </c>
      <c r="D29" s="151">
        <f>'[3]4'!D29</f>
        <v>582</v>
      </c>
      <c r="E29" s="152">
        <f>'[3]4'!E29</f>
        <v>0.499</v>
      </c>
      <c r="F29" s="17"/>
      <c r="K29" s="2"/>
    </row>
    <row r="30" spans="1:11" x14ac:dyDescent="0.2">
      <c r="A30" t="str">
        <f t="shared" si="0"/>
        <v>1997</v>
      </c>
      <c r="B30" s="12"/>
      <c r="C30" s="151">
        <f>'[3]4'!C30</f>
        <v>2964</v>
      </c>
      <c r="D30" s="151">
        <f>'[3]4'!D30</f>
        <v>1343</v>
      </c>
      <c r="E30" s="152">
        <f>'[3]4'!E30</f>
        <v>0.45300000000000001</v>
      </c>
      <c r="F30" s="17"/>
      <c r="K30" s="2"/>
    </row>
    <row r="31" spans="1:11" x14ac:dyDescent="0.2">
      <c r="A31" t="str">
        <f t="shared" si="0"/>
        <v>1998</v>
      </c>
      <c r="B31" s="12"/>
      <c r="C31" s="151">
        <f>'[3]4'!C31</f>
        <v>22401</v>
      </c>
      <c r="D31" s="151">
        <f>'[3]4'!D31</f>
        <v>4732</v>
      </c>
      <c r="E31" s="152">
        <f>'[3]4'!E31</f>
        <v>0.21099999999999999</v>
      </c>
      <c r="F31" s="17"/>
      <c r="K31" s="2"/>
    </row>
    <row r="32" spans="1:11" x14ac:dyDescent="0.2">
      <c r="A32" t="str">
        <f t="shared" si="0"/>
        <v>1999</v>
      </c>
      <c r="B32" s="12"/>
      <c r="C32" s="151">
        <f>'[3]4'!C32</f>
        <v>8773</v>
      </c>
      <c r="D32" s="151">
        <f>'[3]4'!D32</f>
        <v>2388</v>
      </c>
      <c r="E32" s="152">
        <f>'[3]4'!E32</f>
        <v>0.27200000000000002</v>
      </c>
      <c r="F32" s="17" t="s">
        <v>72</v>
      </c>
      <c r="K32" s="2"/>
    </row>
    <row r="33" spans="1:13" x14ac:dyDescent="0.2">
      <c r="A33" t="str">
        <f t="shared" si="0"/>
        <v>2000</v>
      </c>
      <c r="C33" s="151">
        <f>'[3]4'!C33</f>
        <v>6227</v>
      </c>
      <c r="D33" s="151">
        <f>'[3]4'!D33</f>
        <v>1885</v>
      </c>
      <c r="E33" s="152">
        <f>'[3]4'!E33</f>
        <v>0.30299999999999999</v>
      </c>
      <c r="F33" s="17"/>
      <c r="K33" s="2"/>
    </row>
    <row r="34" spans="1:13" x14ac:dyDescent="0.2">
      <c r="A34" t="str">
        <f t="shared" si="0"/>
        <v>2001</v>
      </c>
      <c r="C34" s="151">
        <f>'[3]4'!C34</f>
        <v>24605</v>
      </c>
      <c r="D34" s="151">
        <f>'[3]4'!D34</f>
        <v>1880</v>
      </c>
      <c r="E34" s="152">
        <f>'[3]4'!E34</f>
        <v>7.5999999999999998E-2</v>
      </c>
      <c r="F34" s="17"/>
      <c r="K34" s="2"/>
    </row>
    <row r="35" spans="1:13" x14ac:dyDescent="0.2">
      <c r="A35" t="str">
        <f t="shared" si="0"/>
        <v>2002</v>
      </c>
      <c r="C35" s="151">
        <f>'[3]4'!C35</f>
        <v>5167</v>
      </c>
      <c r="D35" s="151">
        <f>'[3]4'!D35</f>
        <v>5226</v>
      </c>
      <c r="E35" s="152">
        <f>'[3]4'!E35</f>
        <v>1.0109999999999999</v>
      </c>
      <c r="F35" s="17"/>
      <c r="K35" s="2"/>
    </row>
    <row r="36" spans="1:13" x14ac:dyDescent="0.2">
      <c r="A36" t="str">
        <f t="shared" si="0"/>
        <v>2003</v>
      </c>
      <c r="C36" s="151">
        <f>'[3]4'!C36</f>
        <v>155001</v>
      </c>
      <c r="D36" s="151">
        <f>'[3]4'!D36</f>
        <v>5122</v>
      </c>
      <c r="E36" s="152">
        <f>'[3]4'!E36</f>
        <v>3.3000000000000002E-2</v>
      </c>
      <c r="F36" s="17" t="s">
        <v>72</v>
      </c>
      <c r="K36" s="2"/>
    </row>
    <row r="37" spans="1:13" x14ac:dyDescent="0.2">
      <c r="A37" t="str">
        <f t="shared" si="0"/>
        <v>2004</v>
      </c>
      <c r="C37" s="151">
        <f>'[3]4'!C37</f>
        <v>5167</v>
      </c>
      <c r="D37" s="151">
        <f>'[3]4'!D37</f>
        <v>1471</v>
      </c>
      <c r="E37" s="152">
        <f>'[3]4'!E37</f>
        <v>0.28499999999999998</v>
      </c>
      <c r="F37" s="17"/>
      <c r="K37" s="2"/>
      <c r="L37" s="37"/>
    </row>
    <row r="38" spans="1:13" x14ac:dyDescent="0.2">
      <c r="A38" t="str">
        <f t="shared" si="0"/>
        <v>2005</v>
      </c>
      <c r="C38" s="151">
        <f>'[3]4'!C38</f>
        <v>154981</v>
      </c>
      <c r="D38" s="151">
        <f>'[3]4'!D38</f>
        <v>20235</v>
      </c>
      <c r="E38" s="152">
        <f>'[3]4'!E38</f>
        <v>0.13100000000000001</v>
      </c>
      <c r="F38" s="17" t="s">
        <v>72</v>
      </c>
      <c r="K38" s="2"/>
    </row>
    <row r="39" spans="1:13" x14ac:dyDescent="0.2">
      <c r="A39" t="str">
        <f t="shared" si="0"/>
        <v>2006</v>
      </c>
      <c r="C39" s="151">
        <f>'[3]4'!C39</f>
        <v>4276</v>
      </c>
      <c r="D39" s="151">
        <f>'[3]4'!D39</f>
        <v>1110</v>
      </c>
      <c r="E39" s="152">
        <f>'[3]4'!E39</f>
        <v>0.26</v>
      </c>
      <c r="F39" s="17"/>
      <c r="K39" s="2"/>
    </row>
    <row r="40" spans="1:13" x14ac:dyDescent="0.2">
      <c r="A40" t="str">
        <f t="shared" si="0"/>
        <v>2007</v>
      </c>
      <c r="C40" s="151">
        <f>'[3]4'!C40</f>
        <v>15745</v>
      </c>
      <c r="D40" s="151">
        <f>'[3]4'!D40</f>
        <v>4941</v>
      </c>
      <c r="E40" s="152">
        <f>'[3]4'!E40</f>
        <v>0.314</v>
      </c>
      <c r="F40" s="17" t="s">
        <v>72</v>
      </c>
      <c r="K40" s="2"/>
    </row>
    <row r="41" spans="1:13" x14ac:dyDescent="0.2">
      <c r="A41" t="str">
        <f t="shared" si="0"/>
        <v>2008</v>
      </c>
      <c r="B41" s="12"/>
      <c r="C41" s="151">
        <f>'[3]4'!C41</f>
        <v>2583017</v>
      </c>
      <c r="D41" s="151">
        <f>'[3]4'!D41</f>
        <v>346615</v>
      </c>
      <c r="E41" s="152">
        <f>'[3]4'!E41</f>
        <v>0.13400000000000001</v>
      </c>
      <c r="F41" s="31" t="s">
        <v>72</v>
      </c>
      <c r="K41" s="2"/>
    </row>
    <row r="42" spans="1:13" x14ac:dyDescent="0.2">
      <c r="A42" t="str">
        <f t="shared" si="0"/>
        <v>2009</v>
      </c>
      <c r="B42" s="12"/>
      <c r="C42" s="151">
        <f>'[3]4'!C42</f>
        <v>10407</v>
      </c>
      <c r="D42" s="151">
        <f>'[3]4'!D42</f>
        <v>2219</v>
      </c>
      <c r="E42" s="152">
        <f>'[3]4'!E42</f>
        <v>0.21299999999999999</v>
      </c>
      <c r="F42" s="17"/>
      <c r="K42" s="2"/>
    </row>
    <row r="43" spans="1:13" x14ac:dyDescent="0.2">
      <c r="A43" t="str">
        <f t="shared" si="0"/>
        <v>2010</v>
      </c>
      <c r="B43" s="12"/>
      <c r="C43" s="151">
        <f>'[3]4'!C43</f>
        <v>18005</v>
      </c>
      <c r="D43" s="151">
        <f>'[3]4'!D43</f>
        <v>4274</v>
      </c>
      <c r="E43" s="152">
        <f>'[3]4'!E43</f>
        <v>0.23699999999999999</v>
      </c>
      <c r="F43" s="31"/>
      <c r="K43" s="2"/>
    </row>
    <row r="44" spans="1:13" x14ac:dyDescent="0.2">
      <c r="A44" t="str">
        <f t="shared" si="0"/>
        <v>2011</v>
      </c>
      <c r="B44" s="12"/>
      <c r="C44" s="151">
        <f>'[3]4'!C44</f>
        <v>96073</v>
      </c>
      <c r="D44" s="151">
        <f>'[3]4'!D44</f>
        <v>15108</v>
      </c>
      <c r="E44" s="152">
        <f>'[3]4'!E44</f>
        <v>0.157</v>
      </c>
      <c r="F44" s="31"/>
      <c r="K44" s="2"/>
    </row>
    <row r="45" spans="1:13" x14ac:dyDescent="0.2">
      <c r="A45" t="str">
        <f t="shared" si="0"/>
        <v>2012</v>
      </c>
      <c r="B45" s="12"/>
      <c r="C45" s="151">
        <f>'[3]4'!C45</f>
        <v>67492</v>
      </c>
      <c r="D45" s="151">
        <f>'[3]4'!D45</f>
        <v>15833</v>
      </c>
      <c r="E45" s="152">
        <f>'[3]4'!E45</f>
        <v>0.23499999999999999</v>
      </c>
      <c r="F45" s="31"/>
      <c r="K45" s="2"/>
    </row>
    <row r="46" spans="1:13" x14ac:dyDescent="0.2">
      <c r="A46" t="str">
        <f t="shared" si="0"/>
        <v>2013</v>
      </c>
      <c r="B46" s="12"/>
      <c r="C46" s="151">
        <f>'[3]4'!C46</f>
        <v>70835</v>
      </c>
      <c r="D46" s="151">
        <f>'[3]4'!D46</f>
        <v>13829</v>
      </c>
      <c r="E46" s="152">
        <f>'[3]4'!E46</f>
        <v>0.19500000000000001</v>
      </c>
      <c r="F46" s="31"/>
      <c r="K46" s="2"/>
    </row>
    <row r="47" spans="1:13" x14ac:dyDescent="0.2">
      <c r="A47" t="str">
        <f t="shared" si="0"/>
        <v>2014</v>
      </c>
      <c r="B47" s="12"/>
      <c r="C47" s="151">
        <f>'[3]4'!C47</f>
        <v>7871</v>
      </c>
      <c r="D47" s="151">
        <f>'[3]4'!D47</f>
        <v>6928</v>
      </c>
      <c r="E47" s="152">
        <f>'[3]4'!E47</f>
        <v>0.88</v>
      </c>
      <c r="F47" s="31"/>
      <c r="K47" s="2"/>
    </row>
    <row r="48" spans="1:13" x14ac:dyDescent="0.2">
      <c r="A48" t="str">
        <f t="shared" si="0"/>
        <v>2015</v>
      </c>
      <c r="B48" s="12"/>
      <c r="C48" s="151">
        <f>'[3]4'!C48</f>
        <v>138829</v>
      </c>
      <c r="D48" s="151">
        <f>'[3]4'!D48</f>
        <v>40137</v>
      </c>
      <c r="E48" s="152">
        <f>'[3]4'!E48</f>
        <v>0.28899999999999998</v>
      </c>
      <c r="F48" s="31"/>
      <c r="K48" s="2"/>
      <c r="L48" s="37"/>
      <c r="M48" s="37"/>
    </row>
    <row r="49" spans="1:13" x14ac:dyDescent="0.2">
      <c r="A49" t="str">
        <f t="shared" si="0"/>
        <v>2016</v>
      </c>
      <c r="B49" s="12"/>
      <c r="C49" s="151">
        <f>'[3]4'!C49</f>
        <v>28422</v>
      </c>
      <c r="D49" s="151">
        <f>'[3]4'!D49</f>
        <v>15387</v>
      </c>
      <c r="E49" s="152">
        <f>'[3]4'!E49</f>
        <v>0.54100000000000004</v>
      </c>
      <c r="F49" s="31"/>
      <c r="K49" s="2"/>
      <c r="L49" s="37"/>
      <c r="M49" s="37"/>
    </row>
    <row r="50" spans="1:13" x14ac:dyDescent="0.2">
      <c r="A50" t="str">
        <f t="shared" si="0"/>
        <v>2017</v>
      </c>
      <c r="B50" s="12"/>
      <c r="C50" s="151">
        <f>'[3]4'!C50</f>
        <v>1409788</v>
      </c>
      <c r="D50" s="151">
        <f>'[3]4'!D50</f>
        <v>279561</v>
      </c>
      <c r="E50" s="152">
        <f>'[3]4'!E50</f>
        <v>0.19800000000000001</v>
      </c>
      <c r="F50" s="31" t="s">
        <v>72</v>
      </c>
      <c r="K50" s="2"/>
    </row>
    <row r="51" spans="1:13" x14ac:dyDescent="0.2">
      <c r="A51" t="str">
        <f t="shared" si="0"/>
        <v>2018</v>
      </c>
      <c r="B51" s="12"/>
      <c r="C51" s="151">
        <f>'[3]4'!C51</f>
        <v>12097</v>
      </c>
      <c r="D51" s="151">
        <f>'[3]4'!D51</f>
        <v>6775</v>
      </c>
      <c r="E51" s="152">
        <f>'[3]4'!E51</f>
        <v>0.56000000000000005</v>
      </c>
      <c r="F51" s="31"/>
      <c r="K51" s="2"/>
    </row>
    <row r="52" spans="1:13" x14ac:dyDescent="0.2">
      <c r="A52" t="str">
        <f t="shared" si="0"/>
        <v>2019</v>
      </c>
      <c r="B52" s="12"/>
      <c r="C52" s="151">
        <f>'[3]4'!C52</f>
        <v>17606</v>
      </c>
      <c r="D52" s="151">
        <f>'[3]4'!D52</f>
        <v>9326</v>
      </c>
      <c r="E52" s="152">
        <f>'[3]4'!E52</f>
        <v>0.53</v>
      </c>
      <c r="F52" s="31"/>
      <c r="K52" s="2"/>
    </row>
    <row r="53" spans="1:13" x14ac:dyDescent="0.2">
      <c r="A53" t="str">
        <f t="shared" si="0"/>
        <v>2020</v>
      </c>
      <c r="B53" s="12"/>
      <c r="C53" s="151">
        <f>'[3]4'!C53</f>
        <v>64503</v>
      </c>
      <c r="D53" s="151">
        <f>'[3]4'!D53</f>
        <v>29204</v>
      </c>
      <c r="E53" s="152">
        <f>'[3]4'!E53</f>
        <v>0.45300000000000001</v>
      </c>
      <c r="F53" s="31" t="s">
        <v>72</v>
      </c>
      <c r="K53" s="2"/>
    </row>
    <row r="54" spans="1:13" x14ac:dyDescent="0.2">
      <c r="A54" t="str">
        <f t="shared" si="0"/>
        <v>2021</v>
      </c>
      <c r="B54" s="12"/>
      <c r="C54" s="151">
        <f>'[3]4'!C54</f>
        <v>67351</v>
      </c>
      <c r="D54" s="151">
        <f>'[3]4'!D54</f>
        <v>28796</v>
      </c>
      <c r="E54" s="152">
        <f>'[3]4'!E54</f>
        <v>0.42799999999999999</v>
      </c>
      <c r="F54" s="31" t="s">
        <v>72</v>
      </c>
      <c r="K54" s="2"/>
    </row>
    <row r="55" spans="1:13" x14ac:dyDescent="0.2">
      <c r="A55" t="str">
        <f t="shared" si="0"/>
        <v>2022</v>
      </c>
      <c r="B55" s="12"/>
      <c r="C55" s="151">
        <f>'[3]4'!C55</f>
        <v>28969</v>
      </c>
      <c r="D55" s="151">
        <f>'[3]4'!D55</f>
        <v>11989</v>
      </c>
      <c r="E55" s="152">
        <f>'[3]4'!E55</f>
        <v>0.41399999999999998</v>
      </c>
      <c r="F55" s="31"/>
      <c r="K55" s="2"/>
    </row>
    <row r="56" spans="1:13" x14ac:dyDescent="0.2">
      <c r="A56" t="str">
        <f t="shared" si="0"/>
        <v>2023</v>
      </c>
      <c r="B56" s="12"/>
      <c r="C56" s="151">
        <f>'[3]4'!C56</f>
        <v>79006</v>
      </c>
      <c r="D56" s="151">
        <f>'[3]4'!D56</f>
        <v>23139</v>
      </c>
      <c r="E56" s="152">
        <f>'[3]4'!E56</f>
        <v>0.29299999999999998</v>
      </c>
      <c r="F56" s="31"/>
      <c r="K56" s="2"/>
    </row>
    <row r="57" spans="1:13" x14ac:dyDescent="0.2">
      <c r="A57" t="str">
        <f t="shared" si="0"/>
        <v>2024</v>
      </c>
      <c r="B57" s="12"/>
      <c r="C57" s="151">
        <f>'[3]4'!C57</f>
        <v>546593</v>
      </c>
      <c r="D57" s="151">
        <f>'[3]4'!D57</f>
        <v>145420</v>
      </c>
      <c r="E57" s="152">
        <f>'[3]4'!E57</f>
        <v>0.26600000000000001</v>
      </c>
      <c r="F57" s="31" t="s">
        <v>72</v>
      </c>
      <c r="K57" s="2"/>
    </row>
    <row r="58" spans="1:13" ht="12" thickBot="1" x14ac:dyDescent="0.25">
      <c r="A58" s="6" t="str">
        <f t="shared" si="0"/>
        <v>2025</v>
      </c>
      <c r="B58" s="172"/>
      <c r="C58" s="156">
        <f>'[3]4'!C58</f>
        <v>153607</v>
      </c>
      <c r="D58" s="156">
        <f>'[3]4'!D58</f>
        <v>35194</v>
      </c>
      <c r="E58" s="157">
        <f>'[3]4'!E58</f>
        <v>0.22900000000000001</v>
      </c>
      <c r="F58" s="173"/>
      <c r="K58" s="2"/>
    </row>
    <row r="59" spans="1:13" ht="12" thickTop="1" x14ac:dyDescent="0.2">
      <c r="K59" s="2"/>
    </row>
    <row r="60" spans="1:13" x14ac:dyDescent="0.2">
      <c r="A60" t="s">
        <v>74</v>
      </c>
      <c r="C60" s="19">
        <f>SUM(C13:C59)</f>
        <v>5998979</v>
      </c>
      <c r="D60" s="19">
        <f>SUM(D13:D59)</f>
        <v>1102562</v>
      </c>
      <c r="E60" s="32">
        <f>ROUND(D60/C60,3)</f>
        <v>0.184</v>
      </c>
      <c r="F60" s="19"/>
      <c r="K60" s="2"/>
    </row>
    <row r="61" spans="1:13" x14ac:dyDescent="0.2">
      <c r="K61" s="2"/>
    </row>
    <row r="62" spans="1:13" x14ac:dyDescent="0.2">
      <c r="A62" t="s">
        <v>73</v>
      </c>
      <c r="C62" s="19">
        <f>SUMIF($F$13:$F$59,"H",C$13:C$59)</f>
        <v>5180839</v>
      </c>
      <c r="D62" s="19">
        <f>SUMIF($F$13:$F$59,"H",D$13:D$59)</f>
        <v>876760</v>
      </c>
      <c r="E62" s="32">
        <f>ROUND(D62/C62,3)</f>
        <v>0.16900000000000001</v>
      </c>
      <c r="K62" s="2"/>
    </row>
    <row r="63" spans="1:13" x14ac:dyDescent="0.2">
      <c r="K63" s="2"/>
    </row>
    <row r="64" spans="1:13" x14ac:dyDescent="0.2">
      <c r="A64" t="s">
        <v>75</v>
      </c>
      <c r="K64" s="2"/>
    </row>
    <row r="65" spans="1:12" x14ac:dyDescent="0.2">
      <c r="B65" t="s">
        <v>9</v>
      </c>
      <c r="C65" s="19">
        <f>C60-C62</f>
        <v>818140</v>
      </c>
      <c r="D65" s="19">
        <f>D60-D62</f>
        <v>225802</v>
      </c>
      <c r="E65" s="32">
        <f>ROUND(D65/C65,3)</f>
        <v>0.27600000000000002</v>
      </c>
      <c r="K65" s="2"/>
    </row>
    <row r="66" spans="1:12" x14ac:dyDescent="0.2">
      <c r="B66" t="s">
        <v>76</v>
      </c>
      <c r="C66" s="19">
        <f>SUMIF($F$45:$F$58,"&lt;&gt;H",C$45:C$58)</f>
        <v>604734</v>
      </c>
      <c r="D66" s="19">
        <f>SUMIF($F$45:$F$58,"&lt;&gt;H",D$45:D$58)</f>
        <v>178537</v>
      </c>
      <c r="E66" s="32">
        <f>ROUND(D66/C66,3)</f>
        <v>0.29499999999999998</v>
      </c>
      <c r="K66" s="2"/>
      <c r="L66" t="s">
        <v>442</v>
      </c>
    </row>
    <row r="67" spans="1:12" ht="12" thickBot="1" x14ac:dyDescent="0.25">
      <c r="A67" s="6"/>
      <c r="B67" s="6"/>
      <c r="C67" s="6"/>
      <c r="D67" s="6"/>
      <c r="E67" s="6"/>
      <c r="F67" s="6"/>
      <c r="K67" s="2"/>
    </row>
    <row r="68" spans="1:12" ht="12" thickTop="1" x14ac:dyDescent="0.2">
      <c r="K68" s="2"/>
    </row>
    <row r="69" spans="1:12" x14ac:dyDescent="0.2">
      <c r="A69" t="s">
        <v>17</v>
      </c>
      <c r="K69" s="2"/>
    </row>
    <row r="70" spans="1:12" x14ac:dyDescent="0.2">
      <c r="B70" s="151" t="str">
        <f>'[3]4'!B70</f>
        <v>(2) - (3) 2016 - 2025: from most recent TWIA annual statement; 1980 - 2015: from prior TWIA annual statements</v>
      </c>
      <c r="D70" s="12"/>
      <c r="K70" s="2"/>
    </row>
    <row r="71" spans="1:12" x14ac:dyDescent="0.2">
      <c r="B71" s="151" t="str">
        <f>'[3]4'!B71</f>
        <v>(4) = (3) / (2)</v>
      </c>
      <c r="K71" s="2"/>
    </row>
    <row r="72" spans="1:12" ht="12" thickBot="1" x14ac:dyDescent="0.25">
      <c r="B72" s="151" t="str">
        <f>'[3]4'!B72</f>
        <v>(5) "H" indicates hurricane year</v>
      </c>
      <c r="K72" s="2"/>
    </row>
    <row r="73" spans="1:12" hidden="1" x14ac:dyDescent="0.2">
      <c r="K73" s="2"/>
    </row>
    <row r="74" spans="1:12" ht="12" thickBot="1" x14ac:dyDescent="0.25">
      <c r="A74" s="4"/>
      <c r="B74" s="5"/>
      <c r="C74" s="5"/>
      <c r="D74" s="5"/>
      <c r="E74" s="5"/>
      <c r="F74" s="5"/>
      <c r="G74" s="5"/>
      <c r="H74" s="5"/>
      <c r="I74" s="5"/>
      <c r="J74" s="5"/>
      <c r="K74" s="3"/>
    </row>
  </sheetData>
  <phoneticPr fontId="0" type="noConversion"/>
  <pageMargins left="0.5" right="0.5" top="0.5" bottom="0.5" header="0.5" footer="0.5"/>
  <pageSetup scale="96" orientation="portrait" blackAndWhite="1" r:id="rId1"/>
  <headerFooter alignWithMargins="0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6">
    <tabColor rgb="FF92D050"/>
  </sheetPr>
  <dimension ref="A1:I45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2.5" bestFit="1" customWidth="1"/>
    <col min="2" max="2" width="50.33203125" customWidth="1"/>
    <col min="3" max="5" width="12.6640625" customWidth="1"/>
    <col min="6" max="7" width="11.33203125" customWidth="1"/>
    <col min="8" max="8" width="7.6640625" customWidth="1"/>
  </cols>
  <sheetData>
    <row r="1" spans="1:9" x14ac:dyDescent="0.2">
      <c r="A1" s="8" t="str">
        <f>'1'!$A$1</f>
        <v>Texas Windstorm Insurance Association</v>
      </c>
      <c r="B1" s="12"/>
      <c r="H1" s="7" t="s">
        <v>84</v>
      </c>
      <c r="I1" s="1"/>
    </row>
    <row r="2" spans="1:9" x14ac:dyDescent="0.2">
      <c r="A2" s="8" t="str">
        <f>'1'!$A$2</f>
        <v>Residential Property - Wind &amp; Hail</v>
      </c>
      <c r="B2" s="12"/>
      <c r="H2" s="7"/>
      <c r="I2" s="2"/>
    </row>
    <row r="3" spans="1:9" x14ac:dyDescent="0.2">
      <c r="A3" s="8" t="str">
        <f>'1'!$A$3</f>
        <v>Rate Level Review</v>
      </c>
      <c r="B3" s="12"/>
      <c r="I3" s="2"/>
    </row>
    <row r="4" spans="1:9" x14ac:dyDescent="0.2">
      <c r="A4" t="s">
        <v>83</v>
      </c>
      <c r="B4" s="12"/>
      <c r="I4" s="2"/>
    </row>
    <row r="5" spans="1:9" x14ac:dyDescent="0.2">
      <c r="B5" s="12"/>
      <c r="I5" s="2"/>
    </row>
    <row r="6" spans="1:9" x14ac:dyDescent="0.2">
      <c r="I6" s="2"/>
    </row>
    <row r="7" spans="1:9" ht="12" thickBot="1" x14ac:dyDescent="0.25">
      <c r="A7" s="6"/>
      <c r="B7" s="6"/>
      <c r="C7" s="6"/>
      <c r="D7" s="6"/>
      <c r="E7" s="6"/>
      <c r="I7" s="2"/>
    </row>
    <row r="8" spans="1:9" ht="12" thickTop="1" x14ac:dyDescent="0.2">
      <c r="I8" s="2"/>
    </row>
    <row r="9" spans="1:9" x14ac:dyDescent="0.2">
      <c r="C9" s="12" t="s">
        <v>13</v>
      </c>
      <c r="E9" t="s">
        <v>13</v>
      </c>
      <c r="I9" s="2"/>
    </row>
    <row r="10" spans="1:9" x14ac:dyDescent="0.2">
      <c r="C10" t="s">
        <v>39</v>
      </c>
      <c r="D10" t="s">
        <v>34</v>
      </c>
      <c r="E10" t="s">
        <v>11</v>
      </c>
      <c r="I10" s="2"/>
    </row>
    <row r="11" spans="1:9" x14ac:dyDescent="0.2">
      <c r="A11" s="9" t="s">
        <v>85</v>
      </c>
      <c r="B11" s="9"/>
      <c r="C11" s="9" t="s">
        <v>12</v>
      </c>
      <c r="D11" s="9" t="s">
        <v>35</v>
      </c>
      <c r="E11" s="9" t="s">
        <v>12</v>
      </c>
      <c r="I11" s="2"/>
    </row>
    <row r="12" spans="1:9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/>
      <c r="G12" s="11"/>
      <c r="H12" s="11"/>
      <c r="I12" s="2"/>
    </row>
    <row r="13" spans="1:9" x14ac:dyDescent="0.2">
      <c r="I13" s="2"/>
    </row>
    <row r="14" spans="1:9" x14ac:dyDescent="0.2">
      <c r="A14" t="s">
        <v>251</v>
      </c>
      <c r="C14" s="22">
        <f ca="1">'6.1'!E39</f>
        <v>0.32700000000000001</v>
      </c>
      <c r="D14" s="40">
        <f>'4'!$E$62</f>
        <v>0.16900000000000001</v>
      </c>
      <c r="E14" s="18">
        <f ca="1">ROUND(C14*(1+D14),3)</f>
        <v>0.38200000000000001</v>
      </c>
      <c r="F14" s="38"/>
      <c r="G14" s="38"/>
      <c r="H14" s="39"/>
      <c r="I14" s="2"/>
    </row>
    <row r="15" spans="1:9" x14ac:dyDescent="0.2">
      <c r="C15" s="22"/>
      <c r="D15" s="22"/>
      <c r="E15" s="22"/>
      <c r="F15" s="38"/>
      <c r="G15" s="38"/>
      <c r="H15" s="39"/>
      <c r="I15" s="2"/>
    </row>
    <row r="16" spans="1:9" x14ac:dyDescent="0.2">
      <c r="A16" s="10" t="s">
        <v>86</v>
      </c>
      <c r="C16" s="22"/>
      <c r="D16" s="22"/>
      <c r="E16" s="22"/>
      <c r="F16" s="38"/>
      <c r="G16" s="38"/>
      <c r="H16" s="39"/>
      <c r="I16" s="2"/>
    </row>
    <row r="17" spans="1:9" x14ac:dyDescent="0.2">
      <c r="B17" t="s">
        <v>357</v>
      </c>
      <c r="C17" s="22">
        <f>'7.1'!$E$34</f>
        <v>0.44600000000000001</v>
      </c>
      <c r="D17" s="40">
        <f>D$14</f>
        <v>0.16900000000000001</v>
      </c>
      <c r="E17" s="18">
        <f>ROUND(C17*(1+D17),3)</f>
        <v>0.52100000000000002</v>
      </c>
      <c r="I17" s="2"/>
    </row>
    <row r="18" spans="1:9" x14ac:dyDescent="0.2">
      <c r="B18" t="s">
        <v>354</v>
      </c>
      <c r="C18" s="22">
        <f>'7.2'!$E$34</f>
        <v>0.40200000000000002</v>
      </c>
      <c r="D18" s="40">
        <f>D$14</f>
        <v>0.16900000000000001</v>
      </c>
      <c r="E18" s="18">
        <f>ROUND(C18*(1+D18),3)</f>
        <v>0.47</v>
      </c>
      <c r="I18" s="2"/>
    </row>
    <row r="19" spans="1:9" x14ac:dyDescent="0.2">
      <c r="B19" t="s">
        <v>355</v>
      </c>
      <c r="C19" s="22">
        <f>'7.3'!$E$34</f>
        <v>0.34499999999999997</v>
      </c>
      <c r="D19" s="40">
        <f t="shared" ref="D19:D20" si="0">D$14</f>
        <v>0.16900000000000001</v>
      </c>
      <c r="E19" s="18">
        <f t="shared" ref="E19:E20" si="1">ROUND(C19*(1+D19),3)</f>
        <v>0.40300000000000002</v>
      </c>
      <c r="I19" s="2"/>
    </row>
    <row r="20" spans="1:9" x14ac:dyDescent="0.2">
      <c r="B20" t="s">
        <v>447</v>
      </c>
      <c r="C20" s="22">
        <f>'7.4'!$E$34</f>
        <v>0.31900000000000001</v>
      </c>
      <c r="D20" s="40">
        <f t="shared" si="0"/>
        <v>0.16900000000000001</v>
      </c>
      <c r="E20" s="18">
        <f t="shared" si="1"/>
        <v>0.373</v>
      </c>
      <c r="I20" s="2"/>
    </row>
    <row r="21" spans="1:9" x14ac:dyDescent="0.2">
      <c r="I21" s="2"/>
    </row>
    <row r="22" spans="1:9" x14ac:dyDescent="0.2">
      <c r="B22" t="s">
        <v>87</v>
      </c>
      <c r="C22" s="20">
        <f>ROUND(AVERAGE(C17:C20),3)</f>
        <v>0.378</v>
      </c>
      <c r="D22" s="40">
        <f>D$14</f>
        <v>0.16900000000000001</v>
      </c>
      <c r="E22" s="18">
        <f>ROUND(C22*(1+D22),3)</f>
        <v>0.442</v>
      </c>
      <c r="I22" s="2"/>
    </row>
    <row r="23" spans="1:9" ht="12" thickBot="1" x14ac:dyDescent="0.25">
      <c r="A23" s="6"/>
      <c r="B23" s="6"/>
      <c r="C23" s="6"/>
      <c r="D23" s="6"/>
      <c r="E23" s="6"/>
      <c r="I23" s="2"/>
    </row>
    <row r="24" spans="1:9" ht="12" thickTop="1" x14ac:dyDescent="0.2">
      <c r="I24" s="2"/>
    </row>
    <row r="25" spans="1:9" x14ac:dyDescent="0.2">
      <c r="A25" t="s">
        <v>17</v>
      </c>
      <c r="I25" s="2"/>
    </row>
    <row r="26" spans="1:9" x14ac:dyDescent="0.2">
      <c r="B26" s="12" t="str">
        <f>C12&amp;" "&amp;'6.1'!$J$1&amp;", "&amp;'6.1'!J2&amp;" &amp; "&amp;'7.2'!$K$1&amp;", "&amp;'7.1'!K2&amp; " - "&amp;'7.4'!K2</f>
        <v>(2) Exhibit 6, Sheet 1 &amp; Exhibit 7, Sheet 1 - Sheet 4</v>
      </c>
      <c r="I26" s="2"/>
    </row>
    <row r="27" spans="1:9" x14ac:dyDescent="0.2">
      <c r="B27" s="12" t="str">
        <f>D12&amp;" "&amp;'4'!$J$1</f>
        <v>(3) Exhibit 4</v>
      </c>
      <c r="I27" s="2"/>
    </row>
    <row r="28" spans="1:9" x14ac:dyDescent="0.2">
      <c r="B28" s="12" t="str">
        <f>E12&amp;" = "&amp;C12&amp;" * [1 + "&amp;D12&amp;"]"</f>
        <v>(4) = (2) * [1 + (3)]</v>
      </c>
      <c r="I28" s="2"/>
    </row>
    <row r="29" spans="1:9" x14ac:dyDescent="0.2">
      <c r="B29" s="12"/>
      <c r="I29" s="2"/>
    </row>
    <row r="30" spans="1:9" x14ac:dyDescent="0.2">
      <c r="B30" s="12"/>
      <c r="I30" s="2"/>
    </row>
    <row r="31" spans="1:9" x14ac:dyDescent="0.2">
      <c r="I31" s="2"/>
    </row>
    <row r="32" spans="1:9" x14ac:dyDescent="0.2">
      <c r="I32" s="2"/>
    </row>
    <row r="33" spans="1:9" x14ac:dyDescent="0.2">
      <c r="I33" s="2"/>
    </row>
    <row r="34" spans="1:9" x14ac:dyDescent="0.2">
      <c r="I34" s="2"/>
    </row>
    <row r="35" spans="1:9" x14ac:dyDescent="0.2">
      <c r="I35" s="2"/>
    </row>
    <row r="36" spans="1:9" x14ac:dyDescent="0.2">
      <c r="I36" s="2"/>
    </row>
    <row r="37" spans="1:9" x14ac:dyDescent="0.2">
      <c r="I37" s="2"/>
    </row>
    <row r="38" spans="1:9" x14ac:dyDescent="0.2">
      <c r="I38" s="2"/>
    </row>
    <row r="39" spans="1:9" x14ac:dyDescent="0.2">
      <c r="I39" s="2"/>
    </row>
    <row r="40" spans="1:9" x14ac:dyDescent="0.2">
      <c r="I40" s="2"/>
    </row>
    <row r="41" spans="1:9" x14ac:dyDescent="0.2">
      <c r="I41" s="2"/>
    </row>
    <row r="42" spans="1:9" x14ac:dyDescent="0.2">
      <c r="I42" s="2"/>
    </row>
    <row r="43" spans="1:9" x14ac:dyDescent="0.2">
      <c r="I43" s="2"/>
    </row>
    <row r="44" spans="1:9" ht="12" thickBot="1" x14ac:dyDescent="0.25">
      <c r="I44" s="2"/>
    </row>
    <row r="45" spans="1:9" ht="12" thickBot="1" x14ac:dyDescent="0.25">
      <c r="A45" s="4"/>
      <c r="B45" s="5"/>
      <c r="C45" s="5"/>
      <c r="D45" s="5"/>
      <c r="E45" s="5"/>
      <c r="F45" s="5"/>
      <c r="G45" s="5"/>
      <c r="H45" s="5"/>
      <c r="I45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7">
    <tabColor rgb="FF92D050"/>
  </sheetPr>
  <dimension ref="A1:M51"/>
  <sheetViews>
    <sheetView showGridLines="0" topLeftCell="A4" zoomScaleNormal="100" workbookViewId="0">
      <selection activeCell="P38" sqref="P38"/>
    </sheetView>
  </sheetViews>
  <sheetFormatPr defaultColWidth="11.33203125" defaultRowHeight="11.25" x14ac:dyDescent="0.2"/>
  <cols>
    <col min="1" max="1" width="6.1640625" customWidth="1"/>
    <col min="2" max="2" width="11.33203125" customWidth="1"/>
    <col min="3" max="3" width="15.33203125" customWidth="1"/>
    <col min="4" max="4" width="25.1640625" customWidth="1"/>
    <col min="5" max="5" width="15.33203125" customWidth="1"/>
    <col min="6" max="6" width="13.83203125" customWidth="1"/>
    <col min="7" max="7" width="2.6640625" customWidth="1"/>
    <col min="8" max="8" width="10.33203125" customWidth="1"/>
    <col min="9" max="9" width="5.1640625" customWidth="1"/>
    <col min="10" max="10" width="10" customWidth="1"/>
  </cols>
  <sheetData>
    <row r="1" spans="1:13" x14ac:dyDescent="0.2">
      <c r="A1" s="8" t="str">
        <f>'1'!$A$1</f>
        <v>Texas Windstorm Insurance Association</v>
      </c>
      <c r="B1" s="12"/>
      <c r="J1" s="7" t="s">
        <v>88</v>
      </c>
      <c r="K1" s="1"/>
    </row>
    <row r="2" spans="1:13" x14ac:dyDescent="0.2">
      <c r="A2" s="8" t="str">
        <f>'1'!$A$2</f>
        <v>Residential Property - Wind &amp; Hail</v>
      </c>
      <c r="B2" s="12"/>
      <c r="J2" s="7" t="s">
        <v>21</v>
      </c>
      <c r="K2" s="2"/>
    </row>
    <row r="3" spans="1:13" x14ac:dyDescent="0.2">
      <c r="A3" s="8" t="str">
        <f>'1'!$A$3</f>
        <v>Rate Level Review</v>
      </c>
      <c r="B3" s="12"/>
      <c r="K3" s="2"/>
    </row>
    <row r="4" spans="1:13" x14ac:dyDescent="0.2">
      <c r="A4" t="s">
        <v>89</v>
      </c>
      <c r="B4" s="12"/>
      <c r="K4" s="2"/>
    </row>
    <row r="5" spans="1:13" x14ac:dyDescent="0.2">
      <c r="A5" t="str">
        <f>"Hurricane Years Only"</f>
        <v>Hurricane Years Only</v>
      </c>
      <c r="B5" s="12"/>
      <c r="K5" s="2"/>
    </row>
    <row r="6" spans="1:13" x14ac:dyDescent="0.2">
      <c r="K6" s="2"/>
      <c r="L6" s="51"/>
      <c r="M6" s="51"/>
    </row>
    <row r="7" spans="1:13" ht="12" thickBot="1" x14ac:dyDescent="0.25">
      <c r="A7" s="6"/>
      <c r="B7" s="6"/>
      <c r="C7" s="6"/>
      <c r="D7" s="6"/>
      <c r="E7" s="6"/>
      <c r="F7" s="6"/>
      <c r="G7" s="6"/>
      <c r="K7" s="2"/>
    </row>
    <row r="8" spans="1:13" ht="12" thickTop="1" x14ac:dyDescent="0.2">
      <c r="A8" t="s">
        <v>48</v>
      </c>
      <c r="K8" s="2"/>
      <c r="L8" t="s">
        <v>193</v>
      </c>
    </row>
    <row r="9" spans="1:13" x14ac:dyDescent="0.2">
      <c r="A9" t="s">
        <v>49</v>
      </c>
      <c r="C9" s="180" t="s">
        <v>42</v>
      </c>
      <c r="D9" s="11"/>
      <c r="E9" s="11" t="s">
        <v>287</v>
      </c>
      <c r="F9" s="11"/>
      <c r="G9" s="11"/>
      <c r="K9" s="2"/>
      <c r="L9" s="37">
        <f>'6.4'!K$57</f>
        <v>45930</v>
      </c>
    </row>
    <row r="10" spans="1:13" x14ac:dyDescent="0.2">
      <c r="A10" t="s">
        <v>32</v>
      </c>
      <c r="C10" s="11" t="s">
        <v>40</v>
      </c>
      <c r="D10" s="11" t="s">
        <v>285</v>
      </c>
      <c r="E10" s="11" t="s">
        <v>78</v>
      </c>
      <c r="F10" s="11" t="s">
        <v>288</v>
      </c>
      <c r="G10" s="11"/>
      <c r="K10" s="2"/>
    </row>
    <row r="11" spans="1:13" x14ac:dyDescent="0.2">
      <c r="A11" s="9" t="str">
        <f>TEXT(L9,"m/d")</f>
        <v>9/30</v>
      </c>
      <c r="B11" s="9"/>
      <c r="C11" s="121" t="s">
        <v>41</v>
      </c>
      <c r="D11" s="121" t="s">
        <v>286</v>
      </c>
      <c r="E11" s="121" t="s">
        <v>70</v>
      </c>
      <c r="F11" s="121" t="s">
        <v>70</v>
      </c>
      <c r="G11" s="121"/>
      <c r="K11" s="2"/>
    </row>
    <row r="12" spans="1:13" x14ac:dyDescent="0.2">
      <c r="A12" s="13"/>
      <c r="B12" s="13"/>
      <c r="C12" s="11" t="str">
        <f>TEXT(COLUMN()-2,"(#)")</f>
        <v>(1)</v>
      </c>
      <c r="D12" s="11" t="str">
        <f>TEXT(COLUMN()-2,"(#)")</f>
        <v>(2)</v>
      </c>
      <c r="E12" s="11" t="str">
        <f>TEXT(COLUMN()-2,"(#)")</f>
        <v>(3)</v>
      </c>
      <c r="F12" s="11" t="str">
        <f>TEXT(COLUMN()-2,"(#)")</f>
        <v>(4)</v>
      </c>
      <c r="G12" s="11"/>
      <c r="K12" s="2"/>
    </row>
    <row r="13" spans="1:13" x14ac:dyDescent="0.2">
      <c r="A13" s="57" t="s">
        <v>325</v>
      </c>
      <c r="B13" s="23"/>
      <c r="C13" s="26">
        <f>VLOOKUP($A13,'6.2'!$A$13:$G$73,5,0)</f>
        <v>29244163</v>
      </c>
      <c r="D13" s="139">
        <v>1</v>
      </c>
      <c r="E13" s="42">
        <f>VLOOKUP($A13,'6.2'!$A$13:$G$73,7,0)</f>
        <v>0.38200000000000001</v>
      </c>
      <c r="F13" s="138">
        <f t="shared" ref="F13:F27" ca="1" si="0">MAX(E13-$E$32,0)/D13</f>
        <v>0.28300000000000003</v>
      </c>
      <c r="G13" s="42"/>
      <c r="I13" s="20"/>
      <c r="K13" s="2"/>
    </row>
    <row r="14" spans="1:13" x14ac:dyDescent="0.2">
      <c r="A14" s="57" t="s">
        <v>237</v>
      </c>
      <c r="B14" s="23"/>
      <c r="C14" s="26">
        <f>VLOOKUP($A14,'6.2'!$A$13:$G$73,5,0)</f>
        <v>29832151</v>
      </c>
      <c r="D14" s="139">
        <v>1</v>
      </c>
      <c r="E14" s="42">
        <f>VLOOKUP($A14,'6.2'!$A$13:$G$73,7,0)</f>
        <v>0.69699999999999995</v>
      </c>
      <c r="F14" s="138">
        <f t="shared" ca="1" si="0"/>
        <v>0.59799999999999998</v>
      </c>
      <c r="G14" s="42"/>
      <c r="I14" s="20"/>
      <c r="K14" s="2"/>
    </row>
    <row r="15" spans="1:13" x14ac:dyDescent="0.2">
      <c r="A15" s="57" t="s">
        <v>90</v>
      </c>
      <c r="B15" s="23"/>
      <c r="C15" s="26">
        <f>VLOOKUP($A15,'6.2'!$A$13:$G$73,5,0)</f>
        <v>29729368</v>
      </c>
      <c r="D15" s="139">
        <v>1</v>
      </c>
      <c r="E15" s="42">
        <f>VLOOKUP($A15,'6.2'!$A$13:$G$73,7,0)</f>
        <v>0.76500000000000001</v>
      </c>
      <c r="F15" s="138">
        <f t="shared" ca="1" si="0"/>
        <v>0.66600000000000004</v>
      </c>
      <c r="G15" s="42"/>
      <c r="I15" s="20"/>
      <c r="K15" s="2"/>
    </row>
    <row r="16" spans="1:13" x14ac:dyDescent="0.2">
      <c r="A16" s="57" t="s">
        <v>91</v>
      </c>
      <c r="B16" s="23"/>
      <c r="C16" s="26">
        <f>VLOOKUP($A16,'6.2'!$A$13:$G$73,5,0)</f>
        <v>50494372</v>
      </c>
      <c r="D16" s="139">
        <v>1</v>
      </c>
      <c r="E16" s="42">
        <f>VLOOKUP($A16,'6.2'!$A$13:$G$73,7,0)</f>
        <v>0.748</v>
      </c>
      <c r="F16" s="138">
        <f t="shared" ca="1" si="0"/>
        <v>0.64900000000000002</v>
      </c>
      <c r="G16" s="42"/>
      <c r="I16" s="20"/>
      <c r="K16" s="2"/>
    </row>
    <row r="17" spans="1:11" x14ac:dyDescent="0.2">
      <c r="A17" s="57" t="s">
        <v>92</v>
      </c>
      <c r="B17" s="23"/>
      <c r="C17" s="26">
        <f>VLOOKUP($A17,'6.2'!$A$13:$G$73,5,0)</f>
        <v>64842240.268167496</v>
      </c>
      <c r="D17" s="139">
        <v>1</v>
      </c>
      <c r="E17" s="42">
        <f>VLOOKUP($A17,'6.2'!$A$13:$G$73,7,0)</f>
        <v>4.9550000000000001</v>
      </c>
      <c r="F17" s="138">
        <f t="shared" ca="1" si="0"/>
        <v>4.8559999999999999</v>
      </c>
      <c r="G17" s="42"/>
      <c r="I17" s="20"/>
      <c r="K17" s="2"/>
    </row>
    <row r="18" spans="1:11" x14ac:dyDescent="0.2">
      <c r="A18" s="57" t="s">
        <v>93</v>
      </c>
      <c r="B18" s="23"/>
      <c r="C18" s="26">
        <f>VLOOKUP($A18,'6.2'!$A$13:$G$73,5,0)</f>
        <v>82608316.254789531</v>
      </c>
      <c r="D18" s="139">
        <v>1</v>
      </c>
      <c r="E18" s="42">
        <f>VLOOKUP($A18,'6.2'!$A$13:$G$73,7,0)</f>
        <v>0.114</v>
      </c>
      <c r="F18" s="138">
        <f t="shared" ca="1" si="0"/>
        <v>1.4999999999999999E-2</v>
      </c>
      <c r="G18" s="42"/>
      <c r="I18" s="20"/>
      <c r="K18" s="2"/>
    </row>
    <row r="19" spans="1:11" x14ac:dyDescent="0.2">
      <c r="A19" s="57" t="s">
        <v>94</v>
      </c>
      <c r="B19" s="23"/>
      <c r="C19" s="26">
        <f>VLOOKUP($A19,'6.2'!$A$13:$G$73,5,0)</f>
        <v>99401872.051372439</v>
      </c>
      <c r="D19" s="139">
        <v>2</v>
      </c>
      <c r="E19" s="42">
        <f>VLOOKUP($A19,'6.2'!$A$13:$G$73,7,0)</f>
        <v>7.6999999999999999E-2</v>
      </c>
      <c r="F19" s="138">
        <f t="shared" ca="1" si="0"/>
        <v>0</v>
      </c>
      <c r="G19" s="42"/>
      <c r="I19" s="20"/>
      <c r="K19" s="2"/>
    </row>
    <row r="20" spans="1:11" x14ac:dyDescent="0.2">
      <c r="A20" s="57" t="s">
        <v>95</v>
      </c>
      <c r="B20" s="23"/>
      <c r="C20" s="26">
        <f>VLOOKUP($A20,'6.2'!$A$13:$G$73,5,0)</f>
        <v>183849421.69128418</v>
      </c>
      <c r="D20" s="139">
        <v>1</v>
      </c>
      <c r="E20" s="42">
        <f>VLOOKUP($A20,'6.2'!$A$13:$G$73,7,0)</f>
        <v>8.4000000000000005E-2</v>
      </c>
      <c r="F20" s="138">
        <f t="shared" ca="1" si="0"/>
        <v>0</v>
      </c>
      <c r="G20" s="42"/>
      <c r="I20" s="20"/>
      <c r="K20" s="2"/>
    </row>
    <row r="21" spans="1:11" x14ac:dyDescent="0.2">
      <c r="A21" s="57" t="s">
        <v>249</v>
      </c>
      <c r="B21" s="23"/>
      <c r="C21" s="26">
        <f>VLOOKUP($A21,'6.2'!$A$13:$G$73,5,0)</f>
        <v>237166897.49597096</v>
      </c>
      <c r="D21" s="139">
        <v>1</v>
      </c>
      <c r="E21" s="42">
        <f>VLOOKUP($A21,'6.2'!$A$13:$G$73,7,0)</f>
        <v>0.2</v>
      </c>
      <c r="F21" s="138">
        <f t="shared" ca="1" si="0"/>
        <v>0.10100000000000001</v>
      </c>
      <c r="G21" s="42"/>
      <c r="I21" s="20"/>
      <c r="K21" s="2"/>
    </row>
    <row r="22" spans="1:11" x14ac:dyDescent="0.2">
      <c r="A22" s="57" t="s">
        <v>257</v>
      </c>
      <c r="B22" s="23"/>
      <c r="C22" s="26">
        <f>VLOOKUP($A22,'6.2'!$A$13:$G$73,5,0)</f>
        <v>261099035.45153755</v>
      </c>
      <c r="D22" s="139">
        <v>1</v>
      </c>
      <c r="E22" s="42">
        <f>VLOOKUP($A22,'6.2'!$A$13:$G$73,7,0)</f>
        <v>1.1180000000000001</v>
      </c>
      <c r="F22" s="138">
        <f t="shared" ca="1" si="0"/>
        <v>1.0190000000000001</v>
      </c>
      <c r="G22" s="42"/>
      <c r="I22" s="20"/>
      <c r="K22" s="2"/>
    </row>
    <row r="23" spans="1:11" x14ac:dyDescent="0.2">
      <c r="A23" s="57" t="s">
        <v>268</v>
      </c>
      <c r="B23" s="23"/>
      <c r="C23" s="26">
        <f>VLOOKUP($A23,'6.2'!$A$13:$G$73,5,0)</f>
        <v>403864588.68160832</v>
      </c>
      <c r="D23" s="139">
        <v>1</v>
      </c>
      <c r="E23" s="42">
        <f>VLOOKUP($A23,'6.2'!$A$13:$G$73,7,0)</f>
        <v>0.05</v>
      </c>
      <c r="F23" s="138">
        <f t="shared" ca="1" si="0"/>
        <v>0</v>
      </c>
      <c r="G23" s="42"/>
      <c r="I23" s="20"/>
      <c r="K23" s="2"/>
    </row>
    <row r="24" spans="1:11" x14ac:dyDescent="0.2">
      <c r="A24" s="57" t="s">
        <v>269</v>
      </c>
      <c r="B24" s="23"/>
      <c r="C24" s="26">
        <f>VLOOKUP($A24,'6.2'!$A$13:$G$73,5,0)</f>
        <v>501518052.03257847</v>
      </c>
      <c r="D24" s="139">
        <v>2</v>
      </c>
      <c r="E24" s="42">
        <f>VLOOKUP($A24,'6.2'!$A$13:$G$73,7,0)</f>
        <v>4.0529999999999999</v>
      </c>
      <c r="F24" s="138">
        <f t="shared" ca="1" si="0"/>
        <v>1.9769999999999999</v>
      </c>
      <c r="G24" s="42"/>
      <c r="I24" s="20"/>
      <c r="K24" s="2"/>
    </row>
    <row r="25" spans="1:11" x14ac:dyDescent="0.2">
      <c r="A25" s="159" t="s">
        <v>352</v>
      </c>
      <c r="B25" s="23"/>
      <c r="C25" s="26">
        <f>VLOOKUP($A25,'6.2'!$A$13:$G$73,5,0)</f>
        <v>587946262.49750006</v>
      </c>
      <c r="D25" s="139">
        <v>1</v>
      </c>
      <c r="E25" s="42">
        <f ca="1">VLOOKUP($A25,'6.2'!$A$13:$G$73,7,0)</f>
        <v>2.117</v>
      </c>
      <c r="F25" s="138">
        <f t="shared" ca="1" si="0"/>
        <v>2.0179999999999998</v>
      </c>
      <c r="G25" s="42"/>
      <c r="I25" s="20"/>
      <c r="K25" s="2"/>
    </row>
    <row r="26" spans="1:11" x14ac:dyDescent="0.2">
      <c r="A26" s="159" t="s">
        <v>350</v>
      </c>
      <c r="B26" s="23"/>
      <c r="C26" s="26">
        <f>VLOOKUP($A26,'6.2'!$A$13:$G$73,5,0)</f>
        <v>527999008.65000135</v>
      </c>
      <c r="D26" s="139">
        <v>3</v>
      </c>
      <c r="E26" s="42">
        <f ca="1">VLOOKUP($A26,'6.2'!$A$13:$G$73,7,0)</f>
        <v>0.13300000000000001</v>
      </c>
      <c r="F26" s="138">
        <f t="shared" ca="1" si="0"/>
        <v>1.1333333333333334E-2</v>
      </c>
      <c r="G26" s="42"/>
      <c r="I26" s="20"/>
      <c r="K26" s="2"/>
    </row>
    <row r="27" spans="1:11" x14ac:dyDescent="0.2">
      <c r="A27" s="159" t="s">
        <v>351</v>
      </c>
      <c r="B27" s="23"/>
      <c r="C27" s="26">
        <f>VLOOKUP($A27,'6.2'!$A$13:$G$73,5,0)</f>
        <v>540678350.80000222</v>
      </c>
      <c r="D27" s="139">
        <v>1</v>
      </c>
      <c r="E27" s="42">
        <f ca="1">VLOOKUP($A27,'6.2'!$A$13:$G$73,7,0)</f>
        <v>0.247</v>
      </c>
      <c r="F27" s="138">
        <f t="shared" ca="1" si="0"/>
        <v>0.14799999999999999</v>
      </c>
      <c r="G27" s="42"/>
      <c r="I27" s="20"/>
      <c r="K27" s="2"/>
    </row>
    <row r="28" spans="1:11" x14ac:dyDescent="0.2">
      <c r="A28" s="189">
        <v>2024</v>
      </c>
      <c r="B28" s="24"/>
      <c r="C28" s="27">
        <f>VLOOKUP($A28,'6.2'!$A$13:$G$73,5,0)</f>
        <v>778075129</v>
      </c>
      <c r="D28" s="190">
        <v>1</v>
      </c>
      <c r="E28" s="49">
        <f ca="1">VLOOKUP($A28,'6.2'!$A$13:$G$73,7,0)</f>
        <v>0.821905</v>
      </c>
      <c r="F28" s="191">
        <f t="shared" ref="F28" ca="1" si="1">MAX(E28-$E$32,0)/D28</f>
        <v>0.72290500000000002</v>
      </c>
      <c r="G28" s="9"/>
      <c r="I28" s="20"/>
      <c r="K28" s="2"/>
    </row>
    <row r="29" spans="1:11" x14ac:dyDescent="0.2">
      <c r="A29" s="93"/>
      <c r="B29" s="23"/>
      <c r="C29" s="26"/>
      <c r="D29" s="139"/>
      <c r="E29" s="42"/>
      <c r="F29" s="138"/>
      <c r="I29" s="20"/>
      <c r="K29" s="2"/>
    </row>
    <row r="30" spans="1:11" x14ac:dyDescent="0.2">
      <c r="A30" s="80" t="s">
        <v>99</v>
      </c>
      <c r="C30" s="31"/>
      <c r="D30" s="31"/>
      <c r="E30" s="42">
        <f ca="1">ROUND(AVERAGE(E13:E28),3)</f>
        <v>1.0349999999999999</v>
      </c>
      <c r="F30" s="42">
        <f ca="1">ROUND(AVERAGE(F13:F28),3)</f>
        <v>0.81699999999999995</v>
      </c>
      <c r="G30" s="42"/>
      <c r="I30" s="42"/>
      <c r="K30" s="2"/>
    </row>
    <row r="31" spans="1:11" x14ac:dyDescent="0.2">
      <c r="C31" s="31"/>
      <c r="D31" s="31"/>
      <c r="E31" s="31"/>
      <c r="F31" s="31"/>
      <c r="G31" s="20"/>
      <c r="H31" s="20"/>
      <c r="I31" s="20"/>
      <c r="K31" s="2"/>
    </row>
    <row r="32" spans="1:11" x14ac:dyDescent="0.2">
      <c r="A32" s="44" t="s">
        <v>102</v>
      </c>
      <c r="B32" t="s">
        <v>107</v>
      </c>
      <c r="C32" s="31"/>
      <c r="D32" s="31"/>
      <c r="E32" s="42">
        <f ca="1">'6.2'!$G$77</f>
        <v>9.9000000000000005E-2</v>
      </c>
      <c r="F32" s="42"/>
      <c r="K32" s="2"/>
    </row>
    <row r="33" spans="1:12" x14ac:dyDescent="0.2">
      <c r="K33" s="2"/>
    </row>
    <row r="34" spans="1:12" x14ac:dyDescent="0.2">
      <c r="A34" s="44" t="s">
        <v>106</v>
      </c>
      <c r="B34" t="s">
        <v>374</v>
      </c>
      <c r="E34" s="20">
        <f ca="1">F30</f>
        <v>0.81699999999999995</v>
      </c>
      <c r="F34" s="20"/>
      <c r="G34" s="20"/>
      <c r="H34" s="20"/>
      <c r="I34" s="20"/>
      <c r="K34" s="2"/>
      <c r="L34" s="51"/>
    </row>
    <row r="35" spans="1:12" x14ac:dyDescent="0.2">
      <c r="K35" s="2"/>
    </row>
    <row r="36" spans="1:12" x14ac:dyDescent="0.2">
      <c r="A36" s="44" t="s">
        <v>105</v>
      </c>
      <c r="B36" t="s">
        <v>252</v>
      </c>
      <c r="K36" s="2"/>
    </row>
    <row r="37" spans="1:12" x14ac:dyDescent="0.2">
      <c r="B37" t="str">
        <f>'8'!A53&amp;" ("&amp;'8'!C53&amp;")"</f>
        <v>175-Year (1/1/1851 - 12/31/2025)</v>
      </c>
      <c r="E37" s="29">
        <f>'8'!$G$53</f>
        <v>0.4</v>
      </c>
      <c r="F37" t="str">
        <f>"(1 Hurricane Every "&amp;TEXT(1/E37,"0.0")&amp;" years)"</f>
        <v>(1 Hurricane Every 2.5 years)</v>
      </c>
      <c r="K37" s="2"/>
    </row>
    <row r="38" spans="1:12" x14ac:dyDescent="0.2">
      <c r="K38" s="2"/>
    </row>
    <row r="39" spans="1:12" ht="12" thickBot="1" x14ac:dyDescent="0.25">
      <c r="A39" s="163" t="s">
        <v>104</v>
      </c>
      <c r="B39" s="6" t="s">
        <v>131</v>
      </c>
      <c r="C39" s="6"/>
      <c r="D39" s="6"/>
      <c r="E39" s="141">
        <f ca="1">ROUND(E37*E34,3)</f>
        <v>0.32700000000000001</v>
      </c>
      <c r="F39" s="20"/>
      <c r="K39" s="2"/>
    </row>
    <row r="40" spans="1:12" ht="12" thickTop="1" x14ac:dyDescent="0.2">
      <c r="K40" s="2"/>
    </row>
    <row r="41" spans="1:12" x14ac:dyDescent="0.2">
      <c r="A41" t="s">
        <v>17</v>
      </c>
      <c r="E41" s="19"/>
      <c r="K41" s="2"/>
    </row>
    <row r="42" spans="1:12" x14ac:dyDescent="0.2">
      <c r="B42" s="12" t="str">
        <f>C12&amp;" "&amp;'6.2'!$J$1&amp;", "&amp;'6.2'!$J$2&amp;". Accident years ending "&amp;TEXT($L$9,"m/d/xx")</f>
        <v>(1) Exhibit 6, Sheet 2. Accident years ending 9/30/xx</v>
      </c>
      <c r="C42" s="12"/>
      <c r="K42" s="2"/>
    </row>
    <row r="43" spans="1:12" x14ac:dyDescent="0.2">
      <c r="B43" s="12" t="str">
        <f>E12&amp;" "&amp;'6.2'!$J$1&amp;", "&amp;'6.2'!$J$2&amp;". Accident years ending "&amp;TEXT($L$9,"m/d/xx")</f>
        <v>(3) Exhibit 6, Sheet 2. Accident years ending 9/30/xx</v>
      </c>
      <c r="K43" s="2"/>
    </row>
    <row r="44" spans="1:12" x14ac:dyDescent="0.2">
      <c r="B44" t="s">
        <v>326</v>
      </c>
      <c r="K44" s="2"/>
    </row>
    <row r="45" spans="1:12" x14ac:dyDescent="0.2">
      <c r="B45" s="12" t="str">
        <f>A32&amp;" "&amp;'6.2'!$J$1&amp;", "&amp;'6.2'!$J$2</f>
        <v>(5) Exhibit 6, Sheet 2</v>
      </c>
      <c r="K45" s="2"/>
    </row>
    <row r="46" spans="1:12" x14ac:dyDescent="0.2">
      <c r="B46" s="12" t="str">
        <f>A34&amp;" = Average of "&amp;F12&amp;""</f>
        <v>(6) = Average of (4)</v>
      </c>
      <c r="K46" s="2"/>
    </row>
    <row r="47" spans="1:12" x14ac:dyDescent="0.2">
      <c r="B47" s="12" t="str">
        <f>A36&amp;" "&amp;'8'!$J$1</f>
        <v>(7) Exhibit 8</v>
      </c>
      <c r="K47" s="2"/>
    </row>
    <row r="48" spans="1:12" x14ac:dyDescent="0.2">
      <c r="B48" s="12" t="str">
        <f>A39&amp;" = "&amp;A34&amp;" * "&amp;A36</f>
        <v>(8) = (6) * (7)</v>
      </c>
      <c r="K48" s="2"/>
    </row>
    <row r="49" spans="1:11" x14ac:dyDescent="0.2">
      <c r="K49" s="2"/>
    </row>
    <row r="50" spans="1:11" ht="12" thickBot="1" x14ac:dyDescent="0.25">
      <c r="K50" s="2"/>
    </row>
    <row r="51" spans="1:11" ht="12" thickBot="1" x14ac:dyDescent="0.25">
      <c r="A51" s="4"/>
      <c r="B51" s="5"/>
      <c r="C51" s="5"/>
      <c r="D51" s="5"/>
      <c r="E51" s="5"/>
      <c r="F51" s="5"/>
      <c r="G51" s="5"/>
      <c r="H51" s="5"/>
      <c r="I51" s="5"/>
      <c r="J51" s="5"/>
      <c r="K51" s="3"/>
    </row>
  </sheetData>
  <phoneticPr fontId="0" type="noConversion"/>
  <pageMargins left="0.5" right="0.5" top="0.5" bottom="0.5" header="0.5" footer="0.5"/>
  <pageSetup orientation="portrait" blackAndWhite="1" r:id="rId1"/>
  <headerFooter alignWithMargins="0"/>
  <ignoredErrors>
    <ignoredError sqref="A14:A19 A20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8">
    <tabColor rgb="FF92D050"/>
    <pageSetUpPr fitToPage="1"/>
  </sheetPr>
  <dimension ref="A1:M84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8" width="14" customWidth="1"/>
    <col min="9" max="9" width="11.33203125" customWidth="1"/>
    <col min="10" max="10" width="4.3320312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88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77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432</v>
      </c>
      <c r="B4" s="12"/>
      <c r="K4" s="2"/>
    </row>
    <row r="5" spans="1:12" x14ac:dyDescent="0.2">
      <c r="A5" t="s">
        <v>379</v>
      </c>
      <c r="B5" s="12"/>
      <c r="K5" s="2"/>
    </row>
    <row r="6" spans="1:12" ht="4.5" customHeight="1" thickBot="1" x14ac:dyDescent="0.25">
      <c r="A6" s="6"/>
      <c r="B6" s="6"/>
      <c r="C6" s="6"/>
      <c r="D6" s="6"/>
      <c r="E6" s="6"/>
      <c r="F6" s="6"/>
      <c r="G6" s="6"/>
      <c r="H6" s="6"/>
      <c r="K6" s="2"/>
    </row>
    <row r="7" spans="1:12" ht="11.25" customHeight="1" thickTop="1" x14ac:dyDescent="0.2">
      <c r="A7" t="s">
        <v>48</v>
      </c>
      <c r="K7" s="2"/>
    </row>
    <row r="8" spans="1:12" x14ac:dyDescent="0.2">
      <c r="A8" t="s">
        <v>49</v>
      </c>
      <c r="C8" s="180"/>
      <c r="D8" s="11" t="s">
        <v>108</v>
      </c>
      <c r="E8" s="11" t="s">
        <v>42</v>
      </c>
      <c r="F8" s="11"/>
      <c r="G8" s="11"/>
      <c r="H8" s="11"/>
      <c r="K8" s="2"/>
      <c r="L8" s="17"/>
    </row>
    <row r="9" spans="1:12" x14ac:dyDescent="0.2">
      <c r="A9" t="s">
        <v>32</v>
      </c>
      <c r="C9" s="11" t="s">
        <v>108</v>
      </c>
      <c r="D9" s="11" t="s">
        <v>109</v>
      </c>
      <c r="E9" s="11" t="s">
        <v>40</v>
      </c>
      <c r="F9" s="11" t="s">
        <v>78</v>
      </c>
      <c r="G9" s="11" t="s">
        <v>78</v>
      </c>
      <c r="H9" s="11" t="s">
        <v>6</v>
      </c>
      <c r="K9" s="2"/>
      <c r="L9" s="12"/>
    </row>
    <row r="10" spans="1:12" x14ac:dyDescent="0.2">
      <c r="A10" s="9" t="str">
        <f>TEXT(L47,"m/d")</f>
        <v>9/30</v>
      </c>
      <c r="B10" s="9"/>
      <c r="C10" s="121" t="s">
        <v>109</v>
      </c>
      <c r="D10" s="121" t="s">
        <v>110</v>
      </c>
      <c r="E10" s="121" t="s">
        <v>41</v>
      </c>
      <c r="F10" s="121" t="s">
        <v>100</v>
      </c>
      <c r="G10" s="121" t="s">
        <v>70</v>
      </c>
      <c r="H10" s="121" t="s">
        <v>71</v>
      </c>
      <c r="K10" s="2"/>
      <c r="L10" s="37"/>
    </row>
    <row r="11" spans="1:12" x14ac:dyDescent="0.2">
      <c r="A11" s="13" t="str">
        <f>TEXT(COLUMN(),"(#)")</f>
        <v>(1)</v>
      </c>
      <c r="B11" s="13"/>
      <c r="C11" s="11" t="str">
        <f t="shared" ref="C11:H11" si="0">TEXT(COLUMN()-1,"(#)")</f>
        <v>(2)</v>
      </c>
      <c r="D11" s="11" t="str">
        <f t="shared" si="0"/>
        <v>(3)</v>
      </c>
      <c r="E11" s="11" t="str">
        <f t="shared" si="0"/>
        <v>(4)</v>
      </c>
      <c r="F11" s="11" t="str">
        <f t="shared" si="0"/>
        <v>(5)</v>
      </c>
      <c r="G11" s="11" t="str">
        <f t="shared" si="0"/>
        <v>(6)</v>
      </c>
      <c r="H11" s="11" t="str">
        <f t="shared" si="0"/>
        <v>(7)</v>
      </c>
      <c r="I11" s="11"/>
      <c r="K11" s="2"/>
    </row>
    <row r="12" spans="1:12" x14ac:dyDescent="0.2">
      <c r="A12" s="13"/>
      <c r="B12" s="13"/>
      <c r="C12" s="11"/>
      <c r="D12" s="11"/>
      <c r="E12" s="11"/>
      <c r="F12" s="11"/>
      <c r="G12" s="11"/>
      <c r="H12" s="11"/>
      <c r="I12" s="11"/>
      <c r="K12" s="2"/>
    </row>
    <row r="13" spans="1:12" x14ac:dyDescent="0.2">
      <c r="A13" s="93">
        <v>1966</v>
      </c>
      <c r="B13" s="12"/>
      <c r="D13" s="31">
        <v>13011528</v>
      </c>
      <c r="E13" s="26">
        <f>ROUND(D13*'6.4'!$K$14,0)</f>
        <v>29309032</v>
      </c>
      <c r="F13" s="31">
        <v>1178131</v>
      </c>
      <c r="G13" s="18">
        <f>ROUND(F13/E13,3)</f>
        <v>0.04</v>
      </c>
      <c r="I13" s="20"/>
      <c r="K13" s="2"/>
    </row>
    <row r="14" spans="1:12" x14ac:dyDescent="0.2">
      <c r="A14" t="str">
        <f>TEXT(A13+1,"#")</f>
        <v>1967</v>
      </c>
      <c r="B14" s="12"/>
      <c r="D14" s="31">
        <v>13130860</v>
      </c>
      <c r="E14" s="26">
        <f>ROUND(D14*'6.4'!$K$14,0)</f>
        <v>29577832</v>
      </c>
      <c r="F14" s="31">
        <v>663024</v>
      </c>
      <c r="G14" s="18">
        <f t="shared" ref="G14:G16" si="1">ROUND(F14/E14,3)</f>
        <v>2.1999999999999999E-2</v>
      </c>
      <c r="I14" s="20"/>
      <c r="K14" s="2"/>
    </row>
    <row r="15" spans="1:12" x14ac:dyDescent="0.2">
      <c r="A15" t="str">
        <f t="shared" ref="A15:A16" si="2">TEXT(A14+1,"#")</f>
        <v>1968</v>
      </c>
      <c r="D15" s="31">
        <v>12982730</v>
      </c>
      <c r="E15" s="26">
        <f>ROUND(D15*'6.4'!$K$14,0)</f>
        <v>29244163</v>
      </c>
      <c r="F15" s="31">
        <v>11171683</v>
      </c>
      <c r="G15" s="18">
        <f t="shared" si="1"/>
        <v>0.38200000000000001</v>
      </c>
      <c r="H15" s="109" t="s">
        <v>72</v>
      </c>
      <c r="I15" s="20"/>
      <c r="K15" s="2"/>
    </row>
    <row r="16" spans="1:12" x14ac:dyDescent="0.2">
      <c r="A16" t="str">
        <f t="shared" si="2"/>
        <v>1969</v>
      </c>
      <c r="D16" s="31">
        <v>12499176</v>
      </c>
      <c r="E16" s="26">
        <f>ROUND(D16*'6.4'!$K$14,0)</f>
        <v>28154937</v>
      </c>
      <c r="F16" s="31">
        <v>3218757</v>
      </c>
      <c r="G16" s="18">
        <f t="shared" si="1"/>
        <v>0.114</v>
      </c>
      <c r="H16" s="109"/>
      <c r="I16" s="20"/>
      <c r="K16" s="2"/>
    </row>
    <row r="17" spans="1:13" x14ac:dyDescent="0.2">
      <c r="A17" t="s">
        <v>237</v>
      </c>
      <c r="C17" s="19"/>
      <c r="D17" s="31">
        <v>13243763</v>
      </c>
      <c r="E17" s="26">
        <f>ROUND(D17*'6.4'!$K$14,0)</f>
        <v>29832151</v>
      </c>
      <c r="F17" s="31">
        <v>20786468</v>
      </c>
      <c r="G17" s="22">
        <f t="shared" ref="G17:G25" si="3">ROUND(F17/E17,3)</f>
        <v>0.69699999999999995</v>
      </c>
      <c r="H17" s="109" t="s">
        <v>72</v>
      </c>
      <c r="I17" s="43"/>
      <c r="K17" s="2"/>
    </row>
    <row r="18" spans="1:13" x14ac:dyDescent="0.2">
      <c r="A18" t="str">
        <f t="shared" ref="A18:A72" si="4">TEXT(A17+1,"#")</f>
        <v>1971</v>
      </c>
      <c r="C18" s="105">
        <v>10640335</v>
      </c>
      <c r="D18" s="31">
        <v>13198133</v>
      </c>
      <c r="E18" s="26">
        <f>ROUND(D18*'6.4'!$K$14,0)</f>
        <v>29729368</v>
      </c>
      <c r="F18" s="31">
        <v>22731206</v>
      </c>
      <c r="G18" s="22">
        <f>ROUND(F18/E18,3)</f>
        <v>0.76500000000000001</v>
      </c>
      <c r="H18" s="109" t="s">
        <v>72</v>
      </c>
      <c r="I18" s="20"/>
      <c r="K18" s="2"/>
    </row>
    <row r="19" spans="1:13" x14ac:dyDescent="0.2">
      <c r="A19" t="str">
        <f t="shared" si="4"/>
        <v>1972</v>
      </c>
      <c r="C19" s="105">
        <v>12302040</v>
      </c>
      <c r="D19" s="31">
        <v>13902740</v>
      </c>
      <c r="E19" s="26">
        <f>ROUND(D19*'6.4'!$K$14,0)</f>
        <v>31316526</v>
      </c>
      <c r="F19" s="31">
        <v>2242093</v>
      </c>
      <c r="G19" s="22">
        <f>ROUND(F19/E19,3)</f>
        <v>7.1999999999999995E-2</v>
      </c>
      <c r="H19" s="109"/>
      <c r="I19" s="20"/>
      <c r="K19" s="2"/>
    </row>
    <row r="20" spans="1:13" x14ac:dyDescent="0.2">
      <c r="A20" t="str">
        <f t="shared" si="4"/>
        <v>1973</v>
      </c>
      <c r="B20" s="23"/>
      <c r="C20" s="105">
        <v>12935382</v>
      </c>
      <c r="D20" s="31">
        <v>12724690</v>
      </c>
      <c r="E20" s="26">
        <f>ROUND(D20*'6.4'!$K$14,0)</f>
        <v>28662917</v>
      </c>
      <c r="F20" s="31">
        <v>4933261</v>
      </c>
      <c r="G20" s="22">
        <f t="shared" si="3"/>
        <v>0.17199999999999999</v>
      </c>
      <c r="H20" s="105"/>
      <c r="I20" s="20"/>
      <c r="K20" s="2"/>
      <c r="M20" s="31"/>
    </row>
    <row r="21" spans="1:13" x14ac:dyDescent="0.2">
      <c r="A21" t="str">
        <f t="shared" si="4"/>
        <v>1974</v>
      </c>
      <c r="B21" s="23"/>
      <c r="C21" s="105">
        <v>12794652</v>
      </c>
      <c r="D21" s="31">
        <v>11637700</v>
      </c>
      <c r="E21" s="26">
        <f>ROUND(D21*'6.4'!$K$14,0)</f>
        <v>26214425</v>
      </c>
      <c r="F21" s="31">
        <v>2293219</v>
      </c>
      <c r="G21" s="22">
        <f t="shared" si="3"/>
        <v>8.6999999999999994E-2</v>
      </c>
      <c r="H21" s="105"/>
      <c r="I21" s="20"/>
      <c r="K21" s="2"/>
      <c r="M21" s="31"/>
    </row>
    <row r="22" spans="1:13" x14ac:dyDescent="0.2">
      <c r="A22" t="str">
        <f t="shared" si="4"/>
        <v>1975</v>
      </c>
      <c r="B22" s="23"/>
      <c r="C22" s="105">
        <v>13633616</v>
      </c>
      <c r="D22" s="31">
        <v>12392309</v>
      </c>
      <c r="E22" s="26">
        <f>ROUND(D22*'6.4'!$K$14,0)</f>
        <v>27914214</v>
      </c>
      <c r="F22" s="31">
        <v>3062897</v>
      </c>
      <c r="G22" s="22">
        <f t="shared" si="3"/>
        <v>0.11</v>
      </c>
      <c r="H22" s="105"/>
      <c r="I22" s="20"/>
      <c r="K22" s="2"/>
      <c r="M22" s="31"/>
    </row>
    <row r="23" spans="1:13" x14ac:dyDescent="0.2">
      <c r="A23" t="str">
        <f t="shared" si="4"/>
        <v>1976</v>
      </c>
      <c r="B23" s="23"/>
      <c r="C23" s="105">
        <v>17088846</v>
      </c>
      <c r="D23" s="31">
        <v>13884831</v>
      </c>
      <c r="E23" s="26">
        <f>ROUND(D23*'6.4'!$K$14,0)</f>
        <v>31276185</v>
      </c>
      <c r="F23" s="31">
        <v>1522489</v>
      </c>
      <c r="G23" s="22">
        <f>ROUND(F23/E23,3)</f>
        <v>4.9000000000000002E-2</v>
      </c>
      <c r="H23" s="105"/>
      <c r="I23" s="20"/>
      <c r="K23" s="2"/>
      <c r="M23" s="31"/>
    </row>
    <row r="24" spans="1:13" x14ac:dyDescent="0.2">
      <c r="A24" t="str">
        <f t="shared" si="4"/>
        <v>1977</v>
      </c>
      <c r="B24" s="23"/>
      <c r="C24" s="105">
        <v>23643216</v>
      </c>
      <c r="D24" s="31">
        <v>17474220</v>
      </c>
      <c r="E24" s="26">
        <f>ROUND(D24*'6.4'!$K$14,0)</f>
        <v>39361439</v>
      </c>
      <c r="F24" s="31">
        <v>972383</v>
      </c>
      <c r="G24" s="22">
        <f t="shared" si="3"/>
        <v>2.5000000000000001E-2</v>
      </c>
      <c r="H24" s="105"/>
      <c r="I24" s="20"/>
      <c r="K24" s="2"/>
      <c r="M24" s="31"/>
    </row>
    <row r="25" spans="1:13" x14ac:dyDescent="0.2">
      <c r="A25" t="str">
        <f t="shared" si="4"/>
        <v>1978</v>
      </c>
      <c r="B25" s="23"/>
      <c r="C25" s="105">
        <v>28157329</v>
      </c>
      <c r="D25" s="31">
        <v>19320941</v>
      </c>
      <c r="E25" s="26">
        <f>ROUND(D25*'6.4'!$K$14,0)</f>
        <v>43521259</v>
      </c>
      <c r="F25" s="31">
        <v>1449823</v>
      </c>
      <c r="G25" s="22">
        <f t="shared" si="3"/>
        <v>3.3000000000000002E-2</v>
      </c>
      <c r="H25" s="105"/>
      <c r="I25" s="20"/>
      <c r="K25" s="2"/>
      <c r="M25" s="31"/>
    </row>
    <row r="26" spans="1:13" x14ac:dyDescent="0.2">
      <c r="A26" t="str">
        <f t="shared" si="4"/>
        <v>1979</v>
      </c>
      <c r="B26" s="23"/>
      <c r="C26" s="105">
        <v>32867536</v>
      </c>
      <c r="D26" s="31">
        <v>21563567</v>
      </c>
      <c r="E26" s="26">
        <f>ROUND(D26*'6.4'!$K$14,0)</f>
        <v>48572871</v>
      </c>
      <c r="F26" s="31">
        <v>3940899</v>
      </c>
      <c r="G26" s="22">
        <f>ROUND(F26/E26,3)</f>
        <v>8.1000000000000003E-2</v>
      </c>
      <c r="H26" s="105"/>
      <c r="I26" s="20"/>
      <c r="K26" s="2"/>
      <c r="M26" s="31"/>
    </row>
    <row r="27" spans="1:13" x14ac:dyDescent="0.2">
      <c r="A27" t="str">
        <f t="shared" si="4"/>
        <v>1980</v>
      </c>
      <c r="B27" s="23"/>
      <c r="C27" s="105">
        <v>32179994</v>
      </c>
      <c r="D27" s="31">
        <v>22416603</v>
      </c>
      <c r="E27" s="26">
        <f>ROUND(D27*'6.4'!$K$14,0)</f>
        <v>50494372</v>
      </c>
      <c r="F27" s="31"/>
      <c r="G27" s="99">
        <v>0.748</v>
      </c>
      <c r="H27" s="105" t="s">
        <v>72</v>
      </c>
      <c r="I27" s="20"/>
      <c r="K27" s="2"/>
      <c r="M27" s="31"/>
    </row>
    <row r="28" spans="1:13" x14ac:dyDescent="0.2">
      <c r="A28" t="str">
        <f t="shared" si="4"/>
        <v>1981</v>
      </c>
      <c r="B28" s="23"/>
      <c r="C28" s="105">
        <v>30817037</v>
      </c>
      <c r="D28" s="31">
        <v>29693419</v>
      </c>
      <c r="E28" s="26">
        <f>ROUND(D28*'6.4'!$K$14,0)</f>
        <v>66885716</v>
      </c>
      <c r="F28" s="31"/>
      <c r="G28" s="99">
        <v>3.2000000000000001E-2</v>
      </c>
      <c r="H28" s="105"/>
      <c r="I28" s="20"/>
      <c r="K28" s="2"/>
      <c r="M28" s="31"/>
    </row>
    <row r="29" spans="1:13" x14ac:dyDescent="0.2">
      <c r="A29" s="9" t="str">
        <f t="shared" si="4"/>
        <v>1982</v>
      </c>
      <c r="B29" s="24"/>
      <c r="C29" s="117">
        <v>28140159</v>
      </c>
      <c r="D29" s="46">
        <v>32398474</v>
      </c>
      <c r="E29" s="27">
        <f>ROUND(D29*'6.4'!$K$14,0)</f>
        <v>72978970</v>
      </c>
      <c r="F29" s="46"/>
      <c r="G29" s="118">
        <v>2.3E-2</v>
      </c>
      <c r="H29" s="117"/>
      <c r="I29" s="20"/>
      <c r="K29" s="2"/>
      <c r="M29" s="31"/>
    </row>
    <row r="30" spans="1:13" x14ac:dyDescent="0.2">
      <c r="A30" t="str">
        <f t="shared" si="4"/>
        <v>1983</v>
      </c>
      <c r="C30" s="105">
        <v>28786234</v>
      </c>
      <c r="D30" s="31"/>
      <c r="E30" s="26">
        <f>'6.4'!E14+'6.5'!E14+'6.6'!E14+'6.7'!E14</f>
        <v>64842240.268167496</v>
      </c>
      <c r="F30" s="26"/>
      <c r="G30" s="38">
        <f>'6.3'!H14</f>
        <v>4.9550000000000001</v>
      </c>
      <c r="H30" s="105" t="s">
        <v>72</v>
      </c>
      <c r="I30" s="43"/>
      <c r="K30" s="2"/>
      <c r="M30" s="31"/>
    </row>
    <row r="31" spans="1:13" x14ac:dyDescent="0.2">
      <c r="A31" t="str">
        <f t="shared" si="4"/>
        <v>1984</v>
      </c>
      <c r="C31" s="105">
        <v>20078668</v>
      </c>
      <c r="D31" s="31"/>
      <c r="E31" s="26">
        <f>'6.4'!E15+'6.5'!E15+'6.6'!E15+'6.7'!E15</f>
        <v>45228071.758213416</v>
      </c>
      <c r="F31" s="26"/>
      <c r="G31" s="38">
        <f>'6.3'!H15</f>
        <v>0.14599999999999999</v>
      </c>
      <c r="H31" s="105"/>
      <c r="I31" s="43"/>
      <c r="K31" s="2"/>
      <c r="M31" s="31"/>
    </row>
    <row r="32" spans="1:13" x14ac:dyDescent="0.2">
      <c r="A32" t="str">
        <f t="shared" si="4"/>
        <v>1985</v>
      </c>
      <c r="C32" s="105">
        <v>30043452</v>
      </c>
      <c r="D32" s="31"/>
      <c r="E32" s="26">
        <f>'6.4'!E16+'6.5'!E16+'6.6'!E16+'6.7'!E16</f>
        <v>67674180.28309384</v>
      </c>
      <c r="F32" s="26"/>
      <c r="G32" s="38">
        <f>'6.3'!H16</f>
        <v>6.0999999999999999E-2</v>
      </c>
      <c r="H32" s="105"/>
      <c r="I32" s="60"/>
      <c r="K32" s="2"/>
    </row>
    <row r="33" spans="1:13" x14ac:dyDescent="0.2">
      <c r="A33" t="str">
        <f t="shared" si="4"/>
        <v>1986</v>
      </c>
      <c r="C33" s="105">
        <v>36673352</v>
      </c>
      <c r="D33" s="31"/>
      <c r="E33" s="26">
        <f>'6.4'!E17+'6.5'!E17+'6.6'!E17+'6.7'!E17</f>
        <v>82608316.254789531</v>
      </c>
      <c r="F33" s="26"/>
      <c r="G33" s="38">
        <f>'6.3'!H17</f>
        <v>0.114</v>
      </c>
      <c r="H33" s="105" t="s">
        <v>72</v>
      </c>
      <c r="I33" s="60"/>
      <c r="K33" s="2"/>
    </row>
    <row r="34" spans="1:13" x14ac:dyDescent="0.2">
      <c r="A34" t="str">
        <f t="shared" si="4"/>
        <v>1987</v>
      </c>
      <c r="C34" s="105">
        <v>41598709</v>
      </c>
      <c r="D34" s="31"/>
      <c r="E34" s="26">
        <f>'6.4'!E18+'6.5'!E18+'6.6'!E18+'6.7'!E18</f>
        <v>93702898.746453211</v>
      </c>
      <c r="F34" s="26"/>
      <c r="G34" s="38">
        <f>'6.3'!H18</f>
        <v>2.8000000000000001E-2</v>
      </c>
      <c r="H34" s="105" t="s">
        <v>278</v>
      </c>
      <c r="I34" s="60"/>
      <c r="K34" s="2"/>
    </row>
    <row r="35" spans="1:13" x14ac:dyDescent="0.2">
      <c r="A35" t="str">
        <f t="shared" si="4"/>
        <v>1988</v>
      </c>
      <c r="C35" s="105">
        <v>45044392</v>
      </c>
      <c r="D35" s="53"/>
      <c r="E35" s="26">
        <f>'6.4'!E19+'6.5'!E19+'6.6'!E19+'6.7'!E19</f>
        <v>104280006.81941137</v>
      </c>
      <c r="F35" s="26"/>
      <c r="G35" s="38">
        <f>'6.3'!H19</f>
        <v>0.11799999999999999</v>
      </c>
      <c r="H35" s="108"/>
      <c r="I35" s="60"/>
      <c r="K35" s="2"/>
    </row>
    <row r="36" spans="1:13" x14ac:dyDescent="0.2">
      <c r="A36" t="str">
        <f t="shared" si="4"/>
        <v>1989</v>
      </c>
      <c r="C36" s="105">
        <v>41745774</v>
      </c>
      <c r="D36" s="53"/>
      <c r="E36" s="26">
        <f>'6.4'!E20+'6.5'!E20+'6.6'!E20+'6.7'!E20</f>
        <v>99401872.051372439</v>
      </c>
      <c r="F36" s="26"/>
      <c r="G36" s="38">
        <f>'6.3'!H20</f>
        <v>7.6999999999999999E-2</v>
      </c>
      <c r="H36" s="108" t="s">
        <v>72</v>
      </c>
      <c r="I36" s="60"/>
      <c r="K36" s="2"/>
    </row>
    <row r="37" spans="1:13" x14ac:dyDescent="0.2">
      <c r="A37" t="str">
        <f t="shared" si="4"/>
        <v>1990</v>
      </c>
      <c r="C37" s="105">
        <v>40384195</v>
      </c>
      <c r="D37" s="53"/>
      <c r="E37" s="26">
        <f>'6.4'!E21+'6.5'!E21+'6.6'!E21+'6.7'!E21</f>
        <v>94692054.081641838</v>
      </c>
      <c r="F37" s="26"/>
      <c r="G37" s="38">
        <f>'6.3'!H21</f>
        <v>0.188</v>
      </c>
      <c r="H37" s="108"/>
      <c r="I37" s="60"/>
      <c r="K37" s="2"/>
    </row>
    <row r="38" spans="1:13" x14ac:dyDescent="0.2">
      <c r="A38" t="str">
        <f t="shared" si="4"/>
        <v>1991</v>
      </c>
      <c r="B38" s="12"/>
      <c r="C38" s="53">
        <f>'[2]TICO 2'!S40</f>
        <v>46237136.860229254</v>
      </c>
      <c r="D38" s="53"/>
      <c r="E38" s="26">
        <f>'6.4'!E22+'6.5'!E22+'6.6'!E22+'6.7'!E22</f>
        <v>94920885.536060244</v>
      </c>
      <c r="F38" s="26"/>
      <c r="G38" s="38">
        <f>'6.3'!H22</f>
        <v>0.92400000000000004</v>
      </c>
      <c r="H38" s="108" t="s">
        <v>278</v>
      </c>
      <c r="I38" s="60"/>
      <c r="K38" s="2"/>
    </row>
    <row r="39" spans="1:13" x14ac:dyDescent="0.2">
      <c r="A39" t="str">
        <f t="shared" si="4"/>
        <v>1992</v>
      </c>
      <c r="B39" s="12"/>
      <c r="C39" s="53">
        <f>'[2]TICO 2'!S41</f>
        <v>44512572.190501273</v>
      </c>
      <c r="D39" s="53"/>
      <c r="E39" s="26">
        <f>'6.4'!E23+'6.5'!E23+'6.6'!E23+'6.7'!E23</f>
        <v>112660892.77615812</v>
      </c>
      <c r="F39" s="26"/>
      <c r="G39" s="38">
        <f>'6.3'!H23</f>
        <v>6.5000000000000002E-2</v>
      </c>
      <c r="H39" s="108" t="s">
        <v>278</v>
      </c>
      <c r="I39" s="60"/>
      <c r="K39" s="2"/>
    </row>
    <row r="40" spans="1:13" x14ac:dyDescent="0.2">
      <c r="A40" t="str">
        <f t="shared" si="4"/>
        <v>1993</v>
      </c>
      <c r="B40" s="12"/>
      <c r="C40" s="53">
        <f>'[2]TICO 2'!S42</f>
        <v>50741119.973159775</v>
      </c>
      <c r="D40" s="53"/>
      <c r="E40" s="26">
        <f>'6.4'!E24+'6.5'!E24+'6.6'!E24+'6.7'!E24</f>
        <v>177222041.4696312</v>
      </c>
      <c r="F40" s="26"/>
      <c r="G40" s="38">
        <f>'6.3'!H24</f>
        <v>7.5999999999999998E-2</v>
      </c>
      <c r="H40" s="108" t="s">
        <v>278</v>
      </c>
      <c r="I40" s="60"/>
      <c r="K40" s="2"/>
    </row>
    <row r="41" spans="1:13" x14ac:dyDescent="0.2">
      <c r="A41" t="str">
        <f t="shared" si="4"/>
        <v>1994</v>
      </c>
      <c r="C41" s="53">
        <f>'[2]TICO 2'!S43</f>
        <v>57584585.297293335</v>
      </c>
      <c r="D41" s="53"/>
      <c r="E41" s="26">
        <f>'6.4'!E25+'6.5'!E25+'6.6'!E25+'6.7'!E25</f>
        <v>177917397.76641405</v>
      </c>
      <c r="F41" s="26"/>
      <c r="G41" s="38">
        <f>'6.3'!H25</f>
        <v>4.2000000000000003E-2</v>
      </c>
      <c r="H41" s="108" t="s">
        <v>278</v>
      </c>
      <c r="I41" s="60"/>
      <c r="K41" s="2"/>
    </row>
    <row r="42" spans="1:13" x14ac:dyDescent="0.2">
      <c r="A42" t="str">
        <f t="shared" si="4"/>
        <v>1995</v>
      </c>
      <c r="C42" s="53">
        <f>'[2]TICO 2'!S44</f>
        <v>60740049.308940537</v>
      </c>
      <c r="D42" s="53"/>
      <c r="E42" s="26">
        <f>'6.4'!E26+'6.5'!E26+'6.6'!E26+'6.7'!E26</f>
        <v>166814881.56416547</v>
      </c>
      <c r="F42" s="26"/>
      <c r="G42" s="38">
        <f>'6.3'!H26</f>
        <v>6.5000000000000002E-2</v>
      </c>
      <c r="H42" s="108" t="s">
        <v>278</v>
      </c>
      <c r="I42" s="60"/>
      <c r="K42" s="2"/>
    </row>
    <row r="43" spans="1:13" x14ac:dyDescent="0.2">
      <c r="A43" t="str">
        <f t="shared" si="4"/>
        <v>1996</v>
      </c>
      <c r="C43" s="53">
        <f>'[2]TICO 2'!S45</f>
        <v>71865572.173548162</v>
      </c>
      <c r="D43" s="53"/>
      <c r="E43" s="26">
        <f>'6.4'!E27+'6.5'!E27+'6.6'!E27+'6.7'!E27</f>
        <v>177632754.13827869</v>
      </c>
      <c r="F43" s="26"/>
      <c r="G43" s="38">
        <f>'6.3'!H27</f>
        <v>3.5999999999999997E-2</v>
      </c>
      <c r="H43" s="108" t="s">
        <v>278</v>
      </c>
      <c r="I43" s="60"/>
      <c r="K43" s="2"/>
    </row>
    <row r="44" spans="1:13" x14ac:dyDescent="0.2">
      <c r="A44" t="str">
        <f t="shared" si="4"/>
        <v>1997</v>
      </c>
      <c r="C44" s="53">
        <f>'[2]TICO 2'!S46</f>
        <v>79154547.157164395</v>
      </c>
      <c r="D44" s="53"/>
      <c r="E44" s="26">
        <f>'6.4'!E28+'6.5'!E28+'6.6'!E28+'6.7'!E28</f>
        <v>195649178.85857028</v>
      </c>
      <c r="F44" s="26"/>
      <c r="G44" s="38">
        <f>'6.3'!H28</f>
        <v>4.5999999999999999E-2</v>
      </c>
      <c r="H44" s="108" t="s">
        <v>278</v>
      </c>
      <c r="I44" s="60"/>
      <c r="K44" s="2"/>
    </row>
    <row r="45" spans="1:13" x14ac:dyDescent="0.2">
      <c r="A45" t="str">
        <f t="shared" si="4"/>
        <v>1998</v>
      </c>
      <c r="C45" s="53">
        <f>'[2]TICO 2'!S47</f>
        <v>80238259.539037794</v>
      </c>
      <c r="D45" s="53"/>
      <c r="E45" s="26">
        <f>'6.4'!E29+'6.5'!E29+'6.6'!E29+'6.7'!E29</f>
        <v>198129700.87117207</v>
      </c>
      <c r="F45" s="26"/>
      <c r="G45" s="38">
        <f>'6.3'!H29</f>
        <v>0.20699999999999999</v>
      </c>
      <c r="H45" s="108" t="s">
        <v>278</v>
      </c>
      <c r="I45" s="60"/>
      <c r="K45" s="2"/>
    </row>
    <row r="46" spans="1:13" x14ac:dyDescent="0.2">
      <c r="A46" t="str">
        <f t="shared" si="4"/>
        <v>1999</v>
      </c>
      <c r="C46" s="53">
        <f>'[2]TICO 2'!S48</f>
        <v>71026551.585025504</v>
      </c>
      <c r="D46" s="53"/>
      <c r="E46" s="26">
        <f>'6.4'!E30+'6.5'!E30+'6.6'!E30+'6.7'!E30</f>
        <v>183849421.69128418</v>
      </c>
      <c r="F46" s="26"/>
      <c r="G46" s="38">
        <f>'6.3'!H30</f>
        <v>8.4000000000000005E-2</v>
      </c>
      <c r="H46" s="108" t="s">
        <v>72</v>
      </c>
      <c r="I46" s="60"/>
      <c r="K46" s="2"/>
      <c r="L46" t="s">
        <v>193</v>
      </c>
      <c r="M46" t="s">
        <v>194</v>
      </c>
    </row>
    <row r="47" spans="1:13" x14ac:dyDescent="0.2">
      <c r="A47" t="str">
        <f t="shared" si="4"/>
        <v>2000</v>
      </c>
      <c r="C47" s="53">
        <f>'[2]TICO 2'!S49</f>
        <v>75114173.966088101</v>
      </c>
      <c r="D47" s="100"/>
      <c r="E47" s="26">
        <f>'6.4'!E31+'6.5'!E31+'6.6'!E31+'6.7'!E31</f>
        <v>195990799.92270005</v>
      </c>
      <c r="F47" s="26"/>
      <c r="G47" s="38">
        <f>'6.3'!H31</f>
        <v>0.05</v>
      </c>
      <c r="H47" s="108" t="s">
        <v>278</v>
      </c>
      <c r="I47" s="60"/>
      <c r="K47" s="2"/>
      <c r="L47" s="37">
        <f>'6.4'!K$57</f>
        <v>45930</v>
      </c>
      <c r="M47" s="37">
        <f>'6.4'!L$57</f>
        <v>46022</v>
      </c>
    </row>
    <row r="48" spans="1:13" x14ac:dyDescent="0.2">
      <c r="A48" t="str">
        <f t="shared" si="4"/>
        <v>2001</v>
      </c>
      <c r="C48" s="53">
        <f>'[2]TICO 2'!S50</f>
        <v>74726401.205720931</v>
      </c>
      <c r="D48" s="100"/>
      <c r="E48" s="26">
        <f>'6.4'!E32+'6.5'!E32+'6.6'!E32+'6.7'!E32</f>
        <v>171328384.83300963</v>
      </c>
      <c r="F48" s="26"/>
      <c r="G48" s="38">
        <f>'6.3'!H32</f>
        <v>6.5000000000000002E-2</v>
      </c>
      <c r="H48" s="108" t="s">
        <v>278</v>
      </c>
      <c r="I48" s="60"/>
      <c r="K48" s="2"/>
    </row>
    <row r="49" spans="1:11" x14ac:dyDescent="0.2">
      <c r="A49" t="str">
        <f t="shared" si="4"/>
        <v>2002</v>
      </c>
      <c r="C49" s="53">
        <f>'[2]TICO 2'!S51</f>
        <v>86289350</v>
      </c>
      <c r="D49" s="100"/>
      <c r="E49" s="26">
        <f>'6.4'!E33+'6.5'!E33+'6.6'!E33+'6.7'!E33</f>
        <v>182396099.10896838</v>
      </c>
      <c r="F49" s="26"/>
      <c r="G49" s="38">
        <f>'6.3'!H33</f>
        <v>0.16500000000000001</v>
      </c>
      <c r="H49" s="108" t="s">
        <v>278</v>
      </c>
      <c r="I49" s="60"/>
      <c r="K49" s="2"/>
    </row>
    <row r="50" spans="1:11" x14ac:dyDescent="0.2">
      <c r="A50" t="str">
        <f t="shared" si="4"/>
        <v>2003</v>
      </c>
      <c r="C50" s="53">
        <f>'[2]TICO 2'!S52</f>
        <v>112200741</v>
      </c>
      <c r="D50" s="100"/>
      <c r="E50" s="26">
        <f>'6.4'!E34+'6.5'!E34+'6.6'!E34+'6.7'!E34</f>
        <v>237166897.49597096</v>
      </c>
      <c r="G50" s="38">
        <f>'6.3'!H34</f>
        <v>0.2</v>
      </c>
      <c r="H50" s="108" t="s">
        <v>72</v>
      </c>
      <c r="I50" s="60"/>
      <c r="K50" s="2"/>
    </row>
    <row r="51" spans="1:11" x14ac:dyDescent="0.2">
      <c r="A51" t="str">
        <f t="shared" si="4"/>
        <v>2004</v>
      </c>
      <c r="C51" s="53">
        <f>'[2]TICO 2'!S53</f>
        <v>123050217</v>
      </c>
      <c r="D51" s="100"/>
      <c r="E51" s="26">
        <f>'6.4'!E35+'6.5'!E35+'6.6'!E35+'6.7'!E35</f>
        <v>248017394.96585703</v>
      </c>
      <c r="G51" s="38">
        <f>'6.3'!H35</f>
        <v>1.6E-2</v>
      </c>
      <c r="H51" s="108" t="s">
        <v>278</v>
      </c>
      <c r="I51" s="60"/>
      <c r="K51" s="2"/>
    </row>
    <row r="52" spans="1:11" x14ac:dyDescent="0.2">
      <c r="A52" t="str">
        <f t="shared" si="4"/>
        <v>2005</v>
      </c>
      <c r="C52" s="53">
        <f>'[2]TICO 2'!S54</f>
        <v>135380924</v>
      </c>
      <c r="D52" s="100"/>
      <c r="E52" s="26">
        <f>'6.4'!E36+'6.5'!E36+'6.6'!E36+'6.7'!E36</f>
        <v>261099035.45153755</v>
      </c>
      <c r="G52" s="38">
        <f>'6.3'!H36</f>
        <v>1.1180000000000001</v>
      </c>
      <c r="H52" s="108" t="s">
        <v>72</v>
      </c>
      <c r="I52" s="60"/>
      <c r="K52" s="2"/>
    </row>
    <row r="53" spans="1:11" x14ac:dyDescent="0.2">
      <c r="A53" t="str">
        <f t="shared" si="4"/>
        <v>2006</v>
      </c>
      <c r="B53" s="23"/>
      <c r="C53" s="53">
        <f>'[2]TICO 2'!S55</f>
        <v>154699767</v>
      </c>
      <c r="D53" s="100"/>
      <c r="E53" s="26">
        <f>'6.4'!E37+'6.5'!E37+'6.6'!E37+'6.7'!E37</f>
        <v>297641803.76959211</v>
      </c>
      <c r="F53" s="26"/>
      <c r="G53" s="38">
        <f>'6.3'!H37</f>
        <v>1.9E-2</v>
      </c>
      <c r="H53" s="108" t="s">
        <v>278</v>
      </c>
      <c r="I53" s="60"/>
      <c r="K53" s="2"/>
    </row>
    <row r="54" spans="1:11" x14ac:dyDescent="0.2">
      <c r="A54" t="str">
        <f t="shared" si="4"/>
        <v>2007</v>
      </c>
      <c r="C54" s="53">
        <f>'[2]TICO 2'!S56</f>
        <v>219914305</v>
      </c>
      <c r="D54" s="100"/>
      <c r="E54" s="26">
        <f>'6.4'!E38+'6.5'!E38+'6.6'!E38+'6.7'!E38</f>
        <v>403864588.68160832</v>
      </c>
      <c r="G54" s="38">
        <f>'6.3'!H38</f>
        <v>0.05</v>
      </c>
      <c r="H54" s="108" t="s">
        <v>72</v>
      </c>
      <c r="I54" s="20"/>
      <c r="K54" s="2"/>
    </row>
    <row r="55" spans="1:11" x14ac:dyDescent="0.2">
      <c r="A55" t="str">
        <f t="shared" si="4"/>
        <v>2008</v>
      </c>
      <c r="C55" s="53">
        <f>'[2]TICO 2'!S57</f>
        <v>289558186</v>
      </c>
      <c r="D55" s="100"/>
      <c r="E55" s="26">
        <f>'6.4'!E39+'6.5'!E39+'6.6'!E39+'6.7'!E39</f>
        <v>501518052.03257847</v>
      </c>
      <c r="G55" s="38">
        <f>'6.3'!H39</f>
        <v>4.0529999999999999</v>
      </c>
      <c r="H55" s="108" t="s">
        <v>72</v>
      </c>
      <c r="I55" s="20"/>
      <c r="K55" s="2"/>
    </row>
    <row r="56" spans="1:11" x14ac:dyDescent="0.2">
      <c r="A56" t="str">
        <f t="shared" si="4"/>
        <v>2009</v>
      </c>
      <c r="C56" s="53">
        <f>'[2]TICO 2'!S58</f>
        <v>327305758</v>
      </c>
      <c r="D56" s="100"/>
      <c r="E56" s="26">
        <f>'6.4'!E40+'6.5'!E40+'6.6'!E40+'6.7'!E40</f>
        <v>515061744.2236259</v>
      </c>
      <c r="G56" s="38">
        <f>'6.3'!H40</f>
        <v>1.7999999999999999E-2</v>
      </c>
      <c r="H56" s="108"/>
      <c r="I56" s="43"/>
      <c r="K56" s="2"/>
    </row>
    <row r="57" spans="1:11" x14ac:dyDescent="0.2">
      <c r="A57" t="str">
        <f t="shared" si="4"/>
        <v>2010</v>
      </c>
      <c r="C57" s="53">
        <f>'[2]TICO 2'!S59</f>
        <v>355219215</v>
      </c>
      <c r="D57" s="100"/>
      <c r="E57" s="26">
        <f>'6.4'!E41+'6.5'!E41+'6.6'!E41+'6.7'!E41</f>
        <v>524962455.69076967</v>
      </c>
      <c r="G57" s="38">
        <f>'6.3'!H41</f>
        <v>3.5999999999999997E-2</v>
      </c>
      <c r="H57" s="108"/>
      <c r="I57" s="43"/>
      <c r="K57" s="2"/>
    </row>
    <row r="58" spans="1:11" x14ac:dyDescent="0.2">
      <c r="A58" t="str">
        <f t="shared" si="4"/>
        <v>2011</v>
      </c>
      <c r="C58" s="53">
        <f>'[2]TICO 2'!S60</f>
        <v>370875863</v>
      </c>
      <c r="D58" s="100"/>
      <c r="E58" s="26">
        <f>'6.4'!E42+'6.5'!E42+'6.6'!E42+'6.7'!E42</f>
        <v>534562855.41677928</v>
      </c>
      <c r="G58" s="38">
        <f>'6.3'!H42</f>
        <v>0.17899999999999999</v>
      </c>
      <c r="H58" s="108" t="s">
        <v>278</v>
      </c>
      <c r="I58" s="43"/>
      <c r="K58" s="2"/>
    </row>
    <row r="59" spans="1:11" x14ac:dyDescent="0.2">
      <c r="A59" t="str">
        <f t="shared" si="4"/>
        <v>2012</v>
      </c>
      <c r="C59" s="53">
        <f>'[2]TICO 2'!S61</f>
        <v>406981851</v>
      </c>
      <c r="D59" s="100"/>
      <c r="E59" s="26">
        <f>'6.4'!E43+'6.5'!E43+'6.6'!E43+'6.7'!E43</f>
        <v>558681022.62527263</v>
      </c>
      <c r="G59" s="38">
        <f>'6.3'!H43</f>
        <v>0.125</v>
      </c>
      <c r="H59" s="109"/>
      <c r="I59" s="20"/>
      <c r="K59" s="2"/>
    </row>
    <row r="60" spans="1:11" x14ac:dyDescent="0.2">
      <c r="A60" t="str">
        <f t="shared" si="4"/>
        <v>2013</v>
      </c>
      <c r="C60" s="53">
        <f>'[2]TICO 2'!S62</f>
        <v>440952159</v>
      </c>
      <c r="D60" s="100"/>
      <c r="E60" s="26">
        <f>'6.4'!E44+'6.5'!E44+'6.6'!E44+'6.7'!E44</f>
        <v>576566712.53045404</v>
      </c>
      <c r="G60" s="38">
        <f>'6.3'!H44</f>
        <v>0.16</v>
      </c>
      <c r="H60" s="108" t="s">
        <v>278</v>
      </c>
      <c r="I60" s="43"/>
      <c r="K60" s="2"/>
    </row>
    <row r="61" spans="1:11" x14ac:dyDescent="0.2">
      <c r="A61" t="str">
        <f t="shared" si="4"/>
        <v>2014</v>
      </c>
      <c r="C61" s="53">
        <f>'[2]TICO 2'!S63</f>
        <v>477983216</v>
      </c>
      <c r="D61" s="100"/>
      <c r="E61" s="26">
        <f>'6.4'!E45+'6.5'!E45+'6.6'!E45+'6.7'!E45</f>
        <v>595350328.57775843</v>
      </c>
      <c r="G61" s="38">
        <f>'6.3'!H45</f>
        <v>2.1999999999999999E-2</v>
      </c>
      <c r="H61" s="108"/>
      <c r="I61" s="43"/>
      <c r="K61" s="2"/>
    </row>
    <row r="62" spans="1:11" x14ac:dyDescent="0.2">
      <c r="A62" t="str">
        <f t="shared" si="4"/>
        <v>2015</v>
      </c>
      <c r="C62" s="53">
        <f>'[2]TICO 2'!S64</f>
        <v>517579765</v>
      </c>
      <c r="D62" s="100"/>
      <c r="E62" s="26">
        <f>'6.4'!E46+'6.5'!E46+'6.6'!E46+'6.7'!E46</f>
        <v>614090012.38975632</v>
      </c>
      <c r="G62" s="38">
        <f>'6.3'!H46</f>
        <v>0.23799999999999999</v>
      </c>
      <c r="H62" s="109"/>
      <c r="I62" s="20"/>
      <c r="K62" s="2"/>
    </row>
    <row r="63" spans="1:11" x14ac:dyDescent="0.2">
      <c r="A63" t="str">
        <f t="shared" si="4"/>
        <v>2016</v>
      </c>
      <c r="C63" s="53">
        <f>'[2]TICO 2'!S65</f>
        <v>541982800</v>
      </c>
      <c r="D63" s="100"/>
      <c r="E63" s="26">
        <f>'6.4'!E47+'6.5'!E47+'6.6'!E47+'6.7'!E47</f>
        <v>612650712.83318377</v>
      </c>
      <c r="G63" s="38">
        <f>'6.3'!H47</f>
        <v>0.08</v>
      </c>
      <c r="H63" s="109"/>
      <c r="K63" s="2"/>
    </row>
    <row r="64" spans="1:11" x14ac:dyDescent="0.2">
      <c r="A64" t="str">
        <f t="shared" si="4"/>
        <v>2017</v>
      </c>
      <c r="C64" s="53">
        <f>'[2]TICO 2'!S66</f>
        <v>533284592</v>
      </c>
      <c r="D64" s="100"/>
      <c r="E64" s="26">
        <f>'6.4'!E48+'6.5'!E48+'6.6'!E48+'6.7'!E48</f>
        <v>587946262.49750006</v>
      </c>
      <c r="G64" s="38">
        <f ca="1">'6.3'!H48</f>
        <v>2.117</v>
      </c>
      <c r="H64" s="109" t="s">
        <v>72</v>
      </c>
      <c r="K64" s="2"/>
    </row>
    <row r="65" spans="1:11" x14ac:dyDescent="0.2">
      <c r="A65" t="str">
        <f t="shared" si="4"/>
        <v>2018</v>
      </c>
      <c r="C65" s="53">
        <f>'[2]TICO 2'!S67</f>
        <v>516732311</v>
      </c>
      <c r="D65" s="100"/>
      <c r="E65" s="26">
        <f>'6.4'!E49+'6.5'!E49+'6.6'!E49+'6.7'!E49</f>
        <v>556428278.33704758</v>
      </c>
      <c r="G65" s="38">
        <f ca="1">'6.3'!H49</f>
        <v>3.3000000000000002E-2</v>
      </c>
      <c r="H65" s="109"/>
      <c r="K65" s="2"/>
    </row>
    <row r="66" spans="1:11" x14ac:dyDescent="0.2">
      <c r="A66" t="str">
        <f t="shared" si="4"/>
        <v>2019</v>
      </c>
      <c r="C66" s="53">
        <f>'[2]TICO 2'!S68</f>
        <v>509685524</v>
      </c>
      <c r="D66" s="100"/>
      <c r="E66" s="26">
        <f>'6.4'!E50+'6.5'!E50+'6.6'!E50+'6.7'!E50</f>
        <v>535169799.89999795</v>
      </c>
      <c r="G66" s="38">
        <f ca="1">'6.3'!H50</f>
        <v>6.4000000000000001E-2</v>
      </c>
      <c r="H66" s="109"/>
      <c r="K66" s="2"/>
    </row>
    <row r="67" spans="1:11" x14ac:dyDescent="0.2">
      <c r="A67" t="str">
        <f t="shared" si="4"/>
        <v>2020</v>
      </c>
      <c r="C67" s="53">
        <f>'[2]TICO 2'!S69</f>
        <v>502856199</v>
      </c>
      <c r="D67" s="100"/>
      <c r="E67" s="26">
        <f>'6.4'!E51+'6.5'!E51+'6.6'!E51+'6.7'!E51</f>
        <v>527999008.65000135</v>
      </c>
      <c r="G67" s="38">
        <f ca="1">'6.3'!H51</f>
        <v>0.13300000000000001</v>
      </c>
      <c r="H67" s="109" t="s">
        <v>72</v>
      </c>
      <c r="K67" s="2"/>
    </row>
    <row r="68" spans="1:11" x14ac:dyDescent="0.2">
      <c r="A68" t="str">
        <f t="shared" si="4"/>
        <v>2021</v>
      </c>
      <c r="C68" s="53">
        <f>'[2]TICO 2'!S70</f>
        <v>514931763</v>
      </c>
      <c r="D68" s="100"/>
      <c r="E68" s="26">
        <f>'6.4'!E52+'6.5'!E52+'6.6'!E52+'6.7'!E52</f>
        <v>540678350.80000222</v>
      </c>
      <c r="G68" s="38">
        <f ca="1">'6.3'!H52</f>
        <v>0.247</v>
      </c>
      <c r="H68" s="109" t="s">
        <v>72</v>
      </c>
      <c r="K68" s="2"/>
    </row>
    <row r="69" spans="1:11" x14ac:dyDescent="0.2">
      <c r="A69" t="str">
        <f t="shared" si="4"/>
        <v>2022</v>
      </c>
      <c r="C69" s="53">
        <f>'[2]TICO 2'!S71</f>
        <v>562949434</v>
      </c>
      <c r="D69" s="100"/>
      <c r="E69" s="26">
        <f>'6.4'!E53+'6.5'!E53+'6.6'!E53+'6.7'!E53</f>
        <v>575799472.01679468</v>
      </c>
      <c r="G69" s="38">
        <f ca="1">'6.3'!H53</f>
        <v>8.308299999999999E-2</v>
      </c>
      <c r="H69" s="109"/>
      <c r="K69" s="2"/>
    </row>
    <row r="70" spans="1:11" x14ac:dyDescent="0.2">
      <c r="A70" s="23" t="str">
        <f t="shared" si="4"/>
        <v>2023</v>
      </c>
      <c r="C70" s="53">
        <f>'[2]TICO 2'!S72</f>
        <v>668688607</v>
      </c>
      <c r="D70" s="100"/>
      <c r="E70" s="26">
        <f>'6.4'!E54+'6.5'!E54+'6.6'!E54+'6.7'!E54</f>
        <v>668688607</v>
      </c>
      <c r="G70" s="38">
        <f ca="1">'6.3'!H54</f>
        <v>0.1608</v>
      </c>
      <c r="H70" s="109"/>
      <c r="K70" s="2"/>
    </row>
    <row r="71" spans="1:11" x14ac:dyDescent="0.2">
      <c r="A71" s="23">
        <v>2024</v>
      </c>
      <c r="C71" s="53">
        <f>'[2]TICO 2'!S73</f>
        <v>778075129</v>
      </c>
      <c r="D71" s="100"/>
      <c r="E71" s="26">
        <f>'6.4'!E55+'6.5'!E55+'6.6'!E55+'6.7'!E55</f>
        <v>778075129</v>
      </c>
      <c r="G71" s="38">
        <f ca="1">'6.3'!H55</f>
        <v>0.821905</v>
      </c>
      <c r="H71" s="109" t="s">
        <v>72</v>
      </c>
      <c r="K71" s="2"/>
    </row>
    <row r="72" spans="1:11" x14ac:dyDescent="0.2">
      <c r="A72" s="23" t="str">
        <f t="shared" si="4"/>
        <v>2025</v>
      </c>
      <c r="C72" s="53">
        <f>'[2]TICO 2'!S74</f>
        <v>901832537</v>
      </c>
      <c r="D72" s="100"/>
      <c r="E72" s="26">
        <f>'6.4'!E56+'6.5'!E56+'6.6'!E56+'6.7'!E56</f>
        <v>901832536.99999893</v>
      </c>
      <c r="G72" s="38">
        <f ca="1">'6.3'!H56</f>
        <v>7.1979999999999988E-2</v>
      </c>
      <c r="H72" s="109"/>
      <c r="K72" s="2"/>
    </row>
    <row r="73" spans="1:11" x14ac:dyDescent="0.2">
      <c r="A73" s="23"/>
      <c r="C73" s="53"/>
      <c r="D73" s="100"/>
      <c r="E73" s="26"/>
      <c r="G73" s="38"/>
      <c r="H73" s="109"/>
      <c r="K73" s="2"/>
    </row>
    <row r="74" spans="1:11" x14ac:dyDescent="0.2">
      <c r="A74" t="s">
        <v>30</v>
      </c>
      <c r="C74" s="19">
        <f>SUM(C16:C73)</f>
        <v>11300506100.25671</v>
      </c>
      <c r="D74" s="19">
        <f>SUM(D13:D73)</f>
        <v>285475684</v>
      </c>
      <c r="E74" s="19">
        <f>SUM(E13:E73)</f>
        <v>15483839517.685642</v>
      </c>
      <c r="G74" s="20">
        <f ca="1">ROUND(AVERAGE(G13:G73),3)</f>
        <v>0.35</v>
      </c>
      <c r="K74" s="2"/>
    </row>
    <row r="75" spans="1:11" x14ac:dyDescent="0.2">
      <c r="C75" s="19"/>
      <c r="D75" s="19"/>
      <c r="E75" s="19"/>
      <c r="G75" s="20"/>
      <c r="K75" s="2"/>
    </row>
    <row r="76" spans="1:11" x14ac:dyDescent="0.2">
      <c r="A76" t="s">
        <v>111</v>
      </c>
      <c r="G76" s="20">
        <f ca="1">SUMIF(H13:H73,"&lt;&gt;H",G13:G73)/COUNTIF(H13:H73,"&lt;&gt;H")</f>
        <v>9.8841399999999996E-2</v>
      </c>
      <c r="K76" s="2"/>
    </row>
    <row r="77" spans="1:11" ht="12" thickBot="1" x14ac:dyDescent="0.25">
      <c r="A77" s="6" t="s">
        <v>66</v>
      </c>
      <c r="B77" s="6"/>
      <c r="C77" s="6"/>
      <c r="D77" s="6"/>
      <c r="E77" s="6"/>
      <c r="F77" s="6"/>
      <c r="G77" s="133">
        <f ca="1">ROUND(G76,3)</f>
        <v>9.9000000000000005E-2</v>
      </c>
      <c r="K77" s="2"/>
    </row>
    <row r="78" spans="1:11" ht="12" hidden="1" thickBot="1" x14ac:dyDescent="0.25">
      <c r="A78" s="6"/>
      <c r="B78" s="6"/>
      <c r="C78" s="6"/>
      <c r="D78" s="6"/>
      <c r="E78" s="6"/>
      <c r="F78" s="6"/>
      <c r="G78" s="6"/>
      <c r="K78" s="2"/>
    </row>
    <row r="79" spans="1:11" ht="12" thickTop="1" x14ac:dyDescent="0.2">
      <c r="A79" t="s">
        <v>17</v>
      </c>
      <c r="B79" s="12" t="str">
        <f>C11&amp;", "&amp;D11&amp;" Provided by TDI.  Accident years ending "&amp;TEXT($L$47,"m/d/xx")&amp;" as of "&amp;TEXT($M$47,"m/d/yyyy")</f>
        <v>(2), (3) Provided by TDI.  Accident years ending 9/30/xx as of 12/31/2025</v>
      </c>
      <c r="K79" s="2"/>
    </row>
    <row r="80" spans="1:11" x14ac:dyDescent="0.2">
      <c r="B80" s="12" t="str">
        <f>E11&amp;" "&amp;A30&amp;" - "&amp;YEAR(M47)&amp;": Sum of "&amp;'6.4'!$I$1&amp;", "&amp;'6.4'!$I$2&amp;" - "&amp;'6.7'!$I$2&amp;", "&amp;'6.4'!E12&amp;"; "&amp;A13&amp;" - "&amp;A29&amp;": "&amp;D11&amp;" * "&amp;TEXT('6.4'!$K$14,"0.0")</f>
        <v>(4) 1983 - 2025: Sum of Exhibit 6, Sheet 4 - Sheet 7, (4); 1966 - 1982: (3) * 2.3</v>
      </c>
      <c r="K80" s="2"/>
    </row>
    <row r="81" spans="1:11" x14ac:dyDescent="0.2">
      <c r="B81" s="12" t="str">
        <f>F11&amp;" Provided by TDI.  Accident years ending "&amp;TEXT($L$47,"m/d/xx")&amp;" as of 12/31/2010"</f>
        <v>(5) Provided by TDI.  Accident years ending 9/30/xx as of 12/31/2010</v>
      </c>
      <c r="D81" s="12"/>
      <c r="K81" s="2"/>
    </row>
    <row r="82" spans="1:11" x14ac:dyDescent="0.2">
      <c r="B82" s="12" t="str">
        <f>G11&amp;" "&amp;A30&amp;" - "&amp;YEAR(M47)&amp;": "&amp;'6.3'!$I$1&amp;", "&amp;'6.3'!$I$2&amp;"; "&amp;A13&amp;" - "&amp;A29&amp;": "&amp;F11&amp;" / "&amp;E11</f>
        <v>(6) 1983 - 2025: Exhibit 6, Sheet 3; 1966 - 1982: (5) / (4)</v>
      </c>
      <c r="K82" s="2"/>
    </row>
    <row r="83" spans="1:11" ht="12" thickBot="1" x14ac:dyDescent="0.25">
      <c r="B83" s="12" t="str">
        <f>H11&amp;" ""H"" indicates hurricane year"</f>
        <v>(7) "H" indicates hurricane year</v>
      </c>
      <c r="K83" s="2"/>
    </row>
    <row r="84" spans="1:11" ht="12" thickBot="1" x14ac:dyDescent="0.25">
      <c r="A84" s="4"/>
      <c r="B84" s="5"/>
      <c r="C84" s="5"/>
      <c r="D84" s="5"/>
      <c r="E84" s="5"/>
      <c r="F84" s="5"/>
      <c r="G84" s="5"/>
      <c r="H84" s="5"/>
      <c r="I84" s="5"/>
      <c r="J84" s="5"/>
      <c r="K84" s="3"/>
    </row>
  </sheetData>
  <phoneticPr fontId="0" type="noConversion"/>
  <pageMargins left="0.5" right="0.5" top="0.5" bottom="0" header="0.5" footer="0.25"/>
  <pageSetup scale="91" orientation="portrait" blackAndWhite="1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29">
    <tabColor rgb="FF92D050"/>
    <pageSetUpPr fitToPage="1"/>
  </sheetPr>
  <dimension ref="A1:N78"/>
  <sheetViews>
    <sheetView showGridLines="0" topLeftCell="A21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7" width="14" customWidth="1"/>
    <col min="8" max="8" width="18" bestFit="1" customWidth="1"/>
    <col min="9" max="9" width="7" customWidth="1"/>
  </cols>
  <sheetData>
    <row r="1" spans="1:11" x14ac:dyDescent="0.2">
      <c r="A1" s="8" t="str">
        <f>'1'!$A$1</f>
        <v>Texas Windstorm Insurance Association</v>
      </c>
      <c r="B1" s="12"/>
      <c r="I1" s="7" t="s">
        <v>88</v>
      </c>
      <c r="J1" s="174"/>
    </row>
    <row r="2" spans="1:11" x14ac:dyDescent="0.2">
      <c r="A2" s="8" t="str">
        <f>'1'!$A$2</f>
        <v>Residential Property - Wind &amp; Hail</v>
      </c>
      <c r="B2" s="12"/>
      <c r="I2" s="7" t="s">
        <v>79</v>
      </c>
      <c r="J2" s="175"/>
    </row>
    <row r="3" spans="1:11" x14ac:dyDescent="0.2">
      <c r="A3" s="8" t="str">
        <f>'1'!$A$3</f>
        <v>Rate Level Review</v>
      </c>
      <c r="B3" s="12"/>
      <c r="J3" s="175"/>
    </row>
    <row r="4" spans="1:11" x14ac:dyDescent="0.2">
      <c r="A4" t="s">
        <v>432</v>
      </c>
      <c r="B4" s="12"/>
      <c r="J4" s="175"/>
    </row>
    <row r="5" spans="1:11" x14ac:dyDescent="0.2">
      <c r="A5" t="s">
        <v>380</v>
      </c>
      <c r="B5" s="12"/>
      <c r="J5" s="175"/>
    </row>
    <row r="6" spans="1:11" x14ac:dyDescent="0.2">
      <c r="J6" s="175"/>
    </row>
    <row r="7" spans="1:11" ht="12" thickBot="1" x14ac:dyDescent="0.25">
      <c r="A7" s="6"/>
      <c r="B7" s="6"/>
      <c r="C7" s="6"/>
      <c r="D7" s="6"/>
      <c r="E7" s="6"/>
      <c r="F7" s="6"/>
      <c r="G7" s="6"/>
      <c r="H7" s="6"/>
      <c r="I7" s="6"/>
      <c r="J7" s="175"/>
    </row>
    <row r="8" spans="1:11" ht="12" thickTop="1" x14ac:dyDescent="0.2">
      <c r="A8" t="s">
        <v>48</v>
      </c>
      <c r="J8" s="175"/>
    </row>
    <row r="9" spans="1:11" x14ac:dyDescent="0.2">
      <c r="A9" t="s">
        <v>49</v>
      </c>
      <c r="C9" s="218" t="s">
        <v>116</v>
      </c>
      <c r="D9" s="218"/>
      <c r="E9" s="218"/>
      <c r="F9" s="218"/>
      <c r="J9" s="175"/>
      <c r="K9" s="17"/>
    </row>
    <row r="10" spans="1:11" x14ac:dyDescent="0.2">
      <c r="A10" t="s">
        <v>32</v>
      </c>
      <c r="C10" s="11"/>
      <c r="D10" s="11"/>
      <c r="E10" s="11"/>
      <c r="F10" s="11"/>
      <c r="G10" s="11" t="s">
        <v>115</v>
      </c>
      <c r="H10" s="11" t="s">
        <v>385</v>
      </c>
      <c r="I10" s="11"/>
      <c r="J10" s="175"/>
      <c r="K10" s="12"/>
    </row>
    <row r="11" spans="1:11" x14ac:dyDescent="0.2">
      <c r="A11" s="9" t="str">
        <f>TEXT(K52,"m/d")</f>
        <v>9/30</v>
      </c>
      <c r="B11" s="9"/>
      <c r="C11" s="121" t="s">
        <v>112</v>
      </c>
      <c r="D11" s="121" t="s">
        <v>113</v>
      </c>
      <c r="E11" s="121" t="s">
        <v>114</v>
      </c>
      <c r="F11" s="121" t="s">
        <v>24</v>
      </c>
      <c r="G11" s="121" t="s">
        <v>70</v>
      </c>
      <c r="H11" s="121" t="s">
        <v>70</v>
      </c>
      <c r="I11" s="121"/>
      <c r="J11" s="175"/>
      <c r="K11" s="37"/>
    </row>
    <row r="12" spans="1:11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 t="str">
        <f>TEXT(COLUMN()-1,"(#)")</f>
        <v>(5)</v>
      </c>
      <c r="G12" s="11" t="str">
        <f>TEXT(COLUMN()-1,"(#)")</f>
        <v>(6)</v>
      </c>
      <c r="H12" s="44" t="s">
        <v>105</v>
      </c>
      <c r="J12" s="175"/>
    </row>
    <row r="13" spans="1:11" x14ac:dyDescent="0.2">
      <c r="J13" s="175"/>
    </row>
    <row r="14" spans="1:11" x14ac:dyDescent="0.2">
      <c r="A14" s="93">
        <v>1983</v>
      </c>
      <c r="C14" s="42">
        <f>'6.4'!G14</f>
        <v>12.224</v>
      </c>
      <c r="D14" s="42">
        <f>'6.5'!G14</f>
        <v>7.1773264013073157E-2</v>
      </c>
      <c r="E14" s="42">
        <f>'6.6'!G14</f>
        <v>1.6550369131984408</v>
      </c>
      <c r="F14" s="42">
        <f>'6.7'!G14</f>
        <v>1.6872670392664995</v>
      </c>
      <c r="G14" s="22">
        <f t="shared" ref="G14:G56" si="0">ROUND(SUMPRODUCT(C14:F14,$C$65:$F$65)/$G$65,3)</f>
        <v>4.9550000000000001</v>
      </c>
      <c r="H14" s="20">
        <f t="shared" ref="H14:H46" si="1">G14</f>
        <v>4.9550000000000001</v>
      </c>
      <c r="J14" s="175"/>
    </row>
    <row r="15" spans="1:11" x14ac:dyDescent="0.2">
      <c r="A15" t="str">
        <f>TEXT(A14+1,"#")</f>
        <v>1984</v>
      </c>
      <c r="C15" s="42">
        <f>'6.4'!G15</f>
        <v>3.6999999999999998E-2</v>
      </c>
      <c r="D15" s="42">
        <f>'6.5'!G15</f>
        <v>6.7744125594311408E-2</v>
      </c>
      <c r="E15" s="42">
        <f>'6.6'!G15</f>
        <v>0.24151075632806768</v>
      </c>
      <c r="F15" s="42">
        <f>'6.7'!G15</f>
        <v>0.3845298874263412</v>
      </c>
      <c r="G15" s="22">
        <f t="shared" si="0"/>
        <v>0.14599999999999999</v>
      </c>
      <c r="H15" s="20">
        <f t="shared" si="1"/>
        <v>0.14599999999999999</v>
      </c>
      <c r="J15" s="175"/>
    </row>
    <row r="16" spans="1:11" x14ac:dyDescent="0.2">
      <c r="A16" t="str">
        <f t="shared" ref="A16:A56" si="2">TEXT(A15+1,"#")</f>
        <v>1985</v>
      </c>
      <c r="C16" s="42">
        <f>'6.4'!G16</f>
        <v>1.9E-2</v>
      </c>
      <c r="D16" s="42">
        <f>'6.5'!G16</f>
        <v>8.2872071690216487E-2</v>
      </c>
      <c r="E16" s="42">
        <f>'6.6'!G16</f>
        <v>8.0633915666968578E-2</v>
      </c>
      <c r="F16" s="42">
        <f>'6.7'!G16</f>
        <v>0.12848011779558008</v>
      </c>
      <c r="G16" s="22">
        <f t="shared" si="0"/>
        <v>6.0999999999999999E-2</v>
      </c>
      <c r="H16" s="20">
        <f t="shared" si="1"/>
        <v>6.0999999999999999E-2</v>
      </c>
      <c r="J16" s="175"/>
    </row>
    <row r="17" spans="1:10" x14ac:dyDescent="0.2">
      <c r="A17" t="str">
        <f t="shared" si="2"/>
        <v>1986</v>
      </c>
      <c r="C17" s="42">
        <f>'6.4'!G17</f>
        <v>1.2E-2</v>
      </c>
      <c r="D17" s="42">
        <f>'6.5'!G17</f>
        <v>2.8000000000000001E-2</v>
      </c>
      <c r="E17" s="42">
        <f>'6.6'!G17</f>
        <v>0.21199999999999999</v>
      </c>
      <c r="F17" s="42">
        <f>'6.7'!G17</f>
        <v>0.14099999999999999</v>
      </c>
      <c r="G17" s="22">
        <f t="shared" si="0"/>
        <v>0.114</v>
      </c>
      <c r="H17" s="20">
        <f t="shared" si="1"/>
        <v>0.114</v>
      </c>
      <c r="J17" s="175"/>
    </row>
    <row r="18" spans="1:10" x14ac:dyDescent="0.2">
      <c r="A18" t="str">
        <f t="shared" si="2"/>
        <v>1987</v>
      </c>
      <c r="C18" s="42">
        <f>'6.4'!G18</f>
        <v>6.0000000000000001E-3</v>
      </c>
      <c r="D18" s="42">
        <f>'6.5'!G18</f>
        <v>4.1000000000000002E-2</v>
      </c>
      <c r="E18" s="42">
        <f>'6.6'!G18</f>
        <v>3.6999999999999998E-2</v>
      </c>
      <c r="F18" s="42">
        <f>'6.7'!G18</f>
        <v>7.3999999999999996E-2</v>
      </c>
      <c r="G18" s="22">
        <f t="shared" si="0"/>
        <v>2.8000000000000001E-2</v>
      </c>
      <c r="H18" s="20">
        <f t="shared" si="1"/>
        <v>2.8000000000000001E-2</v>
      </c>
      <c r="J18" s="175"/>
    </row>
    <row r="19" spans="1:10" x14ac:dyDescent="0.2">
      <c r="A19" t="str">
        <f t="shared" si="2"/>
        <v>1988</v>
      </c>
      <c r="C19" s="42">
        <f>'6.4'!G19</f>
        <v>5.5E-2</v>
      </c>
      <c r="D19" s="42">
        <f>'6.5'!G19</f>
        <v>6.8000000000000005E-2</v>
      </c>
      <c r="E19" s="42">
        <f>'6.6'!G19</f>
        <v>0.17899999999999999</v>
      </c>
      <c r="F19" s="42">
        <f>'6.7'!G19</f>
        <v>7.1999999999999995E-2</v>
      </c>
      <c r="G19" s="22">
        <f t="shared" si="0"/>
        <v>0.11799999999999999</v>
      </c>
      <c r="H19" s="20">
        <f t="shared" si="1"/>
        <v>0.11799999999999999</v>
      </c>
      <c r="J19" s="175"/>
    </row>
    <row r="20" spans="1:10" x14ac:dyDescent="0.2">
      <c r="A20" t="str">
        <f t="shared" si="2"/>
        <v>1989</v>
      </c>
      <c r="C20" s="42">
        <f>'6.4'!G20</f>
        <v>0.06</v>
      </c>
      <c r="D20" s="42">
        <f>'6.5'!G20</f>
        <v>6.2E-2</v>
      </c>
      <c r="E20" s="42">
        <f>'6.6'!G20</f>
        <v>9.0999999999999998E-2</v>
      </c>
      <c r="F20" s="42">
        <f>'6.7'!G20</f>
        <v>0.16800000000000001</v>
      </c>
      <c r="G20" s="22">
        <f t="shared" si="0"/>
        <v>7.6999999999999999E-2</v>
      </c>
      <c r="H20" s="20">
        <f t="shared" si="1"/>
        <v>7.6999999999999999E-2</v>
      </c>
      <c r="J20" s="175"/>
    </row>
    <row r="21" spans="1:10" x14ac:dyDescent="0.2">
      <c r="A21" t="str">
        <f t="shared" si="2"/>
        <v>1990</v>
      </c>
      <c r="C21" s="42">
        <f>'6.4'!G21</f>
        <v>0.32200000000000001</v>
      </c>
      <c r="D21" s="42">
        <f>'6.5'!G21</f>
        <v>0.11600000000000001</v>
      </c>
      <c r="E21" s="42">
        <f>'6.6'!G21</f>
        <v>0.11799999999999999</v>
      </c>
      <c r="F21" s="42">
        <f>'6.7'!G21</f>
        <v>0.23799999999999999</v>
      </c>
      <c r="G21" s="22">
        <f t="shared" si="0"/>
        <v>0.188</v>
      </c>
      <c r="H21" s="20">
        <f t="shared" si="1"/>
        <v>0.188</v>
      </c>
      <c r="J21" s="175"/>
    </row>
    <row r="22" spans="1:10" x14ac:dyDescent="0.2">
      <c r="A22" t="str">
        <f t="shared" si="2"/>
        <v>1991</v>
      </c>
      <c r="C22" s="42">
        <f>'6.4'!G22</f>
        <v>0.745</v>
      </c>
      <c r="D22" s="42">
        <f>'6.5'!G22</f>
        <v>0.16400000000000001</v>
      </c>
      <c r="E22" s="42">
        <f>'6.6'!G22</f>
        <v>1.319</v>
      </c>
      <c r="F22" s="42">
        <f>'6.7'!G22</f>
        <v>0.19600000000000001</v>
      </c>
      <c r="G22" s="22">
        <f t="shared" si="0"/>
        <v>0.92400000000000004</v>
      </c>
      <c r="H22" s="20">
        <f t="shared" si="1"/>
        <v>0.92400000000000004</v>
      </c>
      <c r="J22" s="175"/>
    </row>
    <row r="23" spans="1:10" x14ac:dyDescent="0.2">
      <c r="A23" t="str">
        <f t="shared" si="2"/>
        <v>1992</v>
      </c>
      <c r="B23" s="12"/>
      <c r="C23" s="42">
        <f>'6.4'!G23</f>
        <v>1.2E-2</v>
      </c>
      <c r="D23" s="42">
        <f>'6.5'!G23</f>
        <v>0.11799999999999999</v>
      </c>
      <c r="E23" s="42">
        <f>'6.6'!G23</f>
        <v>0.08</v>
      </c>
      <c r="F23" s="42">
        <f>'6.7'!G23</f>
        <v>0.18099999999999999</v>
      </c>
      <c r="G23" s="22">
        <f t="shared" si="0"/>
        <v>6.5000000000000002E-2</v>
      </c>
      <c r="H23" s="20">
        <f t="shared" si="1"/>
        <v>6.5000000000000002E-2</v>
      </c>
      <c r="J23" s="175"/>
    </row>
    <row r="24" spans="1:10" x14ac:dyDescent="0.2">
      <c r="A24" t="str">
        <f t="shared" si="2"/>
        <v>1993</v>
      </c>
      <c r="B24" s="12"/>
      <c r="C24" s="42">
        <f>'6.4'!G24</f>
        <v>9.2999999999999999E-2</v>
      </c>
      <c r="D24" s="42">
        <f>'6.5'!G24</f>
        <v>8.3000000000000004E-2</v>
      </c>
      <c r="E24" s="42">
        <f>'6.6'!G24</f>
        <v>0.06</v>
      </c>
      <c r="F24" s="42">
        <f>'6.7'!G24</f>
        <v>0.161</v>
      </c>
      <c r="G24" s="22">
        <f t="shared" si="0"/>
        <v>7.5999999999999998E-2</v>
      </c>
      <c r="H24" s="20">
        <f t="shared" si="1"/>
        <v>7.5999999999999998E-2</v>
      </c>
      <c r="J24" s="175"/>
    </row>
    <row r="25" spans="1:10" x14ac:dyDescent="0.2">
      <c r="A25" t="str">
        <f t="shared" si="2"/>
        <v>1994</v>
      </c>
      <c r="B25" s="12"/>
      <c r="C25" s="42">
        <f>'6.4'!G25</f>
        <v>1.9E-2</v>
      </c>
      <c r="D25" s="42">
        <f>'6.5'!G25</f>
        <v>4.9000000000000002E-2</v>
      </c>
      <c r="E25" s="42">
        <f>'6.6'!G25</f>
        <v>5.3999999999999999E-2</v>
      </c>
      <c r="F25" s="42">
        <f>'6.7'!G25</f>
        <v>6.4000000000000001E-2</v>
      </c>
      <c r="G25" s="22">
        <f t="shared" si="0"/>
        <v>4.2000000000000003E-2</v>
      </c>
      <c r="H25" s="20">
        <f t="shared" si="1"/>
        <v>4.2000000000000003E-2</v>
      </c>
      <c r="J25" s="175"/>
    </row>
    <row r="26" spans="1:10" x14ac:dyDescent="0.2">
      <c r="A26" t="str">
        <f t="shared" si="2"/>
        <v>1995</v>
      </c>
      <c r="C26" s="42">
        <f>'6.4'!G26</f>
        <v>2.7E-2</v>
      </c>
      <c r="D26" s="42">
        <f>'6.5'!G26</f>
        <v>8.2000000000000003E-2</v>
      </c>
      <c r="E26" s="42">
        <f>'6.6'!G26</f>
        <v>8.2000000000000003E-2</v>
      </c>
      <c r="F26" s="42">
        <f>'6.7'!G26</f>
        <v>0.215</v>
      </c>
      <c r="G26" s="22">
        <f t="shared" si="0"/>
        <v>6.5000000000000002E-2</v>
      </c>
      <c r="H26" s="20">
        <f t="shared" si="1"/>
        <v>6.5000000000000002E-2</v>
      </c>
      <c r="J26" s="175"/>
    </row>
    <row r="27" spans="1:10" x14ac:dyDescent="0.2">
      <c r="A27" t="str">
        <f t="shared" si="2"/>
        <v>1996</v>
      </c>
      <c r="C27" s="42">
        <f>'6.4'!G27</f>
        <v>1.4E-2</v>
      </c>
      <c r="D27" s="42">
        <f>'6.5'!G27</f>
        <v>0.05</v>
      </c>
      <c r="E27" s="42">
        <f>'6.6'!G27</f>
        <v>4.5999999999999999E-2</v>
      </c>
      <c r="F27" s="42">
        <f>'6.7'!G27</f>
        <v>9.5000000000000001E-2</v>
      </c>
      <c r="G27" s="22">
        <f t="shared" si="0"/>
        <v>3.5999999999999997E-2</v>
      </c>
      <c r="H27" s="20">
        <f t="shared" si="1"/>
        <v>3.5999999999999997E-2</v>
      </c>
      <c r="J27" s="175"/>
    </row>
    <row r="28" spans="1:10" x14ac:dyDescent="0.2">
      <c r="A28" t="str">
        <f t="shared" si="2"/>
        <v>1997</v>
      </c>
      <c r="C28" s="42">
        <f>'6.4'!G28</f>
        <v>1.7999999999999999E-2</v>
      </c>
      <c r="D28" s="42">
        <f>'6.5'!G28</f>
        <v>4.2000000000000003E-2</v>
      </c>
      <c r="E28" s="42">
        <f>'6.6'!G28</f>
        <v>6.6000000000000003E-2</v>
      </c>
      <c r="F28" s="42">
        <f>'6.7'!G28</f>
        <v>8.1000000000000003E-2</v>
      </c>
      <c r="G28" s="22">
        <f t="shared" si="0"/>
        <v>4.5999999999999999E-2</v>
      </c>
      <c r="H28" s="20">
        <f t="shared" si="1"/>
        <v>4.5999999999999999E-2</v>
      </c>
      <c r="J28" s="175"/>
    </row>
    <row r="29" spans="1:10" x14ac:dyDescent="0.2">
      <c r="A29" t="str">
        <f t="shared" si="2"/>
        <v>1998</v>
      </c>
      <c r="C29" s="42">
        <f>'6.4'!G29</f>
        <v>0.186</v>
      </c>
      <c r="D29" s="42">
        <f>'6.5'!G29</f>
        <v>0.105</v>
      </c>
      <c r="E29" s="42">
        <f>'6.6'!G29</f>
        <v>0.25800000000000001</v>
      </c>
      <c r="F29" s="42">
        <f>'6.7'!G29</f>
        <v>9.9000000000000005E-2</v>
      </c>
      <c r="G29" s="22">
        <f t="shared" si="0"/>
        <v>0.20699999999999999</v>
      </c>
      <c r="H29" s="20">
        <f t="shared" si="1"/>
        <v>0.20699999999999999</v>
      </c>
      <c r="J29" s="175"/>
    </row>
    <row r="30" spans="1:10" x14ac:dyDescent="0.2">
      <c r="A30" t="str">
        <f t="shared" si="2"/>
        <v>1999</v>
      </c>
      <c r="C30" s="42">
        <f>'6.4'!G30</f>
        <v>0.02</v>
      </c>
      <c r="D30" s="42">
        <f>'6.5'!G30</f>
        <v>0.17199999999999999</v>
      </c>
      <c r="E30" s="42">
        <f>'6.6'!G30</f>
        <v>9.8000000000000004E-2</v>
      </c>
      <c r="F30" s="42">
        <f>'6.7'!G30</f>
        <v>9.9000000000000005E-2</v>
      </c>
      <c r="G30" s="22">
        <f t="shared" si="0"/>
        <v>8.4000000000000005E-2</v>
      </c>
      <c r="H30" s="20">
        <f t="shared" si="1"/>
        <v>8.4000000000000005E-2</v>
      </c>
      <c r="J30" s="175"/>
    </row>
    <row r="31" spans="1:10" x14ac:dyDescent="0.2">
      <c r="A31" t="str">
        <f t="shared" si="2"/>
        <v>2000</v>
      </c>
      <c r="C31" s="42">
        <f>'6.4'!G31</f>
        <v>8.0000000000000002E-3</v>
      </c>
      <c r="D31" s="42">
        <f>'6.5'!G31</f>
        <v>2.1999999999999999E-2</v>
      </c>
      <c r="E31" s="42">
        <f>'6.6'!G31</f>
        <v>8.7999999999999995E-2</v>
      </c>
      <c r="F31" s="42">
        <f>'6.7'!G31</f>
        <v>0.1</v>
      </c>
      <c r="G31" s="22">
        <f t="shared" si="0"/>
        <v>0.05</v>
      </c>
      <c r="H31" s="20">
        <f t="shared" si="1"/>
        <v>0.05</v>
      </c>
      <c r="J31" s="175"/>
    </row>
    <row r="32" spans="1:10" x14ac:dyDescent="0.2">
      <c r="A32" t="str">
        <f t="shared" si="2"/>
        <v>2001</v>
      </c>
      <c r="C32" s="42">
        <f>'6.4'!G32</f>
        <v>4.8000000000000001E-2</v>
      </c>
      <c r="D32" s="42">
        <f>'6.5'!G32</f>
        <v>6.8000000000000005E-2</v>
      </c>
      <c r="E32" s="42">
        <f>'6.6'!G32</f>
        <v>7.0000000000000007E-2</v>
      </c>
      <c r="F32" s="42">
        <f>'6.7'!G32</f>
        <v>0.312</v>
      </c>
      <c r="G32" s="22">
        <f t="shared" si="0"/>
        <v>6.5000000000000002E-2</v>
      </c>
      <c r="H32" s="20">
        <f t="shared" si="1"/>
        <v>6.5000000000000002E-2</v>
      </c>
      <c r="J32" s="175"/>
    </row>
    <row r="33" spans="1:14" x14ac:dyDescent="0.2">
      <c r="A33" t="str">
        <f t="shared" si="2"/>
        <v>2002</v>
      </c>
      <c r="C33" s="42">
        <f>'6.4'!G33</f>
        <v>0.23200000000000001</v>
      </c>
      <c r="D33" s="42">
        <f>'6.5'!G33</f>
        <v>5.5E-2</v>
      </c>
      <c r="E33" s="42">
        <f>'6.6'!G33</f>
        <v>0.157</v>
      </c>
      <c r="F33" s="42">
        <f>'6.7'!G33</f>
        <v>0.10100000000000001</v>
      </c>
      <c r="G33" s="22">
        <f t="shared" si="0"/>
        <v>0.16500000000000001</v>
      </c>
      <c r="H33" s="20">
        <f t="shared" si="1"/>
        <v>0.16500000000000001</v>
      </c>
      <c r="J33" s="175"/>
    </row>
    <row r="34" spans="1:14" x14ac:dyDescent="0.2">
      <c r="A34" t="str">
        <f t="shared" si="2"/>
        <v>2003</v>
      </c>
      <c r="C34" s="42">
        <f>'6.4'!G34</f>
        <v>4.9000000000000002E-2</v>
      </c>
      <c r="D34" s="42">
        <f>'6.5'!G34</f>
        <v>7.8E-2</v>
      </c>
      <c r="E34" s="42">
        <f>'6.6'!G34</f>
        <v>0.34799999999999998</v>
      </c>
      <c r="F34" s="42">
        <f>'6.7'!G34</f>
        <v>9.8000000000000004E-2</v>
      </c>
      <c r="G34" s="22">
        <f t="shared" si="0"/>
        <v>0.2</v>
      </c>
      <c r="H34" s="20">
        <f t="shared" si="1"/>
        <v>0.2</v>
      </c>
      <c r="J34" s="175"/>
    </row>
    <row r="35" spans="1:14" x14ac:dyDescent="0.2">
      <c r="A35" t="str">
        <f t="shared" si="2"/>
        <v>2004</v>
      </c>
      <c r="B35" s="23"/>
      <c r="C35" s="42">
        <f>'6.4'!G35</f>
        <v>1.2E-2</v>
      </c>
      <c r="D35" s="42">
        <f>'6.5'!G35</f>
        <v>1.7999999999999999E-2</v>
      </c>
      <c r="E35" s="42">
        <f>'6.6'!G35</f>
        <v>1.7999999999999999E-2</v>
      </c>
      <c r="F35" s="42">
        <f>'6.7'!G35</f>
        <v>3.6999999999999998E-2</v>
      </c>
      <c r="G35" s="22">
        <f t="shared" si="0"/>
        <v>1.6E-2</v>
      </c>
      <c r="H35" s="20">
        <f t="shared" si="1"/>
        <v>1.6E-2</v>
      </c>
      <c r="J35" s="175"/>
    </row>
    <row r="36" spans="1:14" x14ac:dyDescent="0.2">
      <c r="A36" t="str">
        <f t="shared" si="2"/>
        <v>2005</v>
      </c>
      <c r="C36" s="42">
        <f>'6.4'!G36</f>
        <v>0.48699999999999999</v>
      </c>
      <c r="D36" s="42">
        <f>'6.5'!G36</f>
        <v>2.5999999999999999E-2</v>
      </c>
      <c r="E36" s="42">
        <f>'6.6'!G36</f>
        <v>1.9390000000000001</v>
      </c>
      <c r="F36" s="42">
        <f>'6.7'!G36</f>
        <v>0.35399999999999998</v>
      </c>
      <c r="G36" s="22">
        <f t="shared" si="0"/>
        <v>1.1180000000000001</v>
      </c>
      <c r="H36" s="20">
        <f t="shared" si="1"/>
        <v>1.1180000000000001</v>
      </c>
      <c r="J36" s="175"/>
    </row>
    <row r="37" spans="1:14" x14ac:dyDescent="0.2">
      <c r="A37" t="str">
        <f t="shared" si="2"/>
        <v>2006</v>
      </c>
      <c r="B37" s="23"/>
      <c r="C37" s="42">
        <f>'6.4'!G37</f>
        <v>0.01</v>
      </c>
      <c r="D37" s="42">
        <f>'6.5'!G37</f>
        <v>1.6E-2</v>
      </c>
      <c r="E37" s="42">
        <f>'6.6'!G37</f>
        <v>2.5999999999999999E-2</v>
      </c>
      <c r="F37" s="42">
        <f>'6.7'!G37</f>
        <v>4.7E-2</v>
      </c>
      <c r="G37" s="22">
        <f t="shared" si="0"/>
        <v>1.9E-2</v>
      </c>
      <c r="H37" s="20">
        <f t="shared" si="1"/>
        <v>1.9E-2</v>
      </c>
      <c r="J37" s="175"/>
    </row>
    <row r="38" spans="1:14" x14ac:dyDescent="0.2">
      <c r="A38" t="str">
        <f t="shared" si="2"/>
        <v>2007</v>
      </c>
      <c r="B38" s="23"/>
      <c r="C38" s="42">
        <f>'6.4'!G38</f>
        <v>2.5000000000000001E-2</v>
      </c>
      <c r="D38" s="42">
        <f>'6.5'!G38</f>
        <v>1.4999999999999999E-2</v>
      </c>
      <c r="E38" s="42">
        <f>'6.6'!G38</f>
        <v>7.9000000000000001E-2</v>
      </c>
      <c r="F38" s="42">
        <f>'6.7'!G38</f>
        <v>4.7E-2</v>
      </c>
      <c r="G38" s="38">
        <f t="shared" si="0"/>
        <v>0.05</v>
      </c>
      <c r="H38" s="20">
        <f t="shared" si="1"/>
        <v>0.05</v>
      </c>
      <c r="J38" s="175"/>
    </row>
    <row r="39" spans="1:14" x14ac:dyDescent="0.2">
      <c r="A39" t="str">
        <f t="shared" si="2"/>
        <v>2008</v>
      </c>
      <c r="B39" s="23"/>
      <c r="C39" s="42">
        <f>'6.4'!G39</f>
        <v>6.6150000000000002</v>
      </c>
      <c r="D39" s="42">
        <f>'6.5'!G39</f>
        <v>2.1000000000000001E-2</v>
      </c>
      <c r="E39" s="42">
        <f>'6.6'!G39</f>
        <v>3.64</v>
      </c>
      <c r="F39" s="42">
        <f>'6.7'!G39</f>
        <v>3.9849999999999999</v>
      </c>
      <c r="G39" s="38">
        <f t="shared" si="0"/>
        <v>4.0529999999999999</v>
      </c>
      <c r="H39" s="20">
        <f t="shared" si="1"/>
        <v>4.0529999999999999</v>
      </c>
      <c r="J39" s="175"/>
    </row>
    <row r="40" spans="1:14" x14ac:dyDescent="0.2">
      <c r="A40" t="str">
        <f t="shared" si="2"/>
        <v>2009</v>
      </c>
      <c r="B40" s="23"/>
      <c r="C40" s="42">
        <f>'6.4'!G40</f>
        <v>2.8000000000000001E-2</v>
      </c>
      <c r="D40" s="42">
        <f>'6.5'!G40</f>
        <v>8.0000000000000002E-3</v>
      </c>
      <c r="E40" s="42">
        <f>'6.6'!G40</f>
        <v>1.2E-2</v>
      </c>
      <c r="F40" s="42">
        <f>'6.7'!G40</f>
        <v>8.8999999999999996E-2</v>
      </c>
      <c r="G40" s="22">
        <f t="shared" si="0"/>
        <v>1.7999999999999999E-2</v>
      </c>
      <c r="H40" s="20">
        <f t="shared" si="1"/>
        <v>1.7999999999999999E-2</v>
      </c>
      <c r="J40" s="175"/>
    </row>
    <row r="41" spans="1:14" x14ac:dyDescent="0.2">
      <c r="A41" t="str">
        <f t="shared" si="2"/>
        <v>2010</v>
      </c>
      <c r="B41" s="23"/>
      <c r="C41" s="42">
        <f>'6.4'!G41</f>
        <v>1.0999999999999999E-2</v>
      </c>
      <c r="D41" s="42">
        <f>'6.5'!G41</f>
        <v>5.2999999999999999E-2</v>
      </c>
      <c r="E41" s="42">
        <f>'6.6'!G41</f>
        <v>4.5999999999999999E-2</v>
      </c>
      <c r="F41" s="42">
        <f>'6.7'!G41</f>
        <v>0.104</v>
      </c>
      <c r="G41" s="22">
        <f t="shared" si="0"/>
        <v>3.5999999999999997E-2</v>
      </c>
      <c r="H41" s="20">
        <f t="shared" si="1"/>
        <v>3.5999999999999997E-2</v>
      </c>
      <c r="J41" s="175"/>
    </row>
    <row r="42" spans="1:14" x14ac:dyDescent="0.2">
      <c r="A42" t="str">
        <f t="shared" si="2"/>
        <v>2011</v>
      </c>
      <c r="B42" s="23"/>
      <c r="C42" s="42">
        <f>'6.4'!G42</f>
        <v>0.01</v>
      </c>
      <c r="D42" s="42">
        <f>'6.5'!G42</f>
        <v>0.26</v>
      </c>
      <c r="E42" s="42">
        <f>'6.6'!G42</f>
        <v>0.27100000000000002</v>
      </c>
      <c r="F42" s="42">
        <f>'6.7'!G42</f>
        <v>5.7000000000000002E-2</v>
      </c>
      <c r="G42" s="38">
        <f t="shared" si="0"/>
        <v>0.17899999999999999</v>
      </c>
      <c r="H42" s="20">
        <f t="shared" si="1"/>
        <v>0.17899999999999999</v>
      </c>
      <c r="J42" s="175"/>
    </row>
    <row r="43" spans="1:14" x14ac:dyDescent="0.2">
      <c r="A43" t="str">
        <f t="shared" si="2"/>
        <v>2012</v>
      </c>
      <c r="B43" s="23"/>
      <c r="C43" s="42">
        <f>'6.4'!G43</f>
        <v>7.9000000000000001E-2</v>
      </c>
      <c r="D43" s="42">
        <f>'6.5'!G43</f>
        <v>0.27500000000000002</v>
      </c>
      <c r="E43" s="42">
        <f>'6.6'!G43</f>
        <v>9.0999999999999998E-2</v>
      </c>
      <c r="F43" s="42">
        <f>'6.7'!G43</f>
        <v>0.81</v>
      </c>
      <c r="G43" s="38">
        <f t="shared" si="0"/>
        <v>0.125</v>
      </c>
      <c r="H43" s="20">
        <f t="shared" si="1"/>
        <v>0.125</v>
      </c>
      <c r="J43" s="175"/>
    </row>
    <row r="44" spans="1:14" x14ac:dyDescent="0.2">
      <c r="A44" t="str">
        <f t="shared" si="2"/>
        <v>2013</v>
      </c>
      <c r="B44" s="23"/>
      <c r="C44" s="42">
        <f>'6.4'!G44</f>
        <v>0.38800000000000001</v>
      </c>
      <c r="D44" s="42">
        <f>'6.5'!G44</f>
        <v>8.6999999999999994E-2</v>
      </c>
      <c r="E44" s="42">
        <f>'6.6'!G44</f>
        <v>2.7E-2</v>
      </c>
      <c r="F44" s="42">
        <f>'6.7'!G44</f>
        <v>0.187</v>
      </c>
      <c r="G44" s="38">
        <f t="shared" si="0"/>
        <v>0.16</v>
      </c>
      <c r="H44" s="20">
        <f t="shared" si="1"/>
        <v>0.16</v>
      </c>
      <c r="J44" s="175"/>
    </row>
    <row r="45" spans="1:14" x14ac:dyDescent="0.2">
      <c r="A45" t="str">
        <f t="shared" si="2"/>
        <v>2014</v>
      </c>
      <c r="B45" s="23"/>
      <c r="C45" s="20">
        <f>'6.4'!G45</f>
        <v>5.0000000000000001E-3</v>
      </c>
      <c r="D45" s="20">
        <f>'6.5'!G45</f>
        <v>2.3E-2</v>
      </c>
      <c r="E45" s="20">
        <f>'6.6'!G45</f>
        <v>2.9000000000000001E-2</v>
      </c>
      <c r="F45" s="20">
        <f>'6.7'!G45</f>
        <v>0.16800000000000001</v>
      </c>
      <c r="G45" s="106">
        <f t="shared" si="0"/>
        <v>2.1999999999999999E-2</v>
      </c>
      <c r="H45" s="20">
        <f t="shared" si="1"/>
        <v>2.1999999999999999E-2</v>
      </c>
      <c r="J45" s="175"/>
    </row>
    <row r="46" spans="1:14" x14ac:dyDescent="0.2">
      <c r="A46" t="str">
        <f t="shared" si="2"/>
        <v>2015</v>
      </c>
      <c r="B46" s="23"/>
      <c r="C46" s="20">
        <f>'6.4'!G46</f>
        <v>0.121</v>
      </c>
      <c r="D46" s="20">
        <f>'6.5'!G46</f>
        <v>0.11600000000000001</v>
      </c>
      <c r="E46" s="20">
        <f>'6.6'!G46</f>
        <v>0.35699999999999998</v>
      </c>
      <c r="F46" s="20">
        <f>'6.7'!G46</f>
        <v>0.33400000000000002</v>
      </c>
      <c r="G46" s="106">
        <f t="shared" si="0"/>
        <v>0.23799999999999999</v>
      </c>
      <c r="H46" s="20">
        <f t="shared" si="1"/>
        <v>0.23799999999999999</v>
      </c>
      <c r="J46" s="175"/>
      <c r="N46" t="s">
        <v>440</v>
      </c>
    </row>
    <row r="47" spans="1:14" x14ac:dyDescent="0.2">
      <c r="A47" t="str">
        <f t="shared" si="2"/>
        <v>2016</v>
      </c>
      <c r="B47" s="23"/>
      <c r="C47" s="20">
        <f>'6.4'!G47</f>
        <v>7.9000000000000001E-2</v>
      </c>
      <c r="D47" s="20">
        <f>'6.5'!G47</f>
        <v>0.121</v>
      </c>
      <c r="E47" s="20">
        <f>'6.6'!G47</f>
        <v>6.0999999999999999E-2</v>
      </c>
      <c r="F47" s="20">
        <f>'6.7'!G47</f>
        <v>0.34399999999999997</v>
      </c>
      <c r="G47" s="106">
        <f t="shared" si="0"/>
        <v>0.08</v>
      </c>
      <c r="H47" s="20">
        <f>G47*N47</f>
        <v>0.08</v>
      </c>
      <c r="J47" s="175"/>
      <c r="M47" t="str">
        <f t="shared" ref="M47:M56" si="3">A47</f>
        <v>2016</v>
      </c>
      <c r="N47" s="96">
        <v>1</v>
      </c>
    </row>
    <row r="48" spans="1:14" x14ac:dyDescent="0.2">
      <c r="A48" t="str">
        <f t="shared" si="2"/>
        <v>2017</v>
      </c>
      <c r="B48" s="23"/>
      <c r="C48" s="20">
        <f>'6.4'!G48</f>
        <v>0.29499999999999998</v>
      </c>
      <c r="D48" s="20">
        <f>'6.5'!G48</f>
        <v>3.2669999999999999</v>
      </c>
      <c r="E48" s="20">
        <f>'6.6'!G48</f>
        <v>3.0259999999999998</v>
      </c>
      <c r="F48" s="20">
        <f>'6.7'!G48</f>
        <v>0.58099999999999996</v>
      </c>
      <c r="G48" s="106">
        <f t="shared" si="0"/>
        <v>2.117</v>
      </c>
      <c r="H48" s="20">
        <f t="shared" ref="H48:H56" ca="1" si="4">G48*N48</f>
        <v>2.117</v>
      </c>
      <c r="J48" s="175"/>
      <c r="M48" t="str">
        <f t="shared" si="3"/>
        <v>2017</v>
      </c>
      <c r="N48" s="96">
        <f ca="1">OFFSET('3.1'!$C$46,0,$M$56-M48)</f>
        <v>1</v>
      </c>
    </row>
    <row r="49" spans="1:14" x14ac:dyDescent="0.2">
      <c r="A49" t="str">
        <f t="shared" si="2"/>
        <v>2018</v>
      </c>
      <c r="C49" s="20">
        <f>'6.4'!G49</f>
        <v>2.4E-2</v>
      </c>
      <c r="D49" s="20">
        <f>'6.5'!G49</f>
        <v>0.02</v>
      </c>
      <c r="E49" s="20">
        <f>'6.6'!G49</f>
        <v>4.2999999999999997E-2</v>
      </c>
      <c r="F49" s="20">
        <f>'6.7'!G49</f>
        <v>9.9000000000000005E-2</v>
      </c>
      <c r="G49" s="106">
        <f t="shared" si="0"/>
        <v>3.3000000000000002E-2</v>
      </c>
      <c r="H49" s="20">
        <f t="shared" ca="1" si="4"/>
        <v>3.3000000000000002E-2</v>
      </c>
      <c r="J49" s="175"/>
      <c r="M49" t="str">
        <f t="shared" si="3"/>
        <v>2018</v>
      </c>
      <c r="N49" s="96">
        <f ca="1">OFFSET('3.1'!$C$46,0,$M$56-M49)</f>
        <v>1</v>
      </c>
    </row>
    <row r="50" spans="1:14" x14ac:dyDescent="0.2">
      <c r="A50" t="str">
        <f t="shared" si="2"/>
        <v>2019</v>
      </c>
      <c r="C50" s="20">
        <f>'6.4'!G50</f>
        <v>5.1999999999999998E-2</v>
      </c>
      <c r="D50" s="20">
        <f>'6.5'!G50</f>
        <v>1.7000000000000001E-2</v>
      </c>
      <c r="E50" s="20">
        <f>'6.6'!G50</f>
        <v>8.3000000000000004E-2</v>
      </c>
      <c r="F50" s="20">
        <f>'6.7'!G50</f>
        <v>0.309</v>
      </c>
      <c r="G50" s="106">
        <f t="shared" si="0"/>
        <v>6.4000000000000001E-2</v>
      </c>
      <c r="H50" s="20">
        <f t="shared" ca="1" si="4"/>
        <v>6.4000000000000001E-2</v>
      </c>
      <c r="J50" s="175"/>
      <c r="M50" t="str">
        <f t="shared" si="3"/>
        <v>2019</v>
      </c>
      <c r="N50" s="96">
        <f ca="1">OFFSET('3.1'!$C$46,0,$M$56-M50)</f>
        <v>1</v>
      </c>
    </row>
    <row r="51" spans="1:14" x14ac:dyDescent="0.2">
      <c r="A51" t="str">
        <f t="shared" si="2"/>
        <v>2020</v>
      </c>
      <c r="C51" s="20">
        <f>'6.4'!G51</f>
        <v>5.3999999999999999E-2</v>
      </c>
      <c r="D51" s="20">
        <f>'6.5'!G51</f>
        <v>0.04</v>
      </c>
      <c r="E51" s="20">
        <f>'6.6'!G51</f>
        <v>0.21099999999999999</v>
      </c>
      <c r="F51" s="20">
        <f>'6.7'!G51</f>
        <v>0.441</v>
      </c>
      <c r="G51" s="106">
        <f t="shared" si="0"/>
        <v>0.13300000000000001</v>
      </c>
      <c r="H51" s="20">
        <f t="shared" ca="1" si="4"/>
        <v>0.13300000000000001</v>
      </c>
      <c r="J51" s="175"/>
      <c r="K51" t="s">
        <v>193</v>
      </c>
      <c r="M51" t="str">
        <f t="shared" si="3"/>
        <v>2020</v>
      </c>
      <c r="N51" s="96">
        <f ca="1">OFFSET('3.1'!$C$46,0,$M$56-M51)</f>
        <v>1</v>
      </c>
    </row>
    <row r="52" spans="1:14" x14ac:dyDescent="0.2">
      <c r="A52" t="str">
        <f t="shared" si="2"/>
        <v>2021</v>
      </c>
      <c r="C52" s="20">
        <f>'6.4'!G52</f>
        <v>0.245</v>
      </c>
      <c r="D52" s="20">
        <f>'6.5'!G52</f>
        <v>2.3E-2</v>
      </c>
      <c r="E52" s="20">
        <f>'6.6'!G52</f>
        <v>0.31900000000000001</v>
      </c>
      <c r="F52" s="20">
        <f>'6.7'!G52</f>
        <v>0.433</v>
      </c>
      <c r="G52" s="106">
        <f t="shared" si="0"/>
        <v>0.247</v>
      </c>
      <c r="H52" s="20">
        <f t="shared" ca="1" si="4"/>
        <v>0.247</v>
      </c>
      <c r="J52" s="175"/>
      <c r="K52" s="37">
        <f>'6.4'!K$57</f>
        <v>45930</v>
      </c>
      <c r="M52" t="str">
        <f t="shared" si="3"/>
        <v>2021</v>
      </c>
      <c r="N52" s="96">
        <f ca="1">OFFSET('3.1'!$C$46,0,$M$56-M52)</f>
        <v>1</v>
      </c>
    </row>
    <row r="53" spans="1:14" x14ac:dyDescent="0.2">
      <c r="A53" t="str">
        <f t="shared" si="2"/>
        <v>2022</v>
      </c>
      <c r="C53" s="20">
        <f>'6.4'!G53</f>
        <v>8.7999999999999995E-2</v>
      </c>
      <c r="D53" s="20">
        <f>'6.5'!G53</f>
        <v>2.1999999999999999E-2</v>
      </c>
      <c r="E53" s="20">
        <f>'6.6'!G53</f>
        <v>9.7000000000000003E-2</v>
      </c>
      <c r="F53" s="20">
        <f>'6.7'!G53</f>
        <v>0.19500000000000001</v>
      </c>
      <c r="G53" s="106">
        <f t="shared" si="0"/>
        <v>8.3000000000000004E-2</v>
      </c>
      <c r="H53" s="20">
        <f t="shared" ca="1" si="4"/>
        <v>8.308299999999999E-2</v>
      </c>
      <c r="J53" s="175"/>
      <c r="M53" t="str">
        <f t="shared" si="3"/>
        <v>2022</v>
      </c>
      <c r="N53" s="96">
        <f ca="1">OFFSET('3.1'!$C$46,0,$M$56-M53)</f>
        <v>1.0009999999999999</v>
      </c>
    </row>
    <row r="54" spans="1:14" x14ac:dyDescent="0.2">
      <c r="A54" t="str">
        <f t="shared" si="2"/>
        <v>2023</v>
      </c>
      <c r="C54" s="20">
        <f>'6.4'!G54</f>
        <v>0.20399999999999999</v>
      </c>
      <c r="D54" s="20">
        <f>'6.5'!G54</f>
        <v>2.7E-2</v>
      </c>
      <c r="E54" s="20">
        <f>'6.6'!G54</f>
        <v>0.16500000000000001</v>
      </c>
      <c r="F54" s="20">
        <f>'6.7'!G54</f>
        <v>0.52</v>
      </c>
      <c r="G54" s="106">
        <f t="shared" si="0"/>
        <v>0.16</v>
      </c>
      <c r="H54" s="20">
        <f t="shared" ca="1" si="4"/>
        <v>0.1608</v>
      </c>
      <c r="J54" s="175"/>
      <c r="M54" t="str">
        <f t="shared" si="3"/>
        <v>2023</v>
      </c>
      <c r="N54" s="96">
        <f ca="1">OFFSET('3.1'!$C$46,0,$M$56-M54)</f>
        <v>1.0049999999999999</v>
      </c>
    </row>
    <row r="55" spans="1:14" x14ac:dyDescent="0.2">
      <c r="A55" t="str">
        <f t="shared" si="2"/>
        <v>2024</v>
      </c>
      <c r="C55" s="20">
        <f>'6.4'!G55</f>
        <v>0.871</v>
      </c>
      <c r="D55" s="20">
        <f>'6.5'!G55</f>
        <v>1.4E-2</v>
      </c>
      <c r="E55" s="20">
        <f>'6.6'!G55</f>
        <v>1.0189999999999999</v>
      </c>
      <c r="F55" s="20">
        <f>'6.7'!G55</f>
        <v>1.014</v>
      </c>
      <c r="G55" s="106">
        <f t="shared" si="0"/>
        <v>0.80500000000000005</v>
      </c>
      <c r="H55" s="20">
        <f t="shared" ca="1" si="4"/>
        <v>0.821905</v>
      </c>
      <c r="J55" s="175"/>
      <c r="M55" t="str">
        <f t="shared" si="3"/>
        <v>2024</v>
      </c>
      <c r="N55" s="96">
        <f ca="1">OFFSET('3.1'!$C$46,0,$M$56-M55)</f>
        <v>1.0209999999999999</v>
      </c>
    </row>
    <row r="56" spans="1:14" x14ac:dyDescent="0.2">
      <c r="A56" t="str">
        <f t="shared" si="2"/>
        <v>2025</v>
      </c>
      <c r="C56" s="20">
        <f>'6.4'!G56</f>
        <v>5.8000000000000003E-2</v>
      </c>
      <c r="D56" s="20">
        <f>'6.5'!G56</f>
        <v>1.2999999999999999E-2</v>
      </c>
      <c r="E56" s="20">
        <f>'6.6'!G56</f>
        <v>7.8E-2</v>
      </c>
      <c r="F56" s="20">
        <f>'6.7'!G56</f>
        <v>0.1</v>
      </c>
      <c r="G56" s="106">
        <f t="shared" si="0"/>
        <v>6.0999999999999999E-2</v>
      </c>
      <c r="H56" s="20">
        <f t="shared" ca="1" si="4"/>
        <v>7.1979999999999988E-2</v>
      </c>
      <c r="J56" s="175"/>
      <c r="M56" t="str">
        <f t="shared" si="3"/>
        <v>2025</v>
      </c>
      <c r="N56" s="96">
        <f ca="1">OFFSET('3.1'!$C$46,0,$M$56-M56)</f>
        <v>1.18</v>
      </c>
    </row>
    <row r="57" spans="1:14" x14ac:dyDescent="0.2">
      <c r="C57" s="20"/>
      <c r="D57" s="20"/>
      <c r="E57" s="20"/>
      <c r="F57" s="20"/>
      <c r="G57" s="106"/>
      <c r="H57" s="20"/>
      <c r="J57" s="175"/>
      <c r="N57" s="96"/>
    </row>
    <row r="58" spans="1:14" x14ac:dyDescent="0.2">
      <c r="A58" t="s">
        <v>64</v>
      </c>
      <c r="C58" s="38">
        <f t="shared" ref="C58:H58" si="5">ROUND(AVERAGE(C14:C57),3)</f>
        <v>0.55700000000000005</v>
      </c>
      <c r="D58" s="38">
        <f t="shared" si="5"/>
        <v>0.14199999999999999</v>
      </c>
      <c r="E58" s="38">
        <f t="shared" si="5"/>
        <v>0.39500000000000002</v>
      </c>
      <c r="F58" s="38">
        <f t="shared" si="5"/>
        <v>0.34799999999999998</v>
      </c>
      <c r="G58" s="38">
        <f t="shared" si="5"/>
        <v>0.40799999999999997</v>
      </c>
      <c r="H58" s="38">
        <f t="shared" ca="1" si="5"/>
        <v>0.40799999999999997</v>
      </c>
      <c r="J58" s="175"/>
    </row>
    <row r="59" spans="1:14" x14ac:dyDescent="0.2">
      <c r="J59" s="175"/>
    </row>
    <row r="60" spans="1:14" x14ac:dyDescent="0.2">
      <c r="C60" s="218" t="str">
        <f>"TWIA "&amp;YEAR('2.1'!$L$9)&amp;" Written Premium by Territory / Tier"</f>
        <v>TWIA 2025 Written Premium by Territory / Tier</v>
      </c>
      <c r="D60" s="218"/>
      <c r="E60" s="218"/>
      <c r="F60" s="218"/>
      <c r="J60" s="175"/>
    </row>
    <row r="61" spans="1:14" x14ac:dyDescent="0.2">
      <c r="J61" s="175"/>
    </row>
    <row r="62" spans="1:14" x14ac:dyDescent="0.2">
      <c r="A62" s="9"/>
      <c r="B62" s="9"/>
      <c r="C62" s="121" t="s">
        <v>112</v>
      </c>
      <c r="D62" s="121" t="s">
        <v>113</v>
      </c>
      <c r="E62" s="121" t="s">
        <v>114</v>
      </c>
      <c r="F62" s="121" t="s">
        <v>24</v>
      </c>
      <c r="G62" s="121" t="s">
        <v>9</v>
      </c>
      <c r="H62" s="9"/>
      <c r="I62" s="9"/>
      <c r="J62" s="175"/>
    </row>
    <row r="63" spans="1:14" x14ac:dyDescent="0.2">
      <c r="J63" s="175"/>
    </row>
    <row r="64" spans="1:14" x14ac:dyDescent="0.2">
      <c r="A64" s="41" t="s">
        <v>104</v>
      </c>
      <c r="B64" t="s">
        <v>27</v>
      </c>
      <c r="C64" s="26">
        <f>'2.1'!$C$14</f>
        <v>236842412</v>
      </c>
      <c r="D64" s="26">
        <f>'2.1'!$C$15</f>
        <v>115184618</v>
      </c>
      <c r="E64" s="26">
        <f>'2.1'!$C$16</f>
        <v>343183136</v>
      </c>
      <c r="F64" s="26">
        <f>'2.1'!$C$17</f>
        <v>8245745</v>
      </c>
      <c r="G64" s="19">
        <f>SUM(C64:F64)</f>
        <v>703455911</v>
      </c>
      <c r="J64" s="175"/>
    </row>
    <row r="65" spans="1:10" x14ac:dyDescent="0.2">
      <c r="A65" s="41" t="s">
        <v>103</v>
      </c>
      <c r="B65" t="s">
        <v>117</v>
      </c>
      <c r="C65" s="20">
        <f>ROUND(C64/$G64,4)</f>
        <v>0.3367</v>
      </c>
      <c r="D65" s="20">
        <f>ROUND(D64/$G64,4)</f>
        <v>0.16370000000000001</v>
      </c>
      <c r="E65" s="20">
        <f>ROUND(E64/$G64,4)</f>
        <v>0.4879</v>
      </c>
      <c r="F65" s="20">
        <f>ROUND(F64/$G64,4)</f>
        <v>1.17E-2</v>
      </c>
      <c r="G65" s="20">
        <f>SUM(C65:F65)</f>
        <v>1</v>
      </c>
      <c r="J65" s="175"/>
    </row>
    <row r="66" spans="1:10" ht="12" thickBot="1" x14ac:dyDescent="0.25">
      <c r="A66" s="6"/>
      <c r="B66" s="6"/>
      <c r="C66" s="6"/>
      <c r="D66" s="6"/>
      <c r="E66" s="6"/>
      <c r="F66" s="6"/>
      <c r="G66" s="6"/>
      <c r="H66" s="6"/>
      <c r="I66" s="6"/>
      <c r="J66" s="175"/>
    </row>
    <row r="67" spans="1:10" ht="12" thickTop="1" x14ac:dyDescent="0.2">
      <c r="J67" s="175"/>
    </row>
    <row r="68" spans="1:10" x14ac:dyDescent="0.2">
      <c r="A68" t="s">
        <v>17</v>
      </c>
      <c r="J68" s="175"/>
    </row>
    <row r="69" spans="1:10" x14ac:dyDescent="0.2">
      <c r="B69" s="12" t="str">
        <f>C12&amp;" "&amp;'6.4'!$I$1&amp;", "&amp;'6.4'!$I$2</f>
        <v>(2) Exhibit 6, Sheet 4</v>
      </c>
      <c r="J69" s="175"/>
    </row>
    <row r="70" spans="1:10" x14ac:dyDescent="0.2">
      <c r="B70" s="12" t="str">
        <f>D12&amp;" "&amp;'6.5'!$I$1&amp;", "&amp;'6.5'!$I$2</f>
        <v>(3) Exhibit 6, Sheet 5</v>
      </c>
      <c r="J70" s="175"/>
    </row>
    <row r="71" spans="1:10" x14ac:dyDescent="0.2">
      <c r="B71" s="12" t="str">
        <f>E12&amp;" "&amp;'6.6'!$I$1&amp;", "&amp;'6.6'!$I$2</f>
        <v>(4) Exhibit 6, Sheet 6</v>
      </c>
      <c r="J71" s="175"/>
    </row>
    <row r="72" spans="1:10" x14ac:dyDescent="0.2">
      <c r="B72" s="12" t="str">
        <f>F12&amp;" "&amp;'6.7'!$I$1&amp;", "&amp;'6.7'!$I$2</f>
        <v>(5) Exhibit 6, Sheet 7</v>
      </c>
      <c r="J72" s="175"/>
    </row>
    <row r="73" spans="1:10" x14ac:dyDescent="0.2">
      <c r="B73" s="12" t="str">
        <f>G12&amp;" = Weighted average of "&amp;C12&amp;" to "&amp;F12&amp;", using "&amp;A65</f>
        <v>(6) = Weighted average of (2) to (5), using (9)</v>
      </c>
      <c r="J73" s="175"/>
    </row>
    <row r="74" spans="1:10" x14ac:dyDescent="0.2">
      <c r="B74" t="str">
        <f>"(7) = (6) * loss development factors from "&amp;'3.1'!L1&amp;", "&amp;'3.1'!L2</f>
        <v>(7) = (6) * loss development factors from Exhibit 3, Sheet 1</v>
      </c>
      <c r="D74" s="42"/>
      <c r="E74" s="42"/>
      <c r="F74" s="42"/>
      <c r="G74" s="22"/>
      <c r="J74" s="175"/>
    </row>
    <row r="75" spans="1:10" x14ac:dyDescent="0.2">
      <c r="B75" s="23" t="str">
        <f>A64&amp;" Provided by TWIA"</f>
        <v>(8) Provided by TWIA</v>
      </c>
      <c r="J75" s="175"/>
    </row>
    <row r="76" spans="1:10" x14ac:dyDescent="0.2">
      <c r="B76" s="23" t="str">
        <f>A65&amp;" = "&amp;A64&amp;" / "&amp;A64&amp;" Total"</f>
        <v>(9) = (8) / (8) Total</v>
      </c>
      <c r="J76" s="175"/>
    </row>
    <row r="77" spans="1:10" ht="12" thickBot="1" x14ac:dyDescent="0.25">
      <c r="B77" s="23"/>
      <c r="J77" s="175"/>
    </row>
    <row r="78" spans="1:10" ht="12" thickBot="1" x14ac:dyDescent="0.25">
      <c r="A78" s="4"/>
      <c r="B78" s="5"/>
      <c r="C78" s="5"/>
      <c r="D78" s="5"/>
      <c r="E78" s="5"/>
      <c r="F78" s="5"/>
      <c r="G78" s="5"/>
      <c r="H78" s="5"/>
      <c r="I78" s="5"/>
      <c r="J78" s="176"/>
    </row>
  </sheetData>
  <phoneticPr fontId="0" type="noConversion"/>
  <pageMargins left="0.5" right="0.5" top="0.5" bottom="0.5" header="0.5" footer="0.5"/>
  <pageSetup scale="91" orientation="portrait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92D050"/>
  </sheetPr>
  <dimension ref="A1:P72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2.5" bestFit="1" customWidth="1"/>
    <col min="2" max="2" width="28.5" customWidth="1"/>
    <col min="3" max="3" width="9.6640625" customWidth="1"/>
    <col min="4" max="4" width="13.33203125" customWidth="1"/>
    <col min="5" max="6" width="9.6640625" customWidth="1"/>
    <col min="7" max="7" width="11.1640625" customWidth="1"/>
    <col min="8" max="8" width="9.6640625" customWidth="1"/>
    <col min="9" max="10" width="11.33203125" customWidth="1"/>
    <col min="11" max="11" width="3.6640625" customWidth="1"/>
    <col min="12" max="12" width="11.33203125" customWidth="1"/>
    <col min="13" max="13" width="2.33203125" customWidth="1"/>
    <col min="15" max="15" width="20.1640625" bestFit="1" customWidth="1"/>
  </cols>
  <sheetData>
    <row r="1" spans="1:16" x14ac:dyDescent="0.2">
      <c r="A1" s="8" t="s">
        <v>0</v>
      </c>
      <c r="K1" s="7" t="s">
        <v>5</v>
      </c>
      <c r="L1" s="1"/>
    </row>
    <row r="2" spans="1:16" x14ac:dyDescent="0.2">
      <c r="A2" s="8" t="s">
        <v>1</v>
      </c>
      <c r="H2" s="7"/>
      <c r="I2" s="7"/>
      <c r="J2" s="7"/>
      <c r="K2" s="7"/>
      <c r="L2" s="2"/>
      <c r="O2" s="20"/>
    </row>
    <row r="3" spans="1:16" x14ac:dyDescent="0.2">
      <c r="A3" s="8" t="s">
        <v>2</v>
      </c>
      <c r="L3" s="2"/>
    </row>
    <row r="4" spans="1:16" x14ac:dyDescent="0.2">
      <c r="A4" t="s">
        <v>3</v>
      </c>
      <c r="L4" s="2"/>
    </row>
    <row r="5" spans="1:16" x14ac:dyDescent="0.2">
      <c r="A5" t="s">
        <v>4</v>
      </c>
      <c r="L5" s="2"/>
    </row>
    <row r="6" spans="1:16" x14ac:dyDescent="0.2">
      <c r="L6" s="2"/>
    </row>
    <row r="7" spans="1:16" ht="12" thickBot="1" x14ac:dyDescent="0.25">
      <c r="A7" s="6"/>
      <c r="B7" s="6"/>
      <c r="C7" s="6"/>
      <c r="D7" s="6"/>
      <c r="E7" s="6"/>
      <c r="F7" s="6"/>
      <c r="G7" s="6"/>
      <c r="H7" s="6"/>
      <c r="L7" s="2"/>
      <c r="M7" s="165"/>
      <c r="N7" s="6"/>
    </row>
    <row r="8" spans="1:16" ht="12" thickTop="1" x14ac:dyDescent="0.2">
      <c r="H8" s="11">
        <v>2026</v>
      </c>
      <c r="L8" s="2"/>
      <c r="N8" s="11">
        <f>H8-1</f>
        <v>2025</v>
      </c>
    </row>
    <row r="9" spans="1:16" x14ac:dyDescent="0.2">
      <c r="C9" s="10" t="s">
        <v>7</v>
      </c>
      <c r="H9" s="11" t="s">
        <v>13</v>
      </c>
      <c r="L9" s="2"/>
      <c r="N9" s="11" t="str">
        <f>H9</f>
        <v>Indicated</v>
      </c>
    </row>
    <row r="10" spans="1:16" x14ac:dyDescent="0.2">
      <c r="C10" s="11"/>
      <c r="D10" s="11"/>
      <c r="E10" s="11" t="s">
        <v>199</v>
      </c>
      <c r="F10" s="11"/>
      <c r="G10" s="11" t="s">
        <v>10</v>
      </c>
      <c r="H10" s="11" t="s">
        <v>14</v>
      </c>
      <c r="L10" s="2"/>
      <c r="N10" s="11" t="str">
        <f t="shared" ref="N10:N11" si="0">H10</f>
        <v>Rate</v>
      </c>
    </row>
    <row r="11" spans="1:16" x14ac:dyDescent="0.2">
      <c r="A11" s="9" t="s">
        <v>16</v>
      </c>
      <c r="B11" s="9"/>
      <c r="C11" s="121" t="s">
        <v>6</v>
      </c>
      <c r="D11" s="121" t="s">
        <v>8</v>
      </c>
      <c r="E11" s="121" t="s">
        <v>200</v>
      </c>
      <c r="F11" s="121" t="s">
        <v>9</v>
      </c>
      <c r="G11" s="121" t="s">
        <v>201</v>
      </c>
      <c r="H11" s="121" t="s">
        <v>15</v>
      </c>
      <c r="L11" s="2"/>
      <c r="M11" s="164"/>
      <c r="N11" s="121" t="str">
        <f t="shared" si="0"/>
        <v>Change</v>
      </c>
    </row>
    <row r="12" spans="1:16" x14ac:dyDescent="0.2">
      <c r="A12" s="13" t="str">
        <f>TEXT(COLUMN(),"(#)")</f>
        <v>(1)</v>
      </c>
      <c r="B12" s="13"/>
      <c r="C12" s="11" t="str">
        <f t="shared" ref="C12:H12" si="1">TEXT(COLUMN()-1,"(#)")</f>
        <v>(2)</v>
      </c>
      <c r="D12" s="11" t="str">
        <f t="shared" si="1"/>
        <v>(3)</v>
      </c>
      <c r="E12" s="11" t="str">
        <f t="shared" si="1"/>
        <v>(4)</v>
      </c>
      <c r="F12" s="11" t="str">
        <f t="shared" si="1"/>
        <v>(5)</v>
      </c>
      <c r="G12" s="11" t="str">
        <f t="shared" si="1"/>
        <v>(6)</v>
      </c>
      <c r="H12" s="11" t="str">
        <f t="shared" si="1"/>
        <v>(7)</v>
      </c>
      <c r="I12" s="11"/>
      <c r="J12" s="11"/>
      <c r="K12" s="11"/>
      <c r="L12" s="2"/>
    </row>
    <row r="13" spans="1:16" x14ac:dyDescent="0.2">
      <c r="L13" s="2"/>
    </row>
    <row r="14" spans="1:16" x14ac:dyDescent="0.2">
      <c r="L14" s="2"/>
    </row>
    <row r="15" spans="1:16" x14ac:dyDescent="0.2">
      <c r="B15" t="s">
        <v>270</v>
      </c>
      <c r="C15" s="20">
        <f ca="1">AVERAGE(AVERAGE(C26),C19)</f>
        <v>0.41200000000000003</v>
      </c>
      <c r="D15" s="22">
        <f>D$19</f>
        <v>0.111</v>
      </c>
      <c r="E15" s="22">
        <f>E$19</f>
        <v>0.19324965479649539</v>
      </c>
      <c r="F15" s="18">
        <f ca="1">C15+D15+E15</f>
        <v>0.71624965479649538</v>
      </c>
      <c r="G15" s="22">
        <f>G$19</f>
        <v>0.78992573927828813</v>
      </c>
      <c r="H15" s="213">
        <f ca="1">ROUND(F15/G15-1,2)</f>
        <v>-0.09</v>
      </c>
      <c r="I15" s="168"/>
      <c r="L15" s="2"/>
      <c r="N15" s="237">
        <f>'[1]1'!H15</f>
        <v>0.03</v>
      </c>
      <c r="P15" s="234"/>
    </row>
    <row r="16" spans="1:16" x14ac:dyDescent="0.2">
      <c r="A16" s="9"/>
      <c r="B16" s="9"/>
      <c r="C16" s="56"/>
      <c r="D16" s="56"/>
      <c r="E16" s="56"/>
      <c r="F16" s="92"/>
      <c r="G16" s="56"/>
      <c r="H16" s="214"/>
      <c r="I16" s="39"/>
      <c r="J16" s="16"/>
      <c r="K16" s="16"/>
      <c r="L16" s="2"/>
      <c r="M16" s="164"/>
      <c r="N16" s="21"/>
      <c r="P16" s="234"/>
    </row>
    <row r="17" spans="1:16" x14ac:dyDescent="0.2">
      <c r="C17" s="12"/>
      <c r="D17" s="12"/>
      <c r="H17" s="215"/>
      <c r="L17" s="2"/>
      <c r="N17" s="20"/>
      <c r="P17" s="234"/>
    </row>
    <row r="18" spans="1:16" x14ac:dyDescent="0.2">
      <c r="C18" s="18"/>
      <c r="D18" s="22"/>
      <c r="E18" s="14"/>
      <c r="F18" s="14"/>
      <c r="G18" s="14"/>
      <c r="H18" s="216"/>
      <c r="I18" s="169"/>
      <c r="J18" s="15"/>
      <c r="K18" s="15"/>
      <c r="L18" s="2"/>
      <c r="N18" s="20"/>
      <c r="P18" s="234"/>
    </row>
    <row r="19" spans="1:16" x14ac:dyDescent="0.2">
      <c r="B19" t="s">
        <v>250</v>
      </c>
      <c r="C19" s="22">
        <f ca="1">'5'!$E$14</f>
        <v>0.38200000000000001</v>
      </c>
      <c r="D19" s="22">
        <f>'2.1'!$E$19</f>
        <v>0.111</v>
      </c>
      <c r="E19" s="22">
        <f>'10.1'!$H$42</f>
        <v>0.19324965479649539</v>
      </c>
      <c r="F19" s="18">
        <f ca="1">C19+D19+E19</f>
        <v>0.68624965479649536</v>
      </c>
      <c r="G19" s="22">
        <f>'10.1'!$H$48</f>
        <v>0.78992573927828813</v>
      </c>
      <c r="H19" s="213">
        <f ca="1">ROUND(F19/G19-1,2)</f>
        <v>-0.13</v>
      </c>
      <c r="I19" s="39"/>
      <c r="J19" s="16"/>
      <c r="K19" s="16"/>
      <c r="L19" s="2"/>
      <c r="N19" s="237">
        <f>'[1]1'!H19</f>
        <v>-0.01</v>
      </c>
      <c r="P19" s="234"/>
    </row>
    <row r="20" spans="1:16" x14ac:dyDescent="0.2">
      <c r="C20" s="22"/>
      <c r="D20" s="22"/>
      <c r="E20" s="22"/>
      <c r="F20" s="18"/>
      <c r="G20" s="22"/>
      <c r="H20" s="213"/>
      <c r="I20" s="39"/>
      <c r="J20" s="16"/>
      <c r="K20" s="16"/>
      <c r="L20" s="2"/>
      <c r="N20" s="237"/>
      <c r="P20" s="234"/>
    </row>
    <row r="21" spans="1:16" x14ac:dyDescent="0.2">
      <c r="B21" t="s">
        <v>357</v>
      </c>
      <c r="C21" s="22">
        <f>'5'!E17</f>
        <v>0.52100000000000002</v>
      </c>
      <c r="D21" s="22">
        <f>D$19</f>
        <v>0.111</v>
      </c>
      <c r="E21" s="22">
        <f t="shared" ref="E21:G24" si="2">E$19</f>
        <v>0.19324965479649539</v>
      </c>
      <c r="F21" s="18">
        <f t="shared" ref="F21:F24" si="3">C21+D21+E21</f>
        <v>0.82524965479649537</v>
      </c>
      <c r="G21" s="22">
        <f t="shared" si="2"/>
        <v>0.78992573927828813</v>
      </c>
      <c r="H21" s="213">
        <f>ROUND(F21/G21-1,2)</f>
        <v>0.04</v>
      </c>
      <c r="I21" s="39"/>
      <c r="J21" s="16"/>
      <c r="K21" s="16"/>
      <c r="L21" s="2"/>
      <c r="N21" s="237">
        <f>'[1]1'!H21</f>
        <v>0.16</v>
      </c>
      <c r="P21" s="234"/>
    </row>
    <row r="22" spans="1:16" x14ac:dyDescent="0.2">
      <c r="B22" t="s">
        <v>354</v>
      </c>
      <c r="C22" s="22">
        <f>'5'!E18</f>
        <v>0.47</v>
      </c>
      <c r="D22" s="22">
        <f t="shared" ref="D22:D24" si="4">D$19</f>
        <v>0.111</v>
      </c>
      <c r="E22" s="22">
        <f t="shared" si="2"/>
        <v>0.19324965479649539</v>
      </c>
      <c r="F22" s="18">
        <f t="shared" si="3"/>
        <v>0.77424965479649532</v>
      </c>
      <c r="G22" s="22">
        <f t="shared" si="2"/>
        <v>0.78992573927828813</v>
      </c>
      <c r="H22" s="213">
        <f>ROUND(F22/G22-1,2)</f>
        <v>-0.02</v>
      </c>
      <c r="I22" s="39"/>
      <c r="J22" s="16"/>
      <c r="K22" s="16"/>
      <c r="L22" s="2"/>
      <c r="N22" s="237">
        <f>'[1]1'!H22</f>
        <v>0.13</v>
      </c>
      <c r="P22" s="234"/>
    </row>
    <row r="23" spans="1:16" x14ac:dyDescent="0.2">
      <c r="B23" t="s">
        <v>355</v>
      </c>
      <c r="C23" s="22">
        <f>'5'!E19</f>
        <v>0.40300000000000002</v>
      </c>
      <c r="D23" s="22">
        <f t="shared" si="4"/>
        <v>0.111</v>
      </c>
      <c r="E23" s="22">
        <f t="shared" si="2"/>
        <v>0.19324965479649539</v>
      </c>
      <c r="F23" s="18">
        <f t="shared" si="3"/>
        <v>0.70724965479649538</v>
      </c>
      <c r="G23" s="22">
        <f t="shared" si="2"/>
        <v>0.78992573927828813</v>
      </c>
      <c r="H23" s="213">
        <f>ROUND(F23/G23-1,2)</f>
        <v>-0.1</v>
      </c>
      <c r="I23" s="39"/>
      <c r="J23" s="16"/>
      <c r="K23" s="16"/>
      <c r="L23" s="2"/>
      <c r="N23" s="237">
        <f>'[1]1'!H23</f>
        <v>0.01</v>
      </c>
      <c r="P23" s="234"/>
    </row>
    <row r="24" spans="1:16" x14ac:dyDescent="0.2">
      <c r="B24" t="s">
        <v>447</v>
      </c>
      <c r="C24" s="22">
        <f>'5'!E20</f>
        <v>0.373</v>
      </c>
      <c r="D24" s="22">
        <f t="shared" si="4"/>
        <v>0.111</v>
      </c>
      <c r="E24" s="22">
        <f t="shared" si="2"/>
        <v>0.19324965479649539</v>
      </c>
      <c r="F24" s="18">
        <f t="shared" si="3"/>
        <v>0.67724965479649535</v>
      </c>
      <c r="G24" s="22">
        <f t="shared" si="2"/>
        <v>0.78992573927828813</v>
      </c>
      <c r="H24" s="213">
        <f>ROUND(F24/G24-1,2)</f>
        <v>-0.14000000000000001</v>
      </c>
      <c r="I24" s="39"/>
      <c r="J24" s="16"/>
      <c r="K24" s="16"/>
      <c r="L24" s="2"/>
      <c r="N24" s="237">
        <f>'[1]1'!H24</f>
        <v>0.02</v>
      </c>
      <c r="P24" s="234"/>
    </row>
    <row r="25" spans="1:16" x14ac:dyDescent="0.2">
      <c r="C25" s="20"/>
      <c r="D25" s="20"/>
      <c r="E25" s="20"/>
      <c r="F25" s="18"/>
      <c r="G25" s="20"/>
      <c r="H25" s="213"/>
      <c r="L25" s="2"/>
      <c r="N25" s="237"/>
      <c r="P25" s="181"/>
    </row>
    <row r="26" spans="1:16" ht="12" thickBot="1" x14ac:dyDescent="0.25">
      <c r="A26" s="6"/>
      <c r="B26" s="6" t="s">
        <v>348</v>
      </c>
      <c r="C26" s="141">
        <f>'5'!E22</f>
        <v>0.442</v>
      </c>
      <c r="D26" s="141">
        <f>D19</f>
        <v>0.111</v>
      </c>
      <c r="E26" s="141">
        <f>E19</f>
        <v>0.19324965479649539</v>
      </c>
      <c r="F26" s="141">
        <f>SUM(C26+D26+E26)</f>
        <v>0.74624965479649541</v>
      </c>
      <c r="G26" s="141">
        <f>G15</f>
        <v>0.78992573927828813</v>
      </c>
      <c r="H26" s="217">
        <f>ROUND(F26/G26-1,2)</f>
        <v>-0.06</v>
      </c>
      <c r="L26" s="2"/>
      <c r="M26" s="165"/>
      <c r="N26" s="238">
        <f>'[1]1'!H26</f>
        <v>8.069443864088921E-2</v>
      </c>
      <c r="P26" s="234"/>
    </row>
    <row r="27" spans="1:16" ht="12" thickTop="1" x14ac:dyDescent="0.2">
      <c r="C27" s="20"/>
      <c r="E27" s="20"/>
      <c r="L27" s="2"/>
    </row>
    <row r="28" spans="1:16" x14ac:dyDescent="0.2">
      <c r="A28" t="s">
        <v>17</v>
      </c>
      <c r="L28" s="2"/>
      <c r="M28" s="22"/>
    </row>
    <row r="29" spans="1:16" x14ac:dyDescent="0.2">
      <c r="B29" s="12" t="str">
        <f>C12&amp;" "&amp;'5'!$H$1</f>
        <v>(2) Exhibit 5</v>
      </c>
      <c r="L29" s="2"/>
      <c r="M29" s="12"/>
    </row>
    <row r="30" spans="1:16" x14ac:dyDescent="0.2">
      <c r="B30" s="12" t="str">
        <f>D12&amp;" "&amp;'2.1'!$J$1&amp;", "&amp;'2.1'!$J$2</f>
        <v>(3) Exhibit 2, Sheet 1</v>
      </c>
      <c r="L30" s="2"/>
    </row>
    <row r="31" spans="1:16" x14ac:dyDescent="0.2">
      <c r="B31" s="12" t="str">
        <f>E12&amp;" "&amp;'10.1'!K1&amp; ", "&amp; '10.1'!K2</f>
        <v>(4) Exhibit 10, Sheet 1</v>
      </c>
      <c r="L31" s="2"/>
      <c r="M31" s="12"/>
    </row>
    <row r="32" spans="1:16" x14ac:dyDescent="0.2">
      <c r="B32" t="str">
        <f>F12&amp;" = "&amp;C12&amp;" + "&amp;D12&amp;" + "&amp;E12</f>
        <v>(5) = (2) + (3) + (4)</v>
      </c>
      <c r="L32" s="2"/>
    </row>
    <row r="33" spans="2:13" x14ac:dyDescent="0.2">
      <c r="B33" s="12" t="str">
        <f>G12&amp;" "&amp;'10.1'!$K$1 &amp; ", "&amp; '10.1'!$K$2</f>
        <v>(6) Exhibit 10, Sheet 1</v>
      </c>
      <c r="L33" s="2"/>
    </row>
    <row r="34" spans="2:13" x14ac:dyDescent="0.2">
      <c r="B34" t="str">
        <f>H12&amp;" = "&amp;F12&amp;" / "&amp;G12&amp;" - 1"</f>
        <v>(7) = (5) / (6) - 1</v>
      </c>
      <c r="L34" s="2"/>
    </row>
    <row r="35" spans="2:13" x14ac:dyDescent="0.2">
      <c r="B35" s="12"/>
      <c r="L35" s="2"/>
    </row>
    <row r="36" spans="2:13" x14ac:dyDescent="0.2">
      <c r="L36" s="2"/>
    </row>
    <row r="37" spans="2:13" x14ac:dyDescent="0.2">
      <c r="L37" s="2"/>
    </row>
    <row r="38" spans="2:13" x14ac:dyDescent="0.2">
      <c r="B38" s="22"/>
      <c r="C38" s="22"/>
      <c r="D38" s="22"/>
      <c r="E38" s="18"/>
      <c r="F38" s="22"/>
      <c r="G38" s="16"/>
      <c r="H38" s="16"/>
      <c r="I38" s="16"/>
      <c r="K38" s="16"/>
      <c r="L38" s="2"/>
      <c r="M38" s="81"/>
    </row>
    <row r="39" spans="2:13" x14ac:dyDescent="0.2">
      <c r="B39" s="12"/>
      <c r="C39" s="12"/>
      <c r="L39" s="2"/>
      <c r="M39" s="17"/>
    </row>
    <row r="40" spans="2:13" x14ac:dyDescent="0.2">
      <c r="L40" s="2"/>
    </row>
    <row r="41" spans="2:13" x14ac:dyDescent="0.2">
      <c r="L41" s="2"/>
    </row>
    <row r="42" spans="2:13" x14ac:dyDescent="0.2">
      <c r="L42" s="2"/>
    </row>
    <row r="43" spans="2:13" x14ac:dyDescent="0.2">
      <c r="L43" s="2"/>
    </row>
    <row r="44" spans="2:13" x14ac:dyDescent="0.2">
      <c r="L44" s="2"/>
    </row>
    <row r="45" spans="2:13" x14ac:dyDescent="0.2">
      <c r="L45" s="2"/>
    </row>
    <row r="46" spans="2:13" x14ac:dyDescent="0.2">
      <c r="L46" s="2"/>
    </row>
    <row r="47" spans="2:13" x14ac:dyDescent="0.2">
      <c r="L47" s="2"/>
    </row>
    <row r="48" spans="2:13" x14ac:dyDescent="0.2">
      <c r="L48" s="2"/>
    </row>
    <row r="49" spans="12:12" x14ac:dyDescent="0.2">
      <c r="L49" s="2"/>
    </row>
    <row r="50" spans="12:12" x14ac:dyDescent="0.2">
      <c r="L50" s="2"/>
    </row>
    <row r="51" spans="12:12" x14ac:dyDescent="0.2">
      <c r="L51" s="2"/>
    </row>
    <row r="52" spans="12:12" x14ac:dyDescent="0.2">
      <c r="L52" s="2"/>
    </row>
    <row r="53" spans="12:12" x14ac:dyDescent="0.2">
      <c r="L53" s="2"/>
    </row>
    <row r="54" spans="12:12" x14ac:dyDescent="0.2">
      <c r="L54" s="2"/>
    </row>
    <row r="55" spans="12:12" x14ac:dyDescent="0.2">
      <c r="L55" s="2"/>
    </row>
    <row r="56" spans="12:12" x14ac:dyDescent="0.2">
      <c r="L56" s="2"/>
    </row>
    <row r="57" spans="12:12" x14ac:dyDescent="0.2">
      <c r="L57" s="2"/>
    </row>
    <row r="58" spans="12:12" x14ac:dyDescent="0.2">
      <c r="L58" s="2"/>
    </row>
    <row r="59" spans="12:12" x14ac:dyDescent="0.2">
      <c r="L59" s="2"/>
    </row>
    <row r="60" spans="12:12" x14ac:dyDescent="0.2">
      <c r="L60" s="2"/>
    </row>
    <row r="61" spans="12:12" x14ac:dyDescent="0.2">
      <c r="L61" s="2"/>
    </row>
    <row r="62" spans="12:12" x14ac:dyDescent="0.2">
      <c r="L62" s="2"/>
    </row>
    <row r="63" spans="12:12" x14ac:dyDescent="0.2">
      <c r="L63" s="2"/>
    </row>
    <row r="64" spans="12:12" x14ac:dyDescent="0.2">
      <c r="L64" s="2"/>
    </row>
    <row r="65" spans="1:12" x14ac:dyDescent="0.2">
      <c r="L65" s="2"/>
    </row>
    <row r="66" spans="1:12" x14ac:dyDescent="0.2">
      <c r="L66" s="2"/>
    </row>
    <row r="67" spans="1:12" x14ac:dyDescent="0.2">
      <c r="L67" s="2"/>
    </row>
    <row r="68" spans="1:12" ht="12" thickBot="1" x14ac:dyDescent="0.25">
      <c r="L68" s="2"/>
    </row>
    <row r="69" spans="1:12" hidden="1" x14ac:dyDescent="0.2">
      <c r="L69" s="2"/>
    </row>
    <row r="70" spans="1:12" hidden="1" x14ac:dyDescent="0.2">
      <c r="L70" s="2"/>
    </row>
    <row r="71" spans="1:12" ht="12" hidden="1" thickBot="1" x14ac:dyDescent="0.25">
      <c r="L71" s="2"/>
    </row>
    <row r="72" spans="1:12" ht="12" thickBot="1" x14ac:dyDescent="0.25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3"/>
    </row>
  </sheetData>
  <phoneticPr fontId="0" type="noConversion"/>
  <pageMargins left="0.5" right="0.5" top="0.5" bottom="0.5" header="0.5" footer="0.5"/>
  <pageSetup orientation="portrait" blackAndWhite="1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0">
    <tabColor rgb="FF92D050"/>
  </sheetPr>
  <dimension ref="A1:BM68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8" width="14" customWidth="1"/>
    <col min="9" max="9" width="11.33203125" customWidth="1"/>
    <col min="11" max="11" width="12.6640625" bestFit="1" customWidth="1"/>
    <col min="13" max="13" width="0" hidden="1" customWidth="1"/>
    <col min="14" max="14" width="12.6640625" hidden="1" customWidth="1"/>
    <col min="15" max="16" width="0" hidden="1" customWidth="1"/>
    <col min="21" max="21" width="3.83203125" bestFit="1" customWidth="1"/>
    <col min="22" max="63" width="7" bestFit="1" customWidth="1"/>
    <col min="64" max="65" width="7" customWidth="1"/>
  </cols>
  <sheetData>
    <row r="1" spans="1:65" x14ac:dyDescent="0.2">
      <c r="A1" s="8" t="str">
        <f>'1'!$A$1</f>
        <v>Texas Windstorm Insurance Association</v>
      </c>
      <c r="B1" s="12"/>
      <c r="I1" s="7" t="s">
        <v>88</v>
      </c>
      <c r="J1" s="1"/>
    </row>
    <row r="2" spans="1:65" x14ac:dyDescent="0.2">
      <c r="A2" s="8" t="str">
        <f>'1'!$A$2</f>
        <v>Residential Property - Wind &amp; Hail</v>
      </c>
      <c r="B2" s="12"/>
      <c r="I2" s="7" t="s">
        <v>81</v>
      </c>
      <c r="J2" s="2"/>
    </row>
    <row r="3" spans="1:65" x14ac:dyDescent="0.2">
      <c r="A3" s="8" t="str">
        <f>'1'!$A$3</f>
        <v>Rate Level Review</v>
      </c>
      <c r="B3" s="12"/>
      <c r="J3" s="2"/>
    </row>
    <row r="4" spans="1:65" x14ac:dyDescent="0.2">
      <c r="A4" t="s">
        <v>432</v>
      </c>
      <c r="B4" s="12"/>
      <c r="J4" s="2"/>
    </row>
    <row r="5" spans="1:65" x14ac:dyDescent="0.2">
      <c r="A5" t="s">
        <v>436</v>
      </c>
      <c r="B5" s="12"/>
      <c r="J5" s="2"/>
    </row>
    <row r="6" spans="1:65" x14ac:dyDescent="0.2">
      <c r="J6" s="2"/>
    </row>
    <row r="7" spans="1:65" ht="12" thickBot="1" x14ac:dyDescent="0.25">
      <c r="A7" s="6"/>
      <c r="B7" s="6"/>
      <c r="C7" s="6"/>
      <c r="D7" s="6"/>
      <c r="E7" s="6"/>
      <c r="F7" s="6"/>
      <c r="G7" s="6"/>
      <c r="J7" s="2"/>
    </row>
    <row r="8" spans="1:65" ht="12" thickTop="1" x14ac:dyDescent="0.2">
      <c r="A8" t="s">
        <v>48</v>
      </c>
      <c r="J8" s="2"/>
    </row>
    <row r="9" spans="1:65" x14ac:dyDescent="0.2">
      <c r="A9" t="s">
        <v>49</v>
      </c>
      <c r="C9" s="180"/>
      <c r="D9" s="11" t="s">
        <v>35</v>
      </c>
      <c r="E9" s="11" t="s">
        <v>42</v>
      </c>
      <c r="F9" s="11"/>
      <c r="G9" s="11"/>
      <c r="J9" s="2"/>
      <c r="K9" s="17"/>
    </row>
    <row r="10" spans="1:65" x14ac:dyDescent="0.2">
      <c r="A10" t="s">
        <v>32</v>
      </c>
      <c r="C10" s="11" t="s">
        <v>108</v>
      </c>
      <c r="D10" s="11" t="s">
        <v>118</v>
      </c>
      <c r="E10" s="11" t="s">
        <v>40</v>
      </c>
      <c r="F10" s="11" t="s">
        <v>78</v>
      </c>
      <c r="G10" s="11" t="s">
        <v>78</v>
      </c>
      <c r="J10" s="2"/>
      <c r="K10" s="12"/>
      <c r="V10" s="192" t="s">
        <v>361</v>
      </c>
      <c r="W10" s="183"/>
      <c r="X10" s="183"/>
      <c r="Y10" s="183"/>
      <c r="Z10" s="183"/>
    </row>
    <row r="11" spans="1:65" x14ac:dyDescent="0.2">
      <c r="A11" s="9" t="str">
        <f>TEXT(K57,"m/d")</f>
        <v>9/30</v>
      </c>
      <c r="B11" s="9"/>
      <c r="C11" s="121" t="s">
        <v>109</v>
      </c>
      <c r="D11" s="121" t="s">
        <v>119</v>
      </c>
      <c r="E11" s="121" t="s">
        <v>41</v>
      </c>
      <c r="F11" s="121" t="s">
        <v>39</v>
      </c>
      <c r="G11" s="121" t="s">
        <v>70</v>
      </c>
      <c r="H11" s="23"/>
      <c r="J11" s="2"/>
      <c r="K11" s="37"/>
    </row>
    <row r="12" spans="1:65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 t="str">
        <f>TEXT(COLUMN()-1,"(#)")</f>
        <v>(5)</v>
      </c>
      <c r="G12" s="11" t="str">
        <f>TEXT(COLUMN()-1,"(#)")</f>
        <v>(6)</v>
      </c>
      <c r="J12" s="2"/>
    </row>
    <row r="13" spans="1:65" x14ac:dyDescent="0.2">
      <c r="J13" s="2"/>
      <c r="K13" t="s">
        <v>122</v>
      </c>
      <c r="N13" t="s">
        <v>14</v>
      </c>
      <c r="O13" t="s">
        <v>67</v>
      </c>
      <c r="P13" t="s">
        <v>239</v>
      </c>
      <c r="S13" t="s">
        <v>290</v>
      </c>
      <c r="T13" t="s">
        <v>67</v>
      </c>
      <c r="V13" t="s">
        <v>324</v>
      </c>
      <c r="W13">
        <v>1983</v>
      </c>
      <c r="X13">
        <f>W13+1</f>
        <v>1984</v>
      </c>
      <c r="Y13">
        <f t="shared" ref="Y13:BG13" si="0">X13+1</f>
        <v>1985</v>
      </c>
      <c r="Z13">
        <f t="shared" si="0"/>
        <v>1986</v>
      </c>
      <c r="AA13">
        <f t="shared" si="0"/>
        <v>1987</v>
      </c>
      <c r="AB13">
        <f t="shared" si="0"/>
        <v>1988</v>
      </c>
      <c r="AC13">
        <f t="shared" si="0"/>
        <v>1989</v>
      </c>
      <c r="AD13">
        <f t="shared" si="0"/>
        <v>1990</v>
      </c>
      <c r="AE13">
        <f t="shared" si="0"/>
        <v>1991</v>
      </c>
      <c r="AF13">
        <f t="shared" si="0"/>
        <v>1992</v>
      </c>
      <c r="AG13">
        <f t="shared" si="0"/>
        <v>1993</v>
      </c>
      <c r="AH13">
        <f t="shared" si="0"/>
        <v>1994</v>
      </c>
      <c r="AI13">
        <f t="shared" si="0"/>
        <v>1995</v>
      </c>
      <c r="AJ13">
        <f t="shared" si="0"/>
        <v>1996</v>
      </c>
      <c r="AK13">
        <f t="shared" si="0"/>
        <v>1997</v>
      </c>
      <c r="AL13">
        <f t="shared" si="0"/>
        <v>1998</v>
      </c>
      <c r="AM13">
        <f t="shared" si="0"/>
        <v>1999</v>
      </c>
      <c r="AN13">
        <f t="shared" si="0"/>
        <v>2000</v>
      </c>
      <c r="AO13">
        <f t="shared" si="0"/>
        <v>2001</v>
      </c>
      <c r="AP13">
        <f t="shared" si="0"/>
        <v>2002</v>
      </c>
      <c r="AQ13">
        <f t="shared" si="0"/>
        <v>2003</v>
      </c>
      <c r="AR13">
        <f t="shared" si="0"/>
        <v>2004</v>
      </c>
      <c r="AS13">
        <f t="shared" si="0"/>
        <v>2005</v>
      </c>
      <c r="AT13">
        <f t="shared" si="0"/>
        <v>2006</v>
      </c>
      <c r="AU13">
        <f t="shared" si="0"/>
        <v>2007</v>
      </c>
      <c r="AV13">
        <f t="shared" si="0"/>
        <v>2008</v>
      </c>
      <c r="AW13">
        <f t="shared" si="0"/>
        <v>2009</v>
      </c>
      <c r="AX13">
        <f t="shared" si="0"/>
        <v>2010</v>
      </c>
      <c r="AY13">
        <f t="shared" si="0"/>
        <v>2011</v>
      </c>
      <c r="AZ13">
        <f t="shared" si="0"/>
        <v>2012</v>
      </c>
      <c r="BA13">
        <f t="shared" si="0"/>
        <v>2013</v>
      </c>
      <c r="BB13">
        <f t="shared" si="0"/>
        <v>2014</v>
      </c>
      <c r="BC13">
        <f t="shared" si="0"/>
        <v>2015</v>
      </c>
      <c r="BD13">
        <f t="shared" si="0"/>
        <v>2016</v>
      </c>
      <c r="BE13">
        <f t="shared" si="0"/>
        <v>2017</v>
      </c>
      <c r="BF13">
        <f t="shared" si="0"/>
        <v>2018</v>
      </c>
      <c r="BG13">
        <f t="shared" si="0"/>
        <v>2019</v>
      </c>
      <c r="BH13">
        <v>2020</v>
      </c>
      <c r="BI13">
        <v>2021</v>
      </c>
      <c r="BJ13">
        <v>2022</v>
      </c>
      <c r="BK13">
        <v>2023</v>
      </c>
      <c r="BL13">
        <v>2024</v>
      </c>
      <c r="BM13">
        <v>2025</v>
      </c>
    </row>
    <row r="14" spans="1:65" x14ac:dyDescent="0.2">
      <c r="A14" s="93">
        <v>1983</v>
      </c>
      <c r="C14" s="31">
        <v>4317605</v>
      </c>
      <c r="D14" s="28">
        <f>'6.4'!$K$14</f>
        <v>2.252543431048422</v>
      </c>
      <c r="E14" s="26">
        <f>ROUND(C14*D14,0)</f>
        <v>9725593</v>
      </c>
      <c r="F14" s="31">
        <v>118889570</v>
      </c>
      <c r="G14" s="22">
        <f>ROUND(F14/E14,3)</f>
        <v>12.224</v>
      </c>
      <c r="J14" s="2"/>
      <c r="K14" s="29">
        <f>V14</f>
        <v>2.252543431048422</v>
      </c>
      <c r="L14" s="36"/>
      <c r="M14" t="s">
        <v>238</v>
      </c>
      <c r="N14" s="61">
        <f>1.3/PRODUCT(N15:N17)</f>
        <v>1.1139540074268341</v>
      </c>
      <c r="O14" s="29">
        <f>PRODUCT(N$14:N14)</f>
        <v>1.1139540074268341</v>
      </c>
      <c r="P14" s="29">
        <f>O$29/O14</f>
        <v>2.3493360399540935</v>
      </c>
      <c r="R14" t="s">
        <v>238</v>
      </c>
      <c r="S14" s="181">
        <v>1</v>
      </c>
      <c r="T14" s="29">
        <v>1</v>
      </c>
      <c r="U14" t="s">
        <v>291</v>
      </c>
      <c r="V14" s="76">
        <f>AA56</f>
        <v>2.252543431048422</v>
      </c>
      <c r="W14" s="182">
        <v>1</v>
      </c>
      <c r="X14" s="182">
        <v>1</v>
      </c>
      <c r="Y14" s="182">
        <v>1</v>
      </c>
      <c r="Z14" s="182">
        <v>1</v>
      </c>
      <c r="AA14" s="182">
        <v>1</v>
      </c>
      <c r="AB14" s="182">
        <v>0.5</v>
      </c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182"/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2"/>
    </row>
    <row r="15" spans="1:65" x14ac:dyDescent="0.2">
      <c r="A15" t="str">
        <f>TEXT(A14+1,"#")</f>
        <v>1984</v>
      </c>
      <c r="C15" s="31">
        <v>3512853</v>
      </c>
      <c r="D15" s="28">
        <f t="shared" ref="D15:D18" si="1">D$14</f>
        <v>2.252543431048422</v>
      </c>
      <c r="E15" s="26">
        <f t="shared" ref="E15:E32" si="2">ROUND(C15*D15,0)</f>
        <v>7912854</v>
      </c>
      <c r="F15" s="31">
        <v>292543</v>
      </c>
      <c r="G15" s="22">
        <f t="shared" ref="G15:G42" si="3">ROUND(F15/E15,3)</f>
        <v>3.6999999999999998E-2</v>
      </c>
      <c r="J15" s="2"/>
      <c r="M15" s="47">
        <v>36161</v>
      </c>
      <c r="N15" s="36">
        <v>0.90600000000000003</v>
      </c>
      <c r="O15" s="29">
        <f>PRODUCT(N$14:N15)</f>
        <v>1.0092423307287117</v>
      </c>
      <c r="P15" s="29">
        <f>O$29/O15</f>
        <v>2.5930861368146725</v>
      </c>
      <c r="R15">
        <v>1988</v>
      </c>
      <c r="S15" s="181">
        <v>0.94599999999999995</v>
      </c>
      <c r="T15" s="29">
        <f>PRODUCT($S$14:S15)</f>
        <v>0.94599999999999995</v>
      </c>
      <c r="U15" t="s">
        <v>292</v>
      </c>
      <c r="V15" s="76">
        <f>AB56</f>
        <v>2.3150497749726844</v>
      </c>
      <c r="W15" s="182"/>
      <c r="X15" s="182"/>
      <c r="Y15" s="182"/>
      <c r="Z15" s="182"/>
      <c r="AA15" s="182"/>
      <c r="AB15" s="182">
        <v>0.5</v>
      </c>
      <c r="AC15" s="182">
        <v>0.5</v>
      </c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182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182"/>
      <c r="BI15" s="182"/>
      <c r="BJ15" s="182"/>
      <c r="BK15" s="182"/>
      <c r="BL15" s="182"/>
      <c r="BM15" s="182"/>
    </row>
    <row r="16" spans="1:65" x14ac:dyDescent="0.2">
      <c r="A16" t="str">
        <f t="shared" ref="A16:A56" si="4">TEXT(A15+1,"#")</f>
        <v>1985</v>
      </c>
      <c r="C16" s="31">
        <v>6066870</v>
      </c>
      <c r="D16" s="28">
        <f t="shared" si="1"/>
        <v>2.252543431048422</v>
      </c>
      <c r="E16" s="26">
        <f t="shared" si="2"/>
        <v>13665888</v>
      </c>
      <c r="F16" s="31">
        <v>265705</v>
      </c>
      <c r="G16" s="22">
        <f t="shared" si="3"/>
        <v>1.9E-2</v>
      </c>
      <c r="J16" s="2"/>
      <c r="M16" s="47">
        <v>36526</v>
      </c>
      <c r="N16" s="36">
        <v>1.087</v>
      </c>
      <c r="O16" s="29">
        <f>PRODUCT(N$14:N16)</f>
        <v>1.0970464135021096</v>
      </c>
      <c r="P16" s="29">
        <f t="shared" ref="P16:P28" si="5">O$29/O16</f>
        <v>2.3855438241165343</v>
      </c>
      <c r="R16">
        <v>1989</v>
      </c>
      <c r="S16" s="181">
        <v>1</v>
      </c>
      <c r="T16" s="29">
        <f>PRODUCT($S$14:S16)</f>
        <v>0.94599999999999995</v>
      </c>
      <c r="U16" t="s">
        <v>293</v>
      </c>
      <c r="V16" s="76">
        <f>AC56</f>
        <v>2.3811241343006575</v>
      </c>
      <c r="W16" s="182"/>
      <c r="X16" s="182"/>
      <c r="Y16" s="182"/>
      <c r="Z16" s="182"/>
      <c r="AA16" s="182"/>
      <c r="AB16" s="182"/>
      <c r="AC16" s="182">
        <v>0.5</v>
      </c>
      <c r="AD16" s="182">
        <v>0.5</v>
      </c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</row>
    <row r="17" spans="1:65" x14ac:dyDescent="0.2">
      <c r="A17" t="str">
        <f t="shared" si="4"/>
        <v>1986</v>
      </c>
      <c r="C17" s="31">
        <v>6846710</v>
      </c>
      <c r="D17" s="28">
        <f t="shared" si="1"/>
        <v>2.252543431048422</v>
      </c>
      <c r="E17" s="26">
        <f t="shared" si="2"/>
        <v>15422512</v>
      </c>
      <c r="F17" s="31">
        <v>187218</v>
      </c>
      <c r="G17" s="22">
        <f t="shared" si="3"/>
        <v>1.2E-2</v>
      </c>
      <c r="J17" s="2"/>
      <c r="M17" s="47">
        <v>36892</v>
      </c>
      <c r="N17" s="36">
        <v>1.1850000000000001</v>
      </c>
      <c r="O17" s="29">
        <f>PRODUCT(N$14:N17)</f>
        <v>1.3</v>
      </c>
      <c r="P17" s="29">
        <f t="shared" si="5"/>
        <v>2.0131171511531933</v>
      </c>
      <c r="R17">
        <v>1990</v>
      </c>
      <c r="S17" s="181">
        <v>1.0309999999999999</v>
      </c>
      <c r="T17" s="29">
        <f>PRODUCT($S$14:S17)</f>
        <v>0.97532599999999992</v>
      </c>
      <c r="U17" t="s">
        <v>294</v>
      </c>
      <c r="V17" s="76">
        <f>AD56</f>
        <v>2.3447800436244783</v>
      </c>
      <c r="W17" s="182"/>
      <c r="X17" s="182"/>
      <c r="Y17" s="182"/>
      <c r="Z17" s="182"/>
      <c r="AA17" s="182"/>
      <c r="AB17" s="182"/>
      <c r="AC17" s="182"/>
      <c r="AD17" s="182">
        <v>0.5</v>
      </c>
      <c r="AE17" s="182">
        <v>0.5</v>
      </c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82"/>
      <c r="AY17" s="182"/>
      <c r="AZ17" s="182"/>
      <c r="BA17" s="182"/>
      <c r="BB17" s="182"/>
      <c r="BC17" s="182"/>
      <c r="BD17" s="182"/>
      <c r="BE17" s="182"/>
      <c r="BF17" s="182"/>
      <c r="BG17" s="182"/>
      <c r="BH17" s="182"/>
      <c r="BI17" s="182"/>
      <c r="BJ17" s="182"/>
      <c r="BK17" s="182"/>
      <c r="BL17" s="182"/>
      <c r="BM17" s="182"/>
    </row>
    <row r="18" spans="1:65" x14ac:dyDescent="0.2">
      <c r="A18" t="str">
        <f t="shared" si="4"/>
        <v>1987</v>
      </c>
      <c r="C18" s="31">
        <v>7738740</v>
      </c>
      <c r="D18" s="28">
        <f t="shared" si="1"/>
        <v>2.252543431048422</v>
      </c>
      <c r="E18" s="26">
        <f t="shared" si="2"/>
        <v>17431848</v>
      </c>
      <c r="F18" s="31">
        <v>111242</v>
      </c>
      <c r="G18" s="22">
        <f t="shared" si="3"/>
        <v>6.0000000000000001E-3</v>
      </c>
      <c r="J18" s="2"/>
      <c r="M18" s="47">
        <v>37987</v>
      </c>
      <c r="N18" s="36">
        <v>1.0960000000000001</v>
      </c>
      <c r="O18" s="29">
        <f>PRODUCT(N$14:N18)</f>
        <v>1.4248000000000001</v>
      </c>
      <c r="P18" s="29">
        <f t="shared" si="5"/>
        <v>1.8367857218551031</v>
      </c>
      <c r="R18">
        <v>1991</v>
      </c>
      <c r="S18" s="181">
        <v>1.25</v>
      </c>
      <c r="T18" s="29">
        <f>PRODUCT($S$14:S18)</f>
        <v>1.2191574999999999</v>
      </c>
      <c r="U18" t="s">
        <v>295</v>
      </c>
      <c r="V18" s="76">
        <f>AE56</f>
        <v>2.0529144384529867</v>
      </c>
      <c r="W18" s="182"/>
      <c r="X18" s="182"/>
      <c r="Y18" s="182"/>
      <c r="Z18" s="182"/>
      <c r="AA18" s="182"/>
      <c r="AB18" s="182"/>
      <c r="AC18" s="182"/>
      <c r="AD18" s="182"/>
      <c r="AE18" s="182">
        <v>0.5</v>
      </c>
      <c r="AF18" s="182">
        <v>0.5</v>
      </c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</row>
    <row r="19" spans="1:65" x14ac:dyDescent="0.2">
      <c r="A19" t="str">
        <f t="shared" si="4"/>
        <v>1988</v>
      </c>
      <c r="C19" s="105">
        <v>8043378</v>
      </c>
      <c r="D19" s="28">
        <f>V15</f>
        <v>2.3150497749726844</v>
      </c>
      <c r="E19" s="26">
        <f t="shared" si="2"/>
        <v>18620820</v>
      </c>
      <c r="F19" s="105">
        <v>1026666</v>
      </c>
      <c r="G19" s="22">
        <f t="shared" si="3"/>
        <v>5.5E-2</v>
      </c>
      <c r="J19" s="2"/>
      <c r="M19" s="47">
        <v>38961</v>
      </c>
      <c r="N19" s="36">
        <v>1.0309999999999999</v>
      </c>
      <c r="O19" s="29">
        <f>PRODUCT(N$14:N19)</f>
        <v>1.4689687999999999</v>
      </c>
      <c r="P19" s="29">
        <f t="shared" si="5"/>
        <v>1.781557441178568</v>
      </c>
      <c r="R19">
        <v>1992</v>
      </c>
      <c r="S19" s="181">
        <v>0.45999999999999996</v>
      </c>
      <c r="T19" s="29">
        <f>PRODUCT($S$14:S19)</f>
        <v>0.56081244999999991</v>
      </c>
      <c r="U19" t="s">
        <v>296</v>
      </c>
      <c r="V19" s="76">
        <f>AF56</f>
        <v>2.5309904035721749</v>
      </c>
      <c r="W19" s="182"/>
      <c r="X19" s="182"/>
      <c r="Y19" s="182"/>
      <c r="Z19" s="182"/>
      <c r="AA19" s="182"/>
      <c r="AB19" s="182"/>
      <c r="AC19" s="182"/>
      <c r="AD19" s="182"/>
      <c r="AE19" s="182"/>
      <c r="AF19" s="182">
        <v>0.5</v>
      </c>
      <c r="AG19" s="182">
        <v>0.5</v>
      </c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82"/>
    </row>
    <row r="20" spans="1:65" x14ac:dyDescent="0.2">
      <c r="A20" t="str">
        <f t="shared" si="4"/>
        <v>1989</v>
      </c>
      <c r="C20" s="105">
        <v>8149957</v>
      </c>
      <c r="D20" s="28">
        <f t="shared" ref="D20:D30" si="6">V16</f>
        <v>2.3811241343006575</v>
      </c>
      <c r="E20" s="26">
        <f t="shared" si="2"/>
        <v>19406059</v>
      </c>
      <c r="F20" s="105">
        <v>1163813</v>
      </c>
      <c r="G20" s="22">
        <f t="shared" si="3"/>
        <v>0.06</v>
      </c>
      <c r="J20" s="2"/>
      <c r="M20" s="47">
        <v>39083</v>
      </c>
      <c r="N20" s="36">
        <v>1.042</v>
      </c>
      <c r="O20" s="29">
        <f>PRODUCT(N$14:N20)</f>
        <v>1.5306654895999998</v>
      </c>
      <c r="P20" s="29">
        <f t="shared" si="5"/>
        <v>1.7097480241636929</v>
      </c>
      <c r="R20">
        <v>1993</v>
      </c>
      <c r="S20" s="181">
        <v>1.3</v>
      </c>
      <c r="T20" s="29">
        <f>PRODUCT($S$14:S20)</f>
        <v>0.72905618499999991</v>
      </c>
      <c r="U20" t="s">
        <v>297</v>
      </c>
      <c r="V20" s="76">
        <f>AG56</f>
        <v>3.4926710673113193</v>
      </c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>
        <v>0.5</v>
      </c>
      <c r="AH20" s="182">
        <v>0.5</v>
      </c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  <c r="BJ20" s="182"/>
      <c r="BK20" s="182"/>
      <c r="BL20" s="182"/>
      <c r="BM20" s="182"/>
    </row>
    <row r="21" spans="1:65" x14ac:dyDescent="0.2">
      <c r="A21" t="str">
        <f t="shared" si="4"/>
        <v>1990</v>
      </c>
      <c r="C21" s="105">
        <v>7816199</v>
      </c>
      <c r="D21" s="28">
        <f t="shared" si="6"/>
        <v>2.3447800436244783</v>
      </c>
      <c r="E21" s="26">
        <f t="shared" si="2"/>
        <v>18327267</v>
      </c>
      <c r="F21" s="105">
        <v>5908943</v>
      </c>
      <c r="G21" s="22">
        <f t="shared" si="3"/>
        <v>0.32200000000000001</v>
      </c>
      <c r="J21" s="2"/>
      <c r="M21" s="47">
        <v>39479</v>
      </c>
      <c r="N21" s="36">
        <v>1.0820000000000001</v>
      </c>
      <c r="O21" s="29">
        <f>PRODUCT(N$14:N21)</f>
        <v>1.6561800597471998</v>
      </c>
      <c r="P21" s="29">
        <f t="shared" si="5"/>
        <v>1.5801737746429694</v>
      </c>
      <c r="R21">
        <v>1994</v>
      </c>
      <c r="S21" s="181">
        <v>1</v>
      </c>
      <c r="T21" s="29">
        <f>PRODUCT($S$14:S21)</f>
        <v>0.72905618499999991</v>
      </c>
      <c r="U21" t="s">
        <v>72</v>
      </c>
      <c r="V21" s="76">
        <f>AH56</f>
        <v>3.0896705595446288</v>
      </c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>
        <v>0.5</v>
      </c>
      <c r="AI21" s="182">
        <v>0.5</v>
      </c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</row>
    <row r="22" spans="1:65" x14ac:dyDescent="0.2">
      <c r="A22" t="str">
        <f t="shared" si="4"/>
        <v>1991</v>
      </c>
      <c r="C22" s="53">
        <f>'[2]TICO 2'!O40</f>
        <v>8645207.9953246601</v>
      </c>
      <c r="D22" s="28">
        <f t="shared" si="6"/>
        <v>2.0529144384529867</v>
      </c>
      <c r="E22" s="26">
        <f>ROUND(C22*D22,0)</f>
        <v>17747872</v>
      </c>
      <c r="F22" s="53">
        <f>'[2]TICO 2'!U40</f>
        <v>13225286.939999999</v>
      </c>
      <c r="G22" s="22">
        <f t="shared" si="3"/>
        <v>0.745</v>
      </c>
      <c r="J22" s="2"/>
      <c r="M22" s="47">
        <v>39845</v>
      </c>
      <c r="N22" s="36">
        <v>1.123</v>
      </c>
      <c r="O22" s="29">
        <f>PRODUCT(N$14:N22)</f>
        <v>1.8598902070961054</v>
      </c>
      <c r="P22" s="29">
        <f t="shared" si="5"/>
        <v>1.4071004226562505</v>
      </c>
      <c r="R22">
        <v>1995</v>
      </c>
      <c r="S22" s="181">
        <v>1.25</v>
      </c>
      <c r="T22" s="29">
        <f>PRODUCT($S$14:S22)</f>
        <v>0.91132023124999995</v>
      </c>
      <c r="U22" t="s">
        <v>298</v>
      </c>
      <c r="V22" s="76">
        <f>AI56</f>
        <v>2.7463738307063363</v>
      </c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>
        <v>0.5</v>
      </c>
      <c r="AJ22" s="182">
        <v>0.5</v>
      </c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</row>
    <row r="23" spans="1:65" x14ac:dyDescent="0.2">
      <c r="A23" t="str">
        <f t="shared" si="4"/>
        <v>1992</v>
      </c>
      <c r="B23" s="12"/>
      <c r="C23" s="53">
        <f>'[2]TICO 2'!O41</f>
        <v>5826466.6888902895</v>
      </c>
      <c r="D23" s="28">
        <f t="shared" si="6"/>
        <v>2.5309904035721749</v>
      </c>
      <c r="E23" s="26">
        <f t="shared" si="2"/>
        <v>14746731</v>
      </c>
      <c r="F23" s="53">
        <f>'[2]TICO 2'!U41</f>
        <v>180484.07</v>
      </c>
      <c r="G23" s="22">
        <f t="shared" si="3"/>
        <v>1.2E-2</v>
      </c>
      <c r="J23" s="2"/>
      <c r="M23" s="47">
        <v>40544</v>
      </c>
      <c r="N23" s="36">
        <v>1.05</v>
      </c>
      <c r="O23" s="29">
        <f>PRODUCT(N$14:N23)</f>
        <v>1.9528847174509107</v>
      </c>
      <c r="P23" s="29">
        <f t="shared" si="5"/>
        <v>1.3400956406250004</v>
      </c>
      <c r="R23">
        <v>1996</v>
      </c>
      <c r="S23" s="181">
        <v>1</v>
      </c>
      <c r="T23" s="29">
        <f>PRODUCT($S$14:S23)</f>
        <v>0.91132023124999995</v>
      </c>
      <c r="U23" t="s">
        <v>299</v>
      </c>
      <c r="V23" s="76">
        <f>AJ56</f>
        <v>2.4717364476357027</v>
      </c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>
        <v>0.5</v>
      </c>
      <c r="AK23" s="182">
        <v>0.5</v>
      </c>
      <c r="AL23" s="182"/>
      <c r="AM23" s="182"/>
      <c r="AN23" s="182"/>
      <c r="AO23" s="182"/>
      <c r="AP23" s="182"/>
      <c r="AQ23" s="182"/>
      <c r="AR23" s="182"/>
      <c r="AS23" s="182"/>
      <c r="AT23" s="182"/>
      <c r="AU23" s="182"/>
      <c r="AV23" s="182"/>
      <c r="AW23" s="182"/>
      <c r="AX23" s="182"/>
      <c r="AY23" s="182"/>
      <c r="AZ23" s="182"/>
      <c r="BA23" s="182"/>
      <c r="BB23" s="182"/>
      <c r="BC23" s="182"/>
      <c r="BD23" s="182"/>
      <c r="BE23" s="182"/>
      <c r="BF23" s="182"/>
      <c r="BG23" s="182"/>
      <c r="BH23" s="182"/>
      <c r="BI23" s="182"/>
      <c r="BJ23" s="182"/>
      <c r="BK23" s="182"/>
      <c r="BL23" s="182"/>
      <c r="BM23" s="182"/>
    </row>
    <row r="24" spans="1:65" x14ac:dyDescent="0.2">
      <c r="A24" t="str">
        <f t="shared" si="4"/>
        <v>1993</v>
      </c>
      <c r="B24" s="12"/>
      <c r="C24" s="53">
        <f>'[2]TICO 2'!O42</f>
        <v>5825915.9799037296</v>
      </c>
      <c r="D24" s="28">
        <f t="shared" si="6"/>
        <v>3.4926710673113193</v>
      </c>
      <c r="E24" s="26">
        <f t="shared" si="2"/>
        <v>20348008</v>
      </c>
      <c r="F24" s="53">
        <f>'[2]TICO 2'!U42</f>
        <v>1900088.19</v>
      </c>
      <c r="G24" s="22">
        <f t="shared" si="3"/>
        <v>9.2999999999999999E-2</v>
      </c>
      <c r="J24" s="2"/>
      <c r="M24" s="47">
        <v>40909</v>
      </c>
      <c r="N24" s="36">
        <v>1.05</v>
      </c>
      <c r="O24" s="29">
        <f>PRODUCT(N$14:N24)</f>
        <v>2.0505289533234565</v>
      </c>
      <c r="P24" s="29">
        <f t="shared" si="5"/>
        <v>1.2762815625000004</v>
      </c>
      <c r="R24">
        <v>1997</v>
      </c>
      <c r="S24" s="181">
        <v>1</v>
      </c>
      <c r="T24" s="29">
        <f>PRODUCT($S$14:S24)</f>
        <v>0.91132023124999995</v>
      </c>
      <c r="U24" t="s">
        <v>300</v>
      </c>
      <c r="V24" s="76">
        <f>AK56</f>
        <v>2.4717364476357027</v>
      </c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>
        <v>0.5</v>
      </c>
      <c r="AL24" s="182">
        <v>0.5</v>
      </c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82"/>
    </row>
    <row r="25" spans="1:65" x14ac:dyDescent="0.2">
      <c r="A25" t="str">
        <f t="shared" si="4"/>
        <v>1994</v>
      </c>
      <c r="B25" s="12"/>
      <c r="C25" s="53">
        <f>'[2]TICO 2'!O43</f>
        <v>6996873.8393279798</v>
      </c>
      <c r="D25" s="28">
        <f t="shared" si="6"/>
        <v>3.0896705595446288</v>
      </c>
      <c r="E25" s="26">
        <f t="shared" si="2"/>
        <v>21618035</v>
      </c>
      <c r="F25" s="53">
        <f>'[2]TICO 2'!U43</f>
        <v>420037.68</v>
      </c>
      <c r="G25" s="22">
        <f t="shared" si="3"/>
        <v>1.9E-2</v>
      </c>
      <c r="J25" s="2"/>
      <c r="M25" s="47">
        <v>41275</v>
      </c>
      <c r="N25" s="36">
        <v>1.05</v>
      </c>
      <c r="O25" s="29">
        <f>PRODUCT(N$14:N25)</f>
        <v>2.1530554009896297</v>
      </c>
      <c r="P25" s="29">
        <f t="shared" si="5"/>
        <v>1.21550625</v>
      </c>
      <c r="R25">
        <v>1998</v>
      </c>
      <c r="S25" s="181">
        <v>1.002</v>
      </c>
      <c r="T25" s="29">
        <f>PRODUCT($S$14:S25)</f>
        <v>0.91314287171249997</v>
      </c>
      <c r="U25" t="s">
        <v>301</v>
      </c>
      <c r="V25" s="76">
        <f>AL56</f>
        <v>2.4692671804552475</v>
      </c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>
        <v>0.5</v>
      </c>
      <c r="AM25" s="182">
        <v>0.5</v>
      </c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</row>
    <row r="26" spans="1:65" x14ac:dyDescent="0.2">
      <c r="A26" t="str">
        <f t="shared" si="4"/>
        <v>1995</v>
      </c>
      <c r="C26" s="53">
        <f>'[2]TICO 2'!O44</f>
        <v>8737576.0959496386</v>
      </c>
      <c r="D26" s="28">
        <f t="shared" si="6"/>
        <v>2.7463738307063363</v>
      </c>
      <c r="E26" s="26">
        <f t="shared" si="2"/>
        <v>23996650</v>
      </c>
      <c r="F26" s="53">
        <f>'[2]TICO 2'!U44</f>
        <v>644169</v>
      </c>
      <c r="G26" s="22">
        <f t="shared" si="3"/>
        <v>2.7E-2</v>
      </c>
      <c r="J26" s="2"/>
      <c r="M26" s="47">
        <v>41640</v>
      </c>
      <c r="N26" s="36">
        <v>1.05</v>
      </c>
      <c r="O26" s="29">
        <f>PRODUCT(N$14:N26)</f>
        <v>2.260708171039111</v>
      </c>
      <c r="P26" s="29">
        <f t="shared" si="5"/>
        <v>1.1576250000000001</v>
      </c>
      <c r="R26">
        <v>1999</v>
      </c>
      <c r="S26" s="181">
        <v>0.90600000000000003</v>
      </c>
      <c r="T26" s="29">
        <f>PRODUCT($S$14:S26)</f>
        <v>0.82730744177152504</v>
      </c>
      <c r="U26" t="s">
        <v>302</v>
      </c>
      <c r="V26" s="76">
        <f>AM56</f>
        <v>2.5884604847343118</v>
      </c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>
        <v>0.5</v>
      </c>
      <c r="AN26" s="182">
        <v>0.5</v>
      </c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</row>
    <row r="27" spans="1:65" x14ac:dyDescent="0.2">
      <c r="A27" t="str">
        <f t="shared" si="4"/>
        <v>1996</v>
      </c>
      <c r="C27" s="53">
        <f>'[2]TICO 2'!O45</f>
        <v>11652672.33924751</v>
      </c>
      <c r="D27" s="28">
        <f t="shared" si="6"/>
        <v>2.4717364476357027</v>
      </c>
      <c r="E27" s="26">
        <f t="shared" si="2"/>
        <v>28802335</v>
      </c>
      <c r="F27" s="53">
        <f>'[2]TICO 2'!U45</f>
        <v>406004</v>
      </c>
      <c r="G27" s="22">
        <f t="shared" si="3"/>
        <v>1.4E-2</v>
      </c>
      <c r="J27" s="2"/>
      <c r="M27" s="47">
        <v>42005</v>
      </c>
      <c r="N27" s="36">
        <v>1.05</v>
      </c>
      <c r="O27" s="29">
        <f>PRODUCT(N$14:N27)</f>
        <v>2.3737435795910669</v>
      </c>
      <c r="P27" s="29">
        <f t="shared" si="5"/>
        <v>1.1025</v>
      </c>
      <c r="R27">
        <v>2000</v>
      </c>
      <c r="S27" s="181">
        <v>1.087</v>
      </c>
      <c r="T27" s="29">
        <f>PRODUCT($S$14:S27)</f>
        <v>0.89928318920564765</v>
      </c>
      <c r="U27" t="s">
        <v>303</v>
      </c>
      <c r="V27" s="76">
        <f>AN56</f>
        <v>2.6092385660329733</v>
      </c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>
        <v>0.5</v>
      </c>
      <c r="AO27" s="182">
        <v>0.5</v>
      </c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</row>
    <row r="28" spans="1:65" x14ac:dyDescent="0.2">
      <c r="A28" t="str">
        <f t="shared" si="4"/>
        <v>1997</v>
      </c>
      <c r="C28" s="53">
        <f>'[2]TICO 2'!O46</f>
        <v>12573252.045386501</v>
      </c>
      <c r="D28" s="28">
        <f t="shared" si="6"/>
        <v>2.4717364476357027</v>
      </c>
      <c r="E28" s="26">
        <f t="shared" si="2"/>
        <v>31077765</v>
      </c>
      <c r="F28" s="53">
        <f>'[2]TICO 2'!U46</f>
        <v>573343</v>
      </c>
      <c r="G28" s="22">
        <f t="shared" si="3"/>
        <v>1.7999999999999999E-2</v>
      </c>
      <c r="J28" s="2"/>
      <c r="M28" s="47">
        <v>42370</v>
      </c>
      <c r="N28" s="36">
        <v>1.05</v>
      </c>
      <c r="O28" s="29">
        <f>PRODUCT(N$14:N28)</f>
        <v>2.4924307585706202</v>
      </c>
      <c r="P28" s="29">
        <f t="shared" si="5"/>
        <v>1.05</v>
      </c>
      <c r="R28">
        <v>2001</v>
      </c>
      <c r="S28" s="181">
        <v>1.1850000000000001</v>
      </c>
      <c r="T28" s="29">
        <f>PRODUCT($S$14:S28)</f>
        <v>1.0656505792086925</v>
      </c>
      <c r="U28" t="s">
        <v>304</v>
      </c>
      <c r="V28" s="76">
        <f>AO56</f>
        <v>2.2927423481211551</v>
      </c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>
        <v>0.5</v>
      </c>
      <c r="AP28" s="182">
        <v>0.5</v>
      </c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</row>
    <row r="29" spans="1:65" x14ac:dyDescent="0.2">
      <c r="A29" t="str">
        <f t="shared" si="4"/>
        <v>1998</v>
      </c>
      <c r="C29" s="53">
        <f>'[2]TICO 2'!O47</f>
        <v>13838930.147333838</v>
      </c>
      <c r="D29" s="28">
        <f t="shared" si="6"/>
        <v>2.4692671804552475</v>
      </c>
      <c r="E29" s="26">
        <f t="shared" si="2"/>
        <v>34172016</v>
      </c>
      <c r="F29" s="53">
        <f>'[2]TICO 2'!U47</f>
        <v>6371206</v>
      </c>
      <c r="G29" s="22">
        <f t="shared" si="3"/>
        <v>0.186</v>
      </c>
      <c r="J29" s="2"/>
      <c r="M29" s="47">
        <v>43101</v>
      </c>
      <c r="N29" s="36">
        <v>1.05</v>
      </c>
      <c r="O29" s="29">
        <f>PRODUCT(N$14:N29)</f>
        <v>2.6170522964991512</v>
      </c>
      <c r="P29" s="29">
        <f>O$29/O29</f>
        <v>1</v>
      </c>
      <c r="R29">
        <v>2002</v>
      </c>
      <c r="S29" s="181">
        <v>1</v>
      </c>
      <c r="T29" s="29">
        <f>PRODUCT($S$14:S29)</f>
        <v>1.0656505792086925</v>
      </c>
      <c r="U29" t="s">
        <v>305</v>
      </c>
      <c r="V29" s="76">
        <f>AP56</f>
        <v>2.1137730087108539</v>
      </c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>
        <v>0.5</v>
      </c>
      <c r="AQ29" s="182">
        <v>0.5</v>
      </c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</row>
    <row r="30" spans="1:65" x14ac:dyDescent="0.2">
      <c r="A30" t="str">
        <f t="shared" si="4"/>
        <v>1999</v>
      </c>
      <c r="C30" s="53">
        <f>'[2]TICO 2'!O48</f>
        <v>14103814.475361705</v>
      </c>
      <c r="D30" s="28">
        <f t="shared" si="6"/>
        <v>2.5884604847343118</v>
      </c>
      <c r="E30" s="26">
        <f t="shared" si="2"/>
        <v>36507166</v>
      </c>
      <c r="F30" s="53">
        <f>'[2]TICO 2'!U48</f>
        <v>742130</v>
      </c>
      <c r="G30" s="22">
        <f t="shared" si="3"/>
        <v>0.02</v>
      </c>
      <c r="J30" s="2"/>
      <c r="R30">
        <v>2003</v>
      </c>
      <c r="S30" s="181">
        <v>1</v>
      </c>
      <c r="T30" s="29">
        <f>PRODUCT($S$14:S30)</f>
        <v>1.0656505792086925</v>
      </c>
      <c r="U30" t="s">
        <v>306</v>
      </c>
      <c r="V30" s="76">
        <f>AQ56</f>
        <v>2.1137730087108539</v>
      </c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>
        <v>0.5</v>
      </c>
      <c r="AR30" s="182">
        <v>0.5</v>
      </c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</row>
    <row r="31" spans="1:65" x14ac:dyDescent="0.2">
      <c r="A31" t="str">
        <f t="shared" si="4"/>
        <v>2000</v>
      </c>
      <c r="C31" s="53">
        <f>'[2]TICO 2'!O49</f>
        <v>15784217.733659891</v>
      </c>
      <c r="D31" s="28">
        <f t="shared" ref="D31:D33" si="7">V27</f>
        <v>2.6092385660329733</v>
      </c>
      <c r="E31" s="26">
        <f t="shared" si="2"/>
        <v>41184790</v>
      </c>
      <c r="F31" s="53">
        <f>'[2]TICO 2'!U49</f>
        <v>324948</v>
      </c>
      <c r="G31" s="22">
        <f t="shared" si="3"/>
        <v>8.0000000000000002E-3</v>
      </c>
      <c r="H31" s="116"/>
      <c r="J31" s="2"/>
      <c r="R31">
        <v>2004</v>
      </c>
      <c r="S31" s="181">
        <v>1.0960000000000001</v>
      </c>
      <c r="T31" s="29">
        <f>PRODUCT($S$14:S31)</f>
        <v>1.1679530348127272</v>
      </c>
      <c r="U31" t="s">
        <v>307</v>
      </c>
      <c r="V31" s="76">
        <f>AR56</f>
        <v>2.0169589777775321</v>
      </c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>
        <v>0.5</v>
      </c>
      <c r="AS31" s="182">
        <v>0.5</v>
      </c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</row>
    <row r="32" spans="1:65" x14ac:dyDescent="0.2">
      <c r="A32" t="str">
        <f t="shared" si="4"/>
        <v>2001</v>
      </c>
      <c r="C32" s="53">
        <f>'[2]TICO 2'!O50</f>
        <v>17776665.907286998</v>
      </c>
      <c r="D32" s="28">
        <f t="shared" si="7"/>
        <v>2.2927423481211551</v>
      </c>
      <c r="E32" s="26">
        <f t="shared" si="2"/>
        <v>40757315</v>
      </c>
      <c r="F32" s="53">
        <f>'[2]TICO 2'!U50</f>
        <v>1947817</v>
      </c>
      <c r="G32" s="22">
        <f t="shared" si="3"/>
        <v>4.8000000000000001E-2</v>
      </c>
      <c r="H32" s="116"/>
      <c r="J32" s="2"/>
      <c r="R32">
        <v>2005</v>
      </c>
      <c r="S32" s="181">
        <v>1</v>
      </c>
      <c r="T32" s="29">
        <f>PRODUCT($S$14:S32)</f>
        <v>1.1679530348127272</v>
      </c>
      <c r="U32" t="s">
        <v>308</v>
      </c>
      <c r="V32" s="76">
        <f>AS56</f>
        <v>1.9286250079478591</v>
      </c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>
        <v>0.5</v>
      </c>
      <c r="AT32" s="182">
        <v>0.5</v>
      </c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</row>
    <row r="33" spans="1:65" x14ac:dyDescent="0.2">
      <c r="A33" t="str">
        <f t="shared" si="4"/>
        <v>2002</v>
      </c>
      <c r="C33" s="53">
        <f>'[2]TICO 2'!O51</f>
        <v>20514469</v>
      </c>
      <c r="D33" s="28">
        <f t="shared" si="7"/>
        <v>2.1137730087108539</v>
      </c>
      <c r="E33" s="26">
        <f t="shared" ref="E33:E47" si="8">ROUND(C33*D33,0)</f>
        <v>43362931</v>
      </c>
      <c r="F33" s="53">
        <f>'[2]TICO 2'!U51</f>
        <v>10059284</v>
      </c>
      <c r="G33" s="22">
        <f t="shared" si="3"/>
        <v>0.23200000000000001</v>
      </c>
      <c r="H33" s="116"/>
      <c r="J33" s="2"/>
      <c r="R33">
        <v>2006</v>
      </c>
      <c r="S33" s="181">
        <v>1</v>
      </c>
      <c r="T33" s="29">
        <f>PRODUCT($S$14:S33)</f>
        <v>1.1679530348127272</v>
      </c>
      <c r="U33" t="s">
        <v>309</v>
      </c>
      <c r="V33" s="76">
        <f>AT56</f>
        <v>1.9253091976629948</v>
      </c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>
        <f>0.5-AT34</f>
        <v>0.44444444444444442</v>
      </c>
      <c r="AU33" s="182">
        <f>0.5*(8/12)^2</f>
        <v>0.22222222222222221</v>
      </c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</row>
    <row r="34" spans="1:65" x14ac:dyDescent="0.2">
      <c r="A34" t="str">
        <f t="shared" si="4"/>
        <v>2003</v>
      </c>
      <c r="C34" s="53">
        <f>'[2]TICO 2'!O52</f>
        <v>25868450</v>
      </c>
      <c r="D34" s="85">
        <f>'[2]TWIA Historical EPPR'!J320</f>
        <v>2.1137730087108539</v>
      </c>
      <c r="E34" s="26">
        <f t="shared" si="8"/>
        <v>54680031</v>
      </c>
      <c r="F34" s="53">
        <f>'[2]TICO 2'!U52</f>
        <v>2672918</v>
      </c>
      <c r="G34" s="22">
        <f t="shared" si="3"/>
        <v>4.9000000000000002E-2</v>
      </c>
      <c r="H34" s="116"/>
      <c r="J34" s="2"/>
      <c r="Q34" s="47">
        <v>42614</v>
      </c>
      <c r="R34">
        <v>2006.66666667</v>
      </c>
      <c r="S34" s="181">
        <v>1.0309999999999999</v>
      </c>
      <c r="T34" s="29">
        <f>PRODUCT($S$14:S34)</f>
        <v>1.2041595788919217</v>
      </c>
      <c r="U34" t="s">
        <v>310</v>
      </c>
      <c r="V34" s="76">
        <f>AT56</f>
        <v>1.9253091976629948</v>
      </c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>
        <f>0.5*(4/12)^2</f>
        <v>5.5555555555555552E-2</v>
      </c>
      <c r="AU34" s="182">
        <f>0.5-AU33</f>
        <v>0.27777777777777779</v>
      </c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</row>
    <row r="35" spans="1:65" x14ac:dyDescent="0.2">
      <c r="A35" t="str">
        <f t="shared" si="4"/>
        <v>2004</v>
      </c>
      <c r="C35" s="53">
        <f>'[2]TICO 2'!O53</f>
        <v>30357860</v>
      </c>
      <c r="D35" s="85">
        <f>'[2]TWIA Historical EPPR'!J321</f>
        <v>2.0155786842906265</v>
      </c>
      <c r="E35" s="26">
        <f t="shared" si="8"/>
        <v>61188656</v>
      </c>
      <c r="F35" s="53">
        <f>'[2]TICO 2'!U53</f>
        <v>731759</v>
      </c>
      <c r="G35" s="22">
        <f t="shared" si="3"/>
        <v>1.2E-2</v>
      </c>
      <c r="J35" s="2"/>
      <c r="R35">
        <v>2007</v>
      </c>
      <c r="S35" s="181">
        <v>1.042</v>
      </c>
      <c r="T35" s="29">
        <f>PRODUCT($S$14:S35)</f>
        <v>1.2547342812053826</v>
      </c>
      <c r="U35" t="s">
        <v>311</v>
      </c>
      <c r="V35" s="76">
        <f>AU56</f>
        <v>1.8442291869789729</v>
      </c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P35" s="182"/>
      <c r="AQ35" s="182"/>
      <c r="AR35" s="182"/>
      <c r="AS35" s="182"/>
      <c r="AT35" s="182"/>
      <c r="AU35" s="182">
        <v>0.5</v>
      </c>
      <c r="AV35" s="182">
        <f>1-AV36</f>
        <v>0.57986111111111116</v>
      </c>
      <c r="AW35" s="182">
        <f>0.5*(1/12)^2</f>
        <v>3.472222222222222E-3</v>
      </c>
      <c r="AX35" s="182"/>
      <c r="AY35" s="182"/>
      <c r="AZ35" s="182"/>
      <c r="BA35" s="182"/>
      <c r="BB35" s="182"/>
      <c r="BC35" s="182"/>
      <c r="BD35" s="182"/>
      <c r="BE35" s="182"/>
      <c r="BF35" s="182"/>
      <c r="BG35" s="182"/>
      <c r="BH35" s="182"/>
      <c r="BI35" s="182"/>
      <c r="BJ35" s="182"/>
      <c r="BK35" s="182"/>
      <c r="BL35" s="182"/>
      <c r="BM35" s="182"/>
    </row>
    <row r="36" spans="1:65" x14ac:dyDescent="0.2">
      <c r="A36" t="str">
        <f t="shared" si="4"/>
        <v>2005</v>
      </c>
      <c r="C36" s="53">
        <f>'[2]TICO 2'!O54</f>
        <v>36780457</v>
      </c>
      <c r="D36" s="85">
        <f>'[2]TWIA Historical EPPR'!J322</f>
        <v>1.9286250079478586</v>
      </c>
      <c r="E36" s="26">
        <f t="shared" si="8"/>
        <v>70935709</v>
      </c>
      <c r="F36" s="53">
        <f>'[2]TICO 2'!U54</f>
        <v>34527644</v>
      </c>
      <c r="G36" s="22">
        <f t="shared" si="3"/>
        <v>0.48699999999999999</v>
      </c>
      <c r="J36" s="2"/>
      <c r="Q36" s="47">
        <v>39479</v>
      </c>
      <c r="R36">
        <v>2008.0833333</v>
      </c>
      <c r="S36" s="181">
        <v>1.0820000000000001</v>
      </c>
      <c r="T36" s="29">
        <f>PRODUCT($S$14:S36)</f>
        <v>1.3576224922642239</v>
      </c>
      <c r="U36" t="s">
        <v>312</v>
      </c>
      <c r="V36" s="76">
        <f>AV56</f>
        <v>1.7354468703455963</v>
      </c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182"/>
      <c r="AT36" s="182"/>
      <c r="AU36" s="182"/>
      <c r="AV36" s="182">
        <f>0.5*(11/12)^2</f>
        <v>0.42013888888888884</v>
      </c>
      <c r="AW36" s="182">
        <f>1-AW35-AW37</f>
        <v>0.57638888888888895</v>
      </c>
      <c r="AX36" s="182">
        <f>0.5*(1/12)^2</f>
        <v>3.472222222222222E-3</v>
      </c>
      <c r="AY36" s="182"/>
      <c r="AZ36" s="182"/>
      <c r="BA36" s="182"/>
      <c r="BB36" s="182"/>
      <c r="BC36" s="182"/>
      <c r="BD36" s="182"/>
      <c r="BE36" s="182"/>
      <c r="BF36" s="182"/>
      <c r="BG36" s="182"/>
      <c r="BH36" s="182"/>
      <c r="BI36" s="182"/>
      <c r="BJ36" s="182"/>
      <c r="BK36" s="182"/>
      <c r="BL36" s="182"/>
      <c r="BM36" s="182"/>
    </row>
    <row r="37" spans="1:65" x14ac:dyDescent="0.2">
      <c r="A37" t="str">
        <f t="shared" si="4"/>
        <v>2006</v>
      </c>
      <c r="C37" s="53">
        <f>'[2]TICO 2'!O55</f>
        <v>43562211</v>
      </c>
      <c r="D37" s="85">
        <f>'[2]TWIA Historical EPPR'!J323</f>
        <v>1.9239964550740354</v>
      </c>
      <c r="E37" s="26">
        <f t="shared" si="8"/>
        <v>83813540</v>
      </c>
      <c r="F37" s="53">
        <f>'[2]TICO 2'!U55</f>
        <v>813430</v>
      </c>
      <c r="G37" s="22">
        <f t="shared" si="3"/>
        <v>0.01</v>
      </c>
      <c r="J37" s="2"/>
      <c r="Q37" s="47">
        <v>39845</v>
      </c>
      <c r="R37">
        <v>2009.08</v>
      </c>
      <c r="S37" s="181">
        <v>1.123</v>
      </c>
      <c r="T37" s="29">
        <f>PRODUCT($S$14:S37)</f>
        <v>1.5246100588127234</v>
      </c>
      <c r="U37" t="s">
        <v>313</v>
      </c>
      <c r="V37" s="76">
        <f>AW56</f>
        <v>1.5780487607300271</v>
      </c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82"/>
      <c r="AT37" s="182"/>
      <c r="AU37" s="182"/>
      <c r="AV37" s="182"/>
      <c r="AW37" s="182">
        <f>0.5*(11/12)^2</f>
        <v>0.42013888888888884</v>
      </c>
      <c r="AX37" s="182">
        <f>0.5-AX36</f>
        <v>0.49652777777777779</v>
      </c>
      <c r="AY37" s="182"/>
      <c r="AZ37" s="182"/>
      <c r="BA37" s="182"/>
      <c r="BB37" s="182"/>
      <c r="BC37" s="182"/>
      <c r="BD37" s="182"/>
      <c r="BE37" s="182"/>
      <c r="BF37" s="182"/>
      <c r="BG37" s="182"/>
      <c r="BH37" s="182"/>
      <c r="BI37" s="182"/>
      <c r="BJ37" s="182"/>
      <c r="BK37" s="182"/>
      <c r="BL37" s="182"/>
      <c r="BM37" s="182"/>
    </row>
    <row r="38" spans="1:65" x14ac:dyDescent="0.2">
      <c r="A38" t="str">
        <f t="shared" si="4"/>
        <v>2007</v>
      </c>
      <c r="B38" s="23"/>
      <c r="C38" s="53">
        <f>'[2]TICO 2'!O56</f>
        <v>59282257</v>
      </c>
      <c r="D38" s="85">
        <f>'[2]TWIA Historical EPPR'!J324</f>
        <v>1.8364634726042235</v>
      </c>
      <c r="E38" s="26">
        <f t="shared" si="8"/>
        <v>108869700</v>
      </c>
      <c r="F38" s="53">
        <f>'[2]TICO 2'!U56</f>
        <v>2757645</v>
      </c>
      <c r="G38" s="38">
        <f t="shared" si="3"/>
        <v>2.5000000000000001E-2</v>
      </c>
      <c r="J38" s="2"/>
      <c r="K38" t="s">
        <v>277</v>
      </c>
      <c r="R38">
        <v>2010</v>
      </c>
      <c r="S38" s="181">
        <v>1</v>
      </c>
      <c r="T38" s="29">
        <f>PRODUCT($S$14:S38)</f>
        <v>1.5246100588127234</v>
      </c>
      <c r="U38" t="s">
        <v>314</v>
      </c>
      <c r="V38" s="76">
        <f>AX56</f>
        <v>1.4780175423275337</v>
      </c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182"/>
      <c r="AT38" s="182"/>
      <c r="AU38" s="182"/>
      <c r="AV38" s="182"/>
      <c r="AW38" s="182"/>
      <c r="AX38" s="182">
        <v>0.5</v>
      </c>
      <c r="AY38" s="182">
        <v>0.5</v>
      </c>
      <c r="AZ38" s="182"/>
      <c r="BA38" s="182"/>
      <c r="BB38" s="182"/>
      <c r="BC38" s="182"/>
      <c r="BD38" s="182"/>
      <c r="BE38" s="182"/>
      <c r="BF38" s="182"/>
      <c r="BG38" s="182"/>
      <c r="BH38" s="182"/>
      <c r="BI38" s="182"/>
      <c r="BJ38" s="182"/>
      <c r="BK38" s="182"/>
      <c r="BL38" s="182"/>
      <c r="BM38" s="182"/>
    </row>
    <row r="39" spans="1:65" x14ac:dyDescent="0.2">
      <c r="A39" t="str">
        <f t="shared" si="4"/>
        <v>2008</v>
      </c>
      <c r="C39" s="53">
        <f>'[2]TICO 2'!O57</f>
        <v>73789694</v>
      </c>
      <c r="D39" s="85">
        <f>'[2]TWIA Historical EPPR'!J325</f>
        <v>1.7320113079002213</v>
      </c>
      <c r="E39" s="26">
        <f t="shared" si="8"/>
        <v>127804584</v>
      </c>
      <c r="F39" s="53">
        <f>'[2]TICO 2'!U57-K39</f>
        <v>845467368</v>
      </c>
      <c r="G39" s="38">
        <f>ROUND(F39/E39,3)</f>
        <v>6.6150000000000002</v>
      </c>
      <c r="H39" s="29"/>
      <c r="I39" s="29"/>
      <c r="J39" s="2"/>
      <c r="K39" s="171">
        <v>206858309</v>
      </c>
      <c r="R39">
        <v>2011</v>
      </c>
      <c r="S39" s="181">
        <v>1.05</v>
      </c>
      <c r="T39" s="29">
        <f>PRODUCT($S$14:S39)</f>
        <v>1.6008405617533596</v>
      </c>
      <c r="U39" t="s">
        <v>315</v>
      </c>
      <c r="V39" s="76">
        <f>AY56</f>
        <v>1.4414199451600618</v>
      </c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182"/>
      <c r="AT39" s="182"/>
      <c r="AU39" s="182"/>
      <c r="AV39" s="182"/>
      <c r="AW39" s="182"/>
      <c r="AX39" s="182"/>
      <c r="AY39" s="182">
        <v>0.5</v>
      </c>
      <c r="AZ39" s="182">
        <v>0.5</v>
      </c>
      <c r="BA39" s="182"/>
      <c r="BB39" s="182"/>
      <c r="BC39" s="182"/>
      <c r="BD39" s="182"/>
      <c r="BE39" s="182"/>
      <c r="BF39" s="182"/>
      <c r="BG39" s="182"/>
      <c r="BH39" s="182"/>
      <c r="BI39" s="182"/>
      <c r="BJ39" s="182"/>
      <c r="BK39" s="182"/>
      <c r="BL39" s="182"/>
      <c r="BM39" s="182"/>
    </row>
    <row r="40" spans="1:65" x14ac:dyDescent="0.2">
      <c r="A40" t="str">
        <f t="shared" si="4"/>
        <v>2009</v>
      </c>
      <c r="C40" s="53">
        <f>'[2]TICO 2'!O58</f>
        <v>81999709</v>
      </c>
      <c r="D40" s="85">
        <f>'[2]TWIA Historical EPPR'!J326</f>
        <v>1.5736409509560276</v>
      </c>
      <c r="E40" s="26">
        <f>ROUND(C40*D40,0)</f>
        <v>129038100</v>
      </c>
      <c r="F40" s="53">
        <f>'[2]TICO 2'!U58</f>
        <v>3581024</v>
      </c>
      <c r="G40" s="38">
        <f t="shared" si="3"/>
        <v>2.8000000000000001E-2</v>
      </c>
      <c r="J40" s="2"/>
      <c r="R40">
        <v>2012</v>
      </c>
      <c r="S40" s="181">
        <v>1.05</v>
      </c>
      <c r="T40" s="29">
        <f>PRODUCT($S$14:S40)</f>
        <v>1.6808825898410278</v>
      </c>
      <c r="U40" t="s">
        <v>316</v>
      </c>
      <c r="V40" s="76">
        <f>AZ56</f>
        <v>1.3727809001524396</v>
      </c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82"/>
      <c r="AT40" s="182"/>
      <c r="AU40" s="182"/>
      <c r="AV40" s="182"/>
      <c r="AW40" s="182"/>
      <c r="AX40" s="182"/>
      <c r="AY40" s="182"/>
      <c r="AZ40" s="182">
        <v>0.5</v>
      </c>
      <c r="BA40" s="182">
        <v>0.5</v>
      </c>
      <c r="BB40" s="182"/>
      <c r="BC40" s="182"/>
      <c r="BD40" s="182"/>
      <c r="BE40" s="182"/>
      <c r="BF40" s="182"/>
      <c r="BG40" s="182"/>
      <c r="BH40" s="182"/>
      <c r="BI40" s="182"/>
      <c r="BJ40" s="182"/>
      <c r="BK40" s="182"/>
      <c r="BL40" s="182"/>
      <c r="BM40" s="182"/>
    </row>
    <row r="41" spans="1:65" x14ac:dyDescent="0.2">
      <c r="A41" t="str">
        <f t="shared" si="4"/>
        <v>2010</v>
      </c>
      <c r="C41" s="53">
        <f>'[2]TICO 2'!O59</f>
        <v>89665314</v>
      </c>
      <c r="D41" s="85">
        <f>'[2]TWIA Historical EPPR'!J327</f>
        <v>1.4778548957967284</v>
      </c>
      <c r="E41" s="26">
        <f t="shared" si="8"/>
        <v>132512323</v>
      </c>
      <c r="F41" s="53">
        <f>'[2]TICO 2'!U59</f>
        <v>1451547</v>
      </c>
      <c r="G41" s="38">
        <f t="shared" si="3"/>
        <v>1.0999999999999999E-2</v>
      </c>
      <c r="H41" s="19"/>
      <c r="J41" s="2"/>
      <c r="L41" s="19"/>
      <c r="R41">
        <v>2013</v>
      </c>
      <c r="S41" s="181">
        <v>1.05</v>
      </c>
      <c r="T41" s="29">
        <f>PRODUCT($S$14:S41)</f>
        <v>1.7649267193330793</v>
      </c>
      <c r="U41" t="s">
        <v>317</v>
      </c>
      <c r="V41" s="76">
        <f>BA56</f>
        <v>1.3074103810975612</v>
      </c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182"/>
      <c r="AV41" s="182"/>
      <c r="AW41" s="182"/>
      <c r="AX41" s="182"/>
      <c r="AY41" s="182"/>
      <c r="AZ41" s="182"/>
      <c r="BA41" s="182">
        <v>0.5</v>
      </c>
      <c r="BB41" s="182">
        <v>0.5</v>
      </c>
      <c r="BC41" s="182"/>
      <c r="BD41" s="182"/>
      <c r="BE41" s="182"/>
      <c r="BF41" s="182"/>
      <c r="BG41" s="182"/>
      <c r="BH41" s="182"/>
      <c r="BI41" s="182"/>
      <c r="BJ41" s="182"/>
      <c r="BK41" s="182"/>
      <c r="BL41" s="182"/>
      <c r="BM41" s="182"/>
    </row>
    <row r="42" spans="1:65" x14ac:dyDescent="0.2">
      <c r="A42" t="str">
        <f t="shared" si="4"/>
        <v>2011</v>
      </c>
      <c r="C42" s="53">
        <f>'[2]TICO 2'!O60</f>
        <v>93230854</v>
      </c>
      <c r="D42" s="85">
        <f>'[2]TWIA Historical EPPR'!J328</f>
        <v>1.4413525093000297</v>
      </c>
      <c r="E42" s="26">
        <f t="shared" si="8"/>
        <v>134378525</v>
      </c>
      <c r="F42" s="53">
        <f>'[2]TICO 2'!U60</f>
        <v>1329886</v>
      </c>
      <c r="G42" s="38">
        <f t="shared" si="3"/>
        <v>0.01</v>
      </c>
      <c r="J42" s="2"/>
      <c r="R42">
        <v>2014</v>
      </c>
      <c r="S42" s="181">
        <v>1.05</v>
      </c>
      <c r="T42" s="29">
        <f>PRODUCT($S$14:S42)</f>
        <v>1.8531730552997334</v>
      </c>
      <c r="U42" t="s">
        <v>318</v>
      </c>
      <c r="V42" s="76">
        <f>BB56</f>
        <v>1.2451527439024392</v>
      </c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>
        <v>0.5</v>
      </c>
      <c r="BC42" s="182">
        <v>0.5</v>
      </c>
      <c r="BD42" s="182"/>
      <c r="BE42" s="182"/>
      <c r="BF42" s="182"/>
      <c r="BG42" s="182"/>
      <c r="BH42" s="182"/>
      <c r="BI42" s="182"/>
      <c r="BJ42" s="182"/>
      <c r="BK42" s="182"/>
      <c r="BL42" s="182"/>
      <c r="BM42" s="182"/>
    </row>
    <row r="43" spans="1:65" x14ac:dyDescent="0.2">
      <c r="A43" t="str">
        <f t="shared" si="4"/>
        <v>2012</v>
      </c>
      <c r="C43" s="53">
        <f>'[2]TICO 2'!O61</f>
        <v>99629727</v>
      </c>
      <c r="D43" s="85">
        <f>'[2]TWIA Historical EPPR'!J329</f>
        <v>1.3727418575616306</v>
      </c>
      <c r="E43" s="26">
        <f>ROUND(C43*D43,0)</f>
        <v>136765897</v>
      </c>
      <c r="F43" s="53">
        <f>'[2]TICO 2'!U61</f>
        <v>10756644</v>
      </c>
      <c r="G43" s="38">
        <f t="shared" ref="G43:G52" si="9">ROUND(F43/E43,3)</f>
        <v>7.9000000000000001E-2</v>
      </c>
      <c r="J43" s="2"/>
      <c r="R43">
        <v>2015</v>
      </c>
      <c r="S43" s="181">
        <v>1.05</v>
      </c>
      <c r="T43" s="29">
        <f>PRODUCT($S$14:S43)</f>
        <v>1.9458317080647203</v>
      </c>
      <c r="U43" t="s">
        <v>319</v>
      </c>
      <c r="V43" s="76">
        <f>BC56</f>
        <v>1.1858597560975612</v>
      </c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82"/>
      <c r="AR43" s="182"/>
      <c r="AS43" s="182"/>
      <c r="AT43" s="182"/>
      <c r="AU43" s="182"/>
      <c r="AV43" s="182"/>
      <c r="AW43" s="182"/>
      <c r="AX43" s="182"/>
      <c r="AY43" s="182"/>
      <c r="AZ43" s="182"/>
      <c r="BA43" s="182"/>
      <c r="BB43" s="182"/>
      <c r="BC43" s="182">
        <v>0.5</v>
      </c>
      <c r="BD43" s="182">
        <v>0.5</v>
      </c>
      <c r="BE43" s="182"/>
      <c r="BF43" s="182"/>
      <c r="BG43" s="182"/>
      <c r="BH43" s="182"/>
      <c r="BI43" s="182"/>
      <c r="BJ43" s="182"/>
      <c r="BK43" s="182"/>
      <c r="BL43" s="182"/>
      <c r="BM43" s="182"/>
    </row>
    <row r="44" spans="1:65" x14ac:dyDescent="0.2">
      <c r="A44" t="str">
        <f t="shared" si="4"/>
        <v>2013</v>
      </c>
      <c r="C44" s="53">
        <f>'[2]TICO 2'!O62</f>
        <v>107104250</v>
      </c>
      <c r="D44" s="85">
        <f>'[2]TWIA Historical EPPR'!J330</f>
        <v>1.3075493593415137</v>
      </c>
      <c r="E44" s="26">
        <f>ROUND(C44*D44,0)</f>
        <v>140044093</v>
      </c>
      <c r="F44" s="53">
        <f>'[2]TICO 2'!U62</f>
        <v>54338085</v>
      </c>
      <c r="G44" s="38">
        <f t="shared" si="9"/>
        <v>0.38800000000000001</v>
      </c>
      <c r="J44" s="2"/>
      <c r="R44">
        <v>2016</v>
      </c>
      <c r="S44" s="181">
        <v>1.05</v>
      </c>
      <c r="T44" s="29">
        <f>PRODUCT($S$14:S44)</f>
        <v>2.0431232934679562</v>
      </c>
      <c r="U44" t="s">
        <v>320</v>
      </c>
      <c r="V44" s="76">
        <f>BD56</f>
        <v>1.1293902439024393</v>
      </c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  <c r="BD44" s="182">
        <v>0.5</v>
      </c>
      <c r="BE44" s="182">
        <v>0.5</v>
      </c>
      <c r="BF44" s="182"/>
      <c r="BG44" s="182"/>
      <c r="BH44" s="182"/>
      <c r="BI44" s="182"/>
      <c r="BJ44" s="182"/>
      <c r="BK44" s="182"/>
      <c r="BL44" s="182"/>
      <c r="BM44" s="182"/>
    </row>
    <row r="45" spans="1:65" x14ac:dyDescent="0.2">
      <c r="A45" t="str">
        <f t="shared" si="4"/>
        <v>2014</v>
      </c>
      <c r="C45" s="53">
        <f>'[2]TICO 2'!O63</f>
        <v>114784032</v>
      </c>
      <c r="D45" s="85">
        <f>'[2]TWIA Historical EPPR'!J331</f>
        <v>1.2455465141622082</v>
      </c>
      <c r="E45" s="26">
        <f t="shared" si="8"/>
        <v>142968851</v>
      </c>
      <c r="F45" s="53">
        <f>'[2]TICO 2'!U63</f>
        <v>691708</v>
      </c>
      <c r="G45" s="38">
        <f t="shared" si="9"/>
        <v>5.0000000000000001E-3</v>
      </c>
      <c r="J45" s="2"/>
      <c r="R45">
        <v>2017</v>
      </c>
      <c r="S45" s="181">
        <v>1</v>
      </c>
      <c r="T45" s="29">
        <f>PRODUCT($S$14:S45)</f>
        <v>2.0431232934679562</v>
      </c>
      <c r="U45" t="s">
        <v>321</v>
      </c>
      <c r="V45" s="76">
        <f>BE56</f>
        <v>1.1025000000000003</v>
      </c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/>
      <c r="AM45" s="182"/>
      <c r="AN45" s="182"/>
      <c r="AO45" s="182"/>
      <c r="AP45" s="182"/>
      <c r="AQ45" s="182"/>
      <c r="AR45" s="182"/>
      <c r="AS45" s="182"/>
      <c r="AT45" s="182"/>
      <c r="AU45" s="182"/>
      <c r="AV45" s="182"/>
      <c r="AW45" s="182"/>
      <c r="AX45" s="182"/>
      <c r="AY45" s="182"/>
      <c r="AZ45" s="182"/>
      <c r="BA45" s="182"/>
      <c r="BB45" s="182"/>
      <c r="BC45" s="182"/>
      <c r="BD45" s="182"/>
      <c r="BE45" s="182">
        <v>0.5</v>
      </c>
      <c r="BF45" s="182">
        <v>0.5</v>
      </c>
      <c r="BG45" s="182"/>
      <c r="BH45" s="182"/>
      <c r="BI45" s="182"/>
      <c r="BJ45" s="182"/>
      <c r="BK45" s="182"/>
      <c r="BL45" s="182"/>
      <c r="BM45" s="182"/>
    </row>
    <row r="46" spans="1:65" x14ac:dyDescent="0.2">
      <c r="A46" t="str">
        <f t="shared" si="4"/>
        <v>2015</v>
      </c>
      <c r="C46" s="53">
        <f>'[2]TICO 2'!O64</f>
        <v>122782019</v>
      </c>
      <c r="D46" s="85">
        <f>'[2]TWIA Historical EPPR'!J332</f>
        <v>1.1864644900727379</v>
      </c>
      <c r="E46" s="26">
        <f t="shared" si="8"/>
        <v>145676506</v>
      </c>
      <c r="F46" s="53">
        <f>'[2]TICO 2'!U64</f>
        <v>17666484</v>
      </c>
      <c r="G46" s="38">
        <f t="shared" si="9"/>
        <v>0.121</v>
      </c>
      <c r="J46" s="2"/>
      <c r="N46" s="19"/>
      <c r="R46">
        <v>2018</v>
      </c>
      <c r="S46" s="181">
        <v>1.05</v>
      </c>
      <c r="T46" s="29">
        <f>PRODUCT($S$14:S46)</f>
        <v>2.1452794581413541</v>
      </c>
      <c r="U46" t="s">
        <v>322</v>
      </c>
      <c r="V46" s="76">
        <f>BF56</f>
        <v>1.0756097560975613</v>
      </c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82"/>
      <c r="AR46" s="182"/>
      <c r="AS46" s="182"/>
      <c r="AT46" s="182"/>
      <c r="AU46" s="182"/>
      <c r="AV46" s="182"/>
      <c r="AW46" s="182"/>
      <c r="AX46" s="182"/>
      <c r="AY46" s="182"/>
      <c r="AZ46" s="182"/>
      <c r="BA46" s="182"/>
      <c r="BB46" s="182"/>
      <c r="BC46" s="182"/>
      <c r="BD46" s="182"/>
      <c r="BE46" s="182"/>
      <c r="BF46" s="182">
        <v>0.5</v>
      </c>
      <c r="BG46" s="182">
        <v>0.5</v>
      </c>
      <c r="BH46" s="182"/>
      <c r="BI46" s="182"/>
      <c r="BJ46" s="182"/>
      <c r="BK46" s="182"/>
      <c r="BL46" s="182"/>
      <c r="BM46" s="182"/>
    </row>
    <row r="47" spans="1:65" x14ac:dyDescent="0.2">
      <c r="A47" t="str">
        <f t="shared" si="4"/>
        <v>2016</v>
      </c>
      <c r="C47" s="53">
        <f>'[2]TICO 2'!O65</f>
        <v>127007324</v>
      </c>
      <c r="D47" s="85">
        <f>'[2]TWIA Historical EPPR'!J333</f>
        <v>1.1303877408726286</v>
      </c>
      <c r="E47" s="26">
        <f t="shared" si="8"/>
        <v>143567522</v>
      </c>
      <c r="F47" s="53">
        <f>'[2]TICO 2'!U65</f>
        <v>11304310</v>
      </c>
      <c r="G47" s="38">
        <f t="shared" si="9"/>
        <v>7.9000000000000001E-2</v>
      </c>
      <c r="J47" s="2"/>
      <c r="R47">
        <v>2019</v>
      </c>
      <c r="S47" s="181">
        <v>1</v>
      </c>
      <c r="T47" s="29">
        <f>PRODUCT($S$14:S47)</f>
        <v>2.1452794581413541</v>
      </c>
      <c r="U47" t="s">
        <v>323</v>
      </c>
      <c r="V47" s="76">
        <f>BG56</f>
        <v>1.05</v>
      </c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  <c r="AU47" s="182"/>
      <c r="AV47" s="182"/>
      <c r="AW47" s="182"/>
      <c r="AX47" s="182"/>
      <c r="AY47" s="182"/>
      <c r="AZ47" s="182"/>
      <c r="BA47" s="182"/>
      <c r="BB47" s="182"/>
      <c r="BC47" s="182"/>
      <c r="BD47" s="182"/>
      <c r="BE47" s="182"/>
      <c r="BF47" s="182"/>
      <c r="BG47" s="182">
        <v>0.5</v>
      </c>
      <c r="BH47" s="182">
        <v>0.5</v>
      </c>
      <c r="BI47" s="182"/>
      <c r="BJ47" s="182"/>
      <c r="BK47" s="182"/>
      <c r="BL47" s="182"/>
      <c r="BM47" s="182"/>
    </row>
    <row r="48" spans="1:65" x14ac:dyDescent="0.2">
      <c r="A48" t="str">
        <f t="shared" si="4"/>
        <v>2017</v>
      </c>
      <c r="C48" s="53">
        <f>'[2]TICO 2'!O66</f>
        <v>126002753</v>
      </c>
      <c r="D48" s="85">
        <f>'[2]TWIA Historical EPPR'!J334</f>
        <v>1.1025000000000003</v>
      </c>
      <c r="E48" s="26">
        <f t="shared" ref="E48:E56" si="10">ROUND(C48*D48,0)</f>
        <v>138918035</v>
      </c>
      <c r="F48" s="53">
        <f>'[2]TICO 2'!U66</f>
        <v>41017114</v>
      </c>
      <c r="G48" s="38">
        <f t="shared" si="9"/>
        <v>0.29499999999999998</v>
      </c>
      <c r="J48" s="2"/>
      <c r="R48">
        <v>2020</v>
      </c>
      <c r="S48" s="181">
        <v>1</v>
      </c>
      <c r="T48" s="29">
        <f>PRODUCT($S$14:S48)</f>
        <v>2.1452794581413541</v>
      </c>
      <c r="U48" t="s">
        <v>347</v>
      </c>
      <c r="V48" s="76">
        <f>BH56</f>
        <v>1.05</v>
      </c>
      <c r="W48" s="182"/>
      <c r="X48" s="182"/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82"/>
      <c r="BD48" s="182"/>
      <c r="BE48" s="182"/>
      <c r="BF48" s="182"/>
      <c r="BG48" s="182"/>
      <c r="BH48" s="182">
        <v>0.5</v>
      </c>
      <c r="BI48" s="182">
        <v>0.5</v>
      </c>
      <c r="BJ48" s="182"/>
      <c r="BK48" s="182"/>
      <c r="BL48" s="182"/>
      <c r="BM48" s="182"/>
    </row>
    <row r="49" spans="1:65" x14ac:dyDescent="0.2">
      <c r="A49" t="str">
        <f t="shared" si="4"/>
        <v>2018</v>
      </c>
      <c r="C49" s="53">
        <f>'[2]TICO 2'!O67</f>
        <v>122707170</v>
      </c>
      <c r="D49" s="85">
        <f>'[2]TWIA Historical EPPR'!J335</f>
        <v>1.0768211446107889</v>
      </c>
      <c r="E49" s="26">
        <f t="shared" si="10"/>
        <v>132133675</v>
      </c>
      <c r="F49" s="53">
        <f>'[2]TICO 2'!U67</f>
        <v>3153959</v>
      </c>
      <c r="G49" s="38">
        <f t="shared" si="9"/>
        <v>2.4E-2</v>
      </c>
      <c r="J49" s="2"/>
      <c r="R49">
        <v>2021</v>
      </c>
      <c r="S49" s="181">
        <v>1</v>
      </c>
      <c r="T49" s="29">
        <f>PRODUCT($S$14:S49)</f>
        <v>2.1452794581413541</v>
      </c>
      <c r="U49" t="s">
        <v>349</v>
      </c>
      <c r="V49" s="76">
        <f>BI56</f>
        <v>1.05</v>
      </c>
      <c r="W49" s="182"/>
      <c r="X49" s="182"/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2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2"/>
      <c r="BG49" s="182"/>
      <c r="BH49" s="182"/>
      <c r="BI49" s="182">
        <v>0.5</v>
      </c>
      <c r="BJ49" s="182">
        <v>0.5</v>
      </c>
      <c r="BK49" s="182"/>
      <c r="BL49" s="182"/>
      <c r="BM49" s="182"/>
    </row>
    <row r="50" spans="1:65" x14ac:dyDescent="0.2">
      <c r="A50" t="str">
        <f t="shared" si="4"/>
        <v>2019</v>
      </c>
      <c r="C50" s="53">
        <f>'[2]TICO 2'!O68</f>
        <v>121980686</v>
      </c>
      <c r="D50" s="85">
        <f>'[2]TWIA Historical EPPR'!J336</f>
        <v>1.0499999999999947</v>
      </c>
      <c r="E50" s="26">
        <f t="shared" si="10"/>
        <v>128079720</v>
      </c>
      <c r="F50" s="53">
        <f>'[2]TICO 2'!U68</f>
        <v>6641205</v>
      </c>
      <c r="G50" s="38">
        <f t="shared" si="9"/>
        <v>5.1999999999999998E-2</v>
      </c>
      <c r="J50" s="2"/>
      <c r="R50">
        <v>2022</v>
      </c>
      <c r="S50" s="181">
        <v>1.05</v>
      </c>
      <c r="T50" s="29">
        <f>PRODUCT($S$14:S50)</f>
        <v>2.252543431048422</v>
      </c>
      <c r="U50" t="s">
        <v>353</v>
      </c>
      <c r="V50" s="76">
        <f>BJ56</f>
        <v>1.0243902439024393</v>
      </c>
      <c r="W50" s="182"/>
      <c r="X50" s="182"/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182"/>
      <c r="AT50" s="182"/>
      <c r="AU50" s="182"/>
      <c r="AV50" s="182"/>
      <c r="AW50" s="182"/>
      <c r="AX50" s="182"/>
      <c r="AY50" s="182"/>
      <c r="AZ50" s="182"/>
      <c r="BA50" s="182"/>
      <c r="BB50" s="182"/>
      <c r="BC50" s="182"/>
      <c r="BD50" s="182"/>
      <c r="BE50" s="182"/>
      <c r="BF50" s="182"/>
      <c r="BG50" s="182"/>
      <c r="BH50" s="182"/>
      <c r="BI50" s="182"/>
      <c r="BJ50" s="182">
        <v>0.5</v>
      </c>
      <c r="BK50" s="182">
        <v>0.5</v>
      </c>
      <c r="BL50" s="182"/>
      <c r="BM50" s="182"/>
    </row>
    <row r="51" spans="1:65" x14ac:dyDescent="0.2">
      <c r="A51" t="str">
        <f t="shared" si="4"/>
        <v>2020</v>
      </c>
      <c r="C51" s="53">
        <f>'[2]TICO 2'!O69</f>
        <v>121816746</v>
      </c>
      <c r="D51" s="85">
        <f>'[2]TWIA Historical EPPR'!J337</f>
        <v>1.0500000000000036</v>
      </c>
      <c r="E51" s="26">
        <f t="shared" si="10"/>
        <v>127907583</v>
      </c>
      <c r="F51" s="53">
        <f>'[2]TICO 2'!U69</f>
        <v>6938261</v>
      </c>
      <c r="G51" s="38">
        <f t="shared" si="9"/>
        <v>5.3999999999999999E-2</v>
      </c>
      <c r="J51" s="2"/>
      <c r="R51">
        <v>2023</v>
      </c>
      <c r="S51" s="181">
        <v>1</v>
      </c>
      <c r="T51" s="29">
        <f>PRODUCT($S$14:S51)</f>
        <v>2.252543431048422</v>
      </c>
      <c r="U51" t="s">
        <v>360</v>
      </c>
      <c r="V51" s="76">
        <f>BK56</f>
        <v>1</v>
      </c>
      <c r="W51" s="182"/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82"/>
      <c r="AR51" s="182"/>
      <c r="AS51" s="182"/>
      <c r="AT51" s="182"/>
      <c r="AU51" s="182"/>
      <c r="AV51" s="182"/>
      <c r="AW51" s="182"/>
      <c r="AX51" s="182"/>
      <c r="AY51" s="182"/>
      <c r="AZ51" s="182"/>
      <c r="BA51" s="182"/>
      <c r="BB51" s="182"/>
      <c r="BC51" s="182"/>
      <c r="BD51" s="182"/>
      <c r="BE51" s="182"/>
      <c r="BF51" s="182"/>
      <c r="BG51" s="182"/>
      <c r="BH51" s="182"/>
      <c r="BI51" s="182"/>
      <c r="BJ51" s="182"/>
      <c r="BK51" s="182">
        <v>0.5</v>
      </c>
      <c r="BL51" s="182">
        <v>0.5</v>
      </c>
      <c r="BM51" s="182"/>
    </row>
    <row r="52" spans="1:65" x14ac:dyDescent="0.2">
      <c r="A52" t="str">
        <f t="shared" si="4"/>
        <v>2021</v>
      </c>
      <c r="C52" s="53">
        <f>'[2]TICO 2'!O70</f>
        <v>126003547</v>
      </c>
      <c r="D52" s="85">
        <f>'[2]TWIA Historical EPPR'!J338</f>
        <v>1.0500000000000056</v>
      </c>
      <c r="E52" s="26">
        <f t="shared" si="10"/>
        <v>132303724</v>
      </c>
      <c r="F52" s="53">
        <f>'[2]TICO 2'!U70</f>
        <v>32478935</v>
      </c>
      <c r="G52" s="38">
        <f t="shared" si="9"/>
        <v>0.245</v>
      </c>
      <c r="J52" s="2"/>
      <c r="R52">
        <v>2024</v>
      </c>
      <c r="S52" s="181">
        <v>1</v>
      </c>
      <c r="T52" s="29">
        <f>PRODUCT($S$14:S52)</f>
        <v>2.252543431048422</v>
      </c>
      <c r="U52" t="s">
        <v>429</v>
      </c>
      <c r="V52" s="76">
        <f>BL56</f>
        <v>1</v>
      </c>
      <c r="W52" s="182"/>
      <c r="X52" s="182"/>
      <c r="Y52" s="182"/>
      <c r="Z52" s="182"/>
      <c r="AA52" s="182"/>
      <c r="AB52" s="182"/>
      <c r="AC52" s="182"/>
      <c r="AD52" s="182"/>
      <c r="AE52" s="182"/>
      <c r="AF52" s="182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2"/>
      <c r="AT52" s="182"/>
      <c r="AU52" s="182"/>
      <c r="AV52" s="182"/>
      <c r="AW52" s="182"/>
      <c r="AX52" s="182"/>
      <c r="AY52" s="182"/>
      <c r="AZ52" s="182"/>
      <c r="BA52" s="182"/>
      <c r="BB52" s="182"/>
      <c r="BC52" s="182"/>
      <c r="BD52" s="182"/>
      <c r="BE52" s="182"/>
      <c r="BF52" s="182"/>
      <c r="BG52" s="182"/>
      <c r="BH52" s="182"/>
      <c r="BI52" s="182"/>
      <c r="BJ52" s="182"/>
      <c r="BK52" s="182"/>
      <c r="BL52" s="182">
        <v>0.5</v>
      </c>
      <c r="BM52" s="182">
        <v>0.5</v>
      </c>
    </row>
    <row r="53" spans="1:65" x14ac:dyDescent="0.2">
      <c r="A53" t="str">
        <f t="shared" si="4"/>
        <v>2022</v>
      </c>
      <c r="C53" s="53">
        <f>'[2]TICO 2'!O71</f>
        <v>138162407</v>
      </c>
      <c r="D53" s="85">
        <f>'[2]TWIA Historical EPPR'!J339</f>
        <v>1.0228262738748721</v>
      </c>
      <c r="E53" s="26">
        <f t="shared" si="10"/>
        <v>141316140</v>
      </c>
      <c r="F53" s="53">
        <f>'[2]TICO 2'!U71</f>
        <v>12396755</v>
      </c>
      <c r="G53" s="38">
        <f t="shared" ref="G53:G56" si="11">ROUND(F53/E53,3)</f>
        <v>8.7999999999999995E-2</v>
      </c>
      <c r="J53" s="2"/>
      <c r="R53">
        <v>2025</v>
      </c>
      <c r="S53" s="181">
        <v>1</v>
      </c>
      <c r="T53" s="29">
        <f>PRODUCT($S$14:S53)</f>
        <v>2.252543431048422</v>
      </c>
      <c r="U53" t="s">
        <v>446</v>
      </c>
      <c r="V53" s="76">
        <f>BM56</f>
        <v>1</v>
      </c>
      <c r="W53" s="182"/>
      <c r="X53" s="182"/>
      <c r="Y53" s="182"/>
      <c r="Z53" s="182"/>
      <c r="AA53" s="182"/>
      <c r="AB53" s="182"/>
      <c r="AC53" s="182"/>
      <c r="AD53" s="182"/>
      <c r="AE53" s="182"/>
      <c r="AF53" s="182"/>
      <c r="AG53" s="182"/>
      <c r="AH53" s="182"/>
      <c r="AI53" s="182"/>
      <c r="AJ53" s="182"/>
      <c r="AK53" s="182"/>
      <c r="AL53" s="182"/>
      <c r="AM53" s="182"/>
      <c r="AN53" s="182"/>
      <c r="AO53" s="182"/>
      <c r="AP53" s="182"/>
      <c r="AQ53" s="182"/>
      <c r="AR53" s="182"/>
      <c r="AS53" s="182"/>
      <c r="AT53" s="182"/>
      <c r="AU53" s="182"/>
      <c r="AV53" s="182"/>
      <c r="AW53" s="182"/>
      <c r="AX53" s="182"/>
      <c r="AY53" s="182"/>
      <c r="AZ53" s="182"/>
      <c r="BA53" s="182"/>
      <c r="BB53" s="182"/>
      <c r="BC53" s="182"/>
      <c r="BD53" s="182"/>
      <c r="BE53" s="182"/>
      <c r="BF53" s="182"/>
      <c r="BG53" s="182"/>
      <c r="BH53" s="182"/>
      <c r="BI53" s="182"/>
      <c r="BJ53" s="182"/>
      <c r="BK53" s="182"/>
      <c r="BL53" s="182"/>
      <c r="BM53" s="182">
        <v>0.5</v>
      </c>
    </row>
    <row r="54" spans="1:65" x14ac:dyDescent="0.2">
      <c r="A54" t="str">
        <f t="shared" si="4"/>
        <v>2023</v>
      </c>
      <c r="C54" s="53">
        <f>'[2]TICO 2'!O72</f>
        <v>166565954</v>
      </c>
      <c r="D54" s="85">
        <f>'[2]TWIA Historical EPPR'!J340</f>
        <v>1</v>
      </c>
      <c r="E54" s="26">
        <f t="shared" si="10"/>
        <v>166565954</v>
      </c>
      <c r="F54" s="53">
        <f>'[2]TICO 2'!U72</f>
        <v>33934788</v>
      </c>
      <c r="G54" s="38">
        <f t="shared" si="11"/>
        <v>0.20399999999999999</v>
      </c>
      <c r="J54" s="2"/>
      <c r="R54" s="231"/>
      <c r="S54" s="231"/>
      <c r="T54" s="231"/>
      <c r="U54" s="231"/>
      <c r="V54" s="231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236"/>
      <c r="AI54" s="236"/>
      <c r="AJ54" s="236"/>
      <c r="AK54" s="236"/>
      <c r="AL54" s="236"/>
      <c r="AM54" s="236"/>
      <c r="AN54" s="236"/>
      <c r="AO54" s="236"/>
      <c r="AP54" s="236"/>
      <c r="AQ54" s="236"/>
      <c r="AR54" s="236"/>
      <c r="AS54" s="236"/>
      <c r="AT54" s="236"/>
      <c r="AU54" s="236"/>
      <c r="AV54" s="236"/>
      <c r="AW54" s="236"/>
      <c r="AX54" s="236"/>
      <c r="AY54" s="236"/>
      <c r="AZ54" s="236"/>
      <c r="BA54" s="236"/>
      <c r="BB54" s="236"/>
      <c r="BC54" s="236"/>
      <c r="BD54" s="236"/>
      <c r="BE54" s="236"/>
      <c r="BF54" s="236"/>
      <c r="BG54" s="236"/>
      <c r="BH54" s="236"/>
      <c r="BI54" s="236"/>
      <c r="BJ54" s="236"/>
      <c r="BK54" s="236"/>
      <c r="BL54" s="236"/>
      <c r="BM54" s="236"/>
    </row>
    <row r="55" spans="1:65" x14ac:dyDescent="0.2">
      <c r="A55" t="str">
        <f t="shared" si="4"/>
        <v>2024</v>
      </c>
      <c r="C55" s="53">
        <f>'[2]TICO 2'!O73</f>
        <v>195519135</v>
      </c>
      <c r="D55" s="85">
        <f>'[2]TWIA Historical EPPR'!J341</f>
        <v>1</v>
      </c>
      <c r="E55" s="26">
        <f t="shared" si="10"/>
        <v>195519135</v>
      </c>
      <c r="F55" s="53">
        <f>'[2]TICO 2'!U73</f>
        <v>170255988</v>
      </c>
      <c r="G55" s="38">
        <f t="shared" si="11"/>
        <v>0.871</v>
      </c>
      <c r="J55" s="2"/>
      <c r="W55" s="182">
        <f>SUMPRODUCT($T$14:$T$53,W14:W53)</f>
        <v>1</v>
      </c>
      <c r="X55" s="182">
        <f t="shared" ref="X55:BM55" si="12">SUMPRODUCT($T$14:$T$53,X14:X53)</f>
        <v>1</v>
      </c>
      <c r="Y55" s="182">
        <f t="shared" si="12"/>
        <v>1</v>
      </c>
      <c r="Z55" s="182">
        <f t="shared" si="12"/>
        <v>1</v>
      </c>
      <c r="AA55" s="182">
        <f t="shared" si="12"/>
        <v>1</v>
      </c>
      <c r="AB55" s="182">
        <f t="shared" si="12"/>
        <v>0.97299999999999998</v>
      </c>
      <c r="AC55" s="182">
        <f t="shared" si="12"/>
        <v>0.94599999999999995</v>
      </c>
      <c r="AD55" s="182">
        <f t="shared" si="12"/>
        <v>0.96066299999999993</v>
      </c>
      <c r="AE55" s="182">
        <f t="shared" si="12"/>
        <v>1.0972417499999998</v>
      </c>
      <c r="AF55" s="182">
        <f t="shared" si="12"/>
        <v>0.88998497499999996</v>
      </c>
      <c r="AG55" s="182">
        <f t="shared" si="12"/>
        <v>0.64493431749999997</v>
      </c>
      <c r="AH55" s="182">
        <f t="shared" si="12"/>
        <v>0.72905618499999991</v>
      </c>
      <c r="AI55" s="182">
        <f t="shared" si="12"/>
        <v>0.82018820812499993</v>
      </c>
      <c r="AJ55" s="182">
        <f t="shared" si="12"/>
        <v>0.91132023124999995</v>
      </c>
      <c r="AK55" s="182">
        <f t="shared" si="12"/>
        <v>0.91132023124999995</v>
      </c>
      <c r="AL55" s="182">
        <f t="shared" si="12"/>
        <v>0.91223155148125001</v>
      </c>
      <c r="AM55" s="182">
        <f t="shared" si="12"/>
        <v>0.87022515674201251</v>
      </c>
      <c r="AN55" s="182">
        <f t="shared" si="12"/>
        <v>0.86329531548858629</v>
      </c>
      <c r="AO55" s="182">
        <f t="shared" si="12"/>
        <v>0.9824668842071701</v>
      </c>
      <c r="AP55" s="182">
        <f t="shared" si="12"/>
        <v>1.0656505792086925</v>
      </c>
      <c r="AQ55" s="182">
        <f t="shared" si="12"/>
        <v>1.0656505792086925</v>
      </c>
      <c r="AR55" s="182">
        <f t="shared" si="12"/>
        <v>1.11680180701071</v>
      </c>
      <c r="AS55" s="182">
        <f t="shared" si="12"/>
        <v>1.1679530348127272</v>
      </c>
      <c r="AT55" s="182">
        <f t="shared" si="12"/>
        <v>1.1699645094837936</v>
      </c>
      <c r="AU55" s="182">
        <f t="shared" si="12"/>
        <v>1.2214010313643868</v>
      </c>
      <c r="AV55" s="182">
        <f t="shared" si="12"/>
        <v>1.2979616198794097</v>
      </c>
      <c r="AW55" s="182">
        <f t="shared" si="12"/>
        <v>1.4274232121993267</v>
      </c>
      <c r="AX55" s="182">
        <f t="shared" si="12"/>
        <v>1.5240302408733188</v>
      </c>
      <c r="AY55" s="182">
        <f t="shared" si="12"/>
        <v>1.5627253102830414</v>
      </c>
      <c r="AZ55" s="182">
        <f t="shared" si="12"/>
        <v>1.6408615757971936</v>
      </c>
      <c r="BA55" s="182">
        <f t="shared" si="12"/>
        <v>1.7229046545870537</v>
      </c>
      <c r="BB55" s="182">
        <f t="shared" si="12"/>
        <v>1.8090498873164065</v>
      </c>
      <c r="BC55" s="182">
        <f t="shared" si="12"/>
        <v>1.8995023816822267</v>
      </c>
      <c r="BD55" s="182">
        <f t="shared" si="12"/>
        <v>1.9944775007663382</v>
      </c>
      <c r="BE55" s="182">
        <f t="shared" si="12"/>
        <v>2.0431232934679562</v>
      </c>
      <c r="BF55" s="182">
        <f t="shared" si="12"/>
        <v>2.0942013758046549</v>
      </c>
      <c r="BG55" s="182">
        <f t="shared" si="12"/>
        <v>2.1452794581413541</v>
      </c>
      <c r="BH55" s="182">
        <f t="shared" si="12"/>
        <v>2.1452794581413541</v>
      </c>
      <c r="BI55" s="182">
        <f t="shared" si="12"/>
        <v>2.1452794581413541</v>
      </c>
      <c r="BJ55" s="182">
        <f t="shared" si="12"/>
        <v>2.1989114445948879</v>
      </c>
      <c r="BK55" s="182">
        <f t="shared" si="12"/>
        <v>2.252543431048422</v>
      </c>
      <c r="BL55" s="182">
        <f t="shared" si="12"/>
        <v>2.252543431048422</v>
      </c>
      <c r="BM55" s="182">
        <f t="shared" si="12"/>
        <v>2.252543431048422</v>
      </c>
    </row>
    <row r="56" spans="1:65" x14ac:dyDescent="0.2">
      <c r="A56" t="str">
        <f t="shared" si="4"/>
        <v>2025</v>
      </c>
      <c r="C56" s="53">
        <f>'[2]TICO 2'!O74</f>
        <v>226056111</v>
      </c>
      <c r="D56" s="85">
        <f>'[2]TWIA Historical EPPR'!J342</f>
        <v>0.99999999999999856</v>
      </c>
      <c r="E56" s="26">
        <f t="shared" si="10"/>
        <v>226056111</v>
      </c>
      <c r="F56" s="53">
        <f>'[2]TICO 2'!U74</f>
        <v>13200118</v>
      </c>
      <c r="G56" s="38">
        <f t="shared" si="11"/>
        <v>5.8000000000000003E-2</v>
      </c>
      <c r="J56" s="2"/>
      <c r="K56" t="s">
        <v>193</v>
      </c>
      <c r="L56" t="s">
        <v>194</v>
      </c>
      <c r="W56" s="182">
        <f>$T$53/W55</f>
        <v>2.252543431048422</v>
      </c>
      <c r="X56" s="182">
        <f t="shared" ref="X56:BM56" si="13">$T$53/X55</f>
        <v>2.252543431048422</v>
      </c>
      <c r="Y56" s="182">
        <f t="shared" si="13"/>
        <v>2.252543431048422</v>
      </c>
      <c r="Z56" s="182">
        <f t="shared" si="13"/>
        <v>2.252543431048422</v>
      </c>
      <c r="AA56" s="182">
        <f t="shared" si="13"/>
        <v>2.252543431048422</v>
      </c>
      <c r="AB56" s="182">
        <f t="shared" si="13"/>
        <v>2.3150497749726844</v>
      </c>
      <c r="AC56" s="182">
        <f t="shared" si="13"/>
        <v>2.3811241343006575</v>
      </c>
      <c r="AD56" s="182">
        <f t="shared" si="13"/>
        <v>2.3447800436244783</v>
      </c>
      <c r="AE56" s="182">
        <f t="shared" si="13"/>
        <v>2.0529144384529867</v>
      </c>
      <c r="AF56" s="182">
        <f t="shared" si="13"/>
        <v>2.5309904035721749</v>
      </c>
      <c r="AG56" s="182">
        <f t="shared" si="13"/>
        <v>3.4926710673113193</v>
      </c>
      <c r="AH56" s="182">
        <f t="shared" si="13"/>
        <v>3.0896705595446288</v>
      </c>
      <c r="AI56" s="182">
        <f t="shared" si="13"/>
        <v>2.7463738307063363</v>
      </c>
      <c r="AJ56" s="182">
        <f t="shared" si="13"/>
        <v>2.4717364476357027</v>
      </c>
      <c r="AK56" s="182">
        <f t="shared" si="13"/>
        <v>2.4717364476357027</v>
      </c>
      <c r="AL56" s="182">
        <f t="shared" si="13"/>
        <v>2.4692671804552475</v>
      </c>
      <c r="AM56" s="182">
        <f t="shared" si="13"/>
        <v>2.5884604847343118</v>
      </c>
      <c r="AN56" s="182">
        <f t="shared" si="13"/>
        <v>2.6092385660329733</v>
      </c>
      <c r="AO56" s="182">
        <f t="shared" si="13"/>
        <v>2.2927423481211551</v>
      </c>
      <c r="AP56" s="182">
        <f t="shared" si="13"/>
        <v>2.1137730087108539</v>
      </c>
      <c r="AQ56" s="182">
        <f t="shared" si="13"/>
        <v>2.1137730087108539</v>
      </c>
      <c r="AR56" s="182">
        <f t="shared" si="13"/>
        <v>2.0169589777775321</v>
      </c>
      <c r="AS56" s="182">
        <f t="shared" si="13"/>
        <v>1.9286250079478591</v>
      </c>
      <c r="AT56" s="182">
        <f t="shared" si="13"/>
        <v>1.9253091976629948</v>
      </c>
      <c r="AU56" s="182">
        <f t="shared" si="13"/>
        <v>1.8442291869789729</v>
      </c>
      <c r="AV56" s="182">
        <f t="shared" si="13"/>
        <v>1.7354468703455963</v>
      </c>
      <c r="AW56" s="182">
        <f t="shared" si="13"/>
        <v>1.5780487607300271</v>
      </c>
      <c r="AX56" s="182">
        <f t="shared" si="13"/>
        <v>1.4780175423275337</v>
      </c>
      <c r="AY56" s="182">
        <f t="shared" si="13"/>
        <v>1.4414199451600618</v>
      </c>
      <c r="AZ56" s="182">
        <f t="shared" si="13"/>
        <v>1.3727809001524396</v>
      </c>
      <c r="BA56" s="182">
        <f t="shared" si="13"/>
        <v>1.3074103810975612</v>
      </c>
      <c r="BB56" s="182">
        <f t="shared" si="13"/>
        <v>1.2451527439024392</v>
      </c>
      <c r="BC56" s="182">
        <f t="shared" si="13"/>
        <v>1.1858597560975612</v>
      </c>
      <c r="BD56" s="182">
        <f t="shared" si="13"/>
        <v>1.1293902439024393</v>
      </c>
      <c r="BE56" s="182">
        <f t="shared" si="13"/>
        <v>1.1025000000000003</v>
      </c>
      <c r="BF56" s="182">
        <f t="shared" si="13"/>
        <v>1.0756097560975613</v>
      </c>
      <c r="BG56" s="182">
        <f t="shared" si="13"/>
        <v>1.05</v>
      </c>
      <c r="BH56" s="182">
        <f t="shared" si="13"/>
        <v>1.05</v>
      </c>
      <c r="BI56" s="182">
        <f t="shared" si="13"/>
        <v>1.05</v>
      </c>
      <c r="BJ56" s="182">
        <f t="shared" si="13"/>
        <v>1.0243902439024393</v>
      </c>
      <c r="BK56" s="182">
        <f t="shared" si="13"/>
        <v>1</v>
      </c>
      <c r="BL56" s="182">
        <f t="shared" si="13"/>
        <v>1</v>
      </c>
      <c r="BM56" s="182">
        <f t="shared" si="13"/>
        <v>1</v>
      </c>
    </row>
    <row r="57" spans="1:65" x14ac:dyDescent="0.2">
      <c r="A57" s="143"/>
      <c r="B57" s="142"/>
      <c r="C57" s="144"/>
      <c r="D57" s="145"/>
      <c r="E57" s="146"/>
      <c r="F57" s="144"/>
      <c r="G57" s="147"/>
      <c r="J57" s="2"/>
      <c r="K57" s="55">
        <f>'[2]TICO 2'!$E$1</f>
        <v>45930</v>
      </c>
      <c r="L57" s="55">
        <f>'[2]TICO 2'!$E$2</f>
        <v>46022</v>
      </c>
    </row>
    <row r="58" spans="1:65" x14ac:dyDescent="0.2">
      <c r="A58" t="s">
        <v>9</v>
      </c>
      <c r="C58" s="19">
        <f>SUM(C14:C57)</f>
        <v>2645427041.247673</v>
      </c>
      <c r="D58" s="96"/>
      <c r="E58" s="19">
        <f>SUM(E14:E57)</f>
        <v>3475878569</v>
      </c>
      <c r="F58" s="19">
        <f>SUM(F14:F57)</f>
        <v>1472748072.8800001</v>
      </c>
      <c r="G58" s="38">
        <f t="shared" ref="G58" si="14">ROUND(F58/E58,3)</f>
        <v>0.42399999999999999</v>
      </c>
      <c r="J58" s="2"/>
    </row>
    <row r="59" spans="1:65" ht="12" thickBot="1" x14ac:dyDescent="0.25">
      <c r="A59" s="6"/>
      <c r="B59" s="6"/>
      <c r="C59" s="6"/>
      <c r="D59" s="6"/>
      <c r="E59" s="6"/>
      <c r="F59" s="6"/>
      <c r="G59" s="6"/>
      <c r="J59" s="2"/>
    </row>
    <row r="60" spans="1:65" ht="12" thickTop="1" x14ac:dyDescent="0.2">
      <c r="J60" s="2"/>
    </row>
    <row r="61" spans="1:65" x14ac:dyDescent="0.2">
      <c r="A61" t="s">
        <v>17</v>
      </c>
      <c r="J61" s="2"/>
    </row>
    <row r="62" spans="1:65" x14ac:dyDescent="0.2">
      <c r="A62" s="12" t="str">
        <f>C12&amp;" Provided by TDI.  Accident years ending "&amp;TEXT($K$57,"m/d/xx")&amp;" as of "&amp;TEXT($L$57,"m/d/yyyy")</f>
        <v>(2) Provided by TDI.  Accident years ending 9/30/xx as of 12/31/2025</v>
      </c>
      <c r="J62" s="2"/>
    </row>
    <row r="63" spans="1:65" x14ac:dyDescent="0.2">
      <c r="A63" s="12" t="str">
        <f>D12&amp;" 1987 and prior judgementally selected; 1988 - "&amp;YEAR(L57)&amp;" based on TWIA on-level factors"</f>
        <v>(3) 1987 and prior judgementally selected; 1988 - 2025 based on TWIA on-level factors</v>
      </c>
      <c r="J63" s="2"/>
      <c r="K63" s="29"/>
    </row>
    <row r="64" spans="1:65" x14ac:dyDescent="0.2">
      <c r="A64" s="12" t="str">
        <f>E12&amp;" = "&amp;C12&amp;" * "&amp;D12</f>
        <v>(4) = (2) * (3)</v>
      </c>
      <c r="J64" s="2"/>
      <c r="K64" s="29"/>
    </row>
    <row r="65" spans="1:10" x14ac:dyDescent="0.2">
      <c r="A65" s="12" t="str">
        <f>F12&amp;" Provided by TDI. Accident years ending "&amp;TEXT($K$57,"m/d/xx")&amp;" as of "&amp;TEXT($L$57,"m/d/yyyy")&amp;"; "&amp;" 2008 IKE incurred loss was adjusted down by $206,858,309"</f>
        <v>(5) Provided by TDI. Accident years ending 9/30/xx as of 12/31/2025;  2008 IKE incurred loss was adjusted down by $206,858,309</v>
      </c>
      <c r="J65" s="2"/>
    </row>
    <row r="66" spans="1:10" x14ac:dyDescent="0.2">
      <c r="A66" t="s">
        <v>282</v>
      </c>
      <c r="J66" s="2"/>
    </row>
    <row r="67" spans="1:10" ht="12" thickBot="1" x14ac:dyDescent="0.25">
      <c r="A67" s="12" t="str">
        <f>G12&amp;" = "&amp;F12&amp;" / "&amp;E12</f>
        <v>(6) = (5) / (4)</v>
      </c>
      <c r="B67" s="12"/>
      <c r="D67" s="42"/>
      <c r="E67" s="42"/>
      <c r="F67" s="42"/>
      <c r="G67" s="22"/>
      <c r="J67" s="2"/>
    </row>
    <row r="68" spans="1:10" ht="12" thickBot="1" x14ac:dyDescent="0.25">
      <c r="A68" s="4"/>
      <c r="B68" s="5"/>
      <c r="C68" s="5"/>
      <c r="D68" s="5"/>
      <c r="E68" s="5"/>
      <c r="F68" s="5"/>
      <c r="G68" s="5"/>
      <c r="H68" s="5"/>
      <c r="I68" s="5"/>
      <c r="J68" s="3"/>
    </row>
  </sheetData>
  <phoneticPr fontId="0" type="noConversion"/>
  <pageMargins left="0.5" right="0.5" top="0.5" bottom="0.5" header="0.5" footer="0.5"/>
  <pageSetup orientation="portrait" blackAndWhite="1" r:id="rId1"/>
  <headerFooter alignWithMargins="0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1">
    <tabColor rgb="FF92D050"/>
  </sheetPr>
  <dimension ref="A1:L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8" width="14" customWidth="1"/>
    <col min="9" max="9" width="11.33203125" customWidth="1"/>
  </cols>
  <sheetData>
    <row r="1" spans="1:11" x14ac:dyDescent="0.2">
      <c r="A1" s="8" t="str">
        <f>'1'!$A$1</f>
        <v>Texas Windstorm Insurance Association</v>
      </c>
      <c r="B1" s="12"/>
      <c r="I1" s="7" t="s">
        <v>88</v>
      </c>
      <c r="J1" s="1"/>
    </row>
    <row r="2" spans="1:11" x14ac:dyDescent="0.2">
      <c r="A2" s="8" t="str">
        <f>'1'!$A$2</f>
        <v>Residential Property - Wind &amp; Hail</v>
      </c>
      <c r="B2" s="12"/>
      <c r="I2" s="7" t="s">
        <v>82</v>
      </c>
      <c r="J2" s="2"/>
    </row>
    <row r="3" spans="1:11" x14ac:dyDescent="0.2">
      <c r="A3" s="8" t="str">
        <f>'1'!$A$3</f>
        <v>Rate Level Review</v>
      </c>
      <c r="B3" s="12"/>
      <c r="J3" s="2"/>
    </row>
    <row r="4" spans="1:11" x14ac:dyDescent="0.2">
      <c r="A4" t="s">
        <v>432</v>
      </c>
      <c r="B4" s="12"/>
      <c r="J4" s="2"/>
    </row>
    <row r="5" spans="1:11" x14ac:dyDescent="0.2">
      <c r="A5" t="s">
        <v>437</v>
      </c>
      <c r="B5" s="12"/>
      <c r="J5" s="2"/>
    </row>
    <row r="6" spans="1:11" x14ac:dyDescent="0.2">
      <c r="J6" s="2"/>
    </row>
    <row r="7" spans="1:11" ht="12" thickBot="1" x14ac:dyDescent="0.25">
      <c r="A7" s="6"/>
      <c r="B7" s="6"/>
      <c r="C7" s="6"/>
      <c r="D7" s="6"/>
      <c r="E7" s="6"/>
      <c r="F7" s="6"/>
      <c r="G7" s="6"/>
      <c r="J7" s="2"/>
    </row>
    <row r="8" spans="1:11" ht="12" thickTop="1" x14ac:dyDescent="0.2">
      <c r="A8" t="s">
        <v>48</v>
      </c>
      <c r="J8" s="2"/>
    </row>
    <row r="9" spans="1:11" x14ac:dyDescent="0.2">
      <c r="A9" t="s">
        <v>49</v>
      </c>
      <c r="C9" s="12"/>
      <c r="D9" t="s">
        <v>35</v>
      </c>
      <c r="E9" t="s">
        <v>42</v>
      </c>
      <c r="J9" s="2"/>
      <c r="K9" s="17"/>
    </row>
    <row r="10" spans="1:11" x14ac:dyDescent="0.2">
      <c r="A10" t="s">
        <v>32</v>
      </c>
      <c r="C10" t="s">
        <v>108</v>
      </c>
      <c r="D10" t="s">
        <v>118</v>
      </c>
      <c r="E10" t="s">
        <v>40</v>
      </c>
      <c r="F10" t="s">
        <v>78</v>
      </c>
      <c r="G10" t="s">
        <v>78</v>
      </c>
      <c r="J10" s="2"/>
      <c r="K10" s="12"/>
    </row>
    <row r="11" spans="1:11" x14ac:dyDescent="0.2">
      <c r="A11" s="9" t="str">
        <f>TEXT(K59,"m/d")</f>
        <v>9/30</v>
      </c>
      <c r="B11" s="9"/>
      <c r="C11" s="9" t="s">
        <v>109</v>
      </c>
      <c r="D11" s="9" t="s">
        <v>119</v>
      </c>
      <c r="E11" s="9" t="s">
        <v>41</v>
      </c>
      <c r="F11" s="9" t="s">
        <v>39</v>
      </c>
      <c r="G11" s="9" t="s">
        <v>70</v>
      </c>
      <c r="J11" s="2"/>
      <c r="K11" s="37"/>
    </row>
    <row r="12" spans="1:11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 t="str">
        <f>TEXT(COLUMN()-1,"(#)")</f>
        <v>(5)</v>
      </c>
      <c r="G12" s="11" t="str">
        <f>TEXT(COLUMN()-1,"(#)")</f>
        <v>(6)</v>
      </c>
      <c r="J12" s="2"/>
    </row>
    <row r="13" spans="1:11" x14ac:dyDescent="0.2">
      <c r="J13" s="2"/>
    </row>
    <row r="14" spans="1:11" x14ac:dyDescent="0.2">
      <c r="A14" s="93">
        <v>1983</v>
      </c>
      <c r="C14" s="31">
        <v>2331938</v>
      </c>
      <c r="D14" s="28">
        <f>'6.4'!D14</f>
        <v>2.252543431048422</v>
      </c>
      <c r="E14" s="26">
        <f t="shared" ref="E14:E22" si="0">C14*D14</f>
        <v>5252791.6235121954</v>
      </c>
      <c r="F14" s="31">
        <v>377010</v>
      </c>
      <c r="G14" s="22">
        <f>F14/E14</f>
        <v>7.1773264013073157E-2</v>
      </c>
      <c r="J14" s="2"/>
    </row>
    <row r="15" spans="1:11" x14ac:dyDescent="0.2">
      <c r="A15" t="str">
        <f>TEXT(A14+1,"#")</f>
        <v>1984</v>
      </c>
      <c r="C15" s="31">
        <v>1632317</v>
      </c>
      <c r="D15" s="28">
        <f>'6.4'!D15</f>
        <v>2.252543431048422</v>
      </c>
      <c r="E15" s="26">
        <f t="shared" si="0"/>
        <v>3676864.9357386669</v>
      </c>
      <c r="F15" s="31">
        <v>249086</v>
      </c>
      <c r="G15" s="22">
        <f>F15/E15</f>
        <v>6.7744125594311408E-2</v>
      </c>
      <c r="J15" s="2"/>
    </row>
    <row r="16" spans="1:11" x14ac:dyDescent="0.2">
      <c r="A16" t="str">
        <f t="shared" ref="A16:A56" si="1">TEXT(A15+1,"#")</f>
        <v>1985</v>
      </c>
      <c r="C16" s="31">
        <v>2505564</v>
      </c>
      <c r="D16" s="28">
        <f>'6.4'!D16</f>
        <v>2.252543431048422</v>
      </c>
      <c r="E16" s="26">
        <f t="shared" si="0"/>
        <v>5643891.7292714082</v>
      </c>
      <c r="F16" s="31">
        <v>467721</v>
      </c>
      <c r="G16" s="22">
        <f>F16/E16</f>
        <v>8.2872071690216487E-2</v>
      </c>
      <c r="J16" s="2"/>
    </row>
    <row r="17" spans="1:10" x14ac:dyDescent="0.2">
      <c r="A17" t="str">
        <f t="shared" si="1"/>
        <v>1986</v>
      </c>
      <c r="C17" s="31">
        <v>2977992</v>
      </c>
      <c r="D17" s="28">
        <f>'6.4'!D17</f>
        <v>2.252543431048422</v>
      </c>
      <c r="E17" s="26">
        <f t="shared" si="0"/>
        <v>6708056.3173147524</v>
      </c>
      <c r="F17" s="31">
        <v>189449</v>
      </c>
      <c r="G17" s="22">
        <f t="shared" ref="G17:G56" si="2">ROUND(F17/E17,3)</f>
        <v>2.8000000000000001E-2</v>
      </c>
      <c r="J17" s="2"/>
    </row>
    <row r="18" spans="1:10" x14ac:dyDescent="0.2">
      <c r="A18" t="str">
        <f t="shared" si="1"/>
        <v>1987</v>
      </c>
      <c r="C18" s="31">
        <v>3639667</v>
      </c>
      <c r="D18" s="28">
        <f>'6.4'!D18</f>
        <v>2.252543431048422</v>
      </c>
      <c r="E18" s="26">
        <f t="shared" si="0"/>
        <v>8198507.9920537174</v>
      </c>
      <c r="F18" s="31">
        <v>335212</v>
      </c>
      <c r="G18" s="22">
        <f t="shared" si="2"/>
        <v>4.1000000000000002E-2</v>
      </c>
      <c r="J18" s="2"/>
    </row>
    <row r="19" spans="1:10" x14ac:dyDescent="0.2">
      <c r="A19" t="str">
        <f t="shared" si="1"/>
        <v>1988</v>
      </c>
      <c r="C19" s="105">
        <v>3971251</v>
      </c>
      <c r="D19" s="28">
        <f>'6.4'!D19</f>
        <v>2.3150497749726844</v>
      </c>
      <c r="E19" s="26">
        <f t="shared" si="0"/>
        <v>9193643.7339100484</v>
      </c>
      <c r="F19" s="105">
        <v>626491</v>
      </c>
      <c r="G19" s="22">
        <f t="shared" si="2"/>
        <v>6.8000000000000005E-2</v>
      </c>
      <c r="J19" s="2"/>
    </row>
    <row r="20" spans="1:10" x14ac:dyDescent="0.2">
      <c r="A20" t="str">
        <f t="shared" si="1"/>
        <v>1989</v>
      </c>
      <c r="C20" s="105">
        <v>3702536</v>
      </c>
      <c r="D20" s="28">
        <f>'6.4'!D20</f>
        <v>2.3811241343006575</v>
      </c>
      <c r="E20" s="26">
        <f t="shared" si="0"/>
        <v>8816197.8277170192</v>
      </c>
      <c r="F20" s="105">
        <v>550215</v>
      </c>
      <c r="G20" s="22">
        <f t="shared" si="2"/>
        <v>6.2E-2</v>
      </c>
      <c r="J20" s="2"/>
    </row>
    <row r="21" spans="1:10" x14ac:dyDescent="0.2">
      <c r="A21" t="str">
        <f t="shared" si="1"/>
        <v>1990</v>
      </c>
      <c r="C21" s="105">
        <v>3519306</v>
      </c>
      <c r="D21" s="28">
        <f>'6.4'!D21</f>
        <v>2.3447800436244783</v>
      </c>
      <c r="E21" s="26">
        <f t="shared" si="0"/>
        <v>8251998.4762078887</v>
      </c>
      <c r="F21" s="105">
        <v>955271</v>
      </c>
      <c r="G21" s="22">
        <f>ROUND(F21/E21,3)</f>
        <v>0.11600000000000001</v>
      </c>
      <c r="J21" s="2"/>
    </row>
    <row r="22" spans="1:10" x14ac:dyDescent="0.2">
      <c r="A22" t="str">
        <f t="shared" si="1"/>
        <v>1991</v>
      </c>
      <c r="C22" s="53">
        <f>'[2]TICO 2'!P40</f>
        <v>4065189.7500367444</v>
      </c>
      <c r="D22" s="28">
        <f>'6.4'!D22</f>
        <v>2.0529144384529867</v>
      </c>
      <c r="E22" s="26">
        <f t="shared" si="0"/>
        <v>8345486.7329015201</v>
      </c>
      <c r="F22" s="53">
        <f>'[2]TICO 2'!V40</f>
        <v>1367254.07</v>
      </c>
      <c r="G22" s="22">
        <f t="shared" si="2"/>
        <v>0.16400000000000001</v>
      </c>
      <c r="J22" s="2"/>
    </row>
    <row r="23" spans="1:10" x14ac:dyDescent="0.2">
      <c r="A23" t="str">
        <f t="shared" si="1"/>
        <v>1992</v>
      </c>
      <c r="B23" s="12"/>
      <c r="C23" s="53">
        <f>'[2]TICO 2'!P41</f>
        <v>3907711.7768190652</v>
      </c>
      <c r="D23" s="28">
        <f>'6.4'!D23</f>
        <v>2.5309904035721749</v>
      </c>
      <c r="E23" s="26">
        <f t="shared" ref="E23:E56" si="3">C23*D23</f>
        <v>9890381.0070550255</v>
      </c>
      <c r="F23" s="53">
        <f>'[2]TICO 2'!V41</f>
        <v>1170577.6100000001</v>
      </c>
      <c r="G23" s="22">
        <f t="shared" si="2"/>
        <v>0.11799999999999999</v>
      </c>
      <c r="J23" s="2"/>
    </row>
    <row r="24" spans="1:10" x14ac:dyDescent="0.2">
      <c r="A24" t="str">
        <f t="shared" si="1"/>
        <v>1993</v>
      </c>
      <c r="B24" s="12"/>
      <c r="C24" s="53">
        <f>'[2]TICO 2'!P42</f>
        <v>4552394.5717778523</v>
      </c>
      <c r="D24" s="28">
        <f>'6.4'!D24</f>
        <v>3.4926710673113193</v>
      </c>
      <c r="E24" s="26">
        <f t="shared" si="3"/>
        <v>15900016.807833608</v>
      </c>
      <c r="F24" s="53">
        <f>'[2]TICO 2'!V42</f>
        <v>1312776.43</v>
      </c>
      <c r="G24" s="22">
        <f t="shared" si="2"/>
        <v>8.3000000000000004E-2</v>
      </c>
      <c r="J24" s="2"/>
    </row>
    <row r="25" spans="1:10" x14ac:dyDescent="0.2">
      <c r="A25" t="str">
        <f t="shared" si="1"/>
        <v>1994</v>
      </c>
      <c r="B25" s="12"/>
      <c r="C25" s="53">
        <f>'[2]TICO 2'!P43</f>
        <v>5710806.31582803</v>
      </c>
      <c r="D25" s="28">
        <f>'6.4'!D25</f>
        <v>3.0896705595446288</v>
      </c>
      <c r="E25" s="26">
        <f t="shared" si="3"/>
        <v>17644510.145275388</v>
      </c>
      <c r="F25" s="53">
        <f>'[2]TICO 2'!V43</f>
        <v>856368.8</v>
      </c>
      <c r="G25" s="22">
        <f t="shared" si="2"/>
        <v>4.9000000000000002E-2</v>
      </c>
      <c r="J25" s="2"/>
    </row>
    <row r="26" spans="1:10" x14ac:dyDescent="0.2">
      <c r="A26" t="str">
        <f t="shared" si="1"/>
        <v>1995</v>
      </c>
      <c r="C26" s="53">
        <f>'[2]TICO 2'!P44</f>
        <v>6908551.5027387999</v>
      </c>
      <c r="D26" s="28">
        <f>'6.4'!D26</f>
        <v>2.7463738307063363</v>
      </c>
      <c r="E26" s="26">
        <f t="shared" si="3"/>
        <v>18973465.055208776</v>
      </c>
      <c r="F26" s="53">
        <f>'[2]TICO 2'!V44</f>
        <v>1552987</v>
      </c>
      <c r="G26" s="22">
        <f t="shared" si="2"/>
        <v>8.2000000000000003E-2</v>
      </c>
      <c r="J26" s="2"/>
    </row>
    <row r="27" spans="1:10" x14ac:dyDescent="0.2">
      <c r="A27" t="str">
        <f t="shared" si="1"/>
        <v>1996</v>
      </c>
      <c r="C27" s="53">
        <f>'[2]TICO 2'!P45</f>
        <v>8568167.9449975695</v>
      </c>
      <c r="D27" s="28">
        <f>'6.4'!D27</f>
        <v>2.4717364476357027</v>
      </c>
      <c r="E27" s="26">
        <f t="shared" si="3"/>
        <v>21178252.99911439</v>
      </c>
      <c r="F27" s="53">
        <f>'[2]TICO 2'!V45</f>
        <v>1061115</v>
      </c>
      <c r="G27" s="22">
        <f t="shared" si="2"/>
        <v>0.05</v>
      </c>
      <c r="J27" s="2"/>
    </row>
    <row r="28" spans="1:10" x14ac:dyDescent="0.2">
      <c r="A28" t="str">
        <f t="shared" si="1"/>
        <v>1997</v>
      </c>
      <c r="C28" s="53">
        <f>'[2]TICO 2'!P46</f>
        <v>8425344.4375255406</v>
      </c>
      <c r="D28" s="28">
        <f>'6.4'!D28</f>
        <v>2.4717364476357027</v>
      </c>
      <c r="E28" s="26">
        <f t="shared" si="3"/>
        <v>20825230.930116609</v>
      </c>
      <c r="F28" s="53">
        <f>'[2]TICO 2'!V46</f>
        <v>882561</v>
      </c>
      <c r="G28" s="22">
        <f t="shared" si="2"/>
        <v>4.2000000000000003E-2</v>
      </c>
      <c r="J28" s="2"/>
    </row>
    <row r="29" spans="1:10" x14ac:dyDescent="0.2">
      <c r="A29" t="str">
        <f t="shared" si="1"/>
        <v>1998</v>
      </c>
      <c r="C29" s="53">
        <f>'[2]TICO 2'!P47</f>
        <v>8803621.2708639689</v>
      </c>
      <c r="D29" s="28">
        <f>'6.4'!D29</f>
        <v>2.4692671804552475</v>
      </c>
      <c r="E29" s="26">
        <f t="shared" si="3"/>
        <v>21738493.073302116</v>
      </c>
      <c r="F29" s="53">
        <f>'[2]TICO 2'!V47</f>
        <v>2289890</v>
      </c>
      <c r="G29" s="22">
        <f t="shared" si="2"/>
        <v>0.105</v>
      </c>
      <c r="J29" s="2"/>
    </row>
    <row r="30" spans="1:10" x14ac:dyDescent="0.2">
      <c r="A30" t="str">
        <f t="shared" si="1"/>
        <v>1999</v>
      </c>
      <c r="C30" s="53">
        <f>'[2]TICO 2'!P48</f>
        <v>8465255.5940993298</v>
      </c>
      <c r="D30" s="28">
        <f>'6.4'!D30</f>
        <v>2.5884604847343118</v>
      </c>
      <c r="E30" s="26">
        <f t="shared" si="3"/>
        <v>21911979.598502196</v>
      </c>
      <c r="F30" s="53">
        <f>'[2]TICO 2'!V48</f>
        <v>3778386</v>
      </c>
      <c r="G30" s="22">
        <f t="shared" si="2"/>
        <v>0.17199999999999999</v>
      </c>
      <c r="J30" s="2"/>
    </row>
    <row r="31" spans="1:10" x14ac:dyDescent="0.2">
      <c r="A31" t="str">
        <f t="shared" si="1"/>
        <v>2000</v>
      </c>
      <c r="C31" s="53">
        <f>'[2]TICO 2'!P49</f>
        <v>8437094.0914586708</v>
      </c>
      <c r="D31" s="28">
        <f>'6.4'!D31</f>
        <v>2.6092385660329733</v>
      </c>
      <c r="E31" s="26">
        <f t="shared" si="3"/>
        <v>22014391.288682893</v>
      </c>
      <c r="F31" s="53">
        <f>'[2]TICO 2'!V49</f>
        <v>485581</v>
      </c>
      <c r="G31" s="22">
        <f t="shared" si="2"/>
        <v>2.1999999999999999E-2</v>
      </c>
      <c r="J31" s="2"/>
    </row>
    <row r="32" spans="1:10" x14ac:dyDescent="0.2">
      <c r="A32" t="str">
        <f t="shared" si="1"/>
        <v>2001</v>
      </c>
      <c r="C32" s="53">
        <f>'[2]TICO 2'!P50</f>
        <v>8894551.5983342491</v>
      </c>
      <c r="D32" s="28">
        <f>'6.4'!D32</f>
        <v>2.2927423481211551</v>
      </c>
      <c r="E32" s="26">
        <f t="shared" si="3"/>
        <v>20392915.117049638</v>
      </c>
      <c r="F32" s="53">
        <f>'[2]TICO 2'!V50</f>
        <v>1394445</v>
      </c>
      <c r="G32" s="22">
        <f t="shared" si="2"/>
        <v>6.8000000000000005E-2</v>
      </c>
      <c r="J32" s="2"/>
    </row>
    <row r="33" spans="1:10" x14ac:dyDescent="0.2">
      <c r="A33" t="str">
        <f t="shared" si="1"/>
        <v>2002</v>
      </c>
      <c r="C33" s="53">
        <f>'[2]TICO 2'!P51</f>
        <v>10534795</v>
      </c>
      <c r="D33" s="28">
        <f>'6.4'!D33</f>
        <v>2.1137730087108539</v>
      </c>
      <c r="E33" s="26">
        <f t="shared" si="3"/>
        <v>22268165.32330206</v>
      </c>
      <c r="F33" s="53">
        <f>'[2]TICO 2'!V51</f>
        <v>1227528</v>
      </c>
      <c r="G33" s="22">
        <f t="shared" si="2"/>
        <v>5.5E-2</v>
      </c>
      <c r="J33" s="2"/>
    </row>
    <row r="34" spans="1:10" x14ac:dyDescent="0.2">
      <c r="A34" t="str">
        <f t="shared" si="1"/>
        <v>2003</v>
      </c>
      <c r="C34" s="53">
        <f>'[2]TICO 2'!P52</f>
        <v>13881847</v>
      </c>
      <c r="D34" s="28">
        <f>'6.4'!D34</f>
        <v>2.1137730087108539</v>
      </c>
      <c r="E34" s="26">
        <f t="shared" si="3"/>
        <v>29343073.499653742</v>
      </c>
      <c r="F34" s="53">
        <f>'[2]TICO 2'!V52</f>
        <v>2295803</v>
      </c>
      <c r="G34" s="22">
        <f t="shared" si="2"/>
        <v>7.8E-2</v>
      </c>
      <c r="J34" s="2"/>
    </row>
    <row r="35" spans="1:10" x14ac:dyDescent="0.2">
      <c r="A35" t="str">
        <f t="shared" si="1"/>
        <v>2004</v>
      </c>
      <c r="C35" s="53">
        <f>'[2]TICO 2'!P53</f>
        <v>15458506</v>
      </c>
      <c r="D35" s="28">
        <f>'6.4'!D35</f>
        <v>2.0155786842906265</v>
      </c>
      <c r="E35" s="26">
        <f t="shared" si="3"/>
        <v>31157835.184578754</v>
      </c>
      <c r="F35" s="53">
        <f>'[2]TICO 2'!V53</f>
        <v>569877</v>
      </c>
      <c r="G35" s="22">
        <f t="shared" si="2"/>
        <v>1.7999999999999999E-2</v>
      </c>
      <c r="J35" s="2"/>
    </row>
    <row r="36" spans="1:10" x14ac:dyDescent="0.2">
      <c r="A36" t="str">
        <f t="shared" si="1"/>
        <v>2005</v>
      </c>
      <c r="C36" s="53">
        <f>'[2]TICO 2'!P54</f>
        <v>17471646</v>
      </c>
      <c r="D36" s="28">
        <f>'6.4'!D36</f>
        <v>1.9286250079478586</v>
      </c>
      <c r="E36" s="26">
        <f t="shared" si="3"/>
        <v>33696253.405612171</v>
      </c>
      <c r="F36" s="53">
        <f>'[2]TICO 2'!V54</f>
        <v>872451</v>
      </c>
      <c r="G36" s="22">
        <f t="shared" si="2"/>
        <v>2.5999999999999999E-2</v>
      </c>
      <c r="J36" s="2"/>
    </row>
    <row r="37" spans="1:10" x14ac:dyDescent="0.2">
      <c r="A37" t="str">
        <f t="shared" si="1"/>
        <v>2006</v>
      </c>
      <c r="C37" s="53">
        <f>'[2]TICO 2'!P55</f>
        <v>19888512</v>
      </c>
      <c r="D37" s="28">
        <f>'6.4'!D37</f>
        <v>1.9239964550740354</v>
      </c>
      <c r="E37" s="26">
        <f t="shared" si="3"/>
        <v>38265426.58469741</v>
      </c>
      <c r="F37" s="53">
        <f>'[2]TICO 2'!V55</f>
        <v>621501</v>
      </c>
      <c r="G37" s="22">
        <f t="shared" si="2"/>
        <v>1.6E-2</v>
      </c>
      <c r="J37" s="2"/>
    </row>
    <row r="38" spans="1:10" x14ac:dyDescent="0.2">
      <c r="A38" t="str">
        <f t="shared" si="1"/>
        <v>2007</v>
      </c>
      <c r="B38" s="23"/>
      <c r="C38" s="53">
        <f>'[2]TICO 2'!P56</f>
        <v>29704042</v>
      </c>
      <c r="D38" s="28">
        <f>'6.4'!D38</f>
        <v>1.8364634726042235</v>
      </c>
      <c r="E38" s="26">
        <f t="shared" si="3"/>
        <v>54550388.121701702</v>
      </c>
      <c r="F38" s="53">
        <f>'[2]TICO 2'!V56</f>
        <v>833793</v>
      </c>
      <c r="G38" s="22">
        <f t="shared" si="2"/>
        <v>1.4999999999999999E-2</v>
      </c>
      <c r="J38" s="2"/>
    </row>
    <row r="39" spans="1:10" x14ac:dyDescent="0.2">
      <c r="A39" t="str">
        <f t="shared" si="1"/>
        <v>2008</v>
      </c>
      <c r="C39" s="53">
        <f>'[2]TICO 2'!P57</f>
        <v>40565108</v>
      </c>
      <c r="D39" s="28">
        <f>'6.4'!D39</f>
        <v>1.7320113079002213</v>
      </c>
      <c r="E39" s="26">
        <f t="shared" si="3"/>
        <v>70259225.762193725</v>
      </c>
      <c r="F39" s="53">
        <f>'[2]TICO 2'!V57</f>
        <v>1468028</v>
      </c>
      <c r="G39" s="22">
        <f t="shared" si="2"/>
        <v>2.1000000000000001E-2</v>
      </c>
      <c r="J39" s="2"/>
    </row>
    <row r="40" spans="1:10" x14ac:dyDescent="0.2">
      <c r="A40" t="str">
        <f t="shared" si="1"/>
        <v>2009</v>
      </c>
      <c r="C40" s="53">
        <f>'[2]TICO 2'!P58</f>
        <v>46363445</v>
      </c>
      <c r="D40" s="28">
        <f>'6.4'!D40</f>
        <v>1.5736409509560276</v>
      </c>
      <c r="E40" s="26">
        <f t="shared" si="3"/>
        <v>72959415.679397479</v>
      </c>
      <c r="F40" s="53">
        <f>'[2]TICO 2'!V58</f>
        <v>615469</v>
      </c>
      <c r="G40" s="22">
        <f t="shared" si="2"/>
        <v>8.0000000000000002E-3</v>
      </c>
      <c r="J40" s="2"/>
    </row>
    <row r="41" spans="1:10" x14ac:dyDescent="0.2">
      <c r="A41" t="str">
        <f t="shared" si="1"/>
        <v>2010</v>
      </c>
      <c r="C41" s="53">
        <f>'[2]TICO 2'!P59</f>
        <v>51529115</v>
      </c>
      <c r="D41" s="28">
        <f>'6.4'!D41</f>
        <v>1.4778548957967284</v>
      </c>
      <c r="E41" s="26">
        <f t="shared" si="3"/>
        <v>76152554.878822625</v>
      </c>
      <c r="F41" s="53">
        <f>'[2]TICO 2'!V59</f>
        <v>4059049</v>
      </c>
      <c r="G41" s="22">
        <f t="shared" si="2"/>
        <v>5.2999999999999999E-2</v>
      </c>
      <c r="J41" s="2"/>
    </row>
    <row r="42" spans="1:10" x14ac:dyDescent="0.2">
      <c r="A42" t="str">
        <f t="shared" si="1"/>
        <v>2011</v>
      </c>
      <c r="C42" s="53">
        <f>'[2]TICO 2'!P60</f>
        <v>52931755</v>
      </c>
      <c r="D42" s="28">
        <f>'6.4'!D42</f>
        <v>1.4413525093000297</v>
      </c>
      <c r="E42" s="26">
        <f t="shared" si="3"/>
        <v>76293317.890904397</v>
      </c>
      <c r="F42" s="53">
        <f>'[2]TICO 2'!V60</f>
        <v>19845538</v>
      </c>
      <c r="G42" s="22">
        <f t="shared" si="2"/>
        <v>0.26</v>
      </c>
      <c r="J42" s="2"/>
    </row>
    <row r="43" spans="1:10" x14ac:dyDescent="0.2">
      <c r="A43" t="str">
        <f t="shared" si="1"/>
        <v>2012</v>
      </c>
      <c r="C43" s="53">
        <f>'[2]TICO 2'!P61</f>
        <v>56334273</v>
      </c>
      <c r="D43" s="28">
        <f>'6.4'!D43</f>
        <v>1.3727418575616306</v>
      </c>
      <c r="E43" s="26">
        <f t="shared" si="3"/>
        <v>77332414.562404007</v>
      </c>
      <c r="F43" s="53">
        <f>'[2]TICO 2'!V61</f>
        <v>21291155</v>
      </c>
      <c r="G43" s="22">
        <f t="shared" si="2"/>
        <v>0.27500000000000002</v>
      </c>
      <c r="J43" s="2"/>
    </row>
    <row r="44" spans="1:10" x14ac:dyDescent="0.2">
      <c r="A44" t="str">
        <f t="shared" si="1"/>
        <v>2013</v>
      </c>
      <c r="C44" s="53">
        <f>'[2]TICO 2'!P62</f>
        <v>60101696</v>
      </c>
      <c r="D44" s="28">
        <f>'6.4'!D44</f>
        <v>1.3075493593415137</v>
      </c>
      <c r="E44" s="26">
        <f t="shared" si="3"/>
        <v>78585934.100138411</v>
      </c>
      <c r="F44" s="53">
        <f>'[2]TICO 2'!V62</f>
        <v>6825640</v>
      </c>
      <c r="G44" s="22">
        <f t="shared" si="2"/>
        <v>8.6999999999999994E-2</v>
      </c>
      <c r="J44" s="2"/>
    </row>
    <row r="45" spans="1:10" x14ac:dyDescent="0.2">
      <c r="A45" t="str">
        <f t="shared" si="1"/>
        <v>2014</v>
      </c>
      <c r="C45" s="53">
        <f>'[2]TICO 2'!P63</f>
        <v>65642137</v>
      </c>
      <c r="D45" s="28">
        <f>'6.4'!D45</f>
        <v>1.2455465141622082</v>
      </c>
      <c r="E45" s="26">
        <f t="shared" si="3"/>
        <v>81760334.922508106</v>
      </c>
      <c r="F45" s="53">
        <f>'[2]TICO 2'!V63</f>
        <v>1914066</v>
      </c>
      <c r="G45" s="22">
        <f t="shared" si="2"/>
        <v>2.3E-2</v>
      </c>
      <c r="J45" s="2"/>
    </row>
    <row r="46" spans="1:10" x14ac:dyDescent="0.2">
      <c r="A46" t="str">
        <f t="shared" si="1"/>
        <v>2015</v>
      </c>
      <c r="C46" s="53">
        <f>'[2]TICO 2'!P64</f>
        <v>72124134</v>
      </c>
      <c r="D46" s="28">
        <f>'6.4'!D46</f>
        <v>1.1864644900727379</v>
      </c>
      <c r="E46" s="26">
        <f t="shared" si="3"/>
        <v>85572723.868247822</v>
      </c>
      <c r="F46" s="53">
        <f>'[2]TICO 2'!V64</f>
        <v>9924249</v>
      </c>
      <c r="G46" s="22">
        <f t="shared" si="2"/>
        <v>0.11600000000000001</v>
      </c>
      <c r="J46" s="2"/>
    </row>
    <row r="47" spans="1:10" x14ac:dyDescent="0.2">
      <c r="A47" t="str">
        <f t="shared" si="1"/>
        <v>2016</v>
      </c>
      <c r="C47" s="53">
        <f>'[2]TICO 2'!P65</f>
        <v>76436084</v>
      </c>
      <c r="D47" s="28">
        <f>'6.4'!D47</f>
        <v>1.1303877408726286</v>
      </c>
      <c r="E47" s="26">
        <f t="shared" si="3"/>
        <v>86402412.313910469</v>
      </c>
      <c r="F47" s="53">
        <f>'[2]TICO 2'!V65</f>
        <v>10445691</v>
      </c>
      <c r="G47" s="22">
        <f t="shared" si="2"/>
        <v>0.121</v>
      </c>
      <c r="J47" s="2"/>
    </row>
    <row r="48" spans="1:10" x14ac:dyDescent="0.2">
      <c r="A48" t="str">
        <f t="shared" si="1"/>
        <v>2017</v>
      </c>
      <c r="C48" s="53">
        <f>'[2]TICO 2'!P66</f>
        <v>77008517</v>
      </c>
      <c r="D48" s="28">
        <f>'6.4'!D48</f>
        <v>1.1025000000000003</v>
      </c>
      <c r="E48" s="26">
        <f t="shared" si="3"/>
        <v>84901889.992500022</v>
      </c>
      <c r="F48" s="53">
        <f>'[2]TICO 2'!V66</f>
        <v>277344414</v>
      </c>
      <c r="G48" s="22">
        <f t="shared" si="2"/>
        <v>3.2669999999999999</v>
      </c>
      <c r="J48" s="2"/>
    </row>
    <row r="49" spans="1:12" x14ac:dyDescent="0.2">
      <c r="A49" t="str">
        <f t="shared" si="1"/>
        <v>2018</v>
      </c>
      <c r="C49" s="53">
        <f>'[2]TICO 2'!P67</f>
        <v>77031486</v>
      </c>
      <c r="D49" s="28">
        <f>'6.4'!D49</f>
        <v>1.0768211446107889</v>
      </c>
      <c r="E49" s="26">
        <f t="shared" si="3"/>
        <v>82949132.925589964</v>
      </c>
      <c r="F49" s="53">
        <f>'[2]TICO 2'!V67</f>
        <v>1671170</v>
      </c>
      <c r="G49" s="22">
        <f t="shared" si="2"/>
        <v>0.02</v>
      </c>
      <c r="J49" s="2"/>
    </row>
    <row r="50" spans="1:12" x14ac:dyDescent="0.2">
      <c r="A50" t="str">
        <f t="shared" si="1"/>
        <v>2019</v>
      </c>
      <c r="C50" s="53">
        <f>'[2]TICO 2'!P68</f>
        <v>76506580</v>
      </c>
      <c r="D50" s="28">
        <f>'6.4'!D50</f>
        <v>1.0499999999999947</v>
      </c>
      <c r="E50" s="26">
        <f t="shared" si="3"/>
        <v>80331908.999999598</v>
      </c>
      <c r="F50" s="53">
        <f>'[2]TICO 2'!V68</f>
        <v>1370278</v>
      </c>
      <c r="G50" s="22">
        <f t="shared" si="2"/>
        <v>1.7000000000000001E-2</v>
      </c>
      <c r="J50" s="2"/>
    </row>
    <row r="51" spans="1:12" x14ac:dyDescent="0.2">
      <c r="A51" t="str">
        <f t="shared" si="1"/>
        <v>2020</v>
      </c>
      <c r="C51" s="53">
        <f>'[2]TICO 2'!P69</f>
        <v>73290165</v>
      </c>
      <c r="D51" s="28">
        <f>'6.4'!D51</f>
        <v>1.0500000000000036</v>
      </c>
      <c r="E51" s="26">
        <f t="shared" si="3"/>
        <v>76954673.250000268</v>
      </c>
      <c r="F51" s="53">
        <f>'[2]TICO 2'!V69</f>
        <v>3057424</v>
      </c>
      <c r="G51" s="22">
        <f t="shared" si="2"/>
        <v>0.04</v>
      </c>
      <c r="J51" s="2"/>
    </row>
    <row r="52" spans="1:12" x14ac:dyDescent="0.2">
      <c r="A52" t="str">
        <f t="shared" si="1"/>
        <v>2021</v>
      </c>
      <c r="C52" s="53">
        <f>'[2]TICO 2'!P70</f>
        <v>71903454</v>
      </c>
      <c r="D52" s="28">
        <f>'6.4'!D52</f>
        <v>1.0500000000000056</v>
      </c>
      <c r="E52" s="26">
        <f t="shared" si="3"/>
        <v>75498626.700000405</v>
      </c>
      <c r="F52" s="53">
        <f>'[2]TICO 2'!V70</f>
        <v>1764966</v>
      </c>
      <c r="G52" s="22">
        <f t="shared" si="2"/>
        <v>2.3E-2</v>
      </c>
      <c r="J52" s="2"/>
    </row>
    <row r="53" spans="1:12" x14ac:dyDescent="0.2">
      <c r="A53" t="str">
        <f t="shared" si="1"/>
        <v>2022</v>
      </c>
      <c r="C53" s="53">
        <f>'[2]TICO 2'!P71</f>
        <v>74944777</v>
      </c>
      <c r="D53" s="28">
        <f>'6.4'!D53</f>
        <v>1.0228262738748721</v>
      </c>
      <c r="E53" s="26">
        <f t="shared" si="3"/>
        <v>76655487.00529322</v>
      </c>
      <c r="F53" s="53">
        <f>'[2]TICO 2'!V71</f>
        <v>1648831</v>
      </c>
      <c r="G53" s="22">
        <f t="shared" si="2"/>
        <v>2.1999999999999999E-2</v>
      </c>
      <c r="J53" s="2"/>
    </row>
    <row r="54" spans="1:12" x14ac:dyDescent="0.2">
      <c r="A54" t="str">
        <f t="shared" si="1"/>
        <v>2023</v>
      </c>
      <c r="C54" s="53">
        <f>'[2]TICO 2'!P72</f>
        <v>87048866</v>
      </c>
      <c r="D54" s="28">
        <f>'6.4'!D54</f>
        <v>1</v>
      </c>
      <c r="E54" s="26">
        <f t="shared" si="3"/>
        <v>87048866</v>
      </c>
      <c r="F54" s="53">
        <f>'[2]TICO 2'!V72</f>
        <v>2338699</v>
      </c>
      <c r="G54" s="22">
        <f t="shared" si="2"/>
        <v>2.7E-2</v>
      </c>
      <c r="J54" s="2"/>
    </row>
    <row r="55" spans="1:12" x14ac:dyDescent="0.2">
      <c r="A55" t="str">
        <f t="shared" si="1"/>
        <v>2024</v>
      </c>
      <c r="C55" s="53">
        <f>'[2]TICO 2'!P73</f>
        <v>99306567</v>
      </c>
      <c r="D55" s="28">
        <f>'6.4'!D55</f>
        <v>1</v>
      </c>
      <c r="E55" s="26">
        <f t="shared" si="3"/>
        <v>99306567</v>
      </c>
      <c r="F55" s="53">
        <f>'[2]TICO 2'!V73</f>
        <v>1372969</v>
      </c>
      <c r="G55" s="22">
        <f t="shared" si="2"/>
        <v>1.4E-2</v>
      </c>
      <c r="J55" s="2"/>
    </row>
    <row r="56" spans="1:12" x14ac:dyDescent="0.2">
      <c r="A56" t="str">
        <f t="shared" si="1"/>
        <v>2025</v>
      </c>
      <c r="C56" s="53">
        <f>'[2]TICO 2'!P74</f>
        <v>114606843</v>
      </c>
      <c r="D56" s="28">
        <f>'6.4'!D56</f>
        <v>0.99999999999999856</v>
      </c>
      <c r="E56" s="26">
        <f t="shared" si="3"/>
        <v>114606842.99999984</v>
      </c>
      <c r="F56" s="53">
        <f>'[2]TICO 2'!V74</f>
        <v>1539381</v>
      </c>
      <c r="G56" s="22">
        <f t="shared" si="2"/>
        <v>1.2999999999999999E-2</v>
      </c>
      <c r="J56" s="2"/>
    </row>
    <row r="57" spans="1:12" x14ac:dyDescent="0.2">
      <c r="A57" s="142"/>
      <c r="B57" s="142"/>
      <c r="C57" s="144"/>
      <c r="D57" s="145"/>
      <c r="E57" s="146"/>
      <c r="F57" s="144"/>
      <c r="G57" s="147"/>
      <c r="J57" s="2"/>
    </row>
    <row r="58" spans="1:12" x14ac:dyDescent="0.2">
      <c r="A58" t="s">
        <v>9</v>
      </c>
      <c r="C58" s="26">
        <f>SUM(C14:C57)</f>
        <v>1481633609.8544798</v>
      </c>
      <c r="D58" s="26"/>
      <c r="E58" s="26">
        <f>SUM(E14:E57)</f>
        <v>1947410546.3622241</v>
      </c>
      <c r="F58" s="26">
        <f>SUM(F14:F57)</f>
        <v>394820366.90999997</v>
      </c>
      <c r="G58" s="22">
        <f>ROUND(F58/E58,3)</f>
        <v>0.20300000000000001</v>
      </c>
      <c r="J58" s="2"/>
      <c r="K58" t="s">
        <v>193</v>
      </c>
      <c r="L58" t="s">
        <v>194</v>
      </c>
    </row>
    <row r="59" spans="1:12" ht="12" thickBot="1" x14ac:dyDescent="0.25">
      <c r="A59" s="6"/>
      <c r="B59" s="6"/>
      <c r="C59" s="158"/>
      <c r="D59" s="6"/>
      <c r="E59" s="158"/>
      <c r="F59" s="158"/>
      <c r="G59" s="6"/>
      <c r="J59" s="2"/>
      <c r="K59" s="37">
        <f>'6.4'!K$57</f>
        <v>45930</v>
      </c>
      <c r="L59" s="37">
        <f>'6.4'!L$57</f>
        <v>46022</v>
      </c>
    </row>
    <row r="60" spans="1:12" ht="12" thickTop="1" x14ac:dyDescent="0.2">
      <c r="J60" s="2"/>
    </row>
    <row r="61" spans="1:12" x14ac:dyDescent="0.2">
      <c r="A61" t="s">
        <v>17</v>
      </c>
      <c r="J61" s="2"/>
    </row>
    <row r="62" spans="1:12" x14ac:dyDescent="0.2">
      <c r="J62" s="2"/>
    </row>
    <row r="63" spans="1:12" x14ac:dyDescent="0.2">
      <c r="A63" s="12" t="str">
        <f>C12&amp;" Provided by TDI.  Accident years ending "&amp;TEXT($K$59,"m/d/xx")&amp;" as of "&amp;TEXT($L$59,"m/d/yyyy")</f>
        <v>(2) Provided by TDI.  Accident years ending 9/30/xx as of 12/31/2025</v>
      </c>
      <c r="J63" s="2"/>
    </row>
    <row r="64" spans="1:12" x14ac:dyDescent="0.2">
      <c r="A64" s="12" t="str">
        <f>'6.4'!A63</f>
        <v>(3) 1987 and prior judgementally selected; 1988 - 2025 based on TWIA on-level factors</v>
      </c>
      <c r="J64" s="2"/>
    </row>
    <row r="65" spans="1:10" x14ac:dyDescent="0.2">
      <c r="A65" s="12" t="str">
        <f>E12&amp;" = "&amp;C12&amp;" * "&amp;D12</f>
        <v>(4) = (2) * (3)</v>
      </c>
      <c r="J65" s="2"/>
    </row>
    <row r="66" spans="1:10" x14ac:dyDescent="0.2">
      <c r="A66" s="12" t="str">
        <f>F12&amp;" Provided by TDI. Accident years ending "&amp;TEXT($K$59,"m/d/xx")&amp;" as of "&amp;TEXT($L$59,"m/d/yyyy")</f>
        <v>(5) Provided by TDI. Accident years ending 9/30/xx as of 12/31/2025</v>
      </c>
      <c r="J66" s="2"/>
    </row>
    <row r="67" spans="1:10" x14ac:dyDescent="0.2">
      <c r="A67" s="12" t="str">
        <f>G12&amp;" = "&amp;F12&amp;" / "&amp;E12</f>
        <v>(6) = (5) / (4)</v>
      </c>
      <c r="B67" s="23"/>
      <c r="J67" s="2"/>
    </row>
    <row r="68" spans="1:10" ht="12" thickBot="1" x14ac:dyDescent="0.25">
      <c r="B68" s="23"/>
      <c r="C68" s="42"/>
      <c r="D68" s="42"/>
      <c r="E68" s="42"/>
      <c r="F68" s="42"/>
      <c r="G68" s="22"/>
      <c r="J68" s="2"/>
    </row>
    <row r="69" spans="1:10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2">
    <tabColor rgb="FF92D050"/>
  </sheetPr>
  <dimension ref="A1:L68"/>
  <sheetViews>
    <sheetView showGridLines="0" topLeftCell="A4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8" width="14" customWidth="1"/>
    <col min="9" max="9" width="11.33203125" customWidth="1"/>
  </cols>
  <sheetData>
    <row r="1" spans="1:11" x14ac:dyDescent="0.2">
      <c r="A1" s="8" t="str">
        <f>'1'!$A$1</f>
        <v>Texas Windstorm Insurance Association</v>
      </c>
      <c r="B1" s="12"/>
      <c r="I1" s="7" t="s">
        <v>88</v>
      </c>
      <c r="J1" s="1"/>
    </row>
    <row r="2" spans="1:11" x14ac:dyDescent="0.2">
      <c r="A2" s="8" t="str">
        <f>'1'!$A$2</f>
        <v>Residential Property - Wind &amp; Hail</v>
      </c>
      <c r="B2" s="12"/>
      <c r="I2" s="7" t="s">
        <v>120</v>
      </c>
      <c r="J2" s="2"/>
    </row>
    <row r="3" spans="1:11" x14ac:dyDescent="0.2">
      <c r="A3" s="8" t="str">
        <f>'1'!$A$3</f>
        <v>Rate Level Review</v>
      </c>
      <c r="B3" s="12"/>
      <c r="J3" s="2"/>
    </row>
    <row r="4" spans="1:11" x14ac:dyDescent="0.2">
      <c r="A4" t="s">
        <v>432</v>
      </c>
      <c r="B4" s="12"/>
      <c r="J4" s="2"/>
    </row>
    <row r="5" spans="1:11" x14ac:dyDescent="0.2">
      <c r="A5" t="s">
        <v>438</v>
      </c>
      <c r="B5" s="12"/>
      <c r="J5" s="2"/>
    </row>
    <row r="6" spans="1:11" x14ac:dyDescent="0.2">
      <c r="J6" s="2"/>
    </row>
    <row r="7" spans="1:11" ht="12" thickBot="1" x14ac:dyDescent="0.25">
      <c r="A7" s="6"/>
      <c r="B7" s="6"/>
      <c r="C7" s="6"/>
      <c r="D7" s="6"/>
      <c r="E7" s="6"/>
      <c r="F7" s="6"/>
      <c r="G7" s="6"/>
      <c r="J7" s="2"/>
    </row>
    <row r="8" spans="1:11" ht="12" thickTop="1" x14ac:dyDescent="0.2">
      <c r="A8" t="s">
        <v>48</v>
      </c>
      <c r="J8" s="2"/>
    </row>
    <row r="9" spans="1:11" x14ac:dyDescent="0.2">
      <c r="A9" t="s">
        <v>49</v>
      </c>
      <c r="C9" s="180"/>
      <c r="D9" s="11" t="s">
        <v>35</v>
      </c>
      <c r="E9" s="11" t="s">
        <v>42</v>
      </c>
      <c r="F9" s="11"/>
      <c r="G9" s="11"/>
      <c r="J9" s="2"/>
      <c r="K9" s="17"/>
    </row>
    <row r="10" spans="1:11" x14ac:dyDescent="0.2">
      <c r="A10" t="s">
        <v>32</v>
      </c>
      <c r="C10" s="11" t="s">
        <v>108</v>
      </c>
      <c r="D10" s="11" t="s">
        <v>118</v>
      </c>
      <c r="E10" s="11" t="s">
        <v>40</v>
      </c>
      <c r="F10" s="11" t="s">
        <v>78</v>
      </c>
      <c r="G10" s="11" t="s">
        <v>78</v>
      </c>
      <c r="J10" s="2"/>
      <c r="K10" s="12"/>
    </row>
    <row r="11" spans="1:11" x14ac:dyDescent="0.2">
      <c r="A11" s="9" t="str">
        <f>TEXT(K59,"m/d")</f>
        <v>9/30</v>
      </c>
      <c r="B11" s="9"/>
      <c r="C11" s="121" t="s">
        <v>109</v>
      </c>
      <c r="D11" s="121" t="s">
        <v>119</v>
      </c>
      <c r="E11" s="121" t="s">
        <v>41</v>
      </c>
      <c r="F11" s="121" t="s">
        <v>39</v>
      </c>
      <c r="G11" s="121" t="s">
        <v>70</v>
      </c>
      <c r="J11" s="2"/>
      <c r="K11" s="37"/>
    </row>
    <row r="12" spans="1:11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 t="str">
        <f>TEXT(COLUMN()-1,"(#)")</f>
        <v>(5)</v>
      </c>
      <c r="G12" s="11" t="str">
        <f>TEXT(COLUMN()-1,"(#)")</f>
        <v>(6)</v>
      </c>
      <c r="J12" s="2"/>
    </row>
    <row r="13" spans="1:11" x14ac:dyDescent="0.2">
      <c r="J13" s="2"/>
    </row>
    <row r="14" spans="1:11" x14ac:dyDescent="0.2">
      <c r="A14" s="93">
        <v>1983</v>
      </c>
      <c r="C14" s="31">
        <v>5888781</v>
      </c>
      <c r="D14" s="28">
        <f>'6.4'!D14</f>
        <v>2.252543431048422</v>
      </c>
      <c r="E14" s="26">
        <f t="shared" ref="E14:E22" si="0">C14*D14</f>
        <v>13264734.958432758</v>
      </c>
      <c r="F14" s="31">
        <v>21953626</v>
      </c>
      <c r="G14" s="22">
        <f>F14/E14</f>
        <v>1.6550369131984408</v>
      </c>
      <c r="J14" s="2"/>
    </row>
    <row r="15" spans="1:11" x14ac:dyDescent="0.2">
      <c r="A15" t="str">
        <f>TEXT(A14+1,"#")</f>
        <v>1984</v>
      </c>
      <c r="C15" s="31">
        <v>3924651</v>
      </c>
      <c r="D15" s="28">
        <f>'6.4'!D15</f>
        <v>2.252543431048422</v>
      </c>
      <c r="E15" s="26">
        <f t="shared" si="0"/>
        <v>8840446.8292076197</v>
      </c>
      <c r="F15" s="31">
        <v>2135063</v>
      </c>
      <c r="G15" s="22">
        <f>F15/E15</f>
        <v>0.24151075632806768</v>
      </c>
      <c r="J15" s="2"/>
    </row>
    <row r="16" spans="1:11" x14ac:dyDescent="0.2">
      <c r="A16" t="str">
        <f t="shared" ref="A16:A56" si="1">TEXT(A15+1,"#")</f>
        <v>1985</v>
      </c>
      <c r="C16" s="31">
        <v>5808825</v>
      </c>
      <c r="D16" s="28">
        <f>'6.4'!D16</f>
        <v>2.252543431048422</v>
      </c>
      <c r="E16" s="26">
        <f t="shared" si="0"/>
        <v>13084630.59585985</v>
      </c>
      <c r="F16" s="31">
        <v>1055065</v>
      </c>
      <c r="G16" s="22">
        <f>F16/E16</f>
        <v>8.0633915666968578E-2</v>
      </c>
      <c r="J16" s="2"/>
    </row>
    <row r="17" spans="1:10" x14ac:dyDescent="0.2">
      <c r="A17" t="str">
        <f t="shared" si="1"/>
        <v>1986</v>
      </c>
      <c r="C17" s="31">
        <v>6993722</v>
      </c>
      <c r="D17" s="28">
        <f>'6.4'!D17</f>
        <v>2.252543431048422</v>
      </c>
      <c r="E17" s="26">
        <f t="shared" si="0"/>
        <v>15753662.549678832</v>
      </c>
      <c r="F17" s="31">
        <v>3338312</v>
      </c>
      <c r="G17" s="22">
        <f t="shared" ref="G17:G56" si="2">ROUND(F17/E17,3)</f>
        <v>0.21199999999999999</v>
      </c>
      <c r="J17" s="2"/>
    </row>
    <row r="18" spans="1:10" x14ac:dyDescent="0.2">
      <c r="A18" t="str">
        <f t="shared" si="1"/>
        <v>1987</v>
      </c>
      <c r="C18" s="31">
        <v>7677374</v>
      </c>
      <c r="D18" s="28">
        <f>'6.4'!D18</f>
        <v>2.252543431048422</v>
      </c>
      <c r="E18" s="26">
        <f t="shared" si="0"/>
        <v>17293618.371401947</v>
      </c>
      <c r="F18" s="31">
        <v>634637</v>
      </c>
      <c r="G18" s="22">
        <f t="shared" si="2"/>
        <v>3.6999999999999998E-2</v>
      </c>
      <c r="J18" s="2"/>
    </row>
    <row r="19" spans="1:10" x14ac:dyDescent="0.2">
      <c r="A19" t="str">
        <f t="shared" si="1"/>
        <v>1988</v>
      </c>
      <c r="C19" s="105">
        <v>8284768</v>
      </c>
      <c r="D19" s="28">
        <f>'6.4'!D19</f>
        <v>2.3150497749726844</v>
      </c>
      <c r="E19" s="26">
        <f t="shared" si="0"/>
        <v>19179650.294100896</v>
      </c>
      <c r="F19" s="105">
        <v>3434130</v>
      </c>
      <c r="G19" s="22">
        <f t="shared" si="2"/>
        <v>0.17899999999999999</v>
      </c>
      <c r="J19" s="2"/>
    </row>
    <row r="20" spans="1:10" x14ac:dyDescent="0.2">
      <c r="A20" t="str">
        <f t="shared" si="1"/>
        <v>1989</v>
      </c>
      <c r="C20" s="105">
        <v>7733295</v>
      </c>
      <c r="D20" s="28">
        <f>'6.4'!D20</f>
        <v>2.3811241343006575</v>
      </c>
      <c r="E20" s="26">
        <f t="shared" si="0"/>
        <v>18413935.362166602</v>
      </c>
      <c r="F20" s="105">
        <v>1670422</v>
      </c>
      <c r="G20" s="22">
        <f t="shared" si="2"/>
        <v>9.0999999999999998E-2</v>
      </c>
      <c r="J20" s="2"/>
    </row>
    <row r="21" spans="1:10" x14ac:dyDescent="0.2">
      <c r="A21" t="str">
        <f t="shared" si="1"/>
        <v>1990</v>
      </c>
      <c r="C21" s="105">
        <v>7568146</v>
      </c>
      <c r="D21" s="28">
        <f>'6.4'!D21</f>
        <v>2.3447800436244783</v>
      </c>
      <c r="E21" s="26">
        <f t="shared" si="0"/>
        <v>17745637.708036423</v>
      </c>
      <c r="F21" s="105">
        <v>2095151</v>
      </c>
      <c r="G21" s="22">
        <f t="shared" si="2"/>
        <v>0.11799999999999999</v>
      </c>
      <c r="J21" s="2"/>
    </row>
    <row r="22" spans="1:10" x14ac:dyDescent="0.2">
      <c r="A22" t="str">
        <f t="shared" si="1"/>
        <v>1991</v>
      </c>
      <c r="C22" s="53">
        <f>'[2]TICO 2'!Q40</f>
        <v>8287605.1148678511</v>
      </c>
      <c r="D22" s="28">
        <f>'6.4'!D22</f>
        <v>2.0529144384529867</v>
      </c>
      <c r="E22" s="26">
        <f t="shared" si="0"/>
        <v>17013744.200509034</v>
      </c>
      <c r="F22" s="53">
        <f>'[2]TICO 2'!W40</f>
        <v>22444043.98</v>
      </c>
      <c r="G22" s="22">
        <f t="shared" si="2"/>
        <v>1.319</v>
      </c>
      <c r="J22" s="2"/>
    </row>
    <row r="23" spans="1:10" x14ac:dyDescent="0.2">
      <c r="A23" t="str">
        <f t="shared" si="1"/>
        <v>1992</v>
      </c>
      <c r="B23" s="12"/>
      <c r="C23" s="53">
        <f>'[2]TICO 2'!Q41</f>
        <v>8059406.7247919338</v>
      </c>
      <c r="D23" s="28">
        <f>'6.4'!D23</f>
        <v>2.5309904035721749</v>
      </c>
      <c r="E23" s="26">
        <f t="shared" ref="E23:E55" si="3">C23*D23</f>
        <v>20398281.078933436</v>
      </c>
      <c r="F23" s="53">
        <f>'[2]TICO 2'!W41</f>
        <v>1625107.79</v>
      </c>
      <c r="G23" s="22">
        <f t="shared" si="2"/>
        <v>0.08</v>
      </c>
      <c r="J23" s="2"/>
    </row>
    <row r="24" spans="1:10" x14ac:dyDescent="0.2">
      <c r="A24" t="str">
        <f t="shared" si="1"/>
        <v>1993</v>
      </c>
      <c r="B24" s="12"/>
      <c r="C24" s="53">
        <f>'[2]TICO 2'!Q42</f>
        <v>8448603.4214781895</v>
      </c>
      <c r="D24" s="28">
        <f>'6.4'!D24</f>
        <v>3.4926710673113193</v>
      </c>
      <c r="E24" s="26">
        <f t="shared" si="3"/>
        <v>29508192.729384292</v>
      </c>
      <c r="F24" s="53">
        <f>'[2]TICO 2'!W42</f>
        <v>1776572.41</v>
      </c>
      <c r="G24" s="22">
        <f t="shared" si="2"/>
        <v>0.06</v>
      </c>
      <c r="J24" s="2"/>
    </row>
    <row r="25" spans="1:10" x14ac:dyDescent="0.2">
      <c r="A25" t="str">
        <f t="shared" si="1"/>
        <v>1994</v>
      </c>
      <c r="B25" s="12"/>
      <c r="C25" s="53">
        <f>'[2]TICO 2'!Q43</f>
        <v>9743293.14213733</v>
      </c>
      <c r="D25" s="28">
        <f>'6.4'!D25</f>
        <v>3.0896705595446288</v>
      </c>
      <c r="E25" s="26">
        <f t="shared" si="3"/>
        <v>30103565.974274788</v>
      </c>
      <c r="F25" s="53">
        <f>'[2]TICO 2'!W43</f>
        <v>1637914.62</v>
      </c>
      <c r="G25" s="22">
        <f t="shared" si="2"/>
        <v>5.3999999999999999E-2</v>
      </c>
      <c r="J25" s="2"/>
    </row>
    <row r="26" spans="1:10" x14ac:dyDescent="0.2">
      <c r="A26" t="str">
        <f t="shared" si="1"/>
        <v>1995</v>
      </c>
      <c r="C26" s="53">
        <f>'[2]TICO 2'!Q44</f>
        <v>10745994.710252099</v>
      </c>
      <c r="D26" s="28">
        <f>'6.4'!D26</f>
        <v>2.7463738307063363</v>
      </c>
      <c r="E26" s="26">
        <f t="shared" si="3"/>
        <v>29512518.657145083</v>
      </c>
      <c r="F26" s="53">
        <f>'[2]TICO 2'!W44</f>
        <v>2416675</v>
      </c>
      <c r="G26" s="22">
        <f t="shared" si="2"/>
        <v>8.2000000000000003E-2</v>
      </c>
      <c r="J26" s="2"/>
    </row>
    <row r="27" spans="1:10" x14ac:dyDescent="0.2">
      <c r="A27" t="str">
        <f t="shared" si="1"/>
        <v>1996</v>
      </c>
      <c r="C27" s="53">
        <f>'[2]TICO 2'!Q45</f>
        <v>13294968.250411501</v>
      </c>
      <c r="D27" s="28">
        <f>'6.4'!D27</f>
        <v>2.4717364476357027</v>
      </c>
      <c r="E27" s="26">
        <f t="shared" si="3"/>
        <v>32861657.594701577</v>
      </c>
      <c r="F27" s="53">
        <f>'[2]TICO 2'!W45</f>
        <v>1520229</v>
      </c>
      <c r="G27" s="22">
        <f t="shared" si="2"/>
        <v>4.5999999999999999E-2</v>
      </c>
      <c r="J27" s="2"/>
    </row>
    <row r="28" spans="1:10" x14ac:dyDescent="0.2">
      <c r="A28" t="str">
        <f t="shared" si="1"/>
        <v>1997</v>
      </c>
      <c r="C28" s="53">
        <f>'[2]TICO 2'!Q46</f>
        <v>15708220.143906999</v>
      </c>
      <c r="D28" s="28">
        <f>'6.4'!D28</f>
        <v>2.4717364476357027</v>
      </c>
      <c r="E28" s="26">
        <f t="shared" si="3"/>
        <v>38826580.257180274</v>
      </c>
      <c r="F28" s="53">
        <f>'[2]TICO 2'!W46</f>
        <v>2569544</v>
      </c>
      <c r="G28" s="22">
        <f t="shared" si="2"/>
        <v>6.6000000000000003E-2</v>
      </c>
      <c r="J28" s="2"/>
    </row>
    <row r="29" spans="1:10" x14ac:dyDescent="0.2">
      <c r="A29" t="str">
        <f t="shared" si="1"/>
        <v>1998</v>
      </c>
      <c r="C29" s="53">
        <f>'[2]TICO 2'!Q47</f>
        <v>16168136.035215829</v>
      </c>
      <c r="D29" s="28">
        <f>'6.4'!D29</f>
        <v>2.4692671804552475</v>
      </c>
      <c r="E29" s="26">
        <f t="shared" si="3"/>
        <v>39923447.680894271</v>
      </c>
      <c r="F29" s="53">
        <f>'[2]TICO 2'!W47</f>
        <v>10312506</v>
      </c>
      <c r="G29" s="22">
        <f t="shared" si="2"/>
        <v>0.25800000000000001</v>
      </c>
      <c r="J29" s="2"/>
    </row>
    <row r="30" spans="1:10" x14ac:dyDescent="0.2">
      <c r="A30" t="str">
        <f t="shared" si="1"/>
        <v>1999</v>
      </c>
      <c r="C30" s="53">
        <f>'[2]TICO 2'!Q48</f>
        <v>14452666.932483979</v>
      </c>
      <c r="D30" s="28">
        <f>'6.4'!D30</f>
        <v>2.5884604847343118</v>
      </c>
      <c r="E30" s="26">
        <f t="shared" si="3"/>
        <v>37410157.253761038</v>
      </c>
      <c r="F30" s="53">
        <f>'[2]TICO 2'!W48</f>
        <v>3655754</v>
      </c>
      <c r="G30" s="22">
        <f t="shared" si="2"/>
        <v>9.8000000000000004E-2</v>
      </c>
      <c r="J30" s="2"/>
    </row>
    <row r="31" spans="1:10" x14ac:dyDescent="0.2">
      <c r="A31" t="str">
        <f t="shared" si="1"/>
        <v>2000</v>
      </c>
      <c r="C31" s="53">
        <f>'[2]TICO 2'!Q49</f>
        <v>14453384.88868602</v>
      </c>
      <c r="D31" s="28">
        <f>'6.4'!D31</f>
        <v>2.6092385660329733</v>
      </c>
      <c r="E31" s="26">
        <f t="shared" si="3"/>
        <v>37712329.261277758</v>
      </c>
      <c r="F31" s="53">
        <f>'[2]TICO 2'!W49</f>
        <v>3332580</v>
      </c>
      <c r="G31" s="22">
        <f t="shared" si="2"/>
        <v>8.7999999999999995E-2</v>
      </c>
      <c r="J31" s="2"/>
    </row>
    <row r="32" spans="1:10" x14ac:dyDescent="0.2">
      <c r="A32" t="str">
        <f t="shared" si="1"/>
        <v>2001</v>
      </c>
      <c r="C32" s="53">
        <f>'[2]TICO 2'!Q50</f>
        <v>15173521.372718498</v>
      </c>
      <c r="D32" s="28">
        <f>'6.4'!D32</f>
        <v>2.2927423481211551</v>
      </c>
      <c r="E32" s="26">
        <f t="shared" si="3"/>
        <v>34788975.02135314</v>
      </c>
      <c r="F32" s="53">
        <f>'[2]TICO 2'!W50</f>
        <v>2426814</v>
      </c>
      <c r="G32" s="22">
        <f t="shared" si="2"/>
        <v>7.0000000000000007E-2</v>
      </c>
      <c r="J32" s="2"/>
    </row>
    <row r="33" spans="1:10" x14ac:dyDescent="0.2">
      <c r="A33" t="str">
        <f t="shared" si="1"/>
        <v>2002</v>
      </c>
      <c r="C33" s="53">
        <f>'[2]TICO 2'!Q51</f>
        <v>17843905</v>
      </c>
      <c r="D33" s="28">
        <f>'6.4'!D33</f>
        <v>2.1137730087108539</v>
      </c>
      <c r="E33" s="26">
        <f t="shared" si="3"/>
        <v>37717964.759000652</v>
      </c>
      <c r="F33" s="53">
        <f>'[2]TICO 2'!W51</f>
        <v>5925066</v>
      </c>
      <c r="G33" s="22">
        <f t="shared" si="2"/>
        <v>0.157</v>
      </c>
      <c r="J33" s="2"/>
    </row>
    <row r="34" spans="1:10" x14ac:dyDescent="0.2">
      <c r="A34" t="str">
        <f t="shared" si="1"/>
        <v>2003</v>
      </c>
      <c r="C34" s="53">
        <f>'[2]TICO 2'!Q52</f>
        <v>23423208</v>
      </c>
      <c r="D34" s="28">
        <f>'6.4'!D34</f>
        <v>2.1137730087108539</v>
      </c>
      <c r="E34" s="26">
        <f t="shared" si="3"/>
        <v>49511344.84782014</v>
      </c>
      <c r="F34" s="53">
        <f>'[2]TICO 2'!W52</f>
        <v>17213668</v>
      </c>
      <c r="G34" s="22">
        <f t="shared" si="2"/>
        <v>0.34799999999999998</v>
      </c>
      <c r="J34" s="2"/>
    </row>
    <row r="35" spans="1:10" x14ac:dyDescent="0.2">
      <c r="A35" t="str">
        <f t="shared" si="1"/>
        <v>2004</v>
      </c>
      <c r="C35" s="53">
        <f>'[2]TICO 2'!Q53</f>
        <v>27306202</v>
      </c>
      <c r="D35" s="28">
        <f>'6.4'!D35</f>
        <v>2.0155786842906265</v>
      </c>
      <c r="E35" s="26">
        <f t="shared" si="3"/>
        <v>55037798.700134076</v>
      </c>
      <c r="F35" s="53">
        <f>'[2]TICO 2'!W53</f>
        <v>990613</v>
      </c>
      <c r="G35" s="22">
        <f t="shared" si="2"/>
        <v>1.7999999999999999E-2</v>
      </c>
      <c r="J35" s="2"/>
    </row>
    <row r="36" spans="1:10" x14ac:dyDescent="0.2">
      <c r="A36" t="str">
        <f t="shared" si="1"/>
        <v>2005</v>
      </c>
      <c r="C36" s="53">
        <f>'[2]TICO 2'!Q54</f>
        <v>31012304</v>
      </c>
      <c r="D36" s="28">
        <f>'6.4'!D36</f>
        <v>1.9286250079478586</v>
      </c>
      <c r="E36" s="26">
        <f t="shared" si="3"/>
        <v>59811105.048481405</v>
      </c>
      <c r="F36" s="53">
        <f>'[2]TICO 2'!W54</f>
        <v>115989785</v>
      </c>
      <c r="G36" s="22">
        <f t="shared" si="2"/>
        <v>1.9390000000000001</v>
      </c>
      <c r="J36" s="2"/>
    </row>
    <row r="37" spans="1:10" x14ac:dyDescent="0.2">
      <c r="A37" t="str">
        <f t="shared" si="1"/>
        <v>2006</v>
      </c>
      <c r="C37" s="53">
        <f>'[2]TICO 2'!Q55</f>
        <v>36545725</v>
      </c>
      <c r="D37" s="28">
        <f>'6.4'!D37</f>
        <v>1.9239964550740354</v>
      </c>
      <c r="E37" s="26">
        <f t="shared" si="3"/>
        <v>70313845.348110557</v>
      </c>
      <c r="F37" s="53">
        <f>'[2]TICO 2'!W55</f>
        <v>1842548</v>
      </c>
      <c r="G37" s="22">
        <f t="shared" si="2"/>
        <v>2.5999999999999999E-2</v>
      </c>
      <c r="J37" s="2"/>
    </row>
    <row r="38" spans="1:10" x14ac:dyDescent="0.2">
      <c r="A38" t="str">
        <f t="shared" si="1"/>
        <v>2007</v>
      </c>
      <c r="C38" s="53">
        <f>'[2]TICO 2'!Q56</f>
        <v>69945120</v>
      </c>
      <c r="D38" s="28">
        <f>'6.4'!D38</f>
        <v>1.8364634726042235</v>
      </c>
      <c r="E38" s="26">
        <f t="shared" si="3"/>
        <v>128451657.96691912</v>
      </c>
      <c r="F38" s="53">
        <f>'[2]TICO 2'!W56</f>
        <v>10105722</v>
      </c>
      <c r="G38" s="22">
        <f t="shared" si="2"/>
        <v>7.9000000000000001E-2</v>
      </c>
      <c r="J38" s="2"/>
    </row>
    <row r="39" spans="1:10" x14ac:dyDescent="0.2">
      <c r="A39" t="str">
        <f t="shared" si="1"/>
        <v>2008</v>
      </c>
      <c r="C39" s="53">
        <f>'[2]TICO 2'!Q57</f>
        <v>110187567</v>
      </c>
      <c r="D39" s="28">
        <f>'6.4'!D39</f>
        <v>1.7320113079002213</v>
      </c>
      <c r="E39" s="26">
        <f t="shared" si="3"/>
        <v>190846112.03401327</v>
      </c>
      <c r="F39" s="53">
        <f>'[2]TICO 2'!W57</f>
        <v>694640836</v>
      </c>
      <c r="G39" s="22">
        <f t="shared" si="2"/>
        <v>3.64</v>
      </c>
      <c r="J39" s="2"/>
    </row>
    <row r="40" spans="1:10" x14ac:dyDescent="0.2">
      <c r="A40" t="str">
        <f t="shared" si="1"/>
        <v>2009</v>
      </c>
      <c r="C40" s="53">
        <f>'[2]TICO 2'!Q58</f>
        <v>128275387</v>
      </c>
      <c r="D40" s="28">
        <f>'6.4'!D40</f>
        <v>1.5736409509560276</v>
      </c>
      <c r="E40" s="26">
        <f t="shared" si="3"/>
        <v>201859401.98293248</v>
      </c>
      <c r="F40" s="53">
        <f>'[2]TICO 2'!W58</f>
        <v>2522159</v>
      </c>
      <c r="G40" s="22">
        <f t="shared" si="2"/>
        <v>1.2E-2</v>
      </c>
      <c r="J40" s="2"/>
    </row>
    <row r="41" spans="1:10" x14ac:dyDescent="0.2">
      <c r="A41" t="str">
        <f t="shared" si="1"/>
        <v>2010</v>
      </c>
      <c r="C41" s="53">
        <f>'[2]TICO 2'!Q59</f>
        <v>143236007</v>
      </c>
      <c r="D41" s="28">
        <f>'6.4'!D41</f>
        <v>1.4778548957967284</v>
      </c>
      <c r="E41" s="26">
        <f t="shared" si="3"/>
        <v>211682034.19932446</v>
      </c>
      <c r="F41" s="53">
        <f>'[2]TICO 2'!W59</f>
        <v>9656553</v>
      </c>
      <c r="G41" s="22">
        <f t="shared" si="2"/>
        <v>4.5999999999999999E-2</v>
      </c>
      <c r="J41" s="2"/>
    </row>
    <row r="42" spans="1:10" x14ac:dyDescent="0.2">
      <c r="A42" t="str">
        <f t="shared" si="1"/>
        <v>2011</v>
      </c>
      <c r="C42" s="53">
        <f>'[2]TICO 2'!Q60</f>
        <v>151387931</v>
      </c>
      <c r="D42" s="28">
        <f>'6.4'!D42</f>
        <v>1.4413525093000297</v>
      </c>
      <c r="E42" s="26">
        <f t="shared" si="3"/>
        <v>218203374.22458977</v>
      </c>
      <c r="F42" s="53">
        <f>'[2]TICO 2'!W60</f>
        <v>59070022</v>
      </c>
      <c r="G42" s="22">
        <f t="shared" si="2"/>
        <v>0.27100000000000002</v>
      </c>
      <c r="J42" s="2"/>
    </row>
    <row r="43" spans="1:10" x14ac:dyDescent="0.2">
      <c r="A43" t="str">
        <f t="shared" si="1"/>
        <v>2012</v>
      </c>
      <c r="C43" s="53">
        <f>'[2]TICO 2'!Q61</f>
        <v>170159709</v>
      </c>
      <c r="D43" s="28">
        <f>'6.4'!D43</f>
        <v>1.3727418575616306</v>
      </c>
      <c r="E43" s="26">
        <f t="shared" si="3"/>
        <v>233585355.01480651</v>
      </c>
      <c r="F43" s="53">
        <f>'[2]TICO 2'!W61</f>
        <v>21200719</v>
      </c>
      <c r="G43" s="22">
        <f t="shared" si="2"/>
        <v>9.0999999999999998E-2</v>
      </c>
      <c r="J43" s="2"/>
    </row>
    <row r="44" spans="1:10" x14ac:dyDescent="0.2">
      <c r="A44" t="str">
        <f t="shared" si="1"/>
        <v>2013</v>
      </c>
      <c r="C44" s="53">
        <f>'[2]TICO 2'!Q62</f>
        <v>183495510</v>
      </c>
      <c r="D44" s="28">
        <f>'6.4'!D44</f>
        <v>1.3075493593415137</v>
      </c>
      <c r="E44" s="26">
        <f t="shared" si="3"/>
        <v>239929436.54254434</v>
      </c>
      <c r="F44" s="53">
        <f>'[2]TICO 2'!W62</f>
        <v>6485250</v>
      </c>
      <c r="G44" s="22">
        <f t="shared" si="2"/>
        <v>2.7E-2</v>
      </c>
      <c r="J44" s="2"/>
    </row>
    <row r="45" spans="1:10" x14ac:dyDescent="0.2">
      <c r="A45" t="str">
        <f t="shared" si="1"/>
        <v>2014</v>
      </c>
      <c r="C45" s="53">
        <f>'[2]TICO 2'!Q63</f>
        <v>197640983</v>
      </c>
      <c r="D45" s="28">
        <f>'6.4'!D45</f>
        <v>1.2455465141622082</v>
      </c>
      <c r="E45" s="26">
        <f t="shared" si="3"/>
        <v>246171037.43124226</v>
      </c>
      <c r="F45" s="53">
        <f>'[2]TICO 2'!W63</f>
        <v>7234983</v>
      </c>
      <c r="G45" s="22">
        <f t="shared" si="2"/>
        <v>2.9000000000000001E-2</v>
      </c>
      <c r="J45" s="2"/>
    </row>
    <row r="46" spans="1:10" x14ac:dyDescent="0.2">
      <c r="A46" t="str">
        <f t="shared" si="1"/>
        <v>2015</v>
      </c>
      <c r="C46" s="53">
        <f>'[2]TICO 2'!Q64</f>
        <v>212320998</v>
      </c>
      <c r="D46" s="28">
        <f>'6.4'!D46</f>
        <v>1.1864644900727379</v>
      </c>
      <c r="E46" s="26">
        <f t="shared" si="3"/>
        <v>251911324.62380481</v>
      </c>
      <c r="F46" s="53">
        <f>'[2]TICO 2'!W64</f>
        <v>90056094</v>
      </c>
      <c r="G46" s="22">
        <f t="shared" si="2"/>
        <v>0.35699999999999998</v>
      </c>
      <c r="J46" s="2"/>
    </row>
    <row r="47" spans="1:10" x14ac:dyDescent="0.2">
      <c r="A47" t="str">
        <f t="shared" si="1"/>
        <v>2016</v>
      </c>
      <c r="C47" s="53">
        <f>'[2]TICO 2'!Q65</f>
        <v>218795204</v>
      </c>
      <c r="D47" s="28">
        <f>'6.4'!D47</f>
        <v>1.1303877408726286</v>
      </c>
      <c r="E47" s="26">
        <f t="shared" si="3"/>
        <v>247323416.36332592</v>
      </c>
      <c r="F47" s="53">
        <f>'[2]TICO 2'!W65</f>
        <v>15021245</v>
      </c>
      <c r="G47" s="22">
        <f t="shared" si="2"/>
        <v>6.0999999999999999E-2</v>
      </c>
      <c r="J47" s="2"/>
    </row>
    <row r="48" spans="1:10" x14ac:dyDescent="0.2">
      <c r="A48" t="str">
        <f t="shared" si="1"/>
        <v>2017</v>
      </c>
      <c r="C48" s="53">
        <f>'[2]TICO 2'!Q66</f>
        <v>212533686</v>
      </c>
      <c r="D48" s="28">
        <f>'6.4'!D48</f>
        <v>1.1025000000000003</v>
      </c>
      <c r="E48" s="26">
        <f t="shared" si="3"/>
        <v>234318388.81500006</v>
      </c>
      <c r="F48" s="53">
        <f>'[2]TICO 2'!W66</f>
        <v>709088673</v>
      </c>
      <c r="G48" s="22">
        <f t="shared" si="2"/>
        <v>3.0259999999999998</v>
      </c>
      <c r="J48" s="2"/>
    </row>
    <row r="49" spans="1:12" x14ac:dyDescent="0.2">
      <c r="A49" t="str">
        <f t="shared" si="1"/>
        <v>2018</v>
      </c>
      <c r="C49" s="53">
        <f>'[2]TICO 2'!Q67</f>
        <v>201509514</v>
      </c>
      <c r="D49" s="28">
        <f>'6.4'!D49</f>
        <v>1.0768211446107889</v>
      </c>
      <c r="E49" s="26">
        <f t="shared" si="3"/>
        <v>216989705.5154438</v>
      </c>
      <c r="F49" s="53">
        <f>'[2]TICO 2'!W67</f>
        <v>9319007</v>
      </c>
      <c r="G49" s="22">
        <f t="shared" si="2"/>
        <v>4.2999999999999997E-2</v>
      </c>
      <c r="J49" s="2"/>
    </row>
    <row r="50" spans="1:12" x14ac:dyDescent="0.2">
      <c r="A50" t="str">
        <f t="shared" si="1"/>
        <v>2019</v>
      </c>
      <c r="C50" s="53">
        <f>'[2]TICO 2'!Q68</f>
        <v>194433202</v>
      </c>
      <c r="D50" s="28">
        <f>'6.4'!D50</f>
        <v>1.0499999999999947</v>
      </c>
      <c r="E50" s="26">
        <f t="shared" si="3"/>
        <v>204154862.09999898</v>
      </c>
      <c r="F50" s="53">
        <f>'[2]TICO 2'!W68</f>
        <v>16856907</v>
      </c>
      <c r="G50" s="22">
        <f t="shared" si="2"/>
        <v>8.3000000000000004E-2</v>
      </c>
      <c r="J50" s="2"/>
    </row>
    <row r="51" spans="1:12" x14ac:dyDescent="0.2">
      <c r="A51" t="str">
        <f t="shared" si="1"/>
        <v>2020</v>
      </c>
      <c r="C51" s="53">
        <f>'[2]TICO 2'!Q69</f>
        <v>186265421</v>
      </c>
      <c r="D51" s="28">
        <f>'6.4'!D51</f>
        <v>1.0500000000000036</v>
      </c>
      <c r="E51" s="26">
        <f t="shared" si="3"/>
        <v>195578692.05000067</v>
      </c>
      <c r="F51" s="53">
        <f>'[2]TICO 2'!W69</f>
        <v>41203494</v>
      </c>
      <c r="G51" s="22">
        <f t="shared" si="2"/>
        <v>0.21099999999999999</v>
      </c>
      <c r="J51" s="2"/>
    </row>
    <row r="52" spans="1:12" x14ac:dyDescent="0.2">
      <c r="A52" t="str">
        <f t="shared" si="1"/>
        <v>2021</v>
      </c>
      <c r="C52" s="53">
        <f>'[2]TICO 2'!Q70</f>
        <v>186593305</v>
      </c>
      <c r="D52" s="28">
        <f>'6.4'!D52</f>
        <v>1.0500000000000056</v>
      </c>
      <c r="E52" s="26">
        <f t="shared" si="3"/>
        <v>195922970.25000104</v>
      </c>
      <c r="F52" s="53">
        <f>'[2]TICO 2'!W70</f>
        <v>62493534</v>
      </c>
      <c r="G52" s="22">
        <f t="shared" si="2"/>
        <v>0.31900000000000001</v>
      </c>
      <c r="J52" s="2"/>
    </row>
    <row r="53" spans="1:12" x14ac:dyDescent="0.2">
      <c r="A53" t="str">
        <f t="shared" si="1"/>
        <v>2022</v>
      </c>
      <c r="C53" s="53">
        <f>'[2]TICO 2'!Q71</f>
        <v>199153387</v>
      </c>
      <c r="D53" s="28">
        <f>'6.4'!D53</f>
        <v>1.0228262738748721</v>
      </c>
      <c r="E53" s="26">
        <f t="shared" si="3"/>
        <v>203699316.7547704</v>
      </c>
      <c r="F53" s="53">
        <f>'[2]TICO 2'!W71</f>
        <v>19773438</v>
      </c>
      <c r="G53" s="22">
        <f t="shared" si="2"/>
        <v>9.7000000000000003E-2</v>
      </c>
      <c r="J53" s="2"/>
    </row>
    <row r="54" spans="1:12" x14ac:dyDescent="0.2">
      <c r="A54" t="str">
        <f t="shared" si="1"/>
        <v>2023</v>
      </c>
      <c r="C54" s="53">
        <f>'[2]TICO 2'!Q72</f>
        <v>241905419</v>
      </c>
      <c r="D54" s="28">
        <f>'6.4'!D54</f>
        <v>1</v>
      </c>
      <c r="E54" s="26">
        <f t="shared" si="3"/>
        <v>241905419</v>
      </c>
      <c r="F54" s="53">
        <f>'[2]TICO 2'!W72</f>
        <v>39858879</v>
      </c>
      <c r="G54" s="22">
        <f t="shared" si="2"/>
        <v>0.16500000000000001</v>
      </c>
      <c r="J54" s="2"/>
    </row>
    <row r="55" spans="1:12" x14ac:dyDescent="0.2">
      <c r="A55" t="str">
        <f t="shared" si="1"/>
        <v>2024</v>
      </c>
      <c r="C55" s="53">
        <f>'[2]TICO 2'!Q73</f>
        <v>281852517</v>
      </c>
      <c r="D55" s="28">
        <f>'6.4'!D55</f>
        <v>1</v>
      </c>
      <c r="E55" s="26">
        <f t="shared" si="3"/>
        <v>281852517</v>
      </c>
      <c r="F55" s="53">
        <f>'[2]TICO 2'!W73</f>
        <v>287288684</v>
      </c>
      <c r="G55" s="22">
        <f t="shared" si="2"/>
        <v>1.0189999999999999</v>
      </c>
      <c r="J55" s="2"/>
    </row>
    <row r="56" spans="1:12" x14ac:dyDescent="0.2">
      <c r="A56" t="str">
        <f t="shared" si="1"/>
        <v>2025</v>
      </c>
      <c r="C56" s="53">
        <f>'[2]TICO 2'!Q74</f>
        <v>335675496</v>
      </c>
      <c r="D56" s="28">
        <f>'6.4'!D56</f>
        <v>0.99999999999999856</v>
      </c>
      <c r="E56" s="26">
        <f t="shared" ref="E56" si="4">C56*D56</f>
        <v>335675495.99999952</v>
      </c>
      <c r="F56" s="53">
        <f>'[2]TICO 2'!W74</f>
        <v>26081411</v>
      </c>
      <c r="G56" s="22">
        <f t="shared" si="2"/>
        <v>7.8E-2</v>
      </c>
      <c r="J56" s="2"/>
    </row>
    <row r="57" spans="1:12" x14ac:dyDescent="0.2">
      <c r="A57" s="142"/>
      <c r="B57" s="142"/>
      <c r="C57" s="142"/>
      <c r="D57" s="142"/>
      <c r="E57" s="142"/>
      <c r="F57" s="142"/>
      <c r="G57" s="142"/>
      <c r="J57" s="2"/>
    </row>
    <row r="58" spans="1:12" x14ac:dyDescent="0.2">
      <c r="A58" t="s">
        <v>9</v>
      </c>
      <c r="C58" s="26">
        <f>SUM(C14:C57)</f>
        <v>3949913069.7369499</v>
      </c>
      <c r="D58" s="26"/>
      <c r="E58" s="26">
        <f>SUM(E14:E57)</f>
        <v>5024088342.9505634</v>
      </c>
      <c r="F58" s="26">
        <f>SUM(F14:F57)</f>
        <v>2359953436.8000002</v>
      </c>
      <c r="G58" s="22">
        <f>ROUND(F58/E58,3)</f>
        <v>0.47</v>
      </c>
      <c r="J58" s="2"/>
      <c r="K58" t="s">
        <v>193</v>
      </c>
      <c r="L58" t="s">
        <v>194</v>
      </c>
    </row>
    <row r="59" spans="1:12" ht="12" thickBot="1" x14ac:dyDescent="0.25">
      <c r="A59" s="6"/>
      <c r="B59" s="6"/>
      <c r="C59" s="6"/>
      <c r="D59" s="6"/>
      <c r="E59" s="6"/>
      <c r="F59" s="6"/>
      <c r="G59" s="6"/>
      <c r="J59" s="2"/>
      <c r="K59" s="37">
        <f>'6.4'!K$57</f>
        <v>45930</v>
      </c>
      <c r="L59" s="37">
        <f>'6.4'!L$57</f>
        <v>46022</v>
      </c>
    </row>
    <row r="60" spans="1:12" ht="12" thickTop="1" x14ac:dyDescent="0.2">
      <c r="J60" s="2"/>
    </row>
    <row r="61" spans="1:12" x14ac:dyDescent="0.2">
      <c r="A61" t="s">
        <v>17</v>
      </c>
      <c r="J61" s="2"/>
    </row>
    <row r="62" spans="1:12" x14ac:dyDescent="0.2">
      <c r="A62" s="12" t="str">
        <f>C12&amp;" Provided by TDI.  Accident years ending "&amp;TEXT($K$59,"m/d/xx")&amp;" as of "&amp;TEXT($L$59,"m/d/yyyy")</f>
        <v>(2) Provided by TDI.  Accident years ending 9/30/xx as of 12/31/2025</v>
      </c>
      <c r="J62" s="2"/>
    </row>
    <row r="63" spans="1:12" x14ac:dyDescent="0.2">
      <c r="A63" s="12" t="str">
        <f>'6.4'!A63</f>
        <v>(3) 1987 and prior judgementally selected; 1988 - 2025 based on TWIA on-level factors</v>
      </c>
      <c r="J63" s="2"/>
    </row>
    <row r="64" spans="1:12" x14ac:dyDescent="0.2">
      <c r="A64" s="12" t="str">
        <f>E12&amp;" = "&amp;C12&amp;" * "&amp;D12</f>
        <v>(4) = (2) * (3)</v>
      </c>
      <c r="J64" s="2"/>
    </row>
    <row r="65" spans="1:10" x14ac:dyDescent="0.2">
      <c r="A65" s="12" t="str">
        <f>'6.5'!A66</f>
        <v>(5) Provided by TDI. Accident years ending 9/30/xx as of 12/31/2025</v>
      </c>
      <c r="J65" s="2"/>
    </row>
    <row r="66" spans="1:10" x14ac:dyDescent="0.2">
      <c r="A66" s="12" t="str">
        <f>G12&amp;" = "&amp;F12&amp;" / "&amp;E12</f>
        <v>(6) = (5) / (4)</v>
      </c>
      <c r="J66" s="2"/>
    </row>
    <row r="67" spans="1:10" ht="12" thickBot="1" x14ac:dyDescent="0.25">
      <c r="B67" s="12"/>
      <c r="D67" s="42"/>
      <c r="E67" s="42"/>
      <c r="F67" s="42"/>
      <c r="G67" s="22"/>
      <c r="J67" s="2"/>
    </row>
    <row r="68" spans="1:10" ht="12" thickBot="1" x14ac:dyDescent="0.25">
      <c r="A68" s="4"/>
      <c r="B68" s="5"/>
      <c r="C68" s="5"/>
      <c r="D68" s="5"/>
      <c r="E68" s="5"/>
      <c r="F68" s="5"/>
      <c r="G68" s="5"/>
      <c r="H68" s="5"/>
      <c r="I68" s="5"/>
      <c r="J68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3">
    <tabColor rgb="FF92D050"/>
  </sheetPr>
  <dimension ref="A1:M68"/>
  <sheetViews>
    <sheetView showGridLines="0" topLeftCell="A15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8" width="14" customWidth="1"/>
    <col min="9" max="9" width="11.33203125" customWidth="1"/>
    <col min="11" max="11" width="12.5" customWidth="1"/>
    <col min="12" max="12" width="13.1640625" customWidth="1"/>
  </cols>
  <sheetData>
    <row r="1" spans="1:13" x14ac:dyDescent="0.2">
      <c r="A1" s="8" t="str">
        <f>'1'!$A$1</f>
        <v>Texas Windstorm Insurance Association</v>
      </c>
      <c r="B1" s="12"/>
      <c r="I1" s="7" t="s">
        <v>88</v>
      </c>
      <c r="J1" s="1"/>
    </row>
    <row r="2" spans="1:13" x14ac:dyDescent="0.2">
      <c r="A2" s="8" t="str">
        <f>'1'!$A$2</f>
        <v>Residential Property - Wind &amp; Hail</v>
      </c>
      <c r="B2" s="12"/>
      <c r="I2" s="7" t="s">
        <v>121</v>
      </c>
      <c r="J2" s="2"/>
    </row>
    <row r="3" spans="1:13" x14ac:dyDescent="0.2">
      <c r="A3" s="8" t="str">
        <f>'1'!$A$3</f>
        <v>Rate Level Review</v>
      </c>
      <c r="B3" s="12"/>
      <c r="J3" s="2"/>
    </row>
    <row r="4" spans="1:13" x14ac:dyDescent="0.2">
      <c r="A4" t="s">
        <v>432</v>
      </c>
      <c r="B4" s="12"/>
      <c r="J4" s="2"/>
    </row>
    <row r="5" spans="1:13" x14ac:dyDescent="0.2">
      <c r="A5" t="s">
        <v>439</v>
      </c>
      <c r="B5" s="12"/>
      <c r="J5" s="2"/>
    </row>
    <row r="6" spans="1:13" x14ac:dyDescent="0.2">
      <c r="J6" s="2"/>
    </row>
    <row r="7" spans="1:13" ht="12" thickBot="1" x14ac:dyDescent="0.25">
      <c r="A7" s="6"/>
      <c r="B7" s="6"/>
      <c r="C7" s="6"/>
      <c r="D7" s="6"/>
      <c r="E7" s="6"/>
      <c r="F7" s="6"/>
      <c r="G7" s="6"/>
      <c r="J7" s="2"/>
    </row>
    <row r="8" spans="1:13" ht="12" thickTop="1" x14ac:dyDescent="0.2">
      <c r="A8" t="s">
        <v>48</v>
      </c>
      <c r="J8" s="2"/>
    </row>
    <row r="9" spans="1:13" x14ac:dyDescent="0.2">
      <c r="A9" t="s">
        <v>49</v>
      </c>
      <c r="C9" s="180"/>
      <c r="D9" s="11" t="s">
        <v>35</v>
      </c>
      <c r="E9" s="11" t="s">
        <v>42</v>
      </c>
      <c r="F9" s="11"/>
      <c r="G9" s="11"/>
      <c r="J9" s="2"/>
      <c r="K9" s="17"/>
    </row>
    <row r="10" spans="1:13" x14ac:dyDescent="0.2">
      <c r="A10" t="s">
        <v>32</v>
      </c>
      <c r="C10" s="11" t="s">
        <v>108</v>
      </c>
      <c r="D10" s="11" t="s">
        <v>118</v>
      </c>
      <c r="E10" s="11" t="s">
        <v>40</v>
      </c>
      <c r="F10" s="11" t="s">
        <v>78</v>
      </c>
      <c r="G10" s="11" t="s">
        <v>78</v>
      </c>
      <c r="J10" s="2"/>
      <c r="K10" s="12"/>
    </row>
    <row r="11" spans="1:13" x14ac:dyDescent="0.2">
      <c r="A11" s="9" t="str">
        <f>TEXT(K59,"m/d")</f>
        <v>9/30</v>
      </c>
      <c r="B11" s="9"/>
      <c r="C11" s="121" t="s">
        <v>109</v>
      </c>
      <c r="D11" s="121" t="s">
        <v>119</v>
      </c>
      <c r="E11" s="121" t="s">
        <v>41</v>
      </c>
      <c r="F11" s="121" t="s">
        <v>39</v>
      </c>
      <c r="G11" s="121" t="s">
        <v>70</v>
      </c>
      <c r="J11" s="2"/>
      <c r="K11" s="37"/>
    </row>
    <row r="12" spans="1:13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 t="str">
        <f>TEXT(COLUMN()-1,"(#)")</f>
        <v>(5)</v>
      </c>
      <c r="G12" s="11" t="str">
        <f>TEXT(COLUMN()-1,"(#)")</f>
        <v>(6)</v>
      </c>
      <c r="J12" s="2"/>
    </row>
    <row r="13" spans="1:13" x14ac:dyDescent="0.2">
      <c r="J13" s="2"/>
    </row>
    <row r="14" spans="1:13" x14ac:dyDescent="0.2">
      <c r="A14" s="93">
        <v>1983</v>
      </c>
      <c r="C14" s="31">
        <v>16247909</v>
      </c>
      <c r="D14" s="28">
        <f>'6.4'!D14</f>
        <v>2.252543431048422</v>
      </c>
      <c r="E14" s="26">
        <f t="shared" ref="E14:E45" si="0">C14*D14</f>
        <v>36599120.686222538</v>
      </c>
      <c r="F14" s="31">
        <v>61752490</v>
      </c>
      <c r="G14" s="22">
        <f>F14/E14</f>
        <v>1.6872670392664995</v>
      </c>
      <c r="J14" s="2"/>
      <c r="K14" s="7"/>
      <c r="M14" s="19"/>
    </row>
    <row r="15" spans="1:13" x14ac:dyDescent="0.2">
      <c r="A15" t="str">
        <f>TEXT(A14+1,"#")</f>
        <v>1984</v>
      </c>
      <c r="C15" s="31">
        <v>11008847</v>
      </c>
      <c r="D15" s="28">
        <f>'6.4'!D15</f>
        <v>2.252543431048422</v>
      </c>
      <c r="E15" s="26">
        <f t="shared" si="0"/>
        <v>24797905.993267126</v>
      </c>
      <c r="F15" s="31">
        <v>9535536</v>
      </c>
      <c r="G15" s="22">
        <f>F15/E15</f>
        <v>0.3845298874263412</v>
      </c>
      <c r="J15" s="2"/>
      <c r="K15" s="7"/>
      <c r="M15" s="19"/>
    </row>
    <row r="16" spans="1:13" x14ac:dyDescent="0.2">
      <c r="A16" t="str">
        <f t="shared" ref="A16:A56" si="1">TEXT(A15+1,"#")</f>
        <v>1985</v>
      </c>
      <c r="C16" s="31">
        <v>15662193</v>
      </c>
      <c r="D16" s="28">
        <f>'6.4'!D16</f>
        <v>2.252543431048422</v>
      </c>
      <c r="E16" s="26">
        <f t="shared" si="0"/>
        <v>35279769.95796258</v>
      </c>
      <c r="F16" s="31">
        <v>4532749</v>
      </c>
      <c r="G16" s="22">
        <f>F16/E16</f>
        <v>0.12848011779558008</v>
      </c>
      <c r="J16" s="2"/>
      <c r="K16" s="7"/>
      <c r="M16" s="19"/>
    </row>
    <row r="17" spans="1:13" x14ac:dyDescent="0.2">
      <c r="A17" t="str">
        <f t="shared" si="1"/>
        <v>1986</v>
      </c>
      <c r="C17" s="31">
        <v>19854927</v>
      </c>
      <c r="D17" s="28">
        <f>'6.4'!D17</f>
        <v>2.252543431048422</v>
      </c>
      <c r="E17" s="26">
        <f t="shared" si="0"/>
        <v>44724085.387795955</v>
      </c>
      <c r="F17" s="31">
        <v>6306903</v>
      </c>
      <c r="G17" s="22">
        <f t="shared" ref="G17:G45" si="2">ROUND(F17/E17,3)</f>
        <v>0.14099999999999999</v>
      </c>
      <c r="J17" s="2"/>
      <c r="K17" s="7"/>
      <c r="M17" s="19"/>
    </row>
    <row r="18" spans="1:13" x14ac:dyDescent="0.2">
      <c r="A18" t="str">
        <f t="shared" si="1"/>
        <v>1987</v>
      </c>
      <c r="C18" s="31">
        <v>22542928</v>
      </c>
      <c r="D18" s="28">
        <f>'6.4'!D18</f>
        <v>2.252543431048422</v>
      </c>
      <c r="E18" s="26">
        <f t="shared" si="0"/>
        <v>50778924.382997543</v>
      </c>
      <c r="F18" s="31">
        <v>3739010</v>
      </c>
      <c r="G18" s="22">
        <f t="shared" si="2"/>
        <v>7.3999999999999996E-2</v>
      </c>
      <c r="J18" s="2"/>
      <c r="K18" s="7"/>
      <c r="M18" s="19"/>
    </row>
    <row r="19" spans="1:13" x14ac:dyDescent="0.2">
      <c r="A19" t="str">
        <f t="shared" si="1"/>
        <v>1988</v>
      </c>
      <c r="C19" s="105">
        <v>24744994</v>
      </c>
      <c r="D19" s="28">
        <f>'6.4'!D19</f>
        <v>2.3150497749726844</v>
      </c>
      <c r="E19" s="26">
        <f>C19*D19</f>
        <v>57285892.791400425</v>
      </c>
      <c r="F19" s="105">
        <v>4139098</v>
      </c>
      <c r="G19" s="22">
        <f t="shared" si="2"/>
        <v>7.1999999999999995E-2</v>
      </c>
      <c r="J19" s="2"/>
      <c r="K19" s="7"/>
      <c r="M19" s="19"/>
    </row>
    <row r="20" spans="1:13" x14ac:dyDescent="0.2">
      <c r="A20" t="str">
        <f t="shared" si="1"/>
        <v>1989</v>
      </c>
      <c r="C20" s="105">
        <v>22159987</v>
      </c>
      <c r="D20" s="28">
        <f>'6.4'!D20</f>
        <v>2.3811241343006575</v>
      </c>
      <c r="E20" s="26">
        <f t="shared" si="0"/>
        <v>52765679.861488827</v>
      </c>
      <c r="F20" s="105">
        <v>8884751</v>
      </c>
      <c r="G20" s="22">
        <f t="shared" si="2"/>
        <v>0.16800000000000001</v>
      </c>
      <c r="J20" s="2"/>
      <c r="K20" s="7"/>
      <c r="M20" s="19"/>
    </row>
    <row r="21" spans="1:13" x14ac:dyDescent="0.2">
      <c r="A21" t="str">
        <f t="shared" si="1"/>
        <v>1990</v>
      </c>
      <c r="C21" s="105">
        <v>21480544</v>
      </c>
      <c r="D21" s="28">
        <f>'6.4'!D21</f>
        <v>2.3447800436244783</v>
      </c>
      <c r="E21" s="26">
        <f t="shared" si="0"/>
        <v>50367150.897397526</v>
      </c>
      <c r="F21" s="105">
        <v>11997188</v>
      </c>
      <c r="G21" s="22">
        <f t="shared" si="2"/>
        <v>0.23799999999999999</v>
      </c>
      <c r="J21" s="2"/>
      <c r="K21" s="7"/>
      <c r="M21" s="19"/>
    </row>
    <row r="22" spans="1:13" x14ac:dyDescent="0.2">
      <c r="A22" t="str">
        <f t="shared" si="1"/>
        <v>1991</v>
      </c>
      <c r="B22" s="12"/>
      <c r="C22" s="53">
        <f>'[2]TICO 2'!R40</f>
        <v>25239134</v>
      </c>
      <c r="D22" s="28">
        <f>'6.4'!D22</f>
        <v>2.0529144384529867</v>
      </c>
      <c r="E22" s="26">
        <f>C22*D22</f>
        <v>51813782.602649681</v>
      </c>
      <c r="F22" s="53">
        <f>'[2]TICO 2'!X40</f>
        <v>10178608</v>
      </c>
      <c r="G22" s="22">
        <f t="shared" si="2"/>
        <v>0.19600000000000001</v>
      </c>
      <c r="J22" s="2"/>
      <c r="K22" s="7"/>
      <c r="M22" s="19"/>
    </row>
    <row r="23" spans="1:13" x14ac:dyDescent="0.2">
      <c r="A23" t="str">
        <f t="shared" si="1"/>
        <v>1992</v>
      </c>
      <c r="B23" s="12"/>
      <c r="C23" s="53">
        <f>'[2]TICO 2'!R41</f>
        <v>26718986.999999989</v>
      </c>
      <c r="D23" s="28">
        <f>'6.4'!D23</f>
        <v>2.5309904035721749</v>
      </c>
      <c r="E23" s="26">
        <f t="shared" si="0"/>
        <v>67625499.690169662</v>
      </c>
      <c r="F23" s="53">
        <f>'[2]TICO 2'!X41</f>
        <v>12221034</v>
      </c>
      <c r="G23" s="22">
        <f t="shared" si="2"/>
        <v>0.18099999999999999</v>
      </c>
      <c r="J23" s="2"/>
      <c r="K23" s="7"/>
      <c r="M23" s="19"/>
    </row>
    <row r="24" spans="1:13" x14ac:dyDescent="0.2">
      <c r="A24" t="str">
        <f t="shared" si="1"/>
        <v>1993</v>
      </c>
      <c r="B24" s="12"/>
      <c r="C24" s="53">
        <f>'[2]TICO 2'!R42</f>
        <v>31914206</v>
      </c>
      <c r="D24" s="28">
        <f>'6.4'!D24</f>
        <v>3.4926710673113193</v>
      </c>
      <c r="E24" s="26">
        <f t="shared" si="0"/>
        <v>111465823.93241331</v>
      </c>
      <c r="F24" s="53">
        <f>'[2]TICO 2'!X42</f>
        <v>17910197</v>
      </c>
      <c r="G24" s="22">
        <f t="shared" si="2"/>
        <v>0.161</v>
      </c>
      <c r="J24" s="2"/>
      <c r="K24" s="7"/>
      <c r="M24" s="19"/>
    </row>
    <row r="25" spans="1:13" x14ac:dyDescent="0.2">
      <c r="A25" t="str">
        <f t="shared" si="1"/>
        <v>1994</v>
      </c>
      <c r="C25" s="53">
        <f>'[2]TICO 2'!R43</f>
        <v>35133612</v>
      </c>
      <c r="D25" s="28">
        <f>'6.4'!D25</f>
        <v>3.0896705595446288</v>
      </c>
      <c r="E25" s="26">
        <f t="shared" si="0"/>
        <v>108551286.64686388</v>
      </c>
      <c r="F25" s="53">
        <f>'[2]TICO 2'!X43</f>
        <v>6968697</v>
      </c>
      <c r="G25" s="22">
        <f t="shared" si="2"/>
        <v>6.4000000000000001E-2</v>
      </c>
      <c r="J25" s="2"/>
    </row>
    <row r="26" spans="1:13" x14ac:dyDescent="0.2">
      <c r="A26" t="str">
        <f t="shared" si="1"/>
        <v>1995</v>
      </c>
      <c r="C26" s="53">
        <f>'[2]TICO 2'!R44</f>
        <v>34347927</v>
      </c>
      <c r="D26" s="28">
        <f>'6.4'!D26</f>
        <v>2.7463738307063363</v>
      </c>
      <c r="E26" s="26">
        <f t="shared" si="0"/>
        <v>94332247.851811603</v>
      </c>
      <c r="F26" s="53">
        <f>'[2]TICO 2'!X44</f>
        <v>20240594</v>
      </c>
      <c r="G26" s="22">
        <f t="shared" si="2"/>
        <v>0.215</v>
      </c>
      <c r="J26" s="2"/>
    </row>
    <row r="27" spans="1:13" x14ac:dyDescent="0.2">
      <c r="A27" t="str">
        <f t="shared" si="1"/>
        <v>1996</v>
      </c>
      <c r="C27" s="53">
        <f>'[2]TICO 2'!R45</f>
        <v>38349763.638891585</v>
      </c>
      <c r="D27" s="28">
        <f>'6.4'!D27</f>
        <v>2.4717364476357027</v>
      </c>
      <c r="E27" s="26">
        <f t="shared" si="0"/>
        <v>94790508.544462726</v>
      </c>
      <c r="F27" s="53">
        <f>'[2]TICO 2'!X45</f>
        <v>9046495</v>
      </c>
      <c r="G27" s="22">
        <f t="shared" si="2"/>
        <v>9.5000000000000001E-2</v>
      </c>
      <c r="J27" s="2"/>
    </row>
    <row r="28" spans="1:13" x14ac:dyDescent="0.2">
      <c r="A28" t="str">
        <f t="shared" si="1"/>
        <v>1997</v>
      </c>
      <c r="C28" s="53">
        <f>'[2]TICO 2'!R46</f>
        <v>42447730.530345351</v>
      </c>
      <c r="D28" s="28">
        <f>'6.4'!D28</f>
        <v>2.4717364476357027</v>
      </c>
      <c r="E28" s="26">
        <f t="shared" si="0"/>
        <v>104919602.67127338</v>
      </c>
      <c r="F28" s="53">
        <f>'[2]TICO 2'!X46</f>
        <v>8514675</v>
      </c>
      <c r="G28" s="22">
        <f t="shared" si="2"/>
        <v>8.1000000000000003E-2</v>
      </c>
      <c r="J28" s="2"/>
    </row>
    <row r="29" spans="1:13" x14ac:dyDescent="0.2">
      <c r="A29" t="str">
        <f t="shared" si="1"/>
        <v>1998</v>
      </c>
      <c r="C29" s="53">
        <f>'[2]TICO 2'!R47</f>
        <v>41427572.085624166</v>
      </c>
      <c r="D29" s="28">
        <f>'6.4'!D29</f>
        <v>2.4692671804552475</v>
      </c>
      <c r="E29" s="26">
        <f t="shared" si="0"/>
        <v>102295744.11697569</v>
      </c>
      <c r="F29" s="53">
        <f>'[2]TICO 2'!X47</f>
        <v>10127907</v>
      </c>
      <c r="G29" s="22">
        <f t="shared" si="2"/>
        <v>9.9000000000000005E-2</v>
      </c>
      <c r="J29" s="2"/>
    </row>
    <row r="30" spans="1:13" x14ac:dyDescent="0.2">
      <c r="A30" t="str">
        <f t="shared" si="1"/>
        <v>1999</v>
      </c>
      <c r="C30" s="53">
        <f>'[2]TICO 2'!R48</f>
        <v>34004814.583080493</v>
      </c>
      <c r="D30" s="28">
        <f>'6.4'!D30</f>
        <v>2.5884604847343118</v>
      </c>
      <c r="E30" s="26">
        <f t="shared" si="0"/>
        <v>88020118.839020923</v>
      </c>
      <c r="F30" s="53">
        <f>'[2]TICO 2'!X48</f>
        <v>8680187</v>
      </c>
      <c r="G30" s="22">
        <f t="shared" si="2"/>
        <v>9.9000000000000005E-2</v>
      </c>
      <c r="J30" s="2"/>
    </row>
    <row r="31" spans="1:13" x14ac:dyDescent="0.2">
      <c r="A31" t="str">
        <f t="shared" si="1"/>
        <v>2000</v>
      </c>
      <c r="C31" s="53">
        <f>'[2]TICO 2'!R49</f>
        <v>36439477.252283514</v>
      </c>
      <c r="D31" s="28">
        <f>'6.4'!D31</f>
        <v>2.6092385660329733</v>
      </c>
      <c r="E31" s="26">
        <f t="shared" si="0"/>
        <v>95079289.37273939</v>
      </c>
      <c r="F31" s="53">
        <f>'[2]TICO 2'!X49</f>
        <v>9518422</v>
      </c>
      <c r="G31" s="22">
        <f t="shared" si="2"/>
        <v>0.1</v>
      </c>
      <c r="J31" s="2"/>
    </row>
    <row r="32" spans="1:13" x14ac:dyDescent="0.2">
      <c r="A32" t="str">
        <f t="shared" si="1"/>
        <v>2001</v>
      </c>
      <c r="C32" s="53">
        <f>'[2]TICO 2'!R50</f>
        <v>32881662.327381182</v>
      </c>
      <c r="D32" s="28">
        <f>'6.4'!D32</f>
        <v>2.2927423481211551</v>
      </c>
      <c r="E32" s="26">
        <f t="shared" si="0"/>
        <v>75389179.694606856</v>
      </c>
      <c r="F32" s="53">
        <f>'[2]TICO 2'!X50</f>
        <v>23547404</v>
      </c>
      <c r="G32" s="22">
        <f t="shared" si="2"/>
        <v>0.312</v>
      </c>
      <c r="J32" s="2"/>
    </row>
    <row r="33" spans="1:10" x14ac:dyDescent="0.2">
      <c r="A33" t="str">
        <f t="shared" si="1"/>
        <v>2002</v>
      </c>
      <c r="C33" s="53">
        <f>'[2]TICO 2'!R51</f>
        <v>37396181</v>
      </c>
      <c r="D33" s="28">
        <f>'6.4'!D33</f>
        <v>2.1137730087108539</v>
      </c>
      <c r="E33" s="26">
        <f t="shared" si="0"/>
        <v>79047038.026665673</v>
      </c>
      <c r="F33" s="53">
        <f>'[2]TICO 2'!X51</f>
        <v>7950367</v>
      </c>
      <c r="G33" s="22">
        <f t="shared" si="2"/>
        <v>0.10100000000000001</v>
      </c>
      <c r="J33" s="2"/>
    </row>
    <row r="34" spans="1:10" x14ac:dyDescent="0.2">
      <c r="A34" t="str">
        <f t="shared" si="1"/>
        <v>2003</v>
      </c>
      <c r="C34" s="53">
        <f>'[2]TICO 2'!R52</f>
        <v>49027236</v>
      </c>
      <c r="D34" s="28">
        <f>'6.4'!D34</f>
        <v>2.1137730087108539</v>
      </c>
      <c r="E34" s="26">
        <f t="shared" si="0"/>
        <v>103632448.14849709</v>
      </c>
      <c r="F34" s="53">
        <f>'[2]TICO 2'!X52</f>
        <v>10177909</v>
      </c>
      <c r="G34" s="22">
        <f t="shared" si="2"/>
        <v>9.8000000000000004E-2</v>
      </c>
      <c r="J34" s="2"/>
    </row>
    <row r="35" spans="1:10" x14ac:dyDescent="0.2">
      <c r="A35" t="str">
        <f t="shared" si="1"/>
        <v>2004</v>
      </c>
      <c r="C35" s="53">
        <f>'[2]TICO 2'!R53</f>
        <v>49927649</v>
      </c>
      <c r="D35" s="28">
        <f>'6.4'!D35</f>
        <v>2.0155786842906265</v>
      </c>
      <c r="E35" s="26">
        <f t="shared" si="0"/>
        <v>100633105.08114421</v>
      </c>
      <c r="F35" s="53">
        <f>'[2]TICO 2'!X53</f>
        <v>3738542</v>
      </c>
      <c r="G35" s="22">
        <f t="shared" si="2"/>
        <v>3.6999999999999998E-2</v>
      </c>
      <c r="J35" s="2"/>
    </row>
    <row r="36" spans="1:10" x14ac:dyDescent="0.2">
      <c r="A36" t="str">
        <f t="shared" si="1"/>
        <v>2005</v>
      </c>
      <c r="C36" s="53">
        <f>'[2]TICO 2'!R54</f>
        <v>50116517</v>
      </c>
      <c r="D36" s="28">
        <f>'6.4'!D36</f>
        <v>1.9286250079478586</v>
      </c>
      <c r="E36" s="26">
        <f>C36*D36</f>
        <v>96655967.997443989</v>
      </c>
      <c r="F36" s="53">
        <f>'[2]TICO 2'!X54</f>
        <v>34201898</v>
      </c>
      <c r="G36" s="22">
        <f t="shared" si="2"/>
        <v>0.35399999999999998</v>
      </c>
      <c r="J36" s="2"/>
    </row>
    <row r="37" spans="1:10" x14ac:dyDescent="0.2">
      <c r="A37" t="str">
        <f t="shared" si="1"/>
        <v>2006</v>
      </c>
      <c r="C37" s="53">
        <f>'[2]TICO 2'!R55</f>
        <v>54703319</v>
      </c>
      <c r="D37" s="28">
        <f>'6.4'!D37</f>
        <v>1.9239964550740354</v>
      </c>
      <c r="E37" s="26">
        <f>C37*D37</f>
        <v>105248991.83678412</v>
      </c>
      <c r="F37" s="53">
        <f>'[2]TICO 2'!X55</f>
        <v>4909932</v>
      </c>
      <c r="G37" s="38">
        <f t="shared" si="2"/>
        <v>4.7E-2</v>
      </c>
      <c r="J37" s="2"/>
    </row>
    <row r="38" spans="1:10" x14ac:dyDescent="0.2">
      <c r="A38" t="str">
        <f t="shared" si="1"/>
        <v>2007</v>
      </c>
      <c r="C38" s="53">
        <f>'[2]TICO 2'!R56</f>
        <v>60982886</v>
      </c>
      <c r="D38" s="28">
        <f>'6.4'!D38</f>
        <v>1.8364634726042235</v>
      </c>
      <c r="E38" s="26">
        <f t="shared" si="0"/>
        <v>111992842.59298748</v>
      </c>
      <c r="F38" s="53">
        <f>'[2]TICO 2'!X56</f>
        <v>5242698</v>
      </c>
      <c r="G38" s="38">
        <f t="shared" si="2"/>
        <v>4.7E-2</v>
      </c>
      <c r="J38" s="2"/>
    </row>
    <row r="39" spans="1:10" x14ac:dyDescent="0.2">
      <c r="A39" t="str">
        <f t="shared" si="1"/>
        <v>2008</v>
      </c>
      <c r="C39" s="53">
        <f>'[2]TICO 2'!R57</f>
        <v>65015817</v>
      </c>
      <c r="D39" s="28">
        <f>'6.4'!D39</f>
        <v>1.7320113079002213</v>
      </c>
      <c r="E39" s="26">
        <f t="shared" si="0"/>
        <v>112608130.23637144</v>
      </c>
      <c r="F39" s="53">
        <f>'[2]TICO 2'!X57</f>
        <v>448708417</v>
      </c>
      <c r="G39" s="38">
        <f t="shared" si="2"/>
        <v>3.9849999999999999</v>
      </c>
      <c r="J39" s="2"/>
    </row>
    <row r="40" spans="1:10" x14ac:dyDescent="0.2">
      <c r="A40" t="str">
        <f t="shared" si="1"/>
        <v>2009</v>
      </c>
      <c r="C40" s="53">
        <f>'[2]TICO 2'!R58</f>
        <v>70667217</v>
      </c>
      <c r="D40" s="28">
        <f>'6.4'!D40</f>
        <v>1.5736409509560276</v>
      </c>
      <c r="E40" s="26">
        <f t="shared" si="0"/>
        <v>111204826.56129596</v>
      </c>
      <c r="F40" s="53">
        <f>'[2]TICO 2'!X58</f>
        <v>9952501</v>
      </c>
      <c r="G40" s="38">
        <f t="shared" si="2"/>
        <v>8.8999999999999996E-2</v>
      </c>
      <c r="J40" s="2"/>
    </row>
    <row r="41" spans="1:10" x14ac:dyDescent="0.2">
      <c r="A41" t="str">
        <f t="shared" si="1"/>
        <v>2010</v>
      </c>
      <c r="C41" s="53">
        <f>'[2]TICO 2'!R59</f>
        <v>70788779</v>
      </c>
      <c r="D41" s="28">
        <f>'6.4'!D41</f>
        <v>1.4778548957967284</v>
      </c>
      <c r="E41" s="26">
        <f t="shared" si="0"/>
        <v>104615543.61262263</v>
      </c>
      <c r="F41" s="53">
        <f>'[2]TICO 2'!X59</f>
        <v>10829031</v>
      </c>
      <c r="G41" s="38">
        <f t="shared" si="2"/>
        <v>0.104</v>
      </c>
      <c r="J41" s="2"/>
    </row>
    <row r="42" spans="1:10" x14ac:dyDescent="0.2">
      <c r="A42" t="str">
        <f t="shared" si="1"/>
        <v>2011</v>
      </c>
      <c r="B42" s="23"/>
      <c r="C42" s="53">
        <f>'[2]TICO 2'!R60</f>
        <v>73325323</v>
      </c>
      <c r="D42" s="28">
        <f>'6.4'!D42</f>
        <v>1.4413525093000297</v>
      </c>
      <c r="E42" s="26">
        <f t="shared" si="0"/>
        <v>105687638.30128518</v>
      </c>
      <c r="F42" s="53">
        <f>'[2]TICO 2'!X60</f>
        <v>5993038</v>
      </c>
      <c r="G42" s="38">
        <f t="shared" si="2"/>
        <v>5.7000000000000002E-2</v>
      </c>
      <c r="J42" s="2"/>
    </row>
    <row r="43" spans="1:10" x14ac:dyDescent="0.2">
      <c r="A43" t="str">
        <f t="shared" si="1"/>
        <v>2012</v>
      </c>
      <c r="C43" s="53">
        <f>'[2]TICO 2'!R61</f>
        <v>80858142</v>
      </c>
      <c r="D43" s="28">
        <f>'6.4'!D43</f>
        <v>1.3727418575616306</v>
      </c>
      <c r="E43" s="26">
        <f t="shared" si="0"/>
        <v>110997356.0480621</v>
      </c>
      <c r="F43" s="53">
        <f>'[2]TICO 2'!X61</f>
        <v>89893832</v>
      </c>
      <c r="G43" s="38">
        <f t="shared" si="2"/>
        <v>0.81</v>
      </c>
      <c r="J43" s="2"/>
    </row>
    <row r="44" spans="1:10" x14ac:dyDescent="0.2">
      <c r="A44" t="str">
        <f t="shared" si="1"/>
        <v>2013</v>
      </c>
      <c r="B44" s="23"/>
      <c r="C44" s="53">
        <f>'[2]TICO 2'!R62</f>
        <v>90250703</v>
      </c>
      <c r="D44" s="28">
        <f>'6.4'!D44</f>
        <v>1.3075493593415137</v>
      </c>
      <c r="E44" s="26">
        <f t="shared" si="0"/>
        <v>118007248.88777123</v>
      </c>
      <c r="F44" s="53">
        <f>'[2]TICO 2'!X62</f>
        <v>22061511</v>
      </c>
      <c r="G44" s="38">
        <f t="shared" si="2"/>
        <v>0.187</v>
      </c>
      <c r="J44" s="2"/>
    </row>
    <row r="45" spans="1:10" x14ac:dyDescent="0.2">
      <c r="A45" t="str">
        <f t="shared" si="1"/>
        <v>2014</v>
      </c>
      <c r="B45" s="23"/>
      <c r="C45" s="53">
        <f>'[2]TICO 2'!R63</f>
        <v>99916064</v>
      </c>
      <c r="D45" s="28">
        <f>'6.4'!D45</f>
        <v>1.2455465141622082</v>
      </c>
      <c r="E45" s="26">
        <f t="shared" si="0"/>
        <v>124450105.2240081</v>
      </c>
      <c r="F45" s="53">
        <f>'[2]TICO 2'!X63</f>
        <v>20930082</v>
      </c>
      <c r="G45" s="38">
        <f t="shared" si="2"/>
        <v>0.16800000000000001</v>
      </c>
      <c r="J45" s="2"/>
    </row>
    <row r="46" spans="1:10" x14ac:dyDescent="0.2">
      <c r="A46" t="str">
        <f t="shared" si="1"/>
        <v>2015</v>
      </c>
      <c r="B46" s="23"/>
      <c r="C46" s="53">
        <f>'[2]TICO 2'!R64</f>
        <v>110352614</v>
      </c>
      <c r="D46" s="28">
        <f>'6.4'!D46</f>
        <v>1.1864644900727379</v>
      </c>
      <c r="E46" s="26">
        <f t="shared" ref="E46:E51" si="3">C46*D46</f>
        <v>130929457.89770368</v>
      </c>
      <c r="F46" s="53">
        <f>'[2]TICO 2'!X64</f>
        <v>43780541</v>
      </c>
      <c r="G46" s="38">
        <f t="shared" ref="G46:G50" si="4">ROUND(F46/E46,3)</f>
        <v>0.33400000000000002</v>
      </c>
      <c r="J46" s="2"/>
    </row>
    <row r="47" spans="1:10" x14ac:dyDescent="0.2">
      <c r="A47" t="str">
        <f t="shared" si="1"/>
        <v>2016</v>
      </c>
      <c r="B47" s="23"/>
      <c r="C47" s="53">
        <f>'[2]TICO 2'!R65</f>
        <v>119744188</v>
      </c>
      <c r="D47" s="28">
        <f>'6.4'!D47</f>
        <v>1.1303877408726286</v>
      </c>
      <c r="E47" s="26">
        <f t="shared" si="3"/>
        <v>135357362.15594733</v>
      </c>
      <c r="F47" s="53">
        <f>'[2]TICO 2'!X65</f>
        <v>46503584</v>
      </c>
      <c r="G47" s="38">
        <f t="shared" si="4"/>
        <v>0.34399999999999997</v>
      </c>
      <c r="J47" s="2"/>
    </row>
    <row r="48" spans="1:10" x14ac:dyDescent="0.2">
      <c r="A48" t="str">
        <f t="shared" si="1"/>
        <v>2017</v>
      </c>
      <c r="B48" s="23"/>
      <c r="C48" s="53">
        <f>'[2]TICO 2'!R66</f>
        <v>117739636</v>
      </c>
      <c r="D48" s="28">
        <f>'6.4'!D48</f>
        <v>1.1025000000000003</v>
      </c>
      <c r="E48" s="26">
        <f t="shared" si="3"/>
        <v>129807948.69000003</v>
      </c>
      <c r="F48" s="53">
        <f>'[2]TICO 2'!X66</f>
        <v>75399782</v>
      </c>
      <c r="G48" s="38">
        <f t="shared" si="4"/>
        <v>0.58099999999999996</v>
      </c>
      <c r="J48" s="2"/>
    </row>
    <row r="49" spans="1:12" x14ac:dyDescent="0.2">
      <c r="A49" t="str">
        <f t="shared" si="1"/>
        <v>2018</v>
      </c>
      <c r="B49" s="23"/>
      <c r="C49" s="53">
        <f>'[2]TICO 2'!R67</f>
        <v>115484141</v>
      </c>
      <c r="D49" s="28">
        <f>'6.4'!D49</f>
        <v>1.0768211446107889</v>
      </c>
      <c r="E49" s="26">
        <f t="shared" si="3"/>
        <v>124355764.89601374</v>
      </c>
      <c r="F49" s="53">
        <f>'[2]TICO 2'!X67</f>
        <v>12323854</v>
      </c>
      <c r="G49" s="38">
        <f t="shared" si="4"/>
        <v>9.9000000000000005E-2</v>
      </c>
      <c r="J49" s="2"/>
    </row>
    <row r="50" spans="1:12" x14ac:dyDescent="0.2">
      <c r="A50" t="str">
        <f t="shared" si="1"/>
        <v>2019</v>
      </c>
      <c r="B50" s="23"/>
      <c r="C50" s="53">
        <f>'[2]TICO 2'!R68</f>
        <v>116765056</v>
      </c>
      <c r="D50" s="28">
        <f>'6.4'!D50</f>
        <v>1.0499999999999947</v>
      </c>
      <c r="E50" s="26">
        <f t="shared" si="3"/>
        <v>122603308.79999939</v>
      </c>
      <c r="F50" s="53">
        <f>'[2]TICO 2'!X68</f>
        <v>37908347</v>
      </c>
      <c r="G50" s="38">
        <f t="shared" si="4"/>
        <v>0.309</v>
      </c>
      <c r="J50" s="2"/>
    </row>
    <row r="51" spans="1:12" x14ac:dyDescent="0.2">
      <c r="A51" t="str">
        <f t="shared" si="1"/>
        <v>2020</v>
      </c>
      <c r="B51" s="23"/>
      <c r="C51" s="53">
        <f>'[2]TICO 2'!R69</f>
        <v>121483867</v>
      </c>
      <c r="D51" s="28">
        <f>'6.4'!D51</f>
        <v>1.0500000000000036</v>
      </c>
      <c r="E51" s="26">
        <f t="shared" si="3"/>
        <v>127558060.35000044</v>
      </c>
      <c r="F51" s="53">
        <f>'[2]TICO 2'!X69</f>
        <v>56285496</v>
      </c>
      <c r="G51" s="38">
        <f t="shared" ref="G51:G56" si="5">ROUND(F51/E51,3)</f>
        <v>0.441</v>
      </c>
      <c r="J51" s="2"/>
    </row>
    <row r="52" spans="1:12" x14ac:dyDescent="0.2">
      <c r="A52" t="str">
        <f t="shared" si="1"/>
        <v>2021</v>
      </c>
      <c r="B52" s="23"/>
      <c r="C52" s="53">
        <f>'[2]TICO 2'!R70</f>
        <v>130431457</v>
      </c>
      <c r="D52" s="28">
        <f>'6.4'!D52</f>
        <v>1.0500000000000056</v>
      </c>
      <c r="E52" s="26">
        <f t="shared" ref="E52" si="6">C52*D52</f>
        <v>136953029.85000074</v>
      </c>
      <c r="F52" s="53">
        <f>'[2]TICO 2'!X70</f>
        <v>59279081</v>
      </c>
      <c r="G52" s="38">
        <f t="shared" si="5"/>
        <v>0.433</v>
      </c>
      <c r="J52" s="2"/>
    </row>
    <row r="53" spans="1:12" x14ac:dyDescent="0.2">
      <c r="A53" t="str">
        <f t="shared" si="1"/>
        <v>2022</v>
      </c>
      <c r="B53" s="23"/>
      <c r="C53" s="53">
        <f>'[2]TICO 2'!R71</f>
        <v>150688863</v>
      </c>
      <c r="D53" s="28">
        <f>'6.4'!D53</f>
        <v>1.0228262738748721</v>
      </c>
      <c r="E53" s="26">
        <f t="shared" ref="E53:E54" si="7">C53*D53</f>
        <v>154128528.25673109</v>
      </c>
      <c r="F53" s="53">
        <f>'[2]TICO 2'!X71</f>
        <v>30123800</v>
      </c>
      <c r="G53" s="38">
        <f t="shared" si="5"/>
        <v>0.19500000000000001</v>
      </c>
      <c r="J53" s="2"/>
    </row>
    <row r="54" spans="1:12" x14ac:dyDescent="0.2">
      <c r="A54" t="str">
        <f t="shared" si="1"/>
        <v>2023</v>
      </c>
      <c r="B54" s="23"/>
      <c r="C54" s="53">
        <f>'[2]TICO 2'!R72</f>
        <v>173168368</v>
      </c>
      <c r="D54" s="28">
        <f>'6.4'!D54</f>
        <v>1</v>
      </c>
      <c r="E54" s="26">
        <f t="shared" si="7"/>
        <v>173168368</v>
      </c>
      <c r="F54" s="53">
        <f>'[2]TICO 2'!X72</f>
        <v>89980690</v>
      </c>
      <c r="G54" s="38">
        <f t="shared" si="5"/>
        <v>0.52</v>
      </c>
      <c r="J54" s="2"/>
    </row>
    <row r="55" spans="1:12" x14ac:dyDescent="0.2">
      <c r="A55" t="str">
        <f t="shared" si="1"/>
        <v>2024</v>
      </c>
      <c r="B55" s="23"/>
      <c r="C55" s="53">
        <f>'[2]TICO 2'!R73</f>
        <v>201396910</v>
      </c>
      <c r="D55" s="28">
        <f>'6.4'!D55</f>
        <v>1</v>
      </c>
      <c r="E55" s="26">
        <f t="shared" ref="E55:E56" si="8">C55*D55</f>
        <v>201396910</v>
      </c>
      <c r="F55" s="53">
        <f>'[2]TICO 2'!X73</f>
        <v>204165996</v>
      </c>
      <c r="G55" s="38">
        <f t="shared" si="5"/>
        <v>1.014</v>
      </c>
      <c r="J55" s="2"/>
    </row>
    <row r="56" spans="1:12" x14ac:dyDescent="0.2">
      <c r="A56" t="str">
        <f t="shared" si="1"/>
        <v>2025</v>
      </c>
      <c r="B56" s="23"/>
      <c r="C56" s="53">
        <f>'[2]TICO 2'!R74</f>
        <v>225494087</v>
      </c>
      <c r="D56" s="28">
        <f>'6.4'!D56</f>
        <v>0.99999999999999856</v>
      </c>
      <c r="E56" s="26">
        <f t="shared" si="8"/>
        <v>225494086.99999967</v>
      </c>
      <c r="F56" s="53">
        <f>'[2]TICO 2'!X74</f>
        <v>22614434</v>
      </c>
      <c r="G56" s="38">
        <f t="shared" si="5"/>
        <v>0.1</v>
      </c>
      <c r="J56" s="2"/>
    </row>
    <row r="57" spans="1:12" x14ac:dyDescent="0.2">
      <c r="A57" s="142"/>
      <c r="B57" s="142"/>
      <c r="C57" s="142"/>
      <c r="D57" s="142"/>
      <c r="E57" s="142"/>
      <c r="F57" s="142"/>
      <c r="G57" s="142"/>
      <c r="J57" s="2"/>
    </row>
    <row r="58" spans="1:12" x14ac:dyDescent="0.2">
      <c r="A58" t="s">
        <v>9</v>
      </c>
      <c r="C58" s="26">
        <f>SUM(C14:C57)</f>
        <v>2968332235.4176064</v>
      </c>
      <c r="D58" s="26"/>
      <c r="E58" s="26">
        <f>SUM(E14:E57)</f>
        <v>4393415682.3728552</v>
      </c>
      <c r="F58" s="26">
        <f>SUM(F14:F57)</f>
        <v>1600797308</v>
      </c>
      <c r="G58" s="22">
        <f>ROUND(F58/E58,3)</f>
        <v>0.36399999999999999</v>
      </c>
      <c r="J58" s="2"/>
      <c r="K58" s="11" t="s">
        <v>193</v>
      </c>
      <c r="L58" s="11" t="s">
        <v>194</v>
      </c>
    </row>
    <row r="59" spans="1:12" ht="12" thickBot="1" x14ac:dyDescent="0.25">
      <c r="A59" s="6"/>
      <c r="B59" s="6"/>
      <c r="C59" s="6"/>
      <c r="D59" s="6"/>
      <c r="E59" s="6"/>
      <c r="F59" s="6"/>
      <c r="G59" s="6"/>
      <c r="J59" s="2"/>
      <c r="K59" s="136">
        <f>'6.4'!K$57</f>
        <v>45930</v>
      </c>
      <c r="L59" s="136">
        <f>'6.4'!L$57</f>
        <v>46022</v>
      </c>
    </row>
    <row r="60" spans="1:12" ht="12" thickTop="1" x14ac:dyDescent="0.2">
      <c r="J60" s="2"/>
    </row>
    <row r="61" spans="1:12" x14ac:dyDescent="0.2">
      <c r="A61" t="s">
        <v>17</v>
      </c>
      <c r="J61" s="2"/>
    </row>
    <row r="62" spans="1:12" x14ac:dyDescent="0.2">
      <c r="A62" s="12" t="str">
        <f>C12&amp;" Provided by TDI.  Accident years ending "&amp;TEXT($K$59,"m/d/xx")&amp;" as of "&amp;TEXT($L$59,"m/d/yyyy")</f>
        <v>(2) Provided by TDI.  Accident years ending 9/30/xx as of 12/31/2025</v>
      </c>
      <c r="J62" s="2"/>
    </row>
    <row r="63" spans="1:12" x14ac:dyDescent="0.2">
      <c r="A63" s="12" t="str">
        <f>'6.4'!A63</f>
        <v>(3) 1987 and prior judgementally selected; 1988 - 2025 based on TWIA on-level factors</v>
      </c>
      <c r="J63" s="2"/>
    </row>
    <row r="64" spans="1:12" x14ac:dyDescent="0.2">
      <c r="A64" s="12" t="str">
        <f>E12&amp;" = "&amp;C12&amp;" * "&amp;D12</f>
        <v>(4) = (2) * (3)</v>
      </c>
      <c r="J64" s="2"/>
    </row>
    <row r="65" spans="1:10" x14ac:dyDescent="0.2">
      <c r="A65" s="12" t="str">
        <f>'6.5'!A66</f>
        <v>(5) Provided by TDI. Accident years ending 9/30/xx as of 12/31/2025</v>
      </c>
      <c r="J65" s="2"/>
    </row>
    <row r="66" spans="1:10" x14ac:dyDescent="0.2">
      <c r="A66" s="12" t="str">
        <f>G12&amp;" = "&amp;F12&amp;" / "&amp;E12</f>
        <v>(6) = (5) / (4)</v>
      </c>
      <c r="J66" s="2"/>
    </row>
    <row r="67" spans="1:10" ht="12" thickBot="1" x14ac:dyDescent="0.25">
      <c r="D67" s="42"/>
      <c r="E67" s="42"/>
      <c r="F67" s="42"/>
      <c r="G67" s="22"/>
      <c r="J67" s="2"/>
    </row>
    <row r="68" spans="1:10" ht="12" thickBot="1" x14ac:dyDescent="0.25">
      <c r="A68" s="4"/>
      <c r="B68" s="5"/>
      <c r="C68" s="5"/>
      <c r="D68" s="5"/>
      <c r="E68" s="5"/>
      <c r="F68" s="5"/>
      <c r="G68" s="5"/>
      <c r="H68" s="5"/>
      <c r="I68" s="5"/>
      <c r="J68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6">
    <tabColor rgb="FF92D050"/>
  </sheetPr>
  <dimension ref="A1:Q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3.5" bestFit="1" customWidth="1"/>
    <col min="2" max="2" width="11.33203125" customWidth="1"/>
    <col min="3" max="3" width="14" customWidth="1"/>
    <col min="4" max="4" width="21.33203125" customWidth="1"/>
    <col min="5" max="5" width="15.33203125" customWidth="1"/>
    <col min="6" max="7" width="11.33203125" customWidth="1"/>
    <col min="8" max="8" width="11.33203125" hidden="1" customWidth="1"/>
    <col min="9" max="10" width="11.33203125" customWidth="1"/>
    <col min="11" max="11" width="5.1640625" customWidth="1"/>
  </cols>
  <sheetData>
    <row r="1" spans="1:16" x14ac:dyDescent="0.2">
      <c r="A1" s="8" t="str">
        <f>'1'!$A$1</f>
        <v>Texas Windstorm Insurance Association</v>
      </c>
      <c r="B1" s="12"/>
      <c r="K1" s="7" t="s">
        <v>267</v>
      </c>
      <c r="L1" s="1"/>
    </row>
    <row r="2" spans="1:16" x14ac:dyDescent="0.2">
      <c r="A2" s="8" t="str">
        <f>'1'!$A$2</f>
        <v>Residential Property - Wind &amp; Hail</v>
      </c>
      <c r="B2" s="12"/>
      <c r="K2" s="7" t="s">
        <v>21</v>
      </c>
      <c r="L2" s="2"/>
      <c r="O2" s="166"/>
      <c r="P2" s="170"/>
    </row>
    <row r="3" spans="1:16" x14ac:dyDescent="0.2">
      <c r="A3" s="8" t="str">
        <f>'1'!$A$3</f>
        <v>Rate Level Review</v>
      </c>
      <c r="B3" s="12"/>
      <c r="L3" s="2"/>
    </row>
    <row r="4" spans="1:16" x14ac:dyDescent="0.2">
      <c r="A4" t="s">
        <v>433</v>
      </c>
      <c r="B4" s="12"/>
      <c r="L4" s="2"/>
    </row>
    <row r="5" spans="1:16" x14ac:dyDescent="0.2">
      <c r="A5" t="s">
        <v>444</v>
      </c>
      <c r="B5" s="12"/>
      <c r="L5" s="2"/>
    </row>
    <row r="6" spans="1:16" x14ac:dyDescent="0.2">
      <c r="L6" s="2"/>
    </row>
    <row r="7" spans="1:16" ht="12" thickBot="1" x14ac:dyDescent="0.25">
      <c r="A7" s="6"/>
      <c r="B7" s="6"/>
      <c r="C7" s="6"/>
      <c r="D7" s="6"/>
      <c r="E7" s="6"/>
      <c r="L7" s="2"/>
    </row>
    <row r="8" spans="1:16" ht="12" thickTop="1" x14ac:dyDescent="0.2">
      <c r="L8" s="2"/>
    </row>
    <row r="9" spans="1:16" x14ac:dyDescent="0.2">
      <c r="C9" s="136" t="s">
        <v>125</v>
      </c>
      <c r="D9" s="11"/>
      <c r="E9" s="11"/>
      <c r="L9" s="2"/>
      <c r="M9" s="17"/>
    </row>
    <row r="10" spans="1:16" x14ac:dyDescent="0.2">
      <c r="C10" s="11" t="s">
        <v>126</v>
      </c>
      <c r="D10" s="11" t="s">
        <v>127</v>
      </c>
      <c r="E10" s="11" t="s">
        <v>130</v>
      </c>
      <c r="L10" s="2"/>
      <c r="M10" s="12" t="s">
        <v>147</v>
      </c>
    </row>
    <row r="11" spans="1:16" x14ac:dyDescent="0.2">
      <c r="A11" s="9" t="s">
        <v>124</v>
      </c>
      <c r="B11" s="9"/>
      <c r="C11" s="121" t="str">
        <f>"as of "&amp;TEXT($M$11,"m/d/yy")</f>
        <v>as of 11/30/25</v>
      </c>
      <c r="D11" s="121" t="s">
        <v>128</v>
      </c>
      <c r="E11" s="121" t="s">
        <v>129</v>
      </c>
      <c r="L11" s="2"/>
      <c r="M11" s="55">
        <f>'10.2'!J14</f>
        <v>45991</v>
      </c>
    </row>
    <row r="12" spans="1:16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L12" s="2"/>
    </row>
    <row r="13" spans="1:16" x14ac:dyDescent="0.2">
      <c r="D13" s="11"/>
      <c r="L13" s="2"/>
    </row>
    <row r="14" spans="1:16" x14ac:dyDescent="0.2">
      <c r="A14" t="s">
        <v>132</v>
      </c>
      <c r="C14" s="151">
        <f>'[2]Hurr Models'!G5/1000</f>
        <v>4237532.24</v>
      </c>
      <c r="D14" s="129">
        <f>E14/C14</f>
        <v>2.2384342386029847</v>
      </c>
      <c r="E14" s="151">
        <f>'[2]Hurr Models'!C29</f>
        <v>9485437.2532000002</v>
      </c>
      <c r="G14" s="19"/>
      <c r="H14" s="19"/>
      <c r="I14" s="19"/>
      <c r="L14" s="2"/>
    </row>
    <row r="15" spans="1:16" x14ac:dyDescent="0.2">
      <c r="A15" t="s">
        <v>133</v>
      </c>
      <c r="C15" s="151">
        <f>'[2]Hurr Models'!G6/1000</f>
        <v>27843326.66</v>
      </c>
      <c r="D15" s="129">
        <f t="shared" ref="D15:D28" si="0">E15/C15</f>
        <v>1.5673269941731882</v>
      </c>
      <c r="E15" s="151">
        <f>'[2]Hurr Models'!C30</f>
        <v>43639597.481799997</v>
      </c>
      <c r="G15" s="19"/>
      <c r="H15" s="19"/>
      <c r="I15" s="19"/>
      <c r="L15" s="2"/>
    </row>
    <row r="16" spans="1:16" x14ac:dyDescent="0.2">
      <c r="A16" t="s">
        <v>134</v>
      </c>
      <c r="C16" s="151">
        <f>'[2]Hurr Models'!G7/1000</f>
        <v>1776824.96</v>
      </c>
      <c r="D16" s="129">
        <f t="shared" si="0"/>
        <v>2.9583725826318874</v>
      </c>
      <c r="E16" s="151">
        <f>'[2]Hurr Models'!C31</f>
        <v>5256510.2457999997</v>
      </c>
      <c r="G16" s="19"/>
      <c r="H16" s="19"/>
      <c r="I16" s="19"/>
      <c r="L16" s="2"/>
    </row>
    <row r="17" spans="1:17" x14ac:dyDescent="0.2">
      <c r="A17" t="s">
        <v>135</v>
      </c>
      <c r="C17" s="151">
        <f>'[2]Hurr Models'!G8/1000</f>
        <v>3527564.52</v>
      </c>
      <c r="D17" s="129">
        <f t="shared" si="0"/>
        <v>1.8660740248912584</v>
      </c>
      <c r="E17" s="151">
        <f>'[2]Hurr Models'!C32</f>
        <v>6582696.5219000001</v>
      </c>
      <c r="G17" s="19"/>
      <c r="H17" s="19"/>
      <c r="I17" s="19"/>
      <c r="L17" s="2"/>
    </row>
    <row r="18" spans="1:17" x14ac:dyDescent="0.2">
      <c r="A18" t="s">
        <v>136</v>
      </c>
      <c r="C18" s="151">
        <f>'[2]Hurr Models'!G9/1000</f>
        <v>4842969.0999999996</v>
      </c>
      <c r="D18" s="129">
        <f t="shared" si="0"/>
        <v>1.2512545674511943</v>
      </c>
      <c r="E18" s="151">
        <f>'[2]Hurr Models'!C33</f>
        <v>6059787.2063999996</v>
      </c>
      <c r="G18" s="19"/>
      <c r="H18" s="19"/>
      <c r="I18" s="19"/>
      <c r="L18" s="2"/>
    </row>
    <row r="19" spans="1:17" x14ac:dyDescent="0.2">
      <c r="A19" t="s">
        <v>137</v>
      </c>
      <c r="C19" s="151">
        <f>'[2]Hurr Models'!G10/1000</f>
        <v>43444486.939999998</v>
      </c>
      <c r="D19" s="129">
        <f t="shared" si="0"/>
        <v>3.2717612756782164</v>
      </c>
      <c r="E19" s="151">
        <f>'[2]Hurr Models'!C34</f>
        <v>142139990.01199999</v>
      </c>
      <c r="G19" s="19"/>
      <c r="H19" s="19"/>
      <c r="I19" s="19"/>
      <c r="L19" s="2"/>
      <c r="O19" s="19"/>
      <c r="P19" s="19"/>
      <c r="Q19" s="19"/>
    </row>
    <row r="20" spans="1:17" x14ac:dyDescent="0.2">
      <c r="A20" t="s">
        <v>138</v>
      </c>
      <c r="C20" s="151">
        <f>'[2]Hurr Models'!G11/1000</f>
        <v>2178777.7400000002</v>
      </c>
      <c r="D20" s="129">
        <f t="shared" si="0"/>
        <v>4.10491037465804</v>
      </c>
      <c r="E20" s="151">
        <f>'[2]Hurr Models'!C35</f>
        <v>8943687.3489999995</v>
      </c>
      <c r="G20" s="19"/>
      <c r="H20" s="19"/>
      <c r="I20" s="19"/>
      <c r="L20" s="2"/>
      <c r="O20" s="19"/>
      <c r="P20" s="19"/>
      <c r="Q20" s="19"/>
    </row>
    <row r="21" spans="1:17" x14ac:dyDescent="0.2">
      <c r="A21" t="s">
        <v>139</v>
      </c>
      <c r="C21" s="151">
        <f>'[2]Hurr Models'!G12/1000</f>
        <v>13301255.52</v>
      </c>
      <c r="D21" s="129">
        <f t="shared" si="0"/>
        <v>1.9252690529698206</v>
      </c>
      <c r="E21" s="151">
        <f>'[2]Hurr Models'!C36</f>
        <v>25608495.618299998</v>
      </c>
      <c r="G21" s="19"/>
      <c r="H21" s="19"/>
      <c r="I21" s="19"/>
      <c r="L21" s="2"/>
      <c r="O21" s="19"/>
      <c r="P21" s="19"/>
      <c r="Q21" s="19"/>
    </row>
    <row r="22" spans="1:17" x14ac:dyDescent="0.2">
      <c r="A22" t="s">
        <v>140</v>
      </c>
      <c r="C22" s="151">
        <f>'[2]Hurr Models'!G13/1000</f>
        <v>8933.1</v>
      </c>
      <c r="D22" s="129">
        <f t="shared" si="0"/>
        <v>1.0706559537002831</v>
      </c>
      <c r="E22" s="151">
        <f>'[2]Hurr Models'!C37</f>
        <v>9564.2767000000003</v>
      </c>
      <c r="G22" s="19"/>
      <c r="H22" s="19"/>
      <c r="I22" s="19"/>
      <c r="L22" s="2"/>
      <c r="O22" s="19"/>
      <c r="P22" s="19"/>
      <c r="Q22" s="19"/>
    </row>
    <row r="23" spans="1:17" x14ac:dyDescent="0.2">
      <c r="A23" t="s">
        <v>141</v>
      </c>
      <c r="B23" s="12"/>
      <c r="C23" s="151">
        <f>'[2]Hurr Models'!G14/1000</f>
        <v>388978.56</v>
      </c>
      <c r="D23" s="129">
        <f t="shared" si="0"/>
        <v>0.94000546379728489</v>
      </c>
      <c r="E23" s="151">
        <f>'[2]Hurr Models'!C38</f>
        <v>365641.97169999999</v>
      </c>
      <c r="G23" s="19"/>
      <c r="H23" s="19"/>
      <c r="I23" s="19"/>
      <c r="L23" s="2"/>
    </row>
    <row r="24" spans="1:17" x14ac:dyDescent="0.2">
      <c r="A24" t="s">
        <v>142</v>
      </c>
      <c r="B24" s="12"/>
      <c r="C24" s="151">
        <f>'[2]Hurr Models'!G15/1000</f>
        <v>2256012.84</v>
      </c>
      <c r="D24" s="129">
        <f t="shared" si="0"/>
        <v>2.4424978916786668</v>
      </c>
      <c r="E24" s="151">
        <f>'[2]Hurr Models'!C39</f>
        <v>5510306.6053000009</v>
      </c>
      <c r="G24" s="19"/>
      <c r="H24" s="19"/>
      <c r="I24" s="19"/>
      <c r="L24" s="2"/>
    </row>
    <row r="25" spans="1:17" x14ac:dyDescent="0.2">
      <c r="A25" t="s">
        <v>143</v>
      </c>
      <c r="B25" s="12"/>
      <c r="C25" s="151">
        <f>'[2]Hurr Models'!G16/1000</f>
        <v>20593040.039999999</v>
      </c>
      <c r="D25" s="129">
        <f t="shared" si="0"/>
        <v>2.5111054435506261</v>
      </c>
      <c r="E25" s="151">
        <f>'[2]Hurr Models'!C40</f>
        <v>51711294.943700001</v>
      </c>
      <c r="G25" s="19"/>
      <c r="H25" s="19"/>
      <c r="I25" s="19"/>
      <c r="L25" s="2"/>
    </row>
    <row r="26" spans="1:17" x14ac:dyDescent="0.2">
      <c r="A26" t="s">
        <v>144</v>
      </c>
      <c r="C26" s="151">
        <f>'[2]Hurr Models'!G17/1000</f>
        <v>172195.8</v>
      </c>
      <c r="D26" s="129">
        <f t="shared" si="0"/>
        <v>1.6795206973689254</v>
      </c>
      <c r="E26" s="151">
        <f>'[2]Hurr Models'!C41</f>
        <v>289206.41009999998</v>
      </c>
      <c r="G26" s="19"/>
      <c r="H26" s="19"/>
      <c r="I26" s="19"/>
      <c r="L26" s="2"/>
    </row>
    <row r="27" spans="1:17" x14ac:dyDescent="0.2">
      <c r="A27" t="s">
        <v>145</v>
      </c>
      <c r="C27" s="151">
        <f>'[2]Hurr Models'!G18/1000</f>
        <v>4015685.34</v>
      </c>
      <c r="D27" s="129">
        <f t="shared" si="0"/>
        <v>2.0193039674766946</v>
      </c>
      <c r="E27" s="151">
        <f>'[2]Hurr Models'!C42</f>
        <v>8108889.3391999993</v>
      </c>
      <c r="G27" s="19"/>
      <c r="H27" s="19"/>
      <c r="I27" s="19"/>
      <c r="L27" s="2"/>
    </row>
    <row r="28" spans="1:17" x14ac:dyDescent="0.2">
      <c r="A28" t="s">
        <v>146</v>
      </c>
      <c r="C28" s="151">
        <f>'[2]Hurr Models'!G19/1000</f>
        <v>143376.4</v>
      </c>
      <c r="D28" s="129">
        <f t="shared" si="0"/>
        <v>2.1825170816117581</v>
      </c>
      <c r="E28" s="151">
        <f>'[2]Hurr Models'!C43</f>
        <v>312921.44210000004</v>
      </c>
      <c r="G28" s="19"/>
      <c r="H28" s="19"/>
      <c r="I28" s="19"/>
      <c r="L28" s="2"/>
    </row>
    <row r="29" spans="1:17" x14ac:dyDescent="0.2">
      <c r="A29" s="9"/>
      <c r="B29" s="24"/>
      <c r="C29" s="25"/>
      <c r="D29" s="130"/>
      <c r="E29" s="27"/>
      <c r="L29" s="2"/>
    </row>
    <row r="30" spans="1:17" x14ac:dyDescent="0.2">
      <c r="C30" s="19"/>
      <c r="D30" s="131"/>
      <c r="E30" s="12"/>
      <c r="L30" s="2"/>
    </row>
    <row r="31" spans="1:17" x14ac:dyDescent="0.2">
      <c r="A31" t="s">
        <v>9</v>
      </c>
      <c r="C31" s="26">
        <f>SUM(C14:C28)</f>
        <v>128730959.76000001</v>
      </c>
      <c r="D31" s="129">
        <f>E31/C31</f>
        <v>2.4393823153548437</v>
      </c>
      <c r="E31" s="26">
        <f>SUM(E14:E28)</f>
        <v>314024026.67720002</v>
      </c>
      <c r="G31" s="19"/>
      <c r="H31" s="19"/>
      <c r="I31" s="19"/>
      <c r="L31" s="2"/>
    </row>
    <row r="32" spans="1:17" x14ac:dyDescent="0.2">
      <c r="L32" s="2"/>
    </row>
    <row r="33" spans="1:13" x14ac:dyDescent="0.2">
      <c r="A33" s="41" t="s">
        <v>102</v>
      </c>
      <c r="B33" t="str">
        <f>"In-Force Premium as of "&amp;TEXT(M11,"mm/dd/yy")&amp;" at Present Rates"</f>
        <v>In-Force Premium as of 11/30/25 at Present Rates</v>
      </c>
      <c r="E33" s="151">
        <f>SUM([2]PremIF!$D$9:$D$10)</f>
        <v>703482510</v>
      </c>
      <c r="I33" s="19"/>
      <c r="L33" s="2"/>
      <c r="M33" s="47">
        <f>'9.2'!$L$28</f>
        <v>46022</v>
      </c>
    </row>
    <row r="34" spans="1:13" x14ac:dyDescent="0.2">
      <c r="A34" s="41" t="s">
        <v>106</v>
      </c>
      <c r="B34" t="s">
        <v>131</v>
      </c>
      <c r="E34" s="20">
        <f>ROUND(E31/E33,3)</f>
        <v>0.44600000000000001</v>
      </c>
      <c r="L34" s="2"/>
    </row>
    <row r="35" spans="1:13" ht="12" thickBot="1" x14ac:dyDescent="0.25">
      <c r="A35" s="6"/>
      <c r="B35" s="6"/>
      <c r="C35" s="6"/>
      <c r="D35" s="6"/>
      <c r="E35" s="6"/>
      <c r="L35" s="2"/>
    </row>
    <row r="36" spans="1:13" ht="12" thickTop="1" x14ac:dyDescent="0.2">
      <c r="L36" s="2"/>
    </row>
    <row r="37" spans="1:13" x14ac:dyDescent="0.2">
      <c r="A37" t="s">
        <v>17</v>
      </c>
      <c r="L37" s="2"/>
    </row>
    <row r="38" spans="1:13" x14ac:dyDescent="0.2">
      <c r="B38" s="12" t="str">
        <f>'[3]7.1'!B38</f>
        <v>(2) Provided by TWIA and geo-coded by Verisk</v>
      </c>
      <c r="L38" s="2"/>
    </row>
    <row r="39" spans="1:13" x14ac:dyDescent="0.2">
      <c r="B39" s="12" t="str">
        <f>'[3]7.1'!B39</f>
        <v>(3) = (4) / (2)</v>
      </c>
      <c r="L39" s="2"/>
    </row>
    <row r="40" spans="1:13" x14ac:dyDescent="0.2">
      <c r="B40" s="12" t="str">
        <f>'[3]7.1'!B40</f>
        <v>(4) Provided by Verisk using Verisk Touchstone v13.0 (versus Verisk Touchstone v12.0 for prior year results)</v>
      </c>
      <c r="F40" s="42"/>
      <c r="G40" s="22"/>
      <c r="L40" s="2"/>
    </row>
    <row r="41" spans="1:13" x14ac:dyDescent="0.2">
      <c r="B41" s="12" t="str">
        <f>'[3]7.1'!B41</f>
        <v>(5) Provided by TWIA</v>
      </c>
      <c r="L41" s="2"/>
    </row>
    <row r="42" spans="1:13" x14ac:dyDescent="0.2">
      <c r="B42" s="12" t="str">
        <f>'[3]7.1'!B42</f>
        <v>(6) = (4) Total / (5)</v>
      </c>
      <c r="L42" s="2"/>
    </row>
    <row r="43" spans="1:13" x14ac:dyDescent="0.2">
      <c r="L43" s="2"/>
    </row>
    <row r="44" spans="1:13" x14ac:dyDescent="0.2">
      <c r="L44" s="2"/>
    </row>
    <row r="45" spans="1:13" x14ac:dyDescent="0.2">
      <c r="L45" s="2"/>
    </row>
    <row r="46" spans="1:13" x14ac:dyDescent="0.2">
      <c r="L46" s="2"/>
    </row>
    <row r="47" spans="1:13" x14ac:dyDescent="0.2">
      <c r="L47" s="2"/>
    </row>
    <row r="48" spans="1:13" x14ac:dyDescent="0.2">
      <c r="L48" s="2"/>
    </row>
    <row r="49" spans="1:12" x14ac:dyDescent="0.2">
      <c r="L49" s="2"/>
    </row>
    <row r="50" spans="1:12" x14ac:dyDescent="0.2">
      <c r="L50" s="2"/>
    </row>
    <row r="51" spans="1:12" x14ac:dyDescent="0.2">
      <c r="L51" s="2"/>
    </row>
    <row r="52" spans="1:12" x14ac:dyDescent="0.2">
      <c r="L52" s="2"/>
    </row>
    <row r="53" spans="1:12" x14ac:dyDescent="0.2">
      <c r="L53" s="2"/>
    </row>
    <row r="54" spans="1:12" x14ac:dyDescent="0.2">
      <c r="L54" s="2"/>
    </row>
    <row r="55" spans="1:12" x14ac:dyDescent="0.2">
      <c r="A55" s="41"/>
      <c r="C55" s="31"/>
      <c r="D55" s="31"/>
      <c r="E55" s="31"/>
      <c r="F55" s="31"/>
      <c r="G55" s="19"/>
      <c r="H55" s="19"/>
      <c r="I55" s="19"/>
      <c r="J55" s="19"/>
      <c r="L55" s="2"/>
    </row>
    <row r="56" spans="1:12" x14ac:dyDescent="0.2">
      <c r="A56" s="41"/>
      <c r="C56" s="31"/>
      <c r="D56" s="31"/>
      <c r="E56" s="31"/>
      <c r="F56" s="31"/>
      <c r="G56" s="19"/>
      <c r="H56" s="19"/>
      <c r="I56" s="19"/>
      <c r="J56" s="19"/>
      <c r="L56" s="2"/>
    </row>
    <row r="57" spans="1:12" x14ac:dyDescent="0.2">
      <c r="A57" s="41"/>
      <c r="C57" s="31"/>
      <c r="D57" s="31"/>
      <c r="E57" s="31"/>
      <c r="F57" s="31"/>
      <c r="G57" s="19"/>
      <c r="H57" s="19"/>
      <c r="I57" s="19"/>
      <c r="J57" s="19"/>
      <c r="L57" s="2"/>
    </row>
    <row r="58" spans="1:12" x14ac:dyDescent="0.2">
      <c r="A58" s="41"/>
      <c r="C58" s="31"/>
      <c r="D58" s="31"/>
      <c r="E58" s="31"/>
      <c r="F58" s="31"/>
      <c r="G58" s="19"/>
      <c r="H58" s="19"/>
      <c r="I58" s="19"/>
      <c r="J58" s="19"/>
      <c r="L58" s="2"/>
    </row>
    <row r="59" spans="1:12" x14ac:dyDescent="0.2">
      <c r="A59" s="41"/>
      <c r="C59" s="31"/>
      <c r="D59" s="31"/>
      <c r="E59" s="31"/>
      <c r="F59" s="31"/>
      <c r="G59" s="19"/>
      <c r="H59" s="19"/>
      <c r="I59" s="19"/>
      <c r="J59" s="19"/>
      <c r="L59" s="2"/>
    </row>
    <row r="60" spans="1:12" x14ac:dyDescent="0.2">
      <c r="A60" s="41"/>
      <c r="C60" s="31"/>
      <c r="D60" s="31"/>
      <c r="E60" s="31"/>
      <c r="F60" s="31"/>
      <c r="G60" s="19"/>
      <c r="H60" s="19"/>
      <c r="I60" s="19"/>
      <c r="J60" s="19"/>
      <c r="L60" s="2"/>
    </row>
    <row r="61" spans="1:12" x14ac:dyDescent="0.2">
      <c r="A61" s="41"/>
      <c r="C61" s="31"/>
      <c r="D61" s="31"/>
      <c r="E61" s="31"/>
      <c r="F61" s="31"/>
      <c r="G61" s="19"/>
      <c r="H61" s="19"/>
      <c r="I61" s="19"/>
      <c r="J61" s="19"/>
      <c r="L61" s="2"/>
    </row>
    <row r="62" spans="1:12" x14ac:dyDescent="0.2">
      <c r="A62" s="41"/>
      <c r="C62" s="31"/>
      <c r="D62" s="31"/>
      <c r="E62" s="31"/>
      <c r="F62" s="31"/>
      <c r="G62" s="19"/>
      <c r="H62" s="19"/>
      <c r="I62" s="19"/>
      <c r="J62" s="19"/>
      <c r="L62" s="2"/>
    </row>
    <row r="63" spans="1:12" x14ac:dyDescent="0.2">
      <c r="A63" s="41"/>
      <c r="C63" s="20"/>
      <c r="D63" s="20"/>
      <c r="E63" s="20"/>
      <c r="F63" s="20"/>
      <c r="G63" s="20"/>
      <c r="H63" s="20"/>
      <c r="I63" s="20"/>
      <c r="J63" s="20"/>
      <c r="L63" s="2"/>
    </row>
    <row r="64" spans="1:12" x14ac:dyDescent="0.2">
      <c r="B64" s="23"/>
      <c r="C64" s="42"/>
      <c r="D64" s="42"/>
      <c r="E64" s="42"/>
      <c r="F64" s="42"/>
      <c r="G64" s="22"/>
      <c r="L64" s="2"/>
    </row>
    <row r="65" spans="1:12" x14ac:dyDescent="0.2">
      <c r="B65" s="23"/>
      <c r="C65" s="42"/>
      <c r="D65" s="42"/>
      <c r="E65" s="42"/>
      <c r="F65" s="42"/>
      <c r="G65" s="22"/>
      <c r="L65" s="2"/>
    </row>
    <row r="66" spans="1:12" x14ac:dyDescent="0.2">
      <c r="B66" s="23"/>
      <c r="C66" s="42"/>
      <c r="D66" s="42"/>
      <c r="E66" s="42"/>
      <c r="F66" s="42"/>
      <c r="G66" s="22"/>
      <c r="L66" s="2"/>
    </row>
    <row r="67" spans="1:12" x14ac:dyDescent="0.2">
      <c r="B67" s="23"/>
      <c r="C67" s="42"/>
      <c r="D67" s="42"/>
      <c r="E67" s="42"/>
      <c r="F67" s="42"/>
      <c r="G67" s="22"/>
      <c r="L67" s="2"/>
    </row>
    <row r="68" spans="1:12" ht="12" thickBot="1" x14ac:dyDescent="0.25">
      <c r="L68" s="2"/>
    </row>
    <row r="69" spans="1:12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8"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3.5" bestFit="1" customWidth="1"/>
    <col min="2" max="2" width="11.33203125" customWidth="1"/>
    <col min="3" max="3" width="14" customWidth="1"/>
    <col min="4" max="4" width="21.33203125" customWidth="1"/>
    <col min="5" max="5" width="15.33203125" customWidth="1"/>
    <col min="6" max="7" width="11.33203125" customWidth="1"/>
    <col min="8" max="8" width="11.33203125" hidden="1" customWidth="1"/>
    <col min="9" max="10" width="11.33203125" customWidth="1"/>
    <col min="11" max="11" width="5.1640625" customWidth="1"/>
  </cols>
  <sheetData>
    <row r="1" spans="1:13" x14ac:dyDescent="0.2">
      <c r="A1" s="8" t="str">
        <f>'1'!$A$1</f>
        <v>Texas Windstorm Insurance Association</v>
      </c>
      <c r="B1" s="12"/>
      <c r="K1" s="7" t="s">
        <v>267</v>
      </c>
      <c r="L1" s="1"/>
    </row>
    <row r="2" spans="1:13" x14ac:dyDescent="0.2">
      <c r="A2" s="8" t="str">
        <f>'1'!$A$2</f>
        <v>Residential Property - Wind &amp; Hail</v>
      </c>
      <c r="B2" s="12"/>
      <c r="K2" s="7" t="s">
        <v>77</v>
      </c>
      <c r="L2" s="2"/>
    </row>
    <row r="3" spans="1:13" x14ac:dyDescent="0.2">
      <c r="A3" s="8" t="str">
        <f>'1'!$A$3</f>
        <v>Rate Level Review</v>
      </c>
      <c r="B3" s="12"/>
      <c r="L3" s="2"/>
    </row>
    <row r="4" spans="1:13" x14ac:dyDescent="0.2">
      <c r="A4" t="s">
        <v>434</v>
      </c>
      <c r="B4" s="12"/>
      <c r="L4" s="2"/>
    </row>
    <row r="5" spans="1:13" x14ac:dyDescent="0.2">
      <c r="A5" t="s">
        <v>445</v>
      </c>
      <c r="B5" s="12"/>
      <c r="L5" s="2"/>
    </row>
    <row r="6" spans="1:13" x14ac:dyDescent="0.2">
      <c r="L6" s="2"/>
    </row>
    <row r="7" spans="1:13" ht="12" thickBot="1" x14ac:dyDescent="0.25">
      <c r="A7" s="6"/>
      <c r="B7" s="6"/>
      <c r="C7" s="6"/>
      <c r="D7" s="6"/>
      <c r="E7" s="6"/>
      <c r="L7" s="2"/>
    </row>
    <row r="8" spans="1:13" ht="12" thickTop="1" x14ac:dyDescent="0.2">
      <c r="L8" s="2"/>
    </row>
    <row r="9" spans="1:13" x14ac:dyDescent="0.2">
      <c r="C9" s="136" t="s">
        <v>125</v>
      </c>
      <c r="D9" s="11"/>
      <c r="E9" s="11"/>
      <c r="L9" s="2"/>
      <c r="M9" s="17"/>
    </row>
    <row r="10" spans="1:13" x14ac:dyDescent="0.2">
      <c r="C10" s="11" t="s">
        <v>126</v>
      </c>
      <c r="D10" s="11" t="s">
        <v>127</v>
      </c>
      <c r="E10" s="11" t="s">
        <v>130</v>
      </c>
      <c r="L10" s="2"/>
      <c r="M10" s="12" t="s">
        <v>147</v>
      </c>
    </row>
    <row r="11" spans="1:13" x14ac:dyDescent="0.2">
      <c r="A11" s="9" t="s">
        <v>124</v>
      </c>
      <c r="B11" s="9"/>
      <c r="C11" s="121" t="str">
        <f>"as of "&amp;TEXT($M$11,"m/d/yy")</f>
        <v>as of 11/30/25</v>
      </c>
      <c r="D11" s="121" t="s">
        <v>128</v>
      </c>
      <c r="E11" s="121" t="s">
        <v>129</v>
      </c>
      <c r="L11" s="2"/>
      <c r="M11" s="37">
        <f>'7.1'!$M$11</f>
        <v>45991</v>
      </c>
    </row>
    <row r="12" spans="1:13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L12" s="2"/>
    </row>
    <row r="13" spans="1:13" x14ac:dyDescent="0.2">
      <c r="D13" s="11"/>
      <c r="L13" s="2"/>
    </row>
    <row r="14" spans="1:13" x14ac:dyDescent="0.2">
      <c r="A14" t="s">
        <v>132</v>
      </c>
      <c r="C14" s="26">
        <f>'7.1'!C14</f>
        <v>4237532.24</v>
      </c>
      <c r="D14" s="129">
        <f>E14/C14</f>
        <v>2.2064667847577248</v>
      </c>
      <c r="E14" s="151">
        <f>'[2]Hurr Models'!C5</f>
        <v>9349974.1369000003</v>
      </c>
      <c r="L14" s="2"/>
    </row>
    <row r="15" spans="1:13" x14ac:dyDescent="0.2">
      <c r="A15" t="s">
        <v>133</v>
      </c>
      <c r="C15" s="26">
        <f>'7.1'!C15</f>
        <v>27843326.66</v>
      </c>
      <c r="D15" s="129">
        <f t="shared" ref="D15:D28" si="0">E15/C15</f>
        <v>1.5710539367676259</v>
      </c>
      <c r="E15" s="151">
        <f>'[2]Hurr Models'!C6</f>
        <v>43743367.961899996</v>
      </c>
      <c r="L15" s="2"/>
    </row>
    <row r="16" spans="1:13" x14ac:dyDescent="0.2">
      <c r="A16" t="s">
        <v>134</v>
      </c>
      <c r="C16" s="26">
        <f>'7.1'!C16</f>
        <v>1776824.96</v>
      </c>
      <c r="D16" s="129">
        <f t="shared" si="0"/>
        <v>3.4766337564843757</v>
      </c>
      <c r="E16" s="151">
        <f>'[2]Hurr Models'!C7</f>
        <v>6177369.6353000002</v>
      </c>
      <c r="L16" s="2"/>
    </row>
    <row r="17" spans="1:12" x14ac:dyDescent="0.2">
      <c r="A17" t="s">
        <v>135</v>
      </c>
      <c r="C17" s="26">
        <f>'7.1'!C17</f>
        <v>3527564.52</v>
      </c>
      <c r="D17" s="129">
        <f t="shared" si="0"/>
        <v>2.1798721719199059</v>
      </c>
      <c r="E17" s="151">
        <f>'[2]Hurr Models'!C8</f>
        <v>7689639.7318000002</v>
      </c>
      <c r="L17" s="2"/>
    </row>
    <row r="18" spans="1:12" x14ac:dyDescent="0.2">
      <c r="A18" t="s">
        <v>136</v>
      </c>
      <c r="C18" s="26">
        <f>'7.1'!C18</f>
        <v>4842969.0999999996</v>
      </c>
      <c r="D18" s="129">
        <f t="shared" si="0"/>
        <v>1.4125265824636382</v>
      </c>
      <c r="E18" s="151">
        <f>'[2]Hurr Models'!C9</f>
        <v>6840822.5918000005</v>
      </c>
      <c r="L18" s="2"/>
    </row>
    <row r="19" spans="1:12" x14ac:dyDescent="0.2">
      <c r="A19" t="s">
        <v>137</v>
      </c>
      <c r="C19" s="26">
        <f>'7.1'!C19</f>
        <v>43444486.939999998</v>
      </c>
      <c r="D19" s="129">
        <f t="shared" si="0"/>
        <v>2.6483133185068755</v>
      </c>
      <c r="E19" s="151">
        <f>'[2]Hurr Models'!C10</f>
        <v>115054613.37890001</v>
      </c>
      <c r="L19" s="2"/>
    </row>
    <row r="20" spans="1:12" x14ac:dyDescent="0.2">
      <c r="A20" t="s">
        <v>138</v>
      </c>
      <c r="C20" s="26">
        <f>'7.1'!C20</f>
        <v>2178777.7400000002</v>
      </c>
      <c r="D20" s="129">
        <f t="shared" si="0"/>
        <v>2.9639522439310397</v>
      </c>
      <c r="E20" s="151">
        <f>'[2]Hurr Models'!C11</f>
        <v>6457793.1715000002</v>
      </c>
      <c r="L20" s="2"/>
    </row>
    <row r="21" spans="1:12" x14ac:dyDescent="0.2">
      <c r="A21" t="s">
        <v>139</v>
      </c>
      <c r="C21" s="26">
        <f>'7.1'!C21</f>
        <v>13301255.52</v>
      </c>
      <c r="D21" s="129">
        <f t="shared" si="0"/>
        <v>1.9006531921657273</v>
      </c>
      <c r="E21" s="151">
        <f>'[2]Hurr Models'!C12</f>
        <v>25281073.763900001</v>
      </c>
      <c r="L21" s="2"/>
    </row>
    <row r="22" spans="1:12" x14ac:dyDescent="0.2">
      <c r="A22" t="s">
        <v>140</v>
      </c>
      <c r="C22" s="26">
        <f>'7.1'!C22</f>
        <v>8933.1</v>
      </c>
      <c r="D22" s="129">
        <f t="shared" si="0"/>
        <v>1.6257572511222309</v>
      </c>
      <c r="E22" s="151">
        <f>'[2]Hurr Models'!C13</f>
        <v>14523.052100000001</v>
      </c>
      <c r="L22" s="2"/>
    </row>
    <row r="23" spans="1:12" x14ac:dyDescent="0.2">
      <c r="A23" t="s">
        <v>141</v>
      </c>
      <c r="B23" s="12"/>
      <c r="C23" s="26">
        <f>'7.1'!C23</f>
        <v>388978.56</v>
      </c>
      <c r="D23" s="129">
        <f t="shared" si="0"/>
        <v>1.4273925969081689</v>
      </c>
      <c r="E23" s="151">
        <f>'[2]Hurr Models'!C14</f>
        <v>555225.11690000002</v>
      </c>
      <c r="L23" s="2"/>
    </row>
    <row r="24" spans="1:12" x14ac:dyDescent="0.2">
      <c r="A24" t="s">
        <v>142</v>
      </c>
      <c r="B24" s="12"/>
      <c r="C24" s="26">
        <f>'7.1'!C24</f>
        <v>2256012.84</v>
      </c>
      <c r="D24" s="129">
        <f t="shared" si="0"/>
        <v>2.744643906503653</v>
      </c>
      <c r="E24" s="151">
        <f>'[2]Hurr Models'!C15</f>
        <v>6191951.8942999998</v>
      </c>
      <c r="L24" s="2"/>
    </row>
    <row r="25" spans="1:12" x14ac:dyDescent="0.2">
      <c r="A25" t="s">
        <v>143</v>
      </c>
      <c r="B25" s="12"/>
      <c r="C25" s="26">
        <f>'7.1'!C25</f>
        <v>20593040.039999999</v>
      </c>
      <c r="D25" s="129">
        <f t="shared" si="0"/>
        <v>2.2221457416007633</v>
      </c>
      <c r="E25" s="151">
        <f>'[2]Hurr Models'!C16</f>
        <v>45760736.231500007</v>
      </c>
      <c r="L25" s="2"/>
    </row>
    <row r="26" spans="1:12" x14ac:dyDescent="0.2">
      <c r="A26" t="s">
        <v>144</v>
      </c>
      <c r="C26" s="26">
        <f>'7.1'!C26</f>
        <v>172195.8</v>
      </c>
      <c r="D26" s="129">
        <f t="shared" si="0"/>
        <v>2.2093600465284289</v>
      </c>
      <c r="E26" s="151">
        <f>'[2]Hurr Models'!C17</f>
        <v>380442.52069999999</v>
      </c>
      <c r="L26" s="2"/>
    </row>
    <row r="27" spans="1:12" x14ac:dyDescent="0.2">
      <c r="A27" t="s">
        <v>145</v>
      </c>
      <c r="C27" s="26">
        <f>'7.1'!C27</f>
        <v>4015685.34</v>
      </c>
      <c r="D27" s="129">
        <f t="shared" si="0"/>
        <v>2.1862088140352154</v>
      </c>
      <c r="E27" s="151">
        <f>'[2]Hurr Models'!C18</f>
        <v>8779126.684700001</v>
      </c>
      <c r="L27" s="2"/>
    </row>
    <row r="28" spans="1:12" x14ac:dyDescent="0.2">
      <c r="A28" t="s">
        <v>146</v>
      </c>
      <c r="C28" s="26">
        <f>'7.1'!C28</f>
        <v>143376.4</v>
      </c>
      <c r="D28" s="129">
        <f t="shared" si="0"/>
        <v>2.5031774748145441</v>
      </c>
      <c r="E28" s="151">
        <f>'[2]Hurr Models'!C19</f>
        <v>358896.57490000001</v>
      </c>
      <c r="L28" s="2"/>
    </row>
    <row r="29" spans="1:12" x14ac:dyDescent="0.2">
      <c r="A29" s="9"/>
      <c r="B29" s="24"/>
      <c r="C29" s="27"/>
      <c r="D29" s="130"/>
      <c r="E29" s="27"/>
      <c r="L29" s="2"/>
    </row>
    <row r="30" spans="1:12" x14ac:dyDescent="0.2">
      <c r="C30" s="19"/>
      <c r="D30" s="131"/>
      <c r="E30" s="12"/>
      <c r="L30" s="2"/>
    </row>
    <row r="31" spans="1:12" x14ac:dyDescent="0.2">
      <c r="A31" t="s">
        <v>9</v>
      </c>
      <c r="C31" s="26">
        <f>SUM(C14:C28)</f>
        <v>128730959.76000001</v>
      </c>
      <c r="D31" s="129">
        <f>E31/C31</f>
        <v>2.1955523129325885</v>
      </c>
      <c r="E31" s="26">
        <f>SUM(E14:E28)</f>
        <v>282635556.44709998</v>
      </c>
      <c r="L31" s="2"/>
    </row>
    <row r="32" spans="1:12" x14ac:dyDescent="0.2">
      <c r="L32" s="2"/>
    </row>
    <row r="33" spans="1:13" x14ac:dyDescent="0.2">
      <c r="A33" s="41" t="s">
        <v>102</v>
      </c>
      <c r="B33" t="str">
        <f>'7.1'!B33</f>
        <v>In-Force Premium as of 11/30/25 at Present Rates</v>
      </c>
      <c r="E33" s="26">
        <f>'7.1'!E33</f>
        <v>703482510</v>
      </c>
      <c r="L33" s="2"/>
      <c r="M33" s="47">
        <f>'7.1'!$M$33</f>
        <v>46022</v>
      </c>
    </row>
    <row r="34" spans="1:13" x14ac:dyDescent="0.2">
      <c r="A34" s="41" t="s">
        <v>106</v>
      </c>
      <c r="B34" t="s">
        <v>131</v>
      </c>
      <c r="E34" s="20">
        <f>ROUND(E31/E33,3)</f>
        <v>0.40200000000000002</v>
      </c>
      <c r="L34" s="2"/>
    </row>
    <row r="35" spans="1:13" ht="12" thickBot="1" x14ac:dyDescent="0.25">
      <c r="A35" s="6"/>
      <c r="B35" s="6"/>
      <c r="C35" s="6"/>
      <c r="D35" s="6"/>
      <c r="E35" s="6"/>
      <c r="L35" s="2"/>
    </row>
    <row r="36" spans="1:13" ht="12" thickTop="1" x14ac:dyDescent="0.2">
      <c r="L36" s="2"/>
    </row>
    <row r="37" spans="1:13" x14ac:dyDescent="0.2">
      <c r="A37" t="s">
        <v>17</v>
      </c>
      <c r="L37" s="2"/>
    </row>
    <row r="38" spans="1:13" x14ac:dyDescent="0.2">
      <c r="B38" s="12" t="str">
        <f>'[3]7.2'!B38</f>
        <v>(2) Provided by TWIA and geo-coded by RMS</v>
      </c>
      <c r="L38" s="2"/>
    </row>
    <row r="39" spans="1:13" x14ac:dyDescent="0.2">
      <c r="B39" s="12" t="str">
        <f>'[3]7.2'!B39</f>
        <v>(3) = (4) / (2)</v>
      </c>
      <c r="L39" s="2"/>
    </row>
    <row r="40" spans="1:13" x14ac:dyDescent="0.2">
      <c r="B40" s="12" t="str">
        <f>'[3]7.2'!B40</f>
        <v>(4) Provided by RMS using RMS RiskLink v25.0 (versus RMS RiskLink v23.0 for prior year results)</v>
      </c>
      <c r="F40" s="42"/>
      <c r="G40" s="22"/>
      <c r="L40" s="2"/>
    </row>
    <row r="41" spans="1:13" x14ac:dyDescent="0.2">
      <c r="B41" s="12" t="str">
        <f>'[3]7.2'!B41</f>
        <v>(5) Provided by TWIA</v>
      </c>
      <c r="L41" s="2"/>
    </row>
    <row r="42" spans="1:13" x14ac:dyDescent="0.2">
      <c r="B42" s="12" t="str">
        <f>'[3]7.2'!B42</f>
        <v>(6) = (4) Total / (5)</v>
      </c>
      <c r="L42" s="2"/>
    </row>
    <row r="43" spans="1:13" x14ac:dyDescent="0.2">
      <c r="L43" s="2"/>
    </row>
    <row r="44" spans="1:13" x14ac:dyDescent="0.2">
      <c r="L44" s="2"/>
    </row>
    <row r="45" spans="1:13" x14ac:dyDescent="0.2">
      <c r="L45" s="2"/>
    </row>
    <row r="46" spans="1:13" x14ac:dyDescent="0.2">
      <c r="L46" s="2"/>
    </row>
    <row r="47" spans="1:13" x14ac:dyDescent="0.2">
      <c r="L47" s="2"/>
    </row>
    <row r="48" spans="1:13" x14ac:dyDescent="0.2">
      <c r="L48" s="2"/>
    </row>
    <row r="49" spans="1:12" x14ac:dyDescent="0.2">
      <c r="L49" s="2"/>
    </row>
    <row r="50" spans="1:12" x14ac:dyDescent="0.2">
      <c r="L50" s="2"/>
    </row>
    <row r="51" spans="1:12" x14ac:dyDescent="0.2">
      <c r="L51" s="2"/>
    </row>
    <row r="52" spans="1:12" x14ac:dyDescent="0.2">
      <c r="L52" s="2"/>
    </row>
    <row r="53" spans="1:12" x14ac:dyDescent="0.2">
      <c r="L53" s="2"/>
    </row>
    <row r="54" spans="1:12" x14ac:dyDescent="0.2">
      <c r="L54" s="2"/>
    </row>
    <row r="55" spans="1:12" x14ac:dyDescent="0.2">
      <c r="A55" s="41"/>
      <c r="C55" s="31"/>
      <c r="D55" s="31"/>
      <c r="E55" s="31"/>
      <c r="F55" s="31"/>
      <c r="G55" s="19"/>
      <c r="H55" s="19"/>
      <c r="I55" s="19"/>
      <c r="J55" s="19"/>
      <c r="L55" s="2"/>
    </row>
    <row r="56" spans="1:12" x14ac:dyDescent="0.2">
      <c r="A56" s="41"/>
      <c r="C56" s="31"/>
      <c r="D56" s="31"/>
      <c r="E56" s="31"/>
      <c r="F56" s="31"/>
      <c r="G56" s="19"/>
      <c r="H56" s="19"/>
      <c r="I56" s="19"/>
      <c r="J56" s="19"/>
      <c r="L56" s="2"/>
    </row>
    <row r="57" spans="1:12" x14ac:dyDescent="0.2">
      <c r="A57" s="41"/>
      <c r="C57" s="31"/>
      <c r="D57" s="31"/>
      <c r="E57" s="31"/>
      <c r="F57" s="31"/>
      <c r="G57" s="19"/>
      <c r="H57" s="19"/>
      <c r="I57" s="19"/>
      <c r="J57" s="19"/>
      <c r="L57" s="2"/>
    </row>
    <row r="58" spans="1:12" x14ac:dyDescent="0.2">
      <c r="A58" s="41"/>
      <c r="C58" s="31"/>
      <c r="D58" s="31"/>
      <c r="E58" s="31"/>
      <c r="F58" s="31"/>
      <c r="G58" s="19"/>
      <c r="H58" s="19"/>
      <c r="I58" s="19"/>
      <c r="J58" s="19"/>
      <c r="L58" s="2"/>
    </row>
    <row r="59" spans="1:12" x14ac:dyDescent="0.2">
      <c r="A59" s="41"/>
      <c r="C59" s="31"/>
      <c r="D59" s="31"/>
      <c r="E59" s="31"/>
      <c r="F59" s="31"/>
      <c r="G59" s="19"/>
      <c r="H59" s="19"/>
      <c r="I59" s="19"/>
      <c r="J59" s="19"/>
      <c r="L59" s="2"/>
    </row>
    <row r="60" spans="1:12" x14ac:dyDescent="0.2">
      <c r="A60" s="41"/>
      <c r="C60" s="31"/>
      <c r="D60" s="31"/>
      <c r="E60" s="31"/>
      <c r="F60" s="31"/>
      <c r="G60" s="19"/>
      <c r="H60" s="19"/>
      <c r="I60" s="19"/>
      <c r="J60" s="19"/>
      <c r="L60" s="2"/>
    </row>
    <row r="61" spans="1:12" x14ac:dyDescent="0.2">
      <c r="A61" s="41"/>
      <c r="C61" s="31"/>
      <c r="D61" s="31"/>
      <c r="E61" s="31"/>
      <c r="F61" s="31"/>
      <c r="G61" s="19"/>
      <c r="H61" s="19"/>
      <c r="I61" s="19"/>
      <c r="J61" s="19"/>
      <c r="L61" s="2"/>
    </row>
    <row r="62" spans="1:12" x14ac:dyDescent="0.2">
      <c r="A62" s="41"/>
      <c r="C62" s="31"/>
      <c r="D62" s="31"/>
      <c r="E62" s="31"/>
      <c r="F62" s="31"/>
      <c r="G62" s="19"/>
      <c r="H62" s="19"/>
      <c r="I62" s="19"/>
      <c r="J62" s="19"/>
      <c r="L62" s="2"/>
    </row>
    <row r="63" spans="1:12" x14ac:dyDescent="0.2">
      <c r="A63" s="41"/>
      <c r="C63" s="20"/>
      <c r="D63" s="20"/>
      <c r="E63" s="20"/>
      <c r="F63" s="20"/>
      <c r="G63" s="20"/>
      <c r="H63" s="20"/>
      <c r="I63" s="20"/>
      <c r="J63" s="20"/>
      <c r="L63" s="2"/>
    </row>
    <row r="64" spans="1:12" x14ac:dyDescent="0.2">
      <c r="B64" s="23"/>
      <c r="C64" s="42"/>
      <c r="D64" s="42"/>
      <c r="E64" s="42"/>
      <c r="F64" s="42"/>
      <c r="G64" s="22"/>
      <c r="L64" s="2"/>
    </row>
    <row r="65" spans="1:12" x14ac:dyDescent="0.2">
      <c r="B65" s="23"/>
      <c r="C65" s="42"/>
      <c r="D65" s="42"/>
      <c r="E65" s="42"/>
      <c r="F65" s="42"/>
      <c r="G65" s="22"/>
      <c r="L65" s="2"/>
    </row>
    <row r="66" spans="1:12" x14ac:dyDescent="0.2">
      <c r="B66" s="23"/>
      <c r="C66" s="42"/>
      <c r="D66" s="42"/>
      <c r="E66" s="42"/>
      <c r="F66" s="42"/>
      <c r="G66" s="22"/>
      <c r="L66" s="2"/>
    </row>
    <row r="67" spans="1:12" x14ac:dyDescent="0.2">
      <c r="B67" s="23"/>
      <c r="C67" s="42"/>
      <c r="D67" s="42"/>
      <c r="E67" s="42"/>
      <c r="F67" s="42"/>
      <c r="G67" s="22"/>
      <c r="L67" s="2"/>
    </row>
    <row r="68" spans="1:12" ht="12" thickBot="1" x14ac:dyDescent="0.25">
      <c r="L68" s="2"/>
    </row>
    <row r="69" spans="1:12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C0194-4D98-4503-82BB-DA16DE1B1A75}">
  <sheetPr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3.5" bestFit="1" customWidth="1"/>
    <col min="2" max="2" width="11.33203125" customWidth="1"/>
    <col min="3" max="3" width="14" customWidth="1"/>
    <col min="4" max="4" width="21.33203125" customWidth="1"/>
    <col min="5" max="5" width="15.33203125" customWidth="1"/>
    <col min="6" max="7" width="11.33203125" customWidth="1"/>
    <col min="8" max="8" width="11.33203125" hidden="1" customWidth="1"/>
    <col min="9" max="10" width="11.33203125" customWidth="1"/>
    <col min="11" max="11" width="5.1640625" customWidth="1"/>
  </cols>
  <sheetData>
    <row r="1" spans="1:13" x14ac:dyDescent="0.2">
      <c r="A1" s="8" t="str">
        <f>'1'!$A$1</f>
        <v>Texas Windstorm Insurance Association</v>
      </c>
      <c r="B1" s="12"/>
      <c r="K1" s="7" t="s">
        <v>267</v>
      </c>
      <c r="L1" s="1"/>
    </row>
    <row r="2" spans="1:13" x14ac:dyDescent="0.2">
      <c r="A2" s="8" t="str">
        <f>'1'!$A$2</f>
        <v>Residential Property - Wind &amp; Hail</v>
      </c>
      <c r="B2" s="12"/>
      <c r="K2" s="7" t="s">
        <v>79</v>
      </c>
      <c r="L2" s="2"/>
    </row>
    <row r="3" spans="1:13" x14ac:dyDescent="0.2">
      <c r="A3" s="8" t="str">
        <f>'1'!$A$3</f>
        <v>Rate Level Review</v>
      </c>
      <c r="B3" s="12"/>
      <c r="L3" s="2"/>
    </row>
    <row r="4" spans="1:13" x14ac:dyDescent="0.2">
      <c r="A4" t="s">
        <v>435</v>
      </c>
      <c r="B4" s="12"/>
      <c r="L4" s="2"/>
    </row>
    <row r="5" spans="1:13" x14ac:dyDescent="0.2">
      <c r="A5" t="s">
        <v>372</v>
      </c>
      <c r="B5" s="12"/>
      <c r="L5" s="2"/>
    </row>
    <row r="6" spans="1:13" x14ac:dyDescent="0.2">
      <c r="L6" s="2"/>
    </row>
    <row r="7" spans="1:13" ht="12" thickBot="1" x14ac:dyDescent="0.25">
      <c r="A7" s="6"/>
      <c r="B7" s="6"/>
      <c r="C7" s="6"/>
      <c r="D7" s="6"/>
      <c r="E7" s="6"/>
      <c r="L7" s="2"/>
    </row>
    <row r="8" spans="1:13" ht="12" thickTop="1" x14ac:dyDescent="0.2">
      <c r="L8" s="2"/>
    </row>
    <row r="9" spans="1:13" x14ac:dyDescent="0.2">
      <c r="C9" s="136" t="s">
        <v>125</v>
      </c>
      <c r="D9" s="11"/>
      <c r="E9" s="11"/>
      <c r="L9" s="2"/>
      <c r="M9" s="17"/>
    </row>
    <row r="10" spans="1:13" x14ac:dyDescent="0.2">
      <c r="C10" s="11" t="s">
        <v>126</v>
      </c>
      <c r="D10" s="11" t="s">
        <v>127</v>
      </c>
      <c r="E10" s="11" t="s">
        <v>130</v>
      </c>
      <c r="L10" s="2"/>
      <c r="M10" s="12" t="s">
        <v>147</v>
      </c>
    </row>
    <row r="11" spans="1:13" x14ac:dyDescent="0.2">
      <c r="A11" s="9" t="s">
        <v>124</v>
      </c>
      <c r="B11" s="9"/>
      <c r="C11" s="121" t="str">
        <f>"as of "&amp;TEXT($M$11,"m/d/yy")</f>
        <v>as of 11/30/25</v>
      </c>
      <c r="D11" s="121" t="s">
        <v>128</v>
      </c>
      <c r="E11" s="121" t="s">
        <v>129</v>
      </c>
      <c r="L11" s="2"/>
      <c r="M11" s="37">
        <f>'7.1'!$M$11</f>
        <v>45991</v>
      </c>
    </row>
    <row r="12" spans="1:13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L12" s="2"/>
    </row>
    <row r="13" spans="1:13" x14ac:dyDescent="0.2">
      <c r="D13" s="11"/>
      <c r="L13" s="2"/>
    </row>
    <row r="14" spans="1:13" x14ac:dyDescent="0.2">
      <c r="A14" t="s">
        <v>132</v>
      </c>
      <c r="C14" s="26">
        <f>'7.1'!C14</f>
        <v>4237532.24</v>
      </c>
      <c r="D14" s="129">
        <f>E14/C14</f>
        <v>2.8676653880750216</v>
      </c>
      <c r="E14" s="151">
        <f>'[2]Hurr Models'!C52</f>
        <v>12151824.535500016</v>
      </c>
      <c r="L14" s="2"/>
    </row>
    <row r="15" spans="1:13" x14ac:dyDescent="0.2">
      <c r="A15" t="s">
        <v>133</v>
      </c>
      <c r="C15" s="26">
        <f>'7.1'!C15</f>
        <v>27843326.66</v>
      </c>
      <c r="D15" s="129">
        <f t="shared" ref="D15:D28" si="0">E15/C15</f>
        <v>1.6425276929929846</v>
      </c>
      <c r="E15" s="151">
        <f>'[2]Hurr Models'!C53</f>
        <v>45733435.104099862</v>
      </c>
      <c r="L15" s="2"/>
    </row>
    <row r="16" spans="1:13" x14ac:dyDescent="0.2">
      <c r="A16" t="s">
        <v>134</v>
      </c>
      <c r="C16" s="26">
        <f>'7.1'!C16</f>
        <v>1776824.96</v>
      </c>
      <c r="D16" s="129">
        <f t="shared" si="0"/>
        <v>3.5893656081913661</v>
      </c>
      <c r="E16" s="151">
        <f>'[2]Hurr Models'!C54</f>
        <v>6377674.4031999996</v>
      </c>
      <c r="L16" s="2"/>
    </row>
    <row r="17" spans="1:12" x14ac:dyDescent="0.2">
      <c r="A17" t="s">
        <v>135</v>
      </c>
      <c r="C17" s="26">
        <f>'7.1'!C17</f>
        <v>3527564.52</v>
      </c>
      <c r="D17" s="129">
        <f t="shared" si="0"/>
        <v>1.8583135005564702</v>
      </c>
      <c r="E17" s="151">
        <f>'[2]Hurr Models'!C55</f>
        <v>6555320.7716000043</v>
      </c>
      <c r="L17" s="2"/>
    </row>
    <row r="18" spans="1:12" x14ac:dyDescent="0.2">
      <c r="A18" t="s">
        <v>136</v>
      </c>
      <c r="C18" s="26">
        <f>'7.1'!C18</f>
        <v>4842969.0999999996</v>
      </c>
      <c r="D18" s="129">
        <f t="shared" si="0"/>
        <v>1.3509907367982148</v>
      </c>
      <c r="E18" s="151">
        <f>'[2]Hurr Models'!C56</f>
        <v>6542806.3926999867</v>
      </c>
      <c r="L18" s="2"/>
    </row>
    <row r="19" spans="1:12" x14ac:dyDescent="0.2">
      <c r="A19" t="s">
        <v>137</v>
      </c>
      <c r="C19" s="26">
        <f>'7.1'!C19</f>
        <v>43444486.939999998</v>
      </c>
      <c r="D19" s="129">
        <f t="shared" si="0"/>
        <v>1.7798951649767458</v>
      </c>
      <c r="E19" s="151">
        <f>'[2]Hurr Models'!C57</f>
        <v>77326632.249401376</v>
      </c>
      <c r="L19" s="2"/>
    </row>
    <row r="20" spans="1:12" x14ac:dyDescent="0.2">
      <c r="A20" t="s">
        <v>138</v>
      </c>
      <c r="C20" s="26">
        <f>'7.1'!C20</f>
        <v>2178777.7400000002</v>
      </c>
      <c r="D20" s="129">
        <f t="shared" si="0"/>
        <v>1.7591374165590652</v>
      </c>
      <c r="E20" s="151">
        <f>'[2]Hurr Models'!C58</f>
        <v>3832769.4447999992</v>
      </c>
      <c r="L20" s="2"/>
    </row>
    <row r="21" spans="1:12" x14ac:dyDescent="0.2">
      <c r="A21" t="s">
        <v>139</v>
      </c>
      <c r="C21" s="26">
        <f>'7.1'!C21</f>
        <v>13301255.52</v>
      </c>
      <c r="D21" s="129">
        <f t="shared" si="0"/>
        <v>1.4842864513364509</v>
      </c>
      <c r="E21" s="151">
        <f>'[2]Hurr Models'!C59</f>
        <v>19742873.354100179</v>
      </c>
      <c r="L21" s="2"/>
    </row>
    <row r="22" spans="1:12" x14ac:dyDescent="0.2">
      <c r="A22" t="s">
        <v>140</v>
      </c>
      <c r="C22" s="26">
        <f>'7.1'!C22</f>
        <v>8933.1</v>
      </c>
      <c r="D22" s="129">
        <f t="shared" si="0"/>
        <v>2.7341247831100066</v>
      </c>
      <c r="E22" s="151">
        <f>'[2]Hurr Models'!C60</f>
        <v>24424.2101</v>
      </c>
      <c r="L22" s="2"/>
    </row>
    <row r="23" spans="1:12" x14ac:dyDescent="0.2">
      <c r="A23" t="s">
        <v>141</v>
      </c>
      <c r="B23" s="12"/>
      <c r="C23" s="26">
        <f>'7.1'!C23</f>
        <v>388978.56</v>
      </c>
      <c r="D23" s="129">
        <f t="shared" si="0"/>
        <v>2.0335755492539245</v>
      </c>
      <c r="E23" s="151">
        <f>'[2]Hurr Models'!C61</f>
        <v>791017.28880000068</v>
      </c>
      <c r="L23" s="2"/>
    </row>
    <row r="24" spans="1:12" x14ac:dyDescent="0.2">
      <c r="A24" t="s">
        <v>142</v>
      </c>
      <c r="B24" s="12"/>
      <c r="C24" s="26">
        <f>'7.1'!C24</f>
        <v>2256012.84</v>
      </c>
      <c r="D24" s="129">
        <f t="shared" si="0"/>
        <v>3.1039855338766609</v>
      </c>
      <c r="E24" s="151">
        <f>'[2]Hurr Models'!C62</f>
        <v>7002631.2196000014</v>
      </c>
      <c r="L24" s="2"/>
    </row>
    <row r="25" spans="1:12" x14ac:dyDescent="0.2">
      <c r="A25" t="s">
        <v>143</v>
      </c>
      <c r="B25" s="12"/>
      <c r="C25" s="26">
        <f>'7.1'!C25</f>
        <v>20593040.039999999</v>
      </c>
      <c r="D25" s="129">
        <f t="shared" si="0"/>
        <v>2.152810738112878</v>
      </c>
      <c r="E25" s="151">
        <f>'[2]Hurr Models'!C63</f>
        <v>44332917.728500448</v>
      </c>
      <c r="L25" s="2"/>
    </row>
    <row r="26" spans="1:12" x14ac:dyDescent="0.2">
      <c r="A26" t="s">
        <v>144</v>
      </c>
      <c r="C26" s="26">
        <f>'7.1'!C26</f>
        <v>172195.8</v>
      </c>
      <c r="D26" s="129">
        <f t="shared" si="0"/>
        <v>3.4632216349063123</v>
      </c>
      <c r="E26" s="151">
        <f>'[2]Hurr Models'!C64</f>
        <v>596352.22000000032</v>
      </c>
      <c r="L26" s="2"/>
    </row>
    <row r="27" spans="1:12" x14ac:dyDescent="0.2">
      <c r="A27" t="s">
        <v>145</v>
      </c>
      <c r="C27" s="26">
        <f>'7.1'!C27</f>
        <v>4015685.34</v>
      </c>
      <c r="D27" s="129">
        <f t="shared" si="0"/>
        <v>2.8628159501162509</v>
      </c>
      <c r="E27" s="151">
        <f>'[2]Hurr Models'!C65</f>
        <v>11496168.041999999</v>
      </c>
      <c r="L27" s="2"/>
    </row>
    <row r="28" spans="1:12" x14ac:dyDescent="0.2">
      <c r="A28" t="s">
        <v>146</v>
      </c>
      <c r="C28" s="26">
        <f>'7.1'!C28</f>
        <v>143376.4</v>
      </c>
      <c r="D28" s="129">
        <f t="shared" si="0"/>
        <v>3.5847008984742277</v>
      </c>
      <c r="E28" s="151">
        <f>'[2]Hurr Models'!C66</f>
        <v>513961.50990000024</v>
      </c>
      <c r="L28" s="2"/>
    </row>
    <row r="29" spans="1:12" x14ac:dyDescent="0.2">
      <c r="A29" s="9"/>
      <c r="B29" s="24"/>
      <c r="C29" s="27"/>
      <c r="D29" s="130"/>
      <c r="E29" s="27"/>
      <c r="L29" s="2"/>
    </row>
    <row r="30" spans="1:12" x14ac:dyDescent="0.2">
      <c r="C30" s="19"/>
      <c r="D30" s="131"/>
      <c r="E30" s="12"/>
      <c r="L30" s="2"/>
    </row>
    <row r="31" spans="1:12" x14ac:dyDescent="0.2">
      <c r="A31" t="s">
        <v>9</v>
      </c>
      <c r="C31" s="26">
        <f>SUM(C14:C28)</f>
        <v>128730959.76000001</v>
      </c>
      <c r="D31" s="129">
        <f>E31/C31</f>
        <v>1.8878194408507363</v>
      </c>
      <c r="E31" s="26">
        <f>SUM(E14:E28)</f>
        <v>243020808.47430184</v>
      </c>
      <c r="L31" s="2"/>
    </row>
    <row r="32" spans="1:12" x14ac:dyDescent="0.2">
      <c r="L32" s="2"/>
    </row>
    <row r="33" spans="1:13" x14ac:dyDescent="0.2">
      <c r="A33" s="41" t="s">
        <v>102</v>
      </c>
      <c r="B33" t="str">
        <f>'7.1'!B33</f>
        <v>In-Force Premium as of 11/30/25 at Present Rates</v>
      </c>
      <c r="E33" s="26">
        <f>'7.1'!E33</f>
        <v>703482510</v>
      </c>
      <c r="L33" s="2"/>
      <c r="M33" s="47">
        <f>'7.1'!$M$33</f>
        <v>46022</v>
      </c>
    </row>
    <row r="34" spans="1:13" x14ac:dyDescent="0.2">
      <c r="A34" s="41" t="s">
        <v>106</v>
      </c>
      <c r="B34" t="s">
        <v>131</v>
      </c>
      <c r="E34" s="20">
        <f>ROUND(E31/E33,3)</f>
        <v>0.34499999999999997</v>
      </c>
      <c r="L34" s="2"/>
    </row>
    <row r="35" spans="1:13" ht="12" thickBot="1" x14ac:dyDescent="0.25">
      <c r="A35" s="6"/>
      <c r="B35" s="6"/>
      <c r="C35" s="6"/>
      <c r="D35" s="6"/>
      <c r="E35" s="6"/>
      <c r="L35" s="2"/>
    </row>
    <row r="36" spans="1:13" ht="12" thickTop="1" x14ac:dyDescent="0.2">
      <c r="L36" s="2"/>
    </row>
    <row r="37" spans="1:13" x14ac:dyDescent="0.2">
      <c r="A37" t="s">
        <v>17</v>
      </c>
      <c r="L37" s="2"/>
    </row>
    <row r="38" spans="1:13" x14ac:dyDescent="0.2">
      <c r="B38" s="12" t="str">
        <f>'[3]7.3'!B38</f>
        <v>(2) Provided by TWIA and geo-coded by Impact Forecasting</v>
      </c>
      <c r="L38" s="2"/>
    </row>
    <row r="39" spans="1:13" x14ac:dyDescent="0.2">
      <c r="B39" s="12" t="str">
        <f>'[3]7.3'!B39</f>
        <v>(3) = (4) / (2)</v>
      </c>
      <c r="L39" s="2"/>
    </row>
    <row r="40" spans="1:13" x14ac:dyDescent="0.2">
      <c r="B40" s="12" t="str">
        <f>'[3]7.3'!B40</f>
        <v>(4) Provided by Impact Forecasting using Impact Forecasting v18.0 (versus Impact Forecasting v18.0 for prior year results)</v>
      </c>
      <c r="F40" s="42"/>
      <c r="G40" s="22"/>
      <c r="L40" s="2"/>
    </row>
    <row r="41" spans="1:13" x14ac:dyDescent="0.2">
      <c r="B41" s="12" t="str">
        <f>'[3]7.3'!B41</f>
        <v>(5) Provided by TWIA</v>
      </c>
      <c r="L41" s="2"/>
    </row>
    <row r="42" spans="1:13" x14ac:dyDescent="0.2">
      <c r="B42" s="12" t="str">
        <f>'[3]7.3'!B42</f>
        <v>(6) = (4) Total / (5)</v>
      </c>
      <c r="L42" s="2"/>
    </row>
    <row r="43" spans="1:13" x14ac:dyDescent="0.2">
      <c r="L43" s="2"/>
    </row>
    <row r="44" spans="1:13" x14ac:dyDescent="0.2">
      <c r="L44" s="2"/>
    </row>
    <row r="45" spans="1:13" x14ac:dyDescent="0.2">
      <c r="L45" s="2"/>
    </row>
    <row r="46" spans="1:13" x14ac:dyDescent="0.2">
      <c r="L46" s="2"/>
    </row>
    <row r="47" spans="1:13" x14ac:dyDescent="0.2">
      <c r="L47" s="2"/>
    </row>
    <row r="48" spans="1:13" x14ac:dyDescent="0.2">
      <c r="L48" s="2"/>
    </row>
    <row r="49" spans="1:12" x14ac:dyDescent="0.2">
      <c r="L49" s="2"/>
    </row>
    <row r="50" spans="1:12" x14ac:dyDescent="0.2">
      <c r="L50" s="2"/>
    </row>
    <row r="51" spans="1:12" x14ac:dyDescent="0.2">
      <c r="L51" s="2"/>
    </row>
    <row r="52" spans="1:12" x14ac:dyDescent="0.2">
      <c r="L52" s="2"/>
    </row>
    <row r="53" spans="1:12" x14ac:dyDescent="0.2">
      <c r="L53" s="2"/>
    </row>
    <row r="54" spans="1:12" x14ac:dyDescent="0.2">
      <c r="L54" s="2"/>
    </row>
    <row r="55" spans="1:12" x14ac:dyDescent="0.2">
      <c r="A55" s="41"/>
      <c r="C55" s="31"/>
      <c r="D55" s="31"/>
      <c r="E55" s="31"/>
      <c r="F55" s="31"/>
      <c r="G55" s="19"/>
      <c r="H55" s="19"/>
      <c r="I55" s="19"/>
      <c r="J55" s="19"/>
      <c r="L55" s="2"/>
    </row>
    <row r="56" spans="1:12" x14ac:dyDescent="0.2">
      <c r="A56" s="41"/>
      <c r="C56" s="31"/>
      <c r="D56" s="31"/>
      <c r="E56" s="31"/>
      <c r="F56" s="31"/>
      <c r="G56" s="19"/>
      <c r="H56" s="19"/>
      <c r="I56" s="19"/>
      <c r="J56" s="19"/>
      <c r="L56" s="2"/>
    </row>
    <row r="57" spans="1:12" x14ac:dyDescent="0.2">
      <c r="A57" s="41"/>
      <c r="C57" s="31"/>
      <c r="D57" s="31"/>
      <c r="E57" s="31"/>
      <c r="F57" s="31"/>
      <c r="G57" s="19"/>
      <c r="H57" s="19"/>
      <c r="I57" s="19"/>
      <c r="J57" s="19"/>
      <c r="L57" s="2"/>
    </row>
    <row r="58" spans="1:12" x14ac:dyDescent="0.2">
      <c r="A58" s="41"/>
      <c r="C58" s="31"/>
      <c r="D58" s="31"/>
      <c r="E58" s="31"/>
      <c r="F58" s="31"/>
      <c r="G58" s="19"/>
      <c r="H58" s="19"/>
      <c r="I58" s="19"/>
      <c r="J58" s="19"/>
      <c r="L58" s="2"/>
    </row>
    <row r="59" spans="1:12" x14ac:dyDescent="0.2">
      <c r="A59" s="41"/>
      <c r="C59" s="31"/>
      <c r="D59" s="31"/>
      <c r="E59" s="31"/>
      <c r="F59" s="31"/>
      <c r="G59" s="19"/>
      <c r="H59" s="19"/>
      <c r="I59" s="19"/>
      <c r="J59" s="19"/>
      <c r="L59" s="2"/>
    </row>
    <row r="60" spans="1:12" x14ac:dyDescent="0.2">
      <c r="A60" s="41"/>
      <c r="C60" s="31"/>
      <c r="D60" s="31"/>
      <c r="E60" s="31"/>
      <c r="F60" s="31"/>
      <c r="G60" s="19"/>
      <c r="H60" s="19"/>
      <c r="I60" s="19"/>
      <c r="J60" s="19"/>
      <c r="L60" s="2"/>
    </row>
    <row r="61" spans="1:12" x14ac:dyDescent="0.2">
      <c r="A61" s="41"/>
      <c r="C61" s="31"/>
      <c r="D61" s="31"/>
      <c r="E61" s="31"/>
      <c r="F61" s="31"/>
      <c r="G61" s="19"/>
      <c r="H61" s="19"/>
      <c r="I61" s="19"/>
      <c r="J61" s="19"/>
      <c r="L61" s="2"/>
    </row>
    <row r="62" spans="1:12" x14ac:dyDescent="0.2">
      <c r="A62" s="41"/>
      <c r="C62" s="31"/>
      <c r="D62" s="31"/>
      <c r="E62" s="31"/>
      <c r="F62" s="31"/>
      <c r="G62" s="19"/>
      <c r="H62" s="19"/>
      <c r="I62" s="19"/>
      <c r="J62" s="19"/>
      <c r="L62" s="2"/>
    </row>
    <row r="63" spans="1:12" x14ac:dyDescent="0.2">
      <c r="A63" s="41"/>
      <c r="C63" s="20"/>
      <c r="D63" s="20"/>
      <c r="E63" s="20"/>
      <c r="F63" s="20"/>
      <c r="G63" s="20"/>
      <c r="H63" s="20"/>
      <c r="I63" s="20"/>
      <c r="J63" s="20"/>
      <c r="L63" s="2"/>
    </row>
    <row r="64" spans="1:12" x14ac:dyDescent="0.2">
      <c r="B64" s="23"/>
      <c r="C64" s="42"/>
      <c r="D64" s="42"/>
      <c r="E64" s="42"/>
      <c r="F64" s="42"/>
      <c r="G64" s="22"/>
      <c r="L64" s="2"/>
    </row>
    <row r="65" spans="1:12" x14ac:dyDescent="0.2">
      <c r="B65" s="23"/>
      <c r="C65" s="42"/>
      <c r="D65" s="42"/>
      <c r="E65" s="42"/>
      <c r="F65" s="42"/>
      <c r="G65" s="22"/>
      <c r="L65" s="2"/>
    </row>
    <row r="66" spans="1:12" x14ac:dyDescent="0.2">
      <c r="B66" s="23"/>
      <c r="C66" s="42"/>
      <c r="D66" s="42"/>
      <c r="E66" s="42"/>
      <c r="F66" s="42"/>
      <c r="G66" s="22"/>
      <c r="L66" s="2"/>
    </row>
    <row r="67" spans="1:12" x14ac:dyDescent="0.2">
      <c r="B67" s="23"/>
      <c r="C67" s="42"/>
      <c r="D67" s="42"/>
      <c r="E67" s="42"/>
      <c r="F67" s="42"/>
      <c r="G67" s="22"/>
      <c r="L67" s="2"/>
    </row>
    <row r="68" spans="1:12" ht="12" thickBot="1" x14ac:dyDescent="0.25">
      <c r="L68" s="2"/>
    </row>
    <row r="69" spans="1:12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3"/>
    </row>
  </sheetData>
  <pageMargins left="0.5" right="0.5" top="0.5" bottom="0.5" header="0.5" footer="0.5"/>
  <pageSetup orientation="portrait" blackAndWhite="1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9C936-C41E-4E96-8F00-00865C697490}">
  <sheetPr>
    <tabColor rgb="FF92D050"/>
  </sheetPr>
  <dimension ref="A1:M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3.5" bestFit="1" customWidth="1"/>
    <col min="2" max="2" width="11.33203125" customWidth="1"/>
    <col min="3" max="3" width="14" customWidth="1"/>
    <col min="4" max="4" width="21.33203125" customWidth="1"/>
    <col min="5" max="5" width="15.33203125" customWidth="1"/>
    <col min="6" max="7" width="11.33203125" customWidth="1"/>
    <col min="8" max="8" width="11.33203125" hidden="1" customWidth="1"/>
    <col min="9" max="10" width="11.33203125" customWidth="1"/>
    <col min="11" max="11" width="5.1640625" customWidth="1"/>
  </cols>
  <sheetData>
    <row r="1" spans="1:13" x14ac:dyDescent="0.2">
      <c r="A1" s="8" t="str">
        <f>'1'!$A$1</f>
        <v>Texas Windstorm Insurance Association</v>
      </c>
      <c r="B1" s="12"/>
      <c r="K1" s="7" t="s">
        <v>267</v>
      </c>
      <c r="L1" s="1"/>
    </row>
    <row r="2" spans="1:13" x14ac:dyDescent="0.2">
      <c r="A2" s="8" t="str">
        <f>'1'!$A$2</f>
        <v>Residential Property - Wind &amp; Hail</v>
      </c>
      <c r="B2" s="12"/>
      <c r="K2" s="7" t="s">
        <v>81</v>
      </c>
      <c r="L2" s="2"/>
    </row>
    <row r="3" spans="1:13" x14ac:dyDescent="0.2">
      <c r="A3" s="8" t="str">
        <f>'1'!$A$3</f>
        <v>Rate Level Review</v>
      </c>
      <c r="B3" s="12"/>
      <c r="L3" s="2"/>
    </row>
    <row r="4" spans="1:13" x14ac:dyDescent="0.2">
      <c r="A4" t="s">
        <v>448</v>
      </c>
      <c r="B4" s="12"/>
      <c r="L4" s="2"/>
    </row>
    <row r="5" spans="1:13" x14ac:dyDescent="0.2">
      <c r="A5" t="s">
        <v>449</v>
      </c>
      <c r="B5" s="12"/>
      <c r="L5" s="2"/>
    </row>
    <row r="6" spans="1:13" x14ac:dyDescent="0.2">
      <c r="L6" s="2"/>
    </row>
    <row r="7" spans="1:13" ht="12" thickBot="1" x14ac:dyDescent="0.25">
      <c r="A7" s="6"/>
      <c r="B7" s="6"/>
      <c r="C7" s="6"/>
      <c r="D7" s="6"/>
      <c r="E7" s="6"/>
      <c r="L7" s="2"/>
    </row>
    <row r="8" spans="1:13" ht="12" thickTop="1" x14ac:dyDescent="0.2">
      <c r="L8" s="2"/>
    </row>
    <row r="9" spans="1:13" x14ac:dyDescent="0.2">
      <c r="C9" s="136" t="s">
        <v>125</v>
      </c>
      <c r="D9" s="11"/>
      <c r="E9" s="11"/>
      <c r="L9" s="2"/>
      <c r="M9" s="17"/>
    </row>
    <row r="10" spans="1:13" x14ac:dyDescent="0.2">
      <c r="C10" s="11" t="s">
        <v>126</v>
      </c>
      <c r="D10" s="11" t="s">
        <v>127</v>
      </c>
      <c r="E10" s="11" t="s">
        <v>130</v>
      </c>
      <c r="L10" s="2"/>
      <c r="M10" s="12" t="s">
        <v>147</v>
      </c>
    </row>
    <row r="11" spans="1:13" x14ac:dyDescent="0.2">
      <c r="A11" s="9" t="s">
        <v>124</v>
      </c>
      <c r="B11" s="9"/>
      <c r="C11" s="121" t="str">
        <f>"as of "&amp;TEXT($M$11,"m/d/yy")</f>
        <v>as of 11/30/25</v>
      </c>
      <c r="D11" s="121" t="s">
        <v>128</v>
      </c>
      <c r="E11" s="121" t="s">
        <v>129</v>
      </c>
      <c r="L11" s="2"/>
      <c r="M11" s="37">
        <f>'7.1'!$M$11</f>
        <v>45991</v>
      </c>
    </row>
    <row r="12" spans="1:13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L12" s="2"/>
    </row>
    <row r="13" spans="1:13" x14ac:dyDescent="0.2">
      <c r="D13" s="11"/>
      <c r="L13" s="2"/>
    </row>
    <row r="14" spans="1:13" x14ac:dyDescent="0.2">
      <c r="A14" t="s">
        <v>132</v>
      </c>
      <c r="C14" s="26">
        <f>'7.1'!C14</f>
        <v>4237532.24</v>
      </c>
      <c r="D14" s="129">
        <f>E14/C14</f>
        <v>1.7219482003568969</v>
      </c>
      <c r="E14" s="151">
        <f>'[2]Hurr Models'!C75</f>
        <v>7296811.0146223307</v>
      </c>
      <c r="L14" s="2"/>
    </row>
    <row r="15" spans="1:13" x14ac:dyDescent="0.2">
      <c r="A15" t="s">
        <v>133</v>
      </c>
      <c r="C15" s="26">
        <f>'7.1'!C15</f>
        <v>27843326.66</v>
      </c>
      <c r="D15" s="129">
        <f t="shared" ref="D15:D28" si="0">E15/C15</f>
        <v>1.3729334881428295</v>
      </c>
      <c r="E15" s="151">
        <f>'[2]Hurr Models'!C76</f>
        <v>38227035.592814036</v>
      </c>
      <c r="L15" s="2"/>
    </row>
    <row r="16" spans="1:13" x14ac:dyDescent="0.2">
      <c r="A16" t="s">
        <v>134</v>
      </c>
      <c r="C16" s="26">
        <f>'7.1'!C16</f>
        <v>1776824.96</v>
      </c>
      <c r="D16" s="129">
        <f t="shared" si="0"/>
        <v>2.9226248884885502</v>
      </c>
      <c r="E16" s="151">
        <f>'[2]Hurr Models'!C77</f>
        <v>5192992.8505836725</v>
      </c>
      <c r="L16" s="2"/>
    </row>
    <row r="17" spans="1:12" x14ac:dyDescent="0.2">
      <c r="A17" t="s">
        <v>135</v>
      </c>
      <c r="C17" s="26">
        <f>'7.1'!C17</f>
        <v>3527564.52</v>
      </c>
      <c r="D17" s="129">
        <f t="shared" si="0"/>
        <v>1.3322846250651328</v>
      </c>
      <c r="E17" s="151">
        <f>'[2]Hurr Models'!C78</f>
        <v>4699719.9739212655</v>
      </c>
      <c r="L17" s="2"/>
    </row>
    <row r="18" spans="1:12" x14ac:dyDescent="0.2">
      <c r="A18" t="s">
        <v>136</v>
      </c>
      <c r="C18" s="26">
        <f>'7.1'!C18</f>
        <v>4842969.0999999996</v>
      </c>
      <c r="D18" s="129">
        <f t="shared" si="0"/>
        <v>1.2839995881339676</v>
      </c>
      <c r="E18" s="151">
        <f>'[2]Hurr Models'!C79</f>
        <v>6218370.3297455311</v>
      </c>
      <c r="L18" s="2"/>
    </row>
    <row r="19" spans="1:12" x14ac:dyDescent="0.2">
      <c r="A19" t="s">
        <v>137</v>
      </c>
      <c r="C19" s="26">
        <f>'7.1'!C19</f>
        <v>43444486.939999998</v>
      </c>
      <c r="D19" s="129">
        <f t="shared" si="0"/>
        <v>1.8823687514687064</v>
      </c>
      <c r="E19" s="151">
        <f>'[2]Hurr Models'!C80</f>
        <v>81778544.639446318</v>
      </c>
      <c r="L19" s="2"/>
    </row>
    <row r="20" spans="1:12" x14ac:dyDescent="0.2">
      <c r="A20" t="s">
        <v>138</v>
      </c>
      <c r="C20" s="26">
        <f>'7.1'!C20</f>
        <v>2178777.7400000002</v>
      </c>
      <c r="D20" s="129">
        <f t="shared" si="0"/>
        <v>2.8919323876907876</v>
      </c>
      <c r="E20" s="151">
        <f>'[2]Hurr Models'!C81</f>
        <v>6300877.9118857384</v>
      </c>
      <c r="L20" s="2"/>
    </row>
    <row r="21" spans="1:12" x14ac:dyDescent="0.2">
      <c r="A21" t="s">
        <v>139</v>
      </c>
      <c r="C21" s="26">
        <f>'7.1'!C21</f>
        <v>13301255.52</v>
      </c>
      <c r="D21" s="129">
        <f t="shared" si="0"/>
        <v>2.3345249891075284</v>
      </c>
      <c r="E21" s="151">
        <f>'[2]Hurr Models'!C82</f>
        <v>31052113.39794445</v>
      </c>
      <c r="L21" s="2"/>
    </row>
    <row r="22" spans="1:12" x14ac:dyDescent="0.2">
      <c r="A22" t="s">
        <v>140</v>
      </c>
      <c r="C22" s="26">
        <f>'7.1'!C22</f>
        <v>8933.1</v>
      </c>
      <c r="D22" s="129">
        <f t="shared" si="0"/>
        <v>1.2722911598355968</v>
      </c>
      <c r="E22" s="151">
        <f>'[2]Hurr Models'!C83</f>
        <v>11365.50415992737</v>
      </c>
      <c r="L22" s="2"/>
    </row>
    <row r="23" spans="1:12" x14ac:dyDescent="0.2">
      <c r="A23" t="s">
        <v>141</v>
      </c>
      <c r="B23" s="12"/>
      <c r="C23" s="26">
        <f>'7.1'!C23</f>
        <v>388978.56</v>
      </c>
      <c r="D23" s="129">
        <f t="shared" si="0"/>
        <v>1.00581721769864</v>
      </c>
      <c r="E23" s="151">
        <f>'[2]Hurr Models'!C84</f>
        <v>391241.33296362346</v>
      </c>
      <c r="L23" s="2"/>
    </row>
    <row r="24" spans="1:12" x14ac:dyDescent="0.2">
      <c r="A24" t="s">
        <v>142</v>
      </c>
      <c r="B24" s="12"/>
      <c r="C24" s="26">
        <f>'7.1'!C24</f>
        <v>2256012.84</v>
      </c>
      <c r="D24" s="129">
        <f t="shared" si="0"/>
        <v>2.3409429305528011</v>
      </c>
      <c r="E24" s="151">
        <f>'[2]Hurr Models'!C85</f>
        <v>5281197.3090343475</v>
      </c>
      <c r="L24" s="2"/>
    </row>
    <row r="25" spans="1:12" x14ac:dyDescent="0.2">
      <c r="A25" t="s">
        <v>143</v>
      </c>
      <c r="B25" s="12"/>
      <c r="C25" s="26">
        <f>'7.1'!C25</f>
        <v>20593040.039999999</v>
      </c>
      <c r="D25" s="129">
        <f t="shared" si="0"/>
        <v>1.4877116909600576</v>
      </c>
      <c r="E25" s="151">
        <f>'[2]Hurr Models'!C86</f>
        <v>30636506.41991657</v>
      </c>
      <c r="L25" s="2"/>
    </row>
    <row r="26" spans="1:12" x14ac:dyDescent="0.2">
      <c r="A26" t="s">
        <v>144</v>
      </c>
      <c r="C26" s="26">
        <f>'7.1'!C26</f>
        <v>172195.8</v>
      </c>
      <c r="D26" s="129">
        <f t="shared" si="0"/>
        <v>1.9971021659118549</v>
      </c>
      <c r="E26" s="151">
        <f>'[2]Hurr Models'!C87</f>
        <v>343892.60514092457</v>
      </c>
      <c r="L26" s="2"/>
    </row>
    <row r="27" spans="1:12" x14ac:dyDescent="0.2">
      <c r="A27" t="s">
        <v>145</v>
      </c>
      <c r="C27" s="26">
        <f>'7.1'!C27</f>
        <v>4015685.34</v>
      </c>
      <c r="D27" s="129">
        <f t="shared" si="0"/>
        <v>1.6590169384788105</v>
      </c>
      <c r="E27" s="151">
        <f>'[2]Hurr Models'!C88</f>
        <v>6662089.9986610413</v>
      </c>
      <c r="L27" s="2"/>
    </row>
    <row r="28" spans="1:12" x14ac:dyDescent="0.2">
      <c r="A28" t="s">
        <v>146</v>
      </c>
      <c r="C28" s="26">
        <f>'7.1'!C28</f>
        <v>143376.4</v>
      </c>
      <c r="D28" s="129">
        <f t="shared" si="0"/>
        <v>1.836769256318924</v>
      </c>
      <c r="E28" s="151">
        <f>'[2]Hurr Models'!C89</f>
        <v>263349.36360168457</v>
      </c>
      <c r="L28" s="2"/>
    </row>
    <row r="29" spans="1:12" x14ac:dyDescent="0.2">
      <c r="A29" s="9"/>
      <c r="B29" s="24"/>
      <c r="C29" s="27"/>
      <c r="D29" s="130"/>
      <c r="E29" s="27"/>
      <c r="L29" s="2"/>
    </row>
    <row r="30" spans="1:12" x14ac:dyDescent="0.2">
      <c r="C30" s="19"/>
      <c r="D30" s="131"/>
      <c r="E30" s="12"/>
      <c r="L30" s="2"/>
    </row>
    <row r="31" spans="1:12" x14ac:dyDescent="0.2">
      <c r="A31" t="s">
        <v>9</v>
      </c>
      <c r="C31" s="26">
        <f>SUM(C14:C28)</f>
        <v>128730959.76000001</v>
      </c>
      <c r="D31" s="129">
        <f>E31/C31</f>
        <v>1.7428294534797264</v>
      </c>
      <c r="E31" s="26">
        <f>SUM(E14:E28)</f>
        <v>224356108.24444145</v>
      </c>
      <c r="L31" s="2"/>
    </row>
    <row r="32" spans="1:12" x14ac:dyDescent="0.2">
      <c r="L32" s="2"/>
    </row>
    <row r="33" spans="1:13" x14ac:dyDescent="0.2">
      <c r="A33" s="41" t="s">
        <v>102</v>
      </c>
      <c r="B33" t="str">
        <f>'7.1'!B33</f>
        <v>In-Force Premium as of 11/30/25 at Present Rates</v>
      </c>
      <c r="E33" s="26">
        <f>'7.1'!E33</f>
        <v>703482510</v>
      </c>
      <c r="L33" s="2"/>
      <c r="M33" s="47">
        <f>'7.1'!$M$33</f>
        <v>46022</v>
      </c>
    </row>
    <row r="34" spans="1:13" x14ac:dyDescent="0.2">
      <c r="A34" s="41" t="s">
        <v>106</v>
      </c>
      <c r="B34" t="s">
        <v>131</v>
      </c>
      <c r="E34" s="20">
        <f>ROUND(E31/E33,3)</f>
        <v>0.31900000000000001</v>
      </c>
      <c r="L34" s="2"/>
    </row>
    <row r="35" spans="1:13" ht="12" thickBot="1" x14ac:dyDescent="0.25">
      <c r="A35" s="6"/>
      <c r="B35" s="6"/>
      <c r="C35" s="6"/>
      <c r="D35" s="6"/>
      <c r="E35" s="6"/>
      <c r="L35" s="2"/>
    </row>
    <row r="36" spans="1:13" ht="12" thickTop="1" x14ac:dyDescent="0.2">
      <c r="L36" s="2"/>
    </row>
    <row r="37" spans="1:13" x14ac:dyDescent="0.2">
      <c r="A37" t="s">
        <v>17</v>
      </c>
      <c r="L37" s="2"/>
    </row>
    <row r="38" spans="1:13" x14ac:dyDescent="0.2">
      <c r="B38" s="12" t="str">
        <f>'[3]7.4'!B38</f>
        <v>(2) Provided by TWIA and geo-coded by Cotality RQE</v>
      </c>
      <c r="L38" s="2"/>
    </row>
    <row r="39" spans="1:13" x14ac:dyDescent="0.2">
      <c r="B39" s="12" t="str">
        <f>'[3]7.4'!B39</f>
        <v>(3) = (4) / (2)</v>
      </c>
      <c r="L39" s="2"/>
    </row>
    <row r="40" spans="1:13" x14ac:dyDescent="0.2">
      <c r="B40" s="12" t="str">
        <f>'[3]7.4'!B40</f>
        <v>(4) Provided by Cotality RQE using Cotality RQE v25.0 (versus CoreLogic RQE v23.0 for prior year results)</v>
      </c>
      <c r="F40" s="42"/>
      <c r="G40" s="22"/>
      <c r="L40" s="2"/>
    </row>
    <row r="41" spans="1:13" x14ac:dyDescent="0.2">
      <c r="B41" s="12" t="str">
        <f>'[3]7.4'!B41</f>
        <v>(5) Provided by TWIA</v>
      </c>
      <c r="L41" s="2"/>
    </row>
    <row r="42" spans="1:13" x14ac:dyDescent="0.2">
      <c r="B42" s="12" t="str">
        <f>'[3]7.4'!B42</f>
        <v>(6) = (4) Total / (5)</v>
      </c>
      <c r="L42" s="2"/>
    </row>
    <row r="43" spans="1:13" x14ac:dyDescent="0.2">
      <c r="L43" s="2"/>
    </row>
    <row r="44" spans="1:13" x14ac:dyDescent="0.2">
      <c r="L44" s="2"/>
    </row>
    <row r="45" spans="1:13" x14ac:dyDescent="0.2">
      <c r="L45" s="2"/>
    </row>
    <row r="46" spans="1:13" x14ac:dyDescent="0.2">
      <c r="L46" s="2"/>
    </row>
    <row r="47" spans="1:13" x14ac:dyDescent="0.2">
      <c r="L47" s="2"/>
    </row>
    <row r="48" spans="1:13" x14ac:dyDescent="0.2">
      <c r="L48" s="2"/>
    </row>
    <row r="49" spans="1:12" x14ac:dyDescent="0.2">
      <c r="L49" s="2"/>
    </row>
    <row r="50" spans="1:12" x14ac:dyDescent="0.2">
      <c r="L50" s="2"/>
    </row>
    <row r="51" spans="1:12" x14ac:dyDescent="0.2">
      <c r="L51" s="2"/>
    </row>
    <row r="52" spans="1:12" x14ac:dyDescent="0.2">
      <c r="L52" s="2"/>
    </row>
    <row r="53" spans="1:12" x14ac:dyDescent="0.2">
      <c r="L53" s="2"/>
    </row>
    <row r="54" spans="1:12" x14ac:dyDescent="0.2">
      <c r="L54" s="2"/>
    </row>
    <row r="55" spans="1:12" x14ac:dyDescent="0.2">
      <c r="A55" s="41"/>
      <c r="C55" s="31"/>
      <c r="D55" s="31"/>
      <c r="E55" s="31"/>
      <c r="F55" s="31"/>
      <c r="G55" s="19"/>
      <c r="H55" s="19"/>
      <c r="I55" s="19"/>
      <c r="J55" s="19"/>
      <c r="L55" s="2"/>
    </row>
    <row r="56" spans="1:12" x14ac:dyDescent="0.2">
      <c r="A56" s="41"/>
      <c r="C56" s="31"/>
      <c r="D56" s="31"/>
      <c r="E56" s="31"/>
      <c r="F56" s="31"/>
      <c r="G56" s="19"/>
      <c r="H56" s="19"/>
      <c r="I56" s="19"/>
      <c r="J56" s="19"/>
      <c r="L56" s="2"/>
    </row>
    <row r="57" spans="1:12" x14ac:dyDescent="0.2">
      <c r="A57" s="41"/>
      <c r="C57" s="31"/>
      <c r="D57" s="31"/>
      <c r="E57" s="31"/>
      <c r="F57" s="31"/>
      <c r="G57" s="19"/>
      <c r="H57" s="19"/>
      <c r="I57" s="19"/>
      <c r="J57" s="19"/>
      <c r="L57" s="2"/>
    </row>
    <row r="58" spans="1:12" x14ac:dyDescent="0.2">
      <c r="A58" s="41"/>
      <c r="C58" s="31"/>
      <c r="D58" s="31"/>
      <c r="E58" s="31"/>
      <c r="F58" s="31"/>
      <c r="G58" s="19"/>
      <c r="H58" s="19"/>
      <c r="I58" s="19"/>
      <c r="J58" s="19"/>
      <c r="L58" s="2"/>
    </row>
    <row r="59" spans="1:12" x14ac:dyDescent="0.2">
      <c r="A59" s="41"/>
      <c r="C59" s="31"/>
      <c r="D59" s="31"/>
      <c r="E59" s="31"/>
      <c r="F59" s="31"/>
      <c r="G59" s="19"/>
      <c r="H59" s="19"/>
      <c r="I59" s="19"/>
      <c r="J59" s="19"/>
      <c r="L59" s="2"/>
    </row>
    <row r="60" spans="1:12" x14ac:dyDescent="0.2">
      <c r="A60" s="41"/>
      <c r="C60" s="31"/>
      <c r="D60" s="31"/>
      <c r="E60" s="31"/>
      <c r="F60" s="31"/>
      <c r="G60" s="19"/>
      <c r="H60" s="19"/>
      <c r="I60" s="19"/>
      <c r="J60" s="19"/>
      <c r="L60" s="2"/>
    </row>
    <row r="61" spans="1:12" x14ac:dyDescent="0.2">
      <c r="A61" s="41"/>
      <c r="C61" s="31"/>
      <c r="D61" s="31"/>
      <c r="E61" s="31"/>
      <c r="F61" s="31"/>
      <c r="G61" s="19"/>
      <c r="H61" s="19"/>
      <c r="I61" s="19"/>
      <c r="J61" s="19"/>
      <c r="L61" s="2"/>
    </row>
    <row r="62" spans="1:12" x14ac:dyDescent="0.2">
      <c r="A62" s="41"/>
      <c r="C62" s="31"/>
      <c r="D62" s="31"/>
      <c r="E62" s="31"/>
      <c r="F62" s="31"/>
      <c r="G62" s="19"/>
      <c r="H62" s="19"/>
      <c r="I62" s="19"/>
      <c r="J62" s="19"/>
      <c r="L62" s="2"/>
    </row>
    <row r="63" spans="1:12" x14ac:dyDescent="0.2">
      <c r="A63" s="41"/>
      <c r="C63" s="20"/>
      <c r="D63" s="20"/>
      <c r="E63" s="20"/>
      <c r="F63" s="20"/>
      <c r="G63" s="20"/>
      <c r="H63" s="20"/>
      <c r="I63" s="20"/>
      <c r="J63" s="20"/>
      <c r="L63" s="2"/>
    </row>
    <row r="64" spans="1:12" x14ac:dyDescent="0.2">
      <c r="B64" s="23"/>
      <c r="C64" s="42"/>
      <c r="D64" s="42"/>
      <c r="E64" s="42"/>
      <c r="F64" s="42"/>
      <c r="G64" s="22"/>
      <c r="L64" s="2"/>
    </row>
    <row r="65" spans="1:12" x14ac:dyDescent="0.2">
      <c r="B65" s="23"/>
      <c r="C65" s="42"/>
      <c r="D65" s="42"/>
      <c r="E65" s="42"/>
      <c r="F65" s="42"/>
      <c r="G65" s="22"/>
      <c r="L65" s="2"/>
    </row>
    <row r="66" spans="1:12" x14ac:dyDescent="0.2">
      <c r="B66" s="23"/>
      <c r="C66" s="42"/>
      <c r="D66" s="42"/>
      <c r="E66" s="42"/>
      <c r="F66" s="42"/>
      <c r="G66" s="22"/>
      <c r="L66" s="2"/>
    </row>
    <row r="67" spans="1:12" x14ac:dyDescent="0.2">
      <c r="B67" s="23"/>
      <c r="C67" s="42"/>
      <c r="D67" s="42"/>
      <c r="E67" s="42"/>
      <c r="F67" s="42"/>
      <c r="G67" s="22"/>
      <c r="L67" s="2"/>
    </row>
    <row r="68" spans="1:12" ht="12" thickBot="1" x14ac:dyDescent="0.25">
      <c r="L68" s="2"/>
    </row>
    <row r="69" spans="1:12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3"/>
    </row>
  </sheetData>
  <pageMargins left="0.5" right="0.5" top="0.5" bottom="0.5" header="0.5" footer="0.5"/>
  <pageSetup orientation="portrait" blackAndWhite="1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0">
    <tabColor rgb="FF92D050"/>
  </sheetPr>
  <dimension ref="A1:N70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customWidth="1"/>
    <col min="2" max="2" width="10.1640625" customWidth="1"/>
    <col min="3" max="3" width="20.1640625" customWidth="1"/>
    <col min="4" max="4" width="11.33203125" customWidth="1"/>
    <col min="5" max="5" width="6.33203125" customWidth="1"/>
    <col min="6" max="6" width="10.1640625" customWidth="1"/>
    <col min="7" max="7" width="20.1640625" customWidth="1"/>
    <col min="8" max="9" width="11.33203125" customWidth="1"/>
    <col min="10" max="10" width="14" customWidth="1"/>
  </cols>
  <sheetData>
    <row r="1" spans="1:14" x14ac:dyDescent="0.2">
      <c r="A1" s="8" t="str">
        <f>'1'!$A$1</f>
        <v>Texas Windstorm Insurance Association</v>
      </c>
      <c r="J1" s="7" t="s">
        <v>149</v>
      </c>
      <c r="K1" s="1"/>
    </row>
    <row r="2" spans="1:14" x14ac:dyDescent="0.2">
      <c r="A2" s="8" t="str">
        <f>'1'!$A$2</f>
        <v>Residential Property - Wind &amp; Hail</v>
      </c>
      <c r="J2" s="7"/>
      <c r="K2" s="2"/>
    </row>
    <row r="3" spans="1:14" x14ac:dyDescent="0.2">
      <c r="A3" s="8" t="str">
        <f>'1'!$A$3</f>
        <v>Rate Level Review</v>
      </c>
      <c r="K3" s="2"/>
      <c r="L3" s="11" t="s">
        <v>97</v>
      </c>
      <c r="M3" s="11" t="s">
        <v>98</v>
      </c>
      <c r="N3" s="11" t="s">
        <v>101</v>
      </c>
    </row>
    <row r="4" spans="1:14" x14ac:dyDescent="0.2">
      <c r="A4" t="str">
        <f>"Texas Hurricanes "&amp;L4&amp;" - "&amp;(M4)</f>
        <v>Texas Hurricanes 1851 - 2025</v>
      </c>
      <c r="K4" s="2"/>
      <c r="L4" s="110">
        <v>1851</v>
      </c>
      <c r="M4" s="110">
        <v>2025</v>
      </c>
      <c r="N4" s="11">
        <f>M4-L4+1</f>
        <v>175</v>
      </c>
    </row>
    <row r="5" spans="1:14" x14ac:dyDescent="0.2">
      <c r="K5" s="2"/>
    </row>
    <row r="6" spans="1:14" x14ac:dyDescent="0.2">
      <c r="K6" s="2"/>
      <c r="L6" s="11" t="s">
        <v>97</v>
      </c>
      <c r="M6" s="11" t="s">
        <v>98</v>
      </c>
      <c r="N6" s="11" t="s">
        <v>101</v>
      </c>
    </row>
    <row r="7" spans="1:14" ht="12" thickBot="1" x14ac:dyDescent="0.25">
      <c r="A7" s="6"/>
      <c r="B7" s="6"/>
      <c r="C7" s="6"/>
      <c r="D7" s="6"/>
      <c r="E7" s="6"/>
      <c r="F7" s="6"/>
      <c r="G7" s="6"/>
      <c r="K7" s="2"/>
      <c r="L7" s="110">
        <v>1966</v>
      </c>
      <c r="M7" s="110">
        <v>2025</v>
      </c>
      <c r="N7" s="11">
        <f>M7-L7+1</f>
        <v>60</v>
      </c>
    </row>
    <row r="8" spans="1:14" ht="12" thickTop="1" x14ac:dyDescent="0.2">
      <c r="K8" s="2"/>
    </row>
    <row r="9" spans="1:14" x14ac:dyDescent="0.2">
      <c r="B9" s="37"/>
      <c r="K9" s="2"/>
      <c r="L9" s="17"/>
    </row>
    <row r="10" spans="1:14" x14ac:dyDescent="0.2">
      <c r="A10" s="10" t="s">
        <v>265</v>
      </c>
      <c r="E10" s="10" t="s">
        <v>265</v>
      </c>
      <c r="K10" s="2"/>
    </row>
    <row r="11" spans="1:14" x14ac:dyDescent="0.2">
      <c r="A11" s="121" t="s">
        <v>49</v>
      </c>
      <c r="B11" s="121" t="s">
        <v>266</v>
      </c>
      <c r="C11" s="121" t="s">
        <v>152</v>
      </c>
      <c r="E11" s="121" t="s">
        <v>49</v>
      </c>
      <c r="F11" s="121" t="s">
        <v>266</v>
      </c>
      <c r="G11" s="121" t="s">
        <v>152</v>
      </c>
      <c r="K11" s="2"/>
    </row>
    <row r="12" spans="1:14" x14ac:dyDescent="0.2">
      <c r="A12" s="13" t="str">
        <f>TEXT(COLUMN(),"(#)")</f>
        <v>(1)</v>
      </c>
      <c r="B12" s="13"/>
      <c r="C12" s="11" t="str">
        <f>TEXT(COLUMN()-1,"(#)")</f>
        <v>(2)</v>
      </c>
      <c r="E12" s="13" t="str">
        <f>A12</f>
        <v>(1)</v>
      </c>
      <c r="F12" s="13"/>
      <c r="G12" s="13" t="str">
        <f>C12</f>
        <v>(2)</v>
      </c>
      <c r="K12" s="2"/>
    </row>
    <row r="13" spans="1:14" x14ac:dyDescent="0.2">
      <c r="K13" s="2"/>
    </row>
    <row r="14" spans="1:14" x14ac:dyDescent="0.2">
      <c r="A14" s="154">
        <v>1851</v>
      </c>
      <c r="B14" s="178" t="s">
        <v>392</v>
      </c>
      <c r="C14" s="154"/>
      <c r="D14" s="154"/>
      <c r="E14" s="154">
        <v>1933</v>
      </c>
      <c r="F14" s="178" t="s">
        <v>393</v>
      </c>
      <c r="G14" s="154"/>
      <c r="K14" s="2"/>
      <c r="M14" s="47"/>
    </row>
    <row r="15" spans="1:14" x14ac:dyDescent="0.2">
      <c r="A15" s="154">
        <v>1854</v>
      </c>
      <c r="B15" s="178" t="s">
        <v>392</v>
      </c>
      <c r="C15" s="154"/>
      <c r="D15" s="154"/>
      <c r="E15" s="154">
        <v>1934</v>
      </c>
      <c r="F15" s="178" t="s">
        <v>394</v>
      </c>
      <c r="G15" s="154"/>
      <c r="K15" s="2"/>
      <c r="M15" s="47"/>
    </row>
    <row r="16" spans="1:14" x14ac:dyDescent="0.2">
      <c r="A16" s="154">
        <v>1854</v>
      </c>
      <c r="B16" s="178" t="s">
        <v>393</v>
      </c>
      <c r="C16" s="154" t="s">
        <v>395</v>
      </c>
      <c r="D16" s="154"/>
      <c r="E16" s="154">
        <v>1936</v>
      </c>
      <c r="F16" s="178" t="s">
        <v>392</v>
      </c>
      <c r="G16" s="154"/>
      <c r="K16" s="2"/>
      <c r="M16" s="47"/>
    </row>
    <row r="17" spans="1:13" x14ac:dyDescent="0.2">
      <c r="A17" s="154">
        <v>1865</v>
      </c>
      <c r="B17" s="178" t="s">
        <v>393</v>
      </c>
      <c r="C17" s="154" t="s">
        <v>396</v>
      </c>
      <c r="D17" s="154"/>
      <c r="E17" s="154">
        <v>1940</v>
      </c>
      <c r="F17" s="178" t="s">
        <v>397</v>
      </c>
      <c r="G17" s="154"/>
      <c r="K17" s="2"/>
      <c r="M17" s="47"/>
    </row>
    <row r="18" spans="1:13" x14ac:dyDescent="0.2">
      <c r="A18" s="154">
        <v>1866</v>
      </c>
      <c r="B18" s="178" t="s">
        <v>394</v>
      </c>
      <c r="C18" s="154"/>
      <c r="D18" s="154"/>
      <c r="E18" s="154">
        <v>1941</v>
      </c>
      <c r="F18" s="178" t="s">
        <v>393</v>
      </c>
      <c r="G18" s="154"/>
      <c r="K18" s="2"/>
      <c r="M18" s="47"/>
    </row>
    <row r="19" spans="1:13" x14ac:dyDescent="0.2">
      <c r="A19" s="154">
        <v>1867</v>
      </c>
      <c r="B19" s="178" t="s">
        <v>398</v>
      </c>
      <c r="C19" s="154" t="s">
        <v>399</v>
      </c>
      <c r="D19" s="154"/>
      <c r="E19" s="154">
        <v>1942</v>
      </c>
      <c r="F19" s="178" t="s">
        <v>397</v>
      </c>
      <c r="G19" s="154"/>
      <c r="K19" s="2"/>
      <c r="M19" s="47"/>
    </row>
    <row r="20" spans="1:13" x14ac:dyDescent="0.2">
      <c r="A20" s="154">
        <v>1869</v>
      </c>
      <c r="B20" s="178" t="s">
        <v>397</v>
      </c>
      <c r="C20" s="154" t="s">
        <v>400</v>
      </c>
      <c r="D20" s="154"/>
      <c r="E20" s="154">
        <v>1942</v>
      </c>
      <c r="F20" s="178" t="s">
        <v>397</v>
      </c>
      <c r="G20" s="154"/>
      <c r="K20" s="2"/>
      <c r="M20" s="47"/>
    </row>
    <row r="21" spans="1:13" x14ac:dyDescent="0.2">
      <c r="A21" s="154">
        <v>1875</v>
      </c>
      <c r="B21" s="178" t="s">
        <v>393</v>
      </c>
      <c r="C21" s="154"/>
      <c r="D21" s="154"/>
      <c r="E21" s="154">
        <v>1943</v>
      </c>
      <c r="F21" s="178" t="s">
        <v>394</v>
      </c>
      <c r="G21" s="154"/>
      <c r="K21" s="2"/>
      <c r="M21" s="47"/>
    </row>
    <row r="22" spans="1:13" x14ac:dyDescent="0.2">
      <c r="A22" s="154">
        <v>1879</v>
      </c>
      <c r="B22" s="178" t="s">
        <v>397</v>
      </c>
      <c r="C22" s="154"/>
      <c r="D22" s="154"/>
      <c r="E22" s="154">
        <v>1945</v>
      </c>
      <c r="F22" s="178" t="s">
        <v>397</v>
      </c>
      <c r="G22" s="154"/>
      <c r="K22" s="2"/>
      <c r="M22" s="47"/>
    </row>
    <row r="23" spans="1:13" x14ac:dyDescent="0.2">
      <c r="A23" s="154">
        <v>1880</v>
      </c>
      <c r="B23" s="178" t="s">
        <v>397</v>
      </c>
      <c r="C23" s="154"/>
      <c r="D23" s="154"/>
      <c r="E23" s="154">
        <v>1947</v>
      </c>
      <c r="F23" s="178" t="s">
        <v>397</v>
      </c>
      <c r="G23" s="154"/>
      <c r="K23" s="2"/>
      <c r="M23" s="47"/>
    </row>
    <row r="24" spans="1:13" x14ac:dyDescent="0.2">
      <c r="A24" s="154">
        <v>1882</v>
      </c>
      <c r="B24" s="178" t="s">
        <v>393</v>
      </c>
      <c r="C24" s="154"/>
      <c r="D24" s="154"/>
      <c r="E24" s="154">
        <v>1949</v>
      </c>
      <c r="F24" s="178" t="s">
        <v>398</v>
      </c>
      <c r="G24" s="154"/>
      <c r="K24" s="2"/>
      <c r="M24" s="47"/>
    </row>
    <row r="25" spans="1:13" x14ac:dyDescent="0.2">
      <c r="A25" s="154">
        <v>1886</v>
      </c>
      <c r="B25" s="178" t="s">
        <v>392</v>
      </c>
      <c r="C25" s="154"/>
      <c r="D25" s="154"/>
      <c r="E25" s="154">
        <v>1957</v>
      </c>
      <c r="F25" s="178" t="s">
        <v>392</v>
      </c>
      <c r="G25" s="154" t="s">
        <v>401</v>
      </c>
      <c r="K25" s="2"/>
      <c r="M25" s="47"/>
    </row>
    <row r="26" spans="1:13" x14ac:dyDescent="0.2">
      <c r="A26" s="154">
        <v>1886</v>
      </c>
      <c r="B26" s="178" t="s">
        <v>397</v>
      </c>
      <c r="C26" s="154" t="s">
        <v>402</v>
      </c>
      <c r="D26" s="154"/>
      <c r="E26" s="154">
        <v>1959</v>
      </c>
      <c r="F26" s="178" t="s">
        <v>394</v>
      </c>
      <c r="G26" s="154" t="s">
        <v>403</v>
      </c>
      <c r="K26" s="2"/>
      <c r="M26" s="47"/>
    </row>
    <row r="27" spans="1:13" x14ac:dyDescent="0.2">
      <c r="A27" s="154">
        <v>1886</v>
      </c>
      <c r="B27" s="178" t="s">
        <v>393</v>
      </c>
      <c r="C27" s="154"/>
      <c r="D27" s="154"/>
      <c r="E27" s="154">
        <v>1961</v>
      </c>
      <c r="F27" s="178" t="s">
        <v>393</v>
      </c>
      <c r="G27" s="154" t="s">
        <v>404</v>
      </c>
      <c r="K27" s="2"/>
      <c r="M27" s="47"/>
    </row>
    <row r="28" spans="1:13" x14ac:dyDescent="0.2">
      <c r="A28" s="154">
        <v>1886</v>
      </c>
      <c r="B28" s="178" t="s">
        <v>398</v>
      </c>
      <c r="C28" s="154"/>
      <c r="D28" s="154"/>
      <c r="E28" s="155">
        <v>1963</v>
      </c>
      <c r="F28" s="179" t="s">
        <v>393</v>
      </c>
      <c r="G28" s="155" t="s">
        <v>405</v>
      </c>
      <c r="K28" s="2"/>
      <c r="M28" s="47"/>
    </row>
    <row r="29" spans="1:13" x14ac:dyDescent="0.2">
      <c r="A29" s="154">
        <v>1887</v>
      </c>
      <c r="B29" s="178" t="s">
        <v>393</v>
      </c>
      <c r="C29" s="154"/>
      <c r="D29" s="154"/>
      <c r="E29" s="154">
        <v>1967</v>
      </c>
      <c r="F29" s="178" t="s">
        <v>393</v>
      </c>
      <c r="G29" s="154" t="s">
        <v>406</v>
      </c>
      <c r="K29" s="2"/>
      <c r="M29" s="47"/>
    </row>
    <row r="30" spans="1:13" x14ac:dyDescent="0.2">
      <c r="A30" s="154">
        <v>1888</v>
      </c>
      <c r="B30" s="178" t="s">
        <v>392</v>
      </c>
      <c r="C30" s="154"/>
      <c r="D30" s="154"/>
      <c r="E30" s="154">
        <v>1970</v>
      </c>
      <c r="F30" s="178" t="s">
        <v>397</v>
      </c>
      <c r="G30" s="154" t="s">
        <v>407</v>
      </c>
      <c r="K30" s="2"/>
      <c r="M30" s="47"/>
    </row>
    <row r="31" spans="1:13" x14ac:dyDescent="0.2">
      <c r="A31" s="154">
        <v>1891</v>
      </c>
      <c r="B31" s="178" t="s">
        <v>394</v>
      </c>
      <c r="C31" s="154"/>
      <c r="D31" s="154"/>
      <c r="E31" s="154">
        <v>1971</v>
      </c>
      <c r="F31" s="178" t="s">
        <v>393</v>
      </c>
      <c r="G31" s="154" t="s">
        <v>408</v>
      </c>
      <c r="K31" s="2"/>
      <c r="M31" s="47"/>
    </row>
    <row r="32" spans="1:13" x14ac:dyDescent="0.2">
      <c r="A32" s="154">
        <v>1895</v>
      </c>
      <c r="B32" s="178" t="s">
        <v>397</v>
      </c>
      <c r="C32" s="154"/>
      <c r="D32" s="154"/>
      <c r="E32" s="154">
        <v>1980</v>
      </c>
      <c r="F32" s="178" t="s">
        <v>397</v>
      </c>
      <c r="G32" s="154" t="s">
        <v>409</v>
      </c>
      <c r="K32" s="2"/>
      <c r="M32" s="47"/>
    </row>
    <row r="33" spans="1:13" x14ac:dyDescent="0.2">
      <c r="A33" s="154">
        <v>1897</v>
      </c>
      <c r="B33" s="178" t="s">
        <v>393</v>
      </c>
      <c r="C33" s="154"/>
      <c r="D33" s="154"/>
      <c r="E33" s="154">
        <v>1983</v>
      </c>
      <c r="F33" s="178" t="s">
        <v>397</v>
      </c>
      <c r="G33" s="154" t="s">
        <v>410</v>
      </c>
      <c r="K33" s="2"/>
      <c r="M33" s="47"/>
    </row>
    <row r="34" spans="1:13" x14ac:dyDescent="0.2">
      <c r="A34" s="154">
        <v>1900</v>
      </c>
      <c r="B34" s="178" t="s">
        <v>393</v>
      </c>
      <c r="C34" s="154" t="s">
        <v>399</v>
      </c>
      <c r="D34" s="154"/>
      <c r="E34" s="154">
        <v>1986</v>
      </c>
      <c r="F34" s="178" t="s">
        <v>392</v>
      </c>
      <c r="G34" s="154" t="s">
        <v>411</v>
      </c>
      <c r="K34" s="2"/>
      <c r="M34" s="47"/>
    </row>
    <row r="35" spans="1:13" x14ac:dyDescent="0.2">
      <c r="A35" s="154">
        <v>1909</v>
      </c>
      <c r="B35" s="178" t="s">
        <v>392</v>
      </c>
      <c r="C35" s="154"/>
      <c r="D35" s="154"/>
      <c r="E35" s="154">
        <v>1989</v>
      </c>
      <c r="F35" s="178" t="s">
        <v>397</v>
      </c>
      <c r="G35" s="154" t="s">
        <v>412</v>
      </c>
      <c r="K35" s="2"/>
      <c r="M35" s="47"/>
    </row>
    <row r="36" spans="1:13" x14ac:dyDescent="0.2">
      <c r="A36" s="154">
        <v>1909</v>
      </c>
      <c r="B36" s="178" t="s">
        <v>394</v>
      </c>
      <c r="C36" s="154" t="s">
        <v>413</v>
      </c>
      <c r="D36" s="154"/>
      <c r="E36" s="154">
        <v>1989</v>
      </c>
      <c r="F36" s="178" t="s">
        <v>398</v>
      </c>
      <c r="G36" s="154" t="s">
        <v>414</v>
      </c>
      <c r="K36" s="2"/>
      <c r="M36" s="47"/>
    </row>
    <row r="37" spans="1:13" x14ac:dyDescent="0.2">
      <c r="A37" s="154">
        <v>1909</v>
      </c>
      <c r="B37" s="178" t="s">
        <v>397</v>
      </c>
      <c r="C37" s="154"/>
      <c r="D37" s="154"/>
      <c r="E37" s="154">
        <v>1999</v>
      </c>
      <c r="F37" s="178" t="s">
        <v>397</v>
      </c>
      <c r="G37" s="154" t="s">
        <v>415</v>
      </c>
      <c r="K37" s="2"/>
      <c r="M37" s="47"/>
    </row>
    <row r="38" spans="1:13" x14ac:dyDescent="0.2">
      <c r="A38" s="154">
        <v>1910</v>
      </c>
      <c r="B38" s="178" t="s">
        <v>393</v>
      </c>
      <c r="C38" s="154"/>
      <c r="D38" s="154"/>
      <c r="E38" s="154">
        <v>2003</v>
      </c>
      <c r="F38" s="178" t="s">
        <v>394</v>
      </c>
      <c r="G38" s="154" t="s">
        <v>416</v>
      </c>
      <c r="K38" s="2"/>
      <c r="M38" s="47"/>
    </row>
    <row r="39" spans="1:13" x14ac:dyDescent="0.2">
      <c r="A39" s="154">
        <v>1912</v>
      </c>
      <c r="B39" s="178" t="s">
        <v>398</v>
      </c>
      <c r="C39" s="154"/>
      <c r="D39" s="154"/>
      <c r="E39" s="154">
        <v>2005</v>
      </c>
      <c r="F39" s="178" t="s">
        <v>393</v>
      </c>
      <c r="G39" s="154" t="s">
        <v>417</v>
      </c>
      <c r="K39" s="2"/>
      <c r="M39" s="47"/>
    </row>
    <row r="40" spans="1:13" x14ac:dyDescent="0.2">
      <c r="A40" s="154">
        <v>1913</v>
      </c>
      <c r="B40" s="178" t="s">
        <v>392</v>
      </c>
      <c r="C40" s="154"/>
      <c r="D40" s="154"/>
      <c r="E40" s="154">
        <v>2007</v>
      </c>
      <c r="F40" s="178" t="s">
        <v>393</v>
      </c>
      <c r="G40" s="154" t="s">
        <v>418</v>
      </c>
      <c r="K40" s="2"/>
      <c r="M40" s="47"/>
    </row>
    <row r="41" spans="1:13" x14ac:dyDescent="0.2">
      <c r="A41" s="154">
        <v>1915</v>
      </c>
      <c r="B41" s="178" t="s">
        <v>397</v>
      </c>
      <c r="C41" s="154" t="s">
        <v>399</v>
      </c>
      <c r="D41" s="154"/>
      <c r="E41" s="154">
        <v>2008</v>
      </c>
      <c r="F41" s="178" t="s">
        <v>394</v>
      </c>
      <c r="G41" s="154" t="s">
        <v>419</v>
      </c>
      <c r="K41" s="2"/>
      <c r="M41" s="47"/>
    </row>
    <row r="42" spans="1:13" x14ac:dyDescent="0.2">
      <c r="A42" s="154">
        <v>1916</v>
      </c>
      <c r="B42" s="178" t="s">
        <v>397</v>
      </c>
      <c r="C42" s="154"/>
      <c r="D42" s="154"/>
      <c r="E42" s="154">
        <v>2008</v>
      </c>
      <c r="F42" s="178" t="s">
        <v>393</v>
      </c>
      <c r="G42" s="154" t="s">
        <v>420</v>
      </c>
      <c r="K42" s="2"/>
      <c r="M42" s="47"/>
    </row>
    <row r="43" spans="1:13" x14ac:dyDescent="0.2">
      <c r="A43" s="154">
        <v>1918</v>
      </c>
      <c r="B43" s="178" t="s">
        <v>397</v>
      </c>
      <c r="C43" s="154"/>
      <c r="D43" s="154"/>
      <c r="E43" s="154">
        <v>2017</v>
      </c>
      <c r="F43" s="178" t="s">
        <v>397</v>
      </c>
      <c r="G43" s="154" t="s">
        <v>421</v>
      </c>
      <c r="K43" s="2"/>
      <c r="M43" s="47"/>
    </row>
    <row r="44" spans="1:13" x14ac:dyDescent="0.2">
      <c r="A44" s="154">
        <v>1919</v>
      </c>
      <c r="B44" s="178" t="s">
        <v>393</v>
      </c>
      <c r="C44" s="154"/>
      <c r="D44" s="154"/>
      <c r="E44" s="154">
        <v>2020</v>
      </c>
      <c r="F44" s="178" t="s">
        <v>394</v>
      </c>
      <c r="G44" s="154" t="s">
        <v>422</v>
      </c>
      <c r="K44" s="2"/>
      <c r="M44" s="47"/>
    </row>
    <row r="45" spans="1:13" x14ac:dyDescent="0.2">
      <c r="A45" s="154">
        <v>1921</v>
      </c>
      <c r="B45" s="178" t="s">
        <v>392</v>
      </c>
      <c r="C45" s="154"/>
      <c r="D45" s="154"/>
      <c r="E45" s="154">
        <v>2020</v>
      </c>
      <c r="F45" s="178" t="s">
        <v>397</v>
      </c>
      <c r="G45" s="154" t="s">
        <v>423</v>
      </c>
      <c r="K45" s="2"/>
      <c r="M45" s="47"/>
    </row>
    <row r="46" spans="1:13" x14ac:dyDescent="0.2">
      <c r="A46" s="154">
        <v>1929</v>
      </c>
      <c r="B46" s="178" t="s">
        <v>392</v>
      </c>
      <c r="C46" s="154"/>
      <c r="D46" s="154"/>
      <c r="E46" s="154">
        <v>2020</v>
      </c>
      <c r="F46" s="178" t="s">
        <v>398</v>
      </c>
      <c r="G46" s="154" t="s">
        <v>424</v>
      </c>
      <c r="K46" s="2"/>
      <c r="M46" s="47"/>
    </row>
    <row r="47" spans="1:13" x14ac:dyDescent="0.2">
      <c r="A47" s="154">
        <v>1932</v>
      </c>
      <c r="B47" s="178" t="s">
        <v>397</v>
      </c>
      <c r="C47" s="154" t="s">
        <v>425</v>
      </c>
      <c r="D47" s="154"/>
      <c r="E47" s="154">
        <v>2021</v>
      </c>
      <c r="F47" s="178" t="s">
        <v>393</v>
      </c>
      <c r="G47" s="154" t="s">
        <v>426</v>
      </c>
      <c r="K47" s="2"/>
      <c r="M47" s="47"/>
    </row>
    <row r="48" spans="1:13" x14ac:dyDescent="0.2">
      <c r="A48" s="154">
        <v>1933</v>
      </c>
      <c r="B48" s="178" t="s">
        <v>427</v>
      </c>
      <c r="C48" s="68"/>
      <c r="E48" s="154">
        <v>2024</v>
      </c>
      <c r="F48" s="178" t="s">
        <v>394</v>
      </c>
      <c r="G48" s="154" t="s">
        <v>428</v>
      </c>
      <c r="K48" s="2"/>
      <c r="M48" s="47"/>
    </row>
    <row r="49" spans="1:13" x14ac:dyDescent="0.2">
      <c r="A49" s="9"/>
      <c r="B49" s="9"/>
      <c r="C49" s="9"/>
      <c r="D49" s="9"/>
      <c r="E49" s="90"/>
      <c r="F49" s="90"/>
      <c r="G49" s="90"/>
      <c r="K49" s="2"/>
      <c r="M49" s="47"/>
    </row>
    <row r="50" spans="1:13" x14ac:dyDescent="0.2">
      <c r="B50" s="42"/>
      <c r="C50" s="42"/>
      <c r="D50" s="42"/>
      <c r="E50" s="42"/>
      <c r="F50" s="22"/>
      <c r="K50" s="2"/>
    </row>
    <row r="51" spans="1:13" x14ac:dyDescent="0.2">
      <c r="A51" s="48" t="s">
        <v>153</v>
      </c>
      <c r="B51" s="48"/>
      <c r="C51" s="49" t="s">
        <v>154</v>
      </c>
      <c r="D51" s="49" t="s">
        <v>155</v>
      </c>
      <c r="E51" s="49" t="s">
        <v>207</v>
      </c>
      <c r="F51" s="49" t="s">
        <v>156</v>
      </c>
      <c r="G51" s="49"/>
      <c r="K51" s="2"/>
    </row>
    <row r="52" spans="1:13" x14ac:dyDescent="0.2">
      <c r="A52" s="80"/>
      <c r="C52" s="42"/>
      <c r="D52" s="42"/>
      <c r="E52" s="42"/>
      <c r="F52" s="42"/>
      <c r="K52" s="2"/>
    </row>
    <row r="53" spans="1:13" x14ac:dyDescent="0.2">
      <c r="A53" t="str">
        <f>E53&amp;"-Year"</f>
        <v>175-Year</v>
      </c>
      <c r="C53" s="12" t="str">
        <f>"1/1/1851 - 12/31/"&amp;M4</f>
        <v>1/1/1851 - 12/31/2025</v>
      </c>
      <c r="D53" s="12">
        <f>SUM(COUNTA(A14:A48),COUNTA(E14:E48))</f>
        <v>70</v>
      </c>
      <c r="E53" s="82">
        <f>N4</f>
        <v>175</v>
      </c>
      <c r="G53" s="91">
        <f>ROUND(D53/E53,3)</f>
        <v>0.4</v>
      </c>
      <c r="K53" s="2"/>
    </row>
    <row r="54" spans="1:13" ht="12" thickBot="1" x14ac:dyDescent="0.25">
      <c r="A54" s="6"/>
      <c r="B54" s="6"/>
      <c r="C54" s="6"/>
      <c r="D54" s="6"/>
      <c r="E54" s="6"/>
      <c r="F54" s="6"/>
      <c r="G54" s="6"/>
      <c r="K54" s="2"/>
    </row>
    <row r="55" spans="1:13" ht="12" thickTop="1" x14ac:dyDescent="0.2">
      <c r="K55" s="2"/>
    </row>
    <row r="56" spans="1:13" x14ac:dyDescent="0.2">
      <c r="A56" t="s">
        <v>17</v>
      </c>
      <c r="K56" s="2"/>
      <c r="M56" s="47"/>
    </row>
    <row r="57" spans="1:13" x14ac:dyDescent="0.2">
      <c r="B57" s="128" t="str">
        <f>'[3]8'!$B$57</f>
        <v>(1), (2) from NOAA Technical Memorandum NWS-NHC-6, updated with actual experience through 2025</v>
      </c>
      <c r="K57" s="2"/>
      <c r="M57" s="47"/>
    </row>
    <row r="58" spans="1:13" x14ac:dyDescent="0.2">
      <c r="K58" s="2"/>
      <c r="M58" s="47"/>
    </row>
    <row r="59" spans="1:13" x14ac:dyDescent="0.2">
      <c r="K59" s="2"/>
      <c r="M59" s="47"/>
    </row>
    <row r="60" spans="1:13" x14ac:dyDescent="0.2">
      <c r="K60" s="2"/>
      <c r="M60" s="47"/>
    </row>
    <row r="61" spans="1:13" x14ac:dyDescent="0.2">
      <c r="K61" s="2"/>
      <c r="M61" s="47"/>
    </row>
    <row r="62" spans="1:13" x14ac:dyDescent="0.2">
      <c r="K62" s="2"/>
      <c r="M62" s="47"/>
    </row>
    <row r="63" spans="1:13" x14ac:dyDescent="0.2">
      <c r="D63" s="20"/>
      <c r="E63" s="20"/>
      <c r="F63" s="20"/>
      <c r="G63" s="20"/>
      <c r="H63" s="20"/>
      <c r="I63" s="20"/>
      <c r="K63" s="2"/>
    </row>
    <row r="64" spans="1:13" x14ac:dyDescent="0.2">
      <c r="F64" s="19"/>
      <c r="G64" s="19"/>
      <c r="H64" s="19"/>
      <c r="I64" s="19"/>
      <c r="K64" s="2"/>
    </row>
    <row r="65" spans="1:11" x14ac:dyDescent="0.2">
      <c r="F65" s="19"/>
      <c r="G65" s="19"/>
      <c r="H65" s="19"/>
      <c r="I65" s="19"/>
      <c r="K65" s="2"/>
    </row>
    <row r="66" spans="1:11" x14ac:dyDescent="0.2">
      <c r="C66" s="31"/>
      <c r="D66" s="31"/>
      <c r="E66" s="31"/>
      <c r="F66" s="22"/>
      <c r="K66" s="2"/>
    </row>
    <row r="67" spans="1:11" x14ac:dyDescent="0.2">
      <c r="K67" s="2"/>
    </row>
    <row r="68" spans="1:11" x14ac:dyDescent="0.2">
      <c r="K68" s="2"/>
    </row>
    <row r="69" spans="1:11" ht="12" thickBot="1" x14ac:dyDescent="0.25">
      <c r="K69" s="2"/>
    </row>
    <row r="70" spans="1:11" ht="12" thickBot="1" x14ac:dyDescent="0.25">
      <c r="A70" s="4"/>
      <c r="B70" s="5"/>
      <c r="C70" s="5"/>
      <c r="D70" s="5"/>
      <c r="E70" s="5"/>
      <c r="F70" s="5"/>
      <c r="G70" s="5"/>
      <c r="H70" s="5"/>
      <c r="I70" s="5"/>
      <c r="J70" s="5"/>
      <c r="K70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1">
    <tabColor rgb="FF92D050"/>
  </sheetPr>
  <dimension ref="A1:L67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9" width="11.33203125" customWidth="1"/>
    <col min="10" max="10" width="12.164062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150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158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163</v>
      </c>
      <c r="B4" s="12"/>
      <c r="K4" s="2"/>
    </row>
    <row r="5" spans="1:12" x14ac:dyDescent="0.2">
      <c r="A5" t="s">
        <v>436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80"/>
      <c r="D9" s="11" t="s">
        <v>35</v>
      </c>
      <c r="E9" s="11" t="s">
        <v>42</v>
      </c>
      <c r="K9" s="2"/>
      <c r="L9" s="17"/>
    </row>
    <row r="10" spans="1:12" x14ac:dyDescent="0.2">
      <c r="A10" t="s">
        <v>32</v>
      </c>
      <c r="C10" s="11" t="s">
        <v>275</v>
      </c>
      <c r="D10" s="11" t="s">
        <v>276</v>
      </c>
      <c r="E10" s="11" t="s">
        <v>40</v>
      </c>
      <c r="K10" s="2"/>
    </row>
    <row r="11" spans="1:12" x14ac:dyDescent="0.2">
      <c r="A11" s="9" t="str">
        <f>TEXT(L23,"m/d")</f>
        <v>9/30</v>
      </c>
      <c r="B11" s="9"/>
      <c r="C11" s="121" t="s">
        <v>42</v>
      </c>
      <c r="D11" s="121" t="s">
        <v>119</v>
      </c>
      <c r="E11" s="121" t="s">
        <v>119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tr">
        <f t="shared" ref="A14:A20" si="0">TEXT(A15-1,"#")</f>
        <v>2016</v>
      </c>
      <c r="B14" s="23"/>
      <c r="C14" s="151">
        <f>'[2]TICO 2'!O30</f>
        <v>123942872</v>
      </c>
      <c r="D14" s="29">
        <f>'9.1d'!D14</f>
        <v>1.1303877408726286</v>
      </c>
      <c r="E14" s="26">
        <f t="shared" ref="E14:E22" si="1">ROUND(C14*D14,0)</f>
        <v>140103503</v>
      </c>
      <c r="K14" s="2"/>
      <c r="L14" s="28"/>
    </row>
    <row r="15" spans="1:12" x14ac:dyDescent="0.2">
      <c r="A15" t="str">
        <f t="shared" si="0"/>
        <v>2017</v>
      </c>
      <c r="B15" s="23"/>
      <c r="C15" s="151">
        <f>'[2]TICO 2'!O31</f>
        <v>120650271</v>
      </c>
      <c r="D15" s="29">
        <f>'9.1d'!D15</f>
        <v>1.1025000000000003</v>
      </c>
      <c r="E15" s="26">
        <f t="shared" si="1"/>
        <v>133016924</v>
      </c>
      <c r="K15" s="2"/>
      <c r="L15" s="28"/>
    </row>
    <row r="16" spans="1:12" x14ac:dyDescent="0.2">
      <c r="A16" t="str">
        <f t="shared" si="0"/>
        <v>2018</v>
      </c>
      <c r="B16" s="23"/>
      <c r="C16" s="151">
        <f>'[2]TICO 2'!O32</f>
        <v>112717188</v>
      </c>
      <c r="D16" s="29">
        <f>'9.1d'!D16</f>
        <v>1.0768211446107889</v>
      </c>
      <c r="E16" s="26">
        <f t="shared" si="1"/>
        <v>121376251</v>
      </c>
      <c r="K16" s="2"/>
      <c r="L16" s="28"/>
    </row>
    <row r="17" spans="1:12" x14ac:dyDescent="0.2">
      <c r="A17" t="str">
        <f t="shared" si="0"/>
        <v>2019</v>
      </c>
      <c r="B17" s="23"/>
      <c r="C17" s="151">
        <f>'[2]TICO 2'!O33</f>
        <v>109182096</v>
      </c>
      <c r="D17" s="29">
        <f>'9.1d'!D17</f>
        <v>1.0499999999999947</v>
      </c>
      <c r="E17" s="26">
        <f t="shared" si="1"/>
        <v>114641201</v>
      </c>
      <c r="K17" s="2"/>
      <c r="L17" s="28"/>
    </row>
    <row r="18" spans="1:12" x14ac:dyDescent="0.2">
      <c r="A18" t="str">
        <f t="shared" si="0"/>
        <v>2020</v>
      </c>
      <c r="B18" s="23"/>
      <c r="C18" s="151">
        <f>'[2]TICO 2'!O34</f>
        <v>108043628</v>
      </c>
      <c r="D18" s="29">
        <f>'9.1d'!D18</f>
        <v>1.0500000000000036</v>
      </c>
      <c r="E18" s="26">
        <f t="shared" si="1"/>
        <v>113445809</v>
      </c>
      <c r="K18" s="2"/>
      <c r="L18" s="28"/>
    </row>
    <row r="19" spans="1:12" x14ac:dyDescent="0.2">
      <c r="A19" t="str">
        <f t="shared" si="0"/>
        <v>2021</v>
      </c>
      <c r="B19" s="23"/>
      <c r="C19" s="151">
        <f>'[2]TICO 2'!O35</f>
        <v>112324499</v>
      </c>
      <c r="D19" s="29">
        <f>'9.1d'!D19</f>
        <v>1.0500000000000056</v>
      </c>
      <c r="E19" s="26">
        <f t="shared" si="1"/>
        <v>117940724</v>
      </c>
      <c r="K19" s="2"/>
      <c r="L19" s="28"/>
    </row>
    <row r="20" spans="1:12" x14ac:dyDescent="0.2">
      <c r="A20" t="str">
        <f t="shared" si="0"/>
        <v>2022</v>
      </c>
      <c r="B20" s="23"/>
      <c r="C20" s="151">
        <f>'[2]TICO 2'!O36</f>
        <v>126572677</v>
      </c>
      <c r="D20" s="29">
        <f>'9.1d'!D20</f>
        <v>1.0228262738748721</v>
      </c>
      <c r="E20" s="26">
        <f t="shared" si="1"/>
        <v>129461860</v>
      </c>
      <c r="K20" s="2"/>
    </row>
    <row r="21" spans="1:12" x14ac:dyDescent="0.2">
      <c r="A21" t="str">
        <f>TEXT(A22-1,"#")</f>
        <v>2023</v>
      </c>
      <c r="B21" s="23"/>
      <c r="C21" s="151">
        <f>'[2]TICO 2'!O37</f>
        <v>159933055</v>
      </c>
      <c r="D21" s="29">
        <f>'9.1d'!D21</f>
        <v>1</v>
      </c>
      <c r="E21" s="26">
        <f t="shared" si="1"/>
        <v>159933055</v>
      </c>
      <c r="K21" s="2"/>
    </row>
    <row r="22" spans="1:12" x14ac:dyDescent="0.2">
      <c r="A22" t="str">
        <f>TEXT(A23-1,"#")</f>
        <v>2024</v>
      </c>
      <c r="B22" s="23"/>
      <c r="C22" s="151">
        <f>'[2]TICO 2'!O38</f>
        <v>191002757</v>
      </c>
      <c r="D22" s="29">
        <f>'9.1d'!D22</f>
        <v>1</v>
      </c>
      <c r="E22" s="26">
        <f t="shared" si="1"/>
        <v>191002757</v>
      </c>
      <c r="K22" s="2"/>
      <c r="L22" s="28" t="s">
        <v>192</v>
      </c>
    </row>
    <row r="23" spans="1:12" x14ac:dyDescent="0.2">
      <c r="A23" t="str">
        <f>TEXT(YEAR(L23),"#")</f>
        <v>2025</v>
      </c>
      <c r="B23" s="23"/>
      <c r="C23" s="151">
        <f>'[2]TICO 2'!O39</f>
        <v>221374300</v>
      </c>
      <c r="D23" s="29">
        <f>'9.1d'!D23</f>
        <v>0.99999999999999856</v>
      </c>
      <c r="E23" s="26">
        <f t="shared" ref="E23" si="2">ROUND(C23*D23,0)</f>
        <v>221374300</v>
      </c>
      <c r="H23" s="19"/>
      <c r="K23" s="2"/>
      <c r="L23" s="55">
        <f>'[2]TICO 2'!$E$1</f>
        <v>45930</v>
      </c>
    </row>
    <row r="24" spans="1:12" x14ac:dyDescent="0.2">
      <c r="A24" s="9"/>
      <c r="B24" s="24"/>
      <c r="C24" s="54"/>
      <c r="D24" s="30"/>
      <c r="E24" s="46"/>
      <c r="K24" s="2"/>
    </row>
    <row r="25" spans="1:12" x14ac:dyDescent="0.2">
      <c r="C25" s="19"/>
      <c r="K25" s="2"/>
    </row>
    <row r="26" spans="1:12" x14ac:dyDescent="0.2">
      <c r="A26" t="s">
        <v>9</v>
      </c>
      <c r="C26" s="19">
        <f>SUM(C14:C24)</f>
        <v>1385743343</v>
      </c>
      <c r="E26" s="19">
        <f>SUM(E14:E24)</f>
        <v>1442296384</v>
      </c>
      <c r="K26" s="2"/>
    </row>
    <row r="27" spans="1:12" ht="12" thickBot="1" x14ac:dyDescent="0.25">
      <c r="A27" s="6"/>
      <c r="B27" s="6"/>
      <c r="C27" s="6"/>
      <c r="D27" s="6"/>
      <c r="E27" s="6"/>
      <c r="K27" s="2"/>
    </row>
    <row r="28" spans="1:12" ht="12" thickTop="1" x14ac:dyDescent="0.2">
      <c r="K28" s="2"/>
    </row>
    <row r="29" spans="1:12" x14ac:dyDescent="0.2">
      <c r="A29" t="s">
        <v>17</v>
      </c>
      <c r="K29" s="2"/>
    </row>
    <row r="30" spans="1:12" x14ac:dyDescent="0.2">
      <c r="B30" s="12" t="str">
        <f>C12&amp;" Provided by TWIA"</f>
        <v>(2) Provided by TWIA</v>
      </c>
      <c r="K30" s="2"/>
    </row>
    <row r="31" spans="1:12" x14ac:dyDescent="0.2">
      <c r="B31" s="12" t="str">
        <f>D12&amp;" Provided by TWIA"</f>
        <v>(3) Provided by TWIA</v>
      </c>
      <c r="K31" s="2"/>
    </row>
    <row r="32" spans="1:12" x14ac:dyDescent="0.2">
      <c r="B32" s="12" t="str">
        <f>E12&amp;" = "&amp;C12&amp;" * "&amp;D12</f>
        <v>(4) = (2) * (3)</v>
      </c>
      <c r="K32" s="2"/>
      <c r="L32" s="55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B35" s="23"/>
      <c r="K35" s="2"/>
    </row>
    <row r="36" spans="2:11" x14ac:dyDescent="0.2">
      <c r="B36" s="23"/>
      <c r="K36" s="2"/>
    </row>
    <row r="37" spans="2:11" x14ac:dyDescent="0.2">
      <c r="K37" s="2"/>
    </row>
    <row r="38" spans="2:11" x14ac:dyDescent="0.2"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ht="12" thickBot="1" x14ac:dyDescent="0.25">
      <c r="K66" s="2"/>
    </row>
    <row r="67" spans="1:11" ht="12" thickBot="1" x14ac:dyDescent="0.25">
      <c r="A67" s="4"/>
      <c r="B67" s="5"/>
      <c r="C67" s="5"/>
      <c r="D67" s="5"/>
      <c r="E67" s="5"/>
      <c r="F67" s="5"/>
      <c r="G67" s="5"/>
      <c r="H67" s="5"/>
      <c r="I67" s="5"/>
      <c r="J67" s="5"/>
      <c r="K67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92D050"/>
  </sheetPr>
  <dimension ref="A1:L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2.5" bestFit="1" customWidth="1"/>
    <col min="2" max="2" width="16.6640625" customWidth="1"/>
    <col min="3" max="5" width="15.33203125" customWidth="1"/>
    <col min="6" max="9" width="11.33203125" customWidth="1"/>
    <col min="10" max="10" width="10.664062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21</v>
      </c>
      <c r="K2" s="2"/>
    </row>
    <row r="3" spans="1:12" x14ac:dyDescent="0.2">
      <c r="A3" s="8" t="str">
        <f>'1'!$A$3</f>
        <v>Rate Level Review</v>
      </c>
      <c r="B3" s="12"/>
      <c r="J3" s="7"/>
      <c r="K3" s="2"/>
    </row>
    <row r="4" spans="1:12" x14ac:dyDescent="0.2">
      <c r="A4" t="s">
        <v>18</v>
      </c>
      <c r="B4" s="12"/>
      <c r="K4" s="2"/>
    </row>
    <row r="5" spans="1:12" x14ac:dyDescent="0.2">
      <c r="A5" t="s">
        <v>19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K8" s="2"/>
      <c r="L8" t="s">
        <v>195</v>
      </c>
    </row>
    <row r="9" spans="1:12" x14ac:dyDescent="0.2">
      <c r="C9" s="10" t="str">
        <f>YEAR($L$9)&amp;" Written Premium"</f>
        <v>2025 Written Premium</v>
      </c>
      <c r="E9" s="11" t="s">
        <v>13</v>
      </c>
      <c r="K9" s="2"/>
      <c r="L9" s="135">
        <v>46022</v>
      </c>
    </row>
    <row r="10" spans="1:12" x14ac:dyDescent="0.2">
      <c r="E10" s="11" t="s">
        <v>8</v>
      </c>
      <c r="K10" s="2"/>
    </row>
    <row r="11" spans="1:12" x14ac:dyDescent="0.2">
      <c r="A11" s="9" t="s">
        <v>22</v>
      </c>
      <c r="B11" s="9"/>
      <c r="C11" s="9" t="s">
        <v>27</v>
      </c>
      <c r="D11" s="9" t="s">
        <v>28</v>
      </c>
      <c r="E11" s="121" t="s">
        <v>29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K13" s="2"/>
    </row>
    <row r="14" spans="1:12" x14ac:dyDescent="0.2">
      <c r="A14" t="s">
        <v>23</v>
      </c>
      <c r="C14" s="151">
        <f>'[2]TWIA Historical EPPR'!$Y$24</f>
        <v>236842412</v>
      </c>
      <c r="D14" s="20">
        <f>C14/C$19</f>
        <v>0.33668408822283674</v>
      </c>
      <c r="E14" s="20">
        <f>'2.2a'!$H$26</f>
        <v>0.105</v>
      </c>
      <c r="G14" s="20"/>
      <c r="H14" s="20"/>
      <c r="K14" s="2"/>
    </row>
    <row r="15" spans="1:12" x14ac:dyDescent="0.2">
      <c r="A15" t="s">
        <v>26</v>
      </c>
      <c r="C15" s="151">
        <f>'[2]TWIA Historical EPPR'!$Y$25</f>
        <v>115184618</v>
      </c>
      <c r="D15" s="20">
        <f>C15/C$19</f>
        <v>0.16374106208910652</v>
      </c>
      <c r="E15" s="20">
        <f>'2.2b'!$H$26</f>
        <v>3.6999999999999998E-2</v>
      </c>
      <c r="G15" s="20"/>
      <c r="H15" s="20"/>
      <c r="K15" s="2"/>
    </row>
    <row r="16" spans="1:12" x14ac:dyDescent="0.2">
      <c r="A16" t="s">
        <v>25</v>
      </c>
      <c r="C16" s="151">
        <f>'[2]TWIA Historical EPPR'!$Y$26</f>
        <v>343183136</v>
      </c>
      <c r="D16" s="20">
        <f>C16/C$19</f>
        <v>0.4878530845126412</v>
      </c>
      <c r="E16" s="20">
        <f>'2.2c'!$H$26</f>
        <v>0.13600000000000001</v>
      </c>
      <c r="G16" s="20"/>
      <c r="H16" s="20"/>
      <c r="K16" s="2"/>
    </row>
    <row r="17" spans="1:11" x14ac:dyDescent="0.2">
      <c r="A17" s="9" t="s">
        <v>24</v>
      </c>
      <c r="B17" s="9"/>
      <c r="C17" s="161">
        <f>'[2]TWIA Historical EPPR'!$Y$27</f>
        <v>8245745</v>
      </c>
      <c r="D17" s="21">
        <f>C17/C$19</f>
        <v>1.1721765175415521E-2</v>
      </c>
      <c r="E17" s="21">
        <f>'2.2d'!$H$26</f>
        <v>0.27100000000000002</v>
      </c>
      <c r="G17" s="20"/>
      <c r="H17" s="20"/>
      <c r="K17" s="2"/>
    </row>
    <row r="18" spans="1:11" x14ac:dyDescent="0.2">
      <c r="K18" s="2"/>
    </row>
    <row r="19" spans="1:11" x14ac:dyDescent="0.2">
      <c r="A19" t="s">
        <v>30</v>
      </c>
      <c r="C19" s="19">
        <f>SUM(C14:C17)</f>
        <v>703455911</v>
      </c>
      <c r="D19" s="20">
        <f>SUM(D14:D17)</f>
        <v>1</v>
      </c>
      <c r="E19" s="20">
        <f>ROUND(SUMPRODUCT(D14:D17,E14:E17)/D19,3)</f>
        <v>0.111</v>
      </c>
      <c r="K19" s="2"/>
    </row>
    <row r="20" spans="1:11" ht="12" thickBot="1" x14ac:dyDescent="0.25">
      <c r="A20" s="6"/>
      <c r="B20" s="6"/>
      <c r="C20" s="6"/>
      <c r="D20" s="6"/>
      <c r="E20" s="6"/>
      <c r="K20" s="2"/>
    </row>
    <row r="21" spans="1:11" ht="12" thickTop="1" x14ac:dyDescent="0.2">
      <c r="K21" s="2"/>
    </row>
    <row r="22" spans="1:11" x14ac:dyDescent="0.2">
      <c r="A22" t="s">
        <v>17</v>
      </c>
      <c r="K22" s="2"/>
    </row>
    <row r="23" spans="1:11" x14ac:dyDescent="0.2">
      <c r="B23" s="12" t="str">
        <f>C12&amp;" TWIA data"</f>
        <v>(2) TWIA data</v>
      </c>
      <c r="K23" s="2"/>
    </row>
    <row r="24" spans="1:11" x14ac:dyDescent="0.2">
      <c r="B24" s="12" t="str">
        <f>D12&amp;" = "&amp;C12&amp;" / "&amp;C12&amp;" Total"</f>
        <v>(3) = (2) / (2) Total</v>
      </c>
      <c r="K24" s="2"/>
    </row>
    <row r="25" spans="1:11" x14ac:dyDescent="0.2">
      <c r="B25" s="12" t="str">
        <f>E12&amp;" "&amp;'2.2a'!$J$1&amp;", "&amp;'2.2a'!$J$2&amp;" - "&amp;'2.2d'!$J$2</f>
        <v>(4) Exhibit 2, Sheet 2a - Sheet 2d</v>
      </c>
      <c r="K25" s="2"/>
    </row>
    <row r="26" spans="1:11" x14ac:dyDescent="0.2">
      <c r="B26" s="17"/>
      <c r="K26" s="2"/>
    </row>
    <row r="27" spans="1:11" x14ac:dyDescent="0.2">
      <c r="K27" s="2"/>
    </row>
    <row r="28" spans="1:11" x14ac:dyDescent="0.2">
      <c r="K28" s="2"/>
    </row>
    <row r="29" spans="1:11" x14ac:dyDescent="0.2">
      <c r="K29" s="2"/>
    </row>
    <row r="30" spans="1:11" x14ac:dyDescent="0.2">
      <c r="K30" s="2"/>
    </row>
    <row r="31" spans="1:11" x14ac:dyDescent="0.2">
      <c r="K31" s="2"/>
    </row>
    <row r="32" spans="1:11" x14ac:dyDescent="0.2">
      <c r="K32" s="2"/>
    </row>
    <row r="33" spans="11:11" x14ac:dyDescent="0.2">
      <c r="K33" s="2"/>
    </row>
    <row r="34" spans="11:11" x14ac:dyDescent="0.2">
      <c r="K34" s="2"/>
    </row>
    <row r="35" spans="11:11" x14ac:dyDescent="0.2">
      <c r="K35" s="2"/>
    </row>
    <row r="36" spans="11:11" x14ac:dyDescent="0.2">
      <c r="K36" s="2"/>
    </row>
    <row r="37" spans="11:11" x14ac:dyDescent="0.2">
      <c r="K37" s="2"/>
    </row>
    <row r="38" spans="11:11" x14ac:dyDescent="0.2">
      <c r="K38" s="2"/>
    </row>
    <row r="39" spans="11:11" x14ac:dyDescent="0.2">
      <c r="K39" s="2"/>
    </row>
    <row r="40" spans="11:11" x14ac:dyDescent="0.2">
      <c r="K40" s="2"/>
    </row>
    <row r="41" spans="11:11" x14ac:dyDescent="0.2">
      <c r="K41" s="2"/>
    </row>
    <row r="42" spans="11:11" x14ac:dyDescent="0.2">
      <c r="K42" s="2"/>
    </row>
    <row r="43" spans="11:11" x14ac:dyDescent="0.2">
      <c r="K43" s="2"/>
    </row>
    <row r="44" spans="11:11" x14ac:dyDescent="0.2">
      <c r="K44" s="2"/>
    </row>
    <row r="45" spans="11:11" x14ac:dyDescent="0.2">
      <c r="K45" s="2"/>
    </row>
    <row r="46" spans="11:11" x14ac:dyDescent="0.2">
      <c r="K46" s="2"/>
    </row>
    <row r="47" spans="11:11" x14ac:dyDescent="0.2">
      <c r="K47" s="2"/>
    </row>
    <row r="48" spans="11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2">
    <tabColor rgb="FF92D050"/>
  </sheetPr>
  <dimension ref="A1:L63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9" width="11.33203125" customWidth="1"/>
    <col min="10" max="10" width="12.3320312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150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160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163</v>
      </c>
      <c r="B4" s="12"/>
      <c r="K4" s="2"/>
    </row>
    <row r="5" spans="1:12" x14ac:dyDescent="0.2">
      <c r="A5" t="s">
        <v>437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80"/>
      <c r="D9" s="11" t="s">
        <v>35</v>
      </c>
      <c r="E9" s="11" t="s">
        <v>42</v>
      </c>
      <c r="K9" s="2"/>
      <c r="L9" s="17"/>
    </row>
    <row r="10" spans="1:12" x14ac:dyDescent="0.2">
      <c r="A10" t="s">
        <v>32</v>
      </c>
      <c r="C10" s="11" t="s">
        <v>275</v>
      </c>
      <c r="D10" s="11" t="s">
        <v>276</v>
      </c>
      <c r="E10" s="11" t="s">
        <v>40</v>
      </c>
      <c r="K10" s="2"/>
    </row>
    <row r="11" spans="1:12" x14ac:dyDescent="0.2">
      <c r="A11" s="9" t="str">
        <f>TEXT(L21,"m/d")</f>
        <v>9/30</v>
      </c>
      <c r="B11" s="9"/>
      <c r="C11" s="121" t="s">
        <v>42</v>
      </c>
      <c r="D11" s="121" t="s">
        <v>119</v>
      </c>
      <c r="E11" s="121" t="s">
        <v>119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D13" s="11"/>
      <c r="K13" s="2"/>
    </row>
    <row r="14" spans="1:12" x14ac:dyDescent="0.2">
      <c r="A14" t="str">
        <f t="shared" ref="A14:A22" si="0">TEXT(A15-1,"#")</f>
        <v>2016</v>
      </c>
      <c r="B14" s="23"/>
      <c r="C14" s="151">
        <f>'[2]TICO 2'!P30</f>
        <v>71234774</v>
      </c>
      <c r="D14" s="29">
        <f>'9.1d'!D14</f>
        <v>1.1303877408726286</v>
      </c>
      <c r="E14" s="26">
        <f t="shared" ref="E14:E22" si="1">ROUND(C14*D14,0)</f>
        <v>80522915</v>
      </c>
      <c r="K14" s="2"/>
      <c r="L14" s="28"/>
    </row>
    <row r="15" spans="1:12" x14ac:dyDescent="0.2">
      <c r="A15" t="str">
        <f t="shared" si="0"/>
        <v>2017</v>
      </c>
      <c r="B15" s="23"/>
      <c r="C15" s="151">
        <f>'[2]TICO 2'!P31</f>
        <v>69126281</v>
      </c>
      <c r="D15" s="29">
        <f>'9.1d'!D15</f>
        <v>1.1025000000000003</v>
      </c>
      <c r="E15" s="26">
        <f t="shared" si="1"/>
        <v>76211725</v>
      </c>
      <c r="K15" s="2"/>
      <c r="L15" s="28"/>
    </row>
    <row r="16" spans="1:12" x14ac:dyDescent="0.2">
      <c r="A16" t="str">
        <f t="shared" si="0"/>
        <v>2018</v>
      </c>
      <c r="B16" s="23"/>
      <c r="C16" s="151">
        <f>'[2]TICO 2'!P32</f>
        <v>63899693</v>
      </c>
      <c r="D16" s="29">
        <f>'9.1d'!D16</f>
        <v>1.0768211446107889</v>
      </c>
      <c r="E16" s="26">
        <f t="shared" si="1"/>
        <v>68808541</v>
      </c>
      <c r="K16" s="2"/>
      <c r="L16" s="28"/>
    </row>
    <row r="17" spans="1:12" x14ac:dyDescent="0.2">
      <c r="A17" t="str">
        <f t="shared" si="0"/>
        <v>2019</v>
      </c>
      <c r="B17" s="23"/>
      <c r="C17" s="151">
        <f>'[2]TICO 2'!P33</f>
        <v>59870593</v>
      </c>
      <c r="D17" s="29">
        <f>'9.1d'!D17</f>
        <v>1.0499999999999947</v>
      </c>
      <c r="E17" s="26">
        <f t="shared" si="1"/>
        <v>62864123</v>
      </c>
      <c r="K17" s="2"/>
      <c r="L17" s="28"/>
    </row>
    <row r="18" spans="1:12" x14ac:dyDescent="0.2">
      <c r="A18" t="str">
        <f t="shared" si="0"/>
        <v>2020</v>
      </c>
      <c r="B18" s="23"/>
      <c r="C18" s="151">
        <f>'[2]TICO 2'!P34</f>
        <v>57494711</v>
      </c>
      <c r="D18" s="29">
        <f>'9.1d'!D18</f>
        <v>1.0500000000000036</v>
      </c>
      <c r="E18" s="26">
        <f t="shared" si="1"/>
        <v>60369447</v>
      </c>
      <c r="K18" s="2"/>
      <c r="L18" s="28"/>
    </row>
    <row r="19" spans="1:12" x14ac:dyDescent="0.2">
      <c r="A19" t="str">
        <f t="shared" si="0"/>
        <v>2021</v>
      </c>
      <c r="B19" s="23"/>
      <c r="C19" s="151">
        <f>'[2]TICO 2'!P35</f>
        <v>57000700</v>
      </c>
      <c r="D19" s="29">
        <f>'9.1d'!D19</f>
        <v>1.0500000000000056</v>
      </c>
      <c r="E19" s="26">
        <f t="shared" si="1"/>
        <v>59850735</v>
      </c>
      <c r="K19" s="2"/>
      <c r="L19" s="28"/>
    </row>
    <row r="20" spans="1:12" x14ac:dyDescent="0.2">
      <c r="A20" t="str">
        <f t="shared" si="0"/>
        <v>2022</v>
      </c>
      <c r="B20" s="23"/>
      <c r="C20" s="151">
        <f>'[2]TICO 2'!P36</f>
        <v>61194933</v>
      </c>
      <c r="D20" s="29">
        <f>'9.1d'!D20</f>
        <v>1.0228262738748721</v>
      </c>
      <c r="E20" s="26">
        <f t="shared" si="1"/>
        <v>62591785</v>
      </c>
      <c r="K20" s="2"/>
      <c r="L20" s="28" t="s">
        <v>192</v>
      </c>
    </row>
    <row r="21" spans="1:12" x14ac:dyDescent="0.2">
      <c r="A21" t="str">
        <f t="shared" si="0"/>
        <v>2023</v>
      </c>
      <c r="B21" s="23"/>
      <c r="C21" s="151">
        <f>'[2]TICO 2'!P37</f>
        <v>76445090</v>
      </c>
      <c r="D21" s="29">
        <f>'9.1d'!D21</f>
        <v>1</v>
      </c>
      <c r="E21" s="26">
        <f t="shared" si="1"/>
        <v>76445090</v>
      </c>
      <c r="K21" s="2"/>
      <c r="L21" s="37">
        <f>'9.1a'!$L$23</f>
        <v>45930</v>
      </c>
    </row>
    <row r="22" spans="1:12" x14ac:dyDescent="0.2">
      <c r="A22" t="str">
        <f t="shared" si="0"/>
        <v>2024</v>
      </c>
      <c r="B22" s="23"/>
      <c r="C22" s="151">
        <f>'[2]TICO 2'!P38</f>
        <v>91268998</v>
      </c>
      <c r="D22" s="29">
        <f>'9.1d'!D22</f>
        <v>1</v>
      </c>
      <c r="E22" s="26">
        <f t="shared" si="1"/>
        <v>91268998</v>
      </c>
      <c r="K22" s="2"/>
      <c r="L22" s="37"/>
    </row>
    <row r="23" spans="1:12" x14ac:dyDescent="0.2">
      <c r="A23" s="23" t="str">
        <f>TEXT(YEAR($L$21),"#")</f>
        <v>2025</v>
      </c>
      <c r="B23" s="23"/>
      <c r="C23" s="151">
        <f>'[2]TICO 2'!P39</f>
        <v>107161542</v>
      </c>
      <c r="D23" s="29">
        <f>'9.1d'!D23</f>
        <v>0.99999999999999856</v>
      </c>
      <c r="E23" s="26">
        <f t="shared" ref="E23" si="2">ROUND(C23*D23,0)</f>
        <v>107161542</v>
      </c>
      <c r="K23" s="2"/>
      <c r="L23" s="37"/>
    </row>
    <row r="24" spans="1:12" x14ac:dyDescent="0.2">
      <c r="A24" s="9"/>
      <c r="B24" s="24"/>
      <c r="C24" s="54"/>
      <c r="D24" s="30"/>
      <c r="E24" s="46"/>
      <c r="K24" s="2"/>
    </row>
    <row r="25" spans="1:12" x14ac:dyDescent="0.2">
      <c r="C25" s="19"/>
      <c r="K25" s="2"/>
    </row>
    <row r="26" spans="1:12" x14ac:dyDescent="0.2">
      <c r="A26" t="s">
        <v>9</v>
      </c>
      <c r="C26" s="19">
        <f>SUM(C14:C24)</f>
        <v>714697315</v>
      </c>
      <c r="E26" s="19">
        <f>SUM(E14:E24)</f>
        <v>746094901</v>
      </c>
      <c r="K26" s="2"/>
    </row>
    <row r="27" spans="1:12" ht="12" thickBot="1" x14ac:dyDescent="0.25">
      <c r="A27" s="6"/>
      <c r="B27" s="6"/>
      <c r="C27" s="6"/>
      <c r="D27" s="6"/>
      <c r="E27" s="6"/>
      <c r="K27" s="2"/>
    </row>
    <row r="28" spans="1:12" ht="12" thickTop="1" x14ac:dyDescent="0.2">
      <c r="K28" s="2"/>
    </row>
    <row r="29" spans="1:12" x14ac:dyDescent="0.2">
      <c r="A29" t="s">
        <v>17</v>
      </c>
      <c r="K29" s="2"/>
    </row>
    <row r="30" spans="1:12" x14ac:dyDescent="0.2">
      <c r="B30" s="12" t="str">
        <f>C12&amp;" Provided by TWIA"</f>
        <v>(2) Provided by TWIA</v>
      </c>
      <c r="K30" s="2"/>
    </row>
    <row r="31" spans="1:12" x14ac:dyDescent="0.2">
      <c r="B31" s="12" t="str">
        <f>D12&amp;" Provided by TWIA"</f>
        <v>(3) Provided by TWIA</v>
      </c>
      <c r="K31" s="2"/>
    </row>
    <row r="32" spans="1:12" x14ac:dyDescent="0.2">
      <c r="B32" s="12" t="str">
        <f>E12&amp;" = "&amp;C12&amp;" * "&amp;D12</f>
        <v>(4) = (2) * (3)</v>
      </c>
      <c r="K32" s="2"/>
    </row>
    <row r="33" spans="2:11" x14ac:dyDescent="0.2">
      <c r="B33" s="12"/>
      <c r="K33" s="2"/>
    </row>
    <row r="34" spans="2:11" x14ac:dyDescent="0.2">
      <c r="B34" s="12"/>
      <c r="K34" s="2"/>
    </row>
    <row r="35" spans="2:11" x14ac:dyDescent="0.2">
      <c r="K35" s="2"/>
    </row>
    <row r="36" spans="2:11" x14ac:dyDescent="0.2">
      <c r="B36" s="23"/>
      <c r="K36" s="2"/>
    </row>
    <row r="37" spans="2:11" x14ac:dyDescent="0.2">
      <c r="B37" s="23"/>
      <c r="K37" s="2"/>
    </row>
    <row r="38" spans="2:11" x14ac:dyDescent="0.2"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:11" x14ac:dyDescent="0.2">
      <c r="K49" s="2"/>
    </row>
    <row r="50" spans="1:11" x14ac:dyDescent="0.2">
      <c r="K50" s="2"/>
    </row>
    <row r="51" spans="1:11" x14ac:dyDescent="0.2">
      <c r="K51" s="2"/>
    </row>
    <row r="52" spans="1:11" x14ac:dyDescent="0.2">
      <c r="K52" s="2"/>
    </row>
    <row r="53" spans="1:11" x14ac:dyDescent="0.2">
      <c r="K53" s="2"/>
    </row>
    <row r="54" spans="1:11" x14ac:dyDescent="0.2">
      <c r="K54" s="2"/>
    </row>
    <row r="55" spans="1:11" x14ac:dyDescent="0.2">
      <c r="K55" s="2"/>
    </row>
    <row r="56" spans="1:11" x14ac:dyDescent="0.2">
      <c r="K56" s="2"/>
    </row>
    <row r="57" spans="1:11" x14ac:dyDescent="0.2">
      <c r="K57" s="2"/>
    </row>
    <row r="58" spans="1:11" x14ac:dyDescent="0.2">
      <c r="K58" s="2"/>
    </row>
    <row r="59" spans="1:11" x14ac:dyDescent="0.2">
      <c r="K59" s="2"/>
    </row>
    <row r="60" spans="1:11" x14ac:dyDescent="0.2">
      <c r="K60" s="2"/>
    </row>
    <row r="61" spans="1:11" x14ac:dyDescent="0.2">
      <c r="K61" s="2"/>
    </row>
    <row r="62" spans="1:11" ht="12" thickBot="1" x14ac:dyDescent="0.25">
      <c r="K62" s="2"/>
    </row>
    <row r="63" spans="1:11" ht="12" thickBot="1" x14ac:dyDescent="0.25">
      <c r="A63" s="4"/>
      <c r="B63" s="5"/>
      <c r="C63" s="5"/>
      <c r="D63" s="5"/>
      <c r="E63" s="5"/>
      <c r="F63" s="5"/>
      <c r="G63" s="5"/>
      <c r="H63" s="5"/>
      <c r="I63" s="5"/>
      <c r="J63" s="5"/>
      <c r="K63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3">
    <tabColor rgb="FF92D050"/>
  </sheetPr>
  <dimension ref="A1:L67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5" width="15.33203125" customWidth="1"/>
    <col min="6" max="9" width="11.33203125" customWidth="1"/>
    <col min="10" max="10" width="12.3320312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150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161</v>
      </c>
      <c r="K2" s="2"/>
    </row>
    <row r="3" spans="1:12" x14ac:dyDescent="0.2">
      <c r="A3" s="8" t="str">
        <f>'1'!$A$3</f>
        <v>Rate Level Review</v>
      </c>
      <c r="B3" s="12"/>
      <c r="K3" s="2"/>
    </row>
    <row r="4" spans="1:12" x14ac:dyDescent="0.2">
      <c r="A4" t="s">
        <v>163</v>
      </c>
      <c r="B4" s="12"/>
      <c r="K4" s="2"/>
    </row>
    <row r="5" spans="1:12" x14ac:dyDescent="0.2">
      <c r="A5" t="s">
        <v>438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K7" s="2"/>
    </row>
    <row r="8" spans="1:12" ht="12" thickTop="1" x14ac:dyDescent="0.2">
      <c r="A8" t="s">
        <v>48</v>
      </c>
      <c r="D8" s="23"/>
      <c r="K8" s="2"/>
    </row>
    <row r="9" spans="1:12" x14ac:dyDescent="0.2">
      <c r="A9" t="s">
        <v>49</v>
      </c>
      <c r="C9" s="180"/>
      <c r="D9" s="11" t="s">
        <v>35</v>
      </c>
      <c r="E9" s="11" t="s">
        <v>42</v>
      </c>
      <c r="K9" s="2"/>
      <c r="L9" s="17"/>
    </row>
    <row r="10" spans="1:12" x14ac:dyDescent="0.2">
      <c r="A10" t="s">
        <v>32</v>
      </c>
      <c r="C10" s="11" t="s">
        <v>275</v>
      </c>
      <c r="D10" s="11" t="s">
        <v>276</v>
      </c>
      <c r="E10" s="11" t="s">
        <v>40</v>
      </c>
      <c r="K10" s="2"/>
    </row>
    <row r="11" spans="1:12" x14ac:dyDescent="0.2">
      <c r="A11" s="9" t="str">
        <f>TEXT(L21,"m/d")</f>
        <v>9/30</v>
      </c>
      <c r="B11" s="9"/>
      <c r="C11" s="121" t="s">
        <v>42</v>
      </c>
      <c r="D11" s="121" t="s">
        <v>119</v>
      </c>
      <c r="E11" s="121" t="s">
        <v>119</v>
      </c>
      <c r="K11" s="2"/>
    </row>
    <row r="12" spans="1:12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2" x14ac:dyDescent="0.2">
      <c r="D13" s="11"/>
      <c r="K13" s="2"/>
    </row>
    <row r="14" spans="1:12" x14ac:dyDescent="0.2">
      <c r="A14" t="str">
        <f t="shared" ref="A14:A22" si="0">TEXT(A15-1,"#")</f>
        <v>2016</v>
      </c>
      <c r="B14" s="23"/>
      <c r="C14" s="151">
        <f>'[2]TICO 2'!Q30</f>
        <v>200978477</v>
      </c>
      <c r="D14" s="29">
        <f>'9.1d'!D14</f>
        <v>1.1303877408726286</v>
      </c>
      <c r="E14" s="26">
        <f t="shared" ref="E14:E21" si="1">ROUND(C14*D14,0)</f>
        <v>227183607</v>
      </c>
      <c r="K14" s="2"/>
      <c r="L14" s="28"/>
    </row>
    <row r="15" spans="1:12" x14ac:dyDescent="0.2">
      <c r="A15" t="str">
        <f t="shared" si="0"/>
        <v>2017</v>
      </c>
      <c r="B15" s="23"/>
      <c r="C15" s="151">
        <f>'[2]TICO 2'!Q31</f>
        <v>188554673</v>
      </c>
      <c r="D15" s="29">
        <f>'9.1d'!D15</f>
        <v>1.1025000000000003</v>
      </c>
      <c r="E15" s="26">
        <f t="shared" si="1"/>
        <v>207881527</v>
      </c>
      <c r="K15" s="2"/>
      <c r="L15" s="28"/>
    </row>
    <row r="16" spans="1:12" x14ac:dyDescent="0.2">
      <c r="A16" t="str">
        <f t="shared" si="0"/>
        <v>2018</v>
      </c>
      <c r="B16" s="23"/>
      <c r="C16" s="151">
        <f>'[2]TICO 2'!Q32</f>
        <v>166829909</v>
      </c>
      <c r="D16" s="29">
        <f>'9.1d'!D16</f>
        <v>1.0768211446107889</v>
      </c>
      <c r="E16" s="26">
        <f t="shared" si="1"/>
        <v>179645974</v>
      </c>
      <c r="K16" s="2"/>
      <c r="L16" s="28"/>
    </row>
    <row r="17" spans="1:12" x14ac:dyDescent="0.2">
      <c r="A17" t="str">
        <f t="shared" si="0"/>
        <v>2019</v>
      </c>
      <c r="B17" s="23"/>
      <c r="C17" s="151">
        <f>'[2]TICO 2'!Q33</f>
        <v>151980115</v>
      </c>
      <c r="D17" s="29">
        <f>'9.1d'!D17</f>
        <v>1.0499999999999947</v>
      </c>
      <c r="E17" s="26">
        <f t="shared" si="1"/>
        <v>159579121</v>
      </c>
      <c r="K17" s="2"/>
      <c r="L17" s="28"/>
    </row>
    <row r="18" spans="1:12" x14ac:dyDescent="0.2">
      <c r="A18" t="str">
        <f t="shared" si="0"/>
        <v>2020</v>
      </c>
      <c r="B18" s="23"/>
      <c r="C18" s="151">
        <f>'[2]TICO 2'!Q34</f>
        <v>141633299</v>
      </c>
      <c r="D18" s="29">
        <f>'9.1d'!D18</f>
        <v>1.0500000000000036</v>
      </c>
      <c r="E18" s="26">
        <f t="shared" si="1"/>
        <v>148714964</v>
      </c>
      <c r="K18" s="2"/>
      <c r="L18" s="28"/>
    </row>
    <row r="19" spans="1:12" x14ac:dyDescent="0.2">
      <c r="A19" t="str">
        <f t="shared" si="0"/>
        <v>2021</v>
      </c>
      <c r="B19" s="23"/>
      <c r="C19" s="151">
        <f>'[2]TICO 2'!Q35</f>
        <v>140039840</v>
      </c>
      <c r="D19" s="29">
        <f>'9.1d'!D19</f>
        <v>1.0500000000000056</v>
      </c>
      <c r="E19" s="26">
        <f t="shared" si="1"/>
        <v>147041832</v>
      </c>
      <c r="K19" s="2"/>
      <c r="L19" s="28"/>
    </row>
    <row r="20" spans="1:12" x14ac:dyDescent="0.2">
      <c r="A20" t="str">
        <f t="shared" si="0"/>
        <v>2022</v>
      </c>
      <c r="B20" s="23"/>
      <c r="C20" s="151">
        <f>'[2]TICO 2'!Q36</f>
        <v>153747607</v>
      </c>
      <c r="D20" s="29">
        <f>'9.1d'!D20</f>
        <v>1.0228262738748721</v>
      </c>
      <c r="E20" s="26">
        <f t="shared" si="1"/>
        <v>157257092</v>
      </c>
      <c r="K20" s="2"/>
      <c r="L20" s="28" t="s">
        <v>192</v>
      </c>
    </row>
    <row r="21" spans="1:12" x14ac:dyDescent="0.2">
      <c r="A21" t="str">
        <f t="shared" si="0"/>
        <v>2023</v>
      </c>
      <c r="B21" s="23"/>
      <c r="C21" s="151">
        <f>'[2]TICO 2'!Q37</f>
        <v>211507410</v>
      </c>
      <c r="D21" s="29">
        <f>'9.1d'!D21</f>
        <v>1</v>
      </c>
      <c r="E21" s="26">
        <f t="shared" si="1"/>
        <v>211507410</v>
      </c>
      <c r="K21" s="2"/>
      <c r="L21" s="37">
        <f>'9.1a'!$L$23</f>
        <v>45930</v>
      </c>
    </row>
    <row r="22" spans="1:12" x14ac:dyDescent="0.2">
      <c r="A22" t="str">
        <f t="shared" si="0"/>
        <v>2024</v>
      </c>
      <c r="B22" s="23"/>
      <c r="C22" s="151">
        <f>'[2]TICO 2'!Q38</f>
        <v>260144729</v>
      </c>
      <c r="D22" s="29">
        <f>'9.1d'!D22</f>
        <v>1</v>
      </c>
      <c r="E22" s="26">
        <f>ROUND(C22*D22,0)</f>
        <v>260144729</v>
      </c>
      <c r="K22" s="2"/>
      <c r="L22" s="37"/>
    </row>
    <row r="23" spans="1:12" x14ac:dyDescent="0.2">
      <c r="A23" s="23" t="str">
        <f>TEXT(YEAR($L$21),"#")</f>
        <v>2025</v>
      </c>
      <c r="B23" s="23"/>
      <c r="C23" s="151">
        <f>'[2]TICO 2'!Q39</f>
        <v>314043909</v>
      </c>
      <c r="D23" s="29">
        <f>'9.1d'!D23</f>
        <v>0.99999999999999856</v>
      </c>
      <c r="E23" s="26">
        <f>ROUND(C23*D23,0)</f>
        <v>314043909</v>
      </c>
      <c r="K23" s="2"/>
      <c r="L23" s="37"/>
    </row>
    <row r="24" spans="1:12" x14ac:dyDescent="0.2">
      <c r="A24" s="9"/>
      <c r="B24" s="24"/>
      <c r="C24" s="54"/>
      <c r="D24" s="30"/>
      <c r="E24" s="46"/>
      <c r="K24" s="2"/>
    </row>
    <row r="25" spans="1:12" x14ac:dyDescent="0.2">
      <c r="C25" s="19"/>
      <c r="K25" s="2"/>
    </row>
    <row r="26" spans="1:12" x14ac:dyDescent="0.2">
      <c r="A26" t="s">
        <v>9</v>
      </c>
      <c r="C26" s="19">
        <f>SUM(C14:C24)</f>
        <v>1929459968</v>
      </c>
      <c r="E26" s="19">
        <f>SUM(E14:E24)</f>
        <v>2013000165</v>
      </c>
      <c r="K26" s="2"/>
    </row>
    <row r="27" spans="1:12" ht="12" thickBot="1" x14ac:dyDescent="0.25">
      <c r="A27" s="6"/>
      <c r="B27" s="6"/>
      <c r="C27" s="6"/>
      <c r="D27" s="6"/>
      <c r="E27" s="6"/>
      <c r="K27" s="2"/>
    </row>
    <row r="28" spans="1:12" ht="12" thickTop="1" x14ac:dyDescent="0.2">
      <c r="K28" s="2"/>
    </row>
    <row r="29" spans="1:12" x14ac:dyDescent="0.2">
      <c r="A29" t="s">
        <v>17</v>
      </c>
      <c r="K29" s="2"/>
    </row>
    <row r="30" spans="1:12" x14ac:dyDescent="0.2">
      <c r="B30" s="12" t="str">
        <f>C12&amp;" Provided by TWIA"</f>
        <v>(2) Provided by TWIA</v>
      </c>
      <c r="K30" s="2"/>
    </row>
    <row r="31" spans="1:12" x14ac:dyDescent="0.2">
      <c r="B31" s="12" t="str">
        <f>D12&amp;" Provided by TWIA"</f>
        <v>(3) Provided by TWIA</v>
      </c>
      <c r="K31" s="2"/>
    </row>
    <row r="32" spans="1:12" x14ac:dyDescent="0.2">
      <c r="B32" s="12" t="str">
        <f>E12&amp;" = "&amp;C12&amp;" * "&amp;D12</f>
        <v>(4) = (2) * (3)</v>
      </c>
      <c r="K32" s="2"/>
    </row>
    <row r="33" spans="2:11" x14ac:dyDescent="0.2">
      <c r="K33" s="2"/>
    </row>
    <row r="34" spans="2:11" x14ac:dyDescent="0.2">
      <c r="B34" s="12"/>
      <c r="K34" s="2"/>
    </row>
    <row r="35" spans="2:11" x14ac:dyDescent="0.2">
      <c r="B35" s="12"/>
      <c r="K35" s="2"/>
    </row>
    <row r="36" spans="2:11" x14ac:dyDescent="0.2">
      <c r="B36" s="23"/>
      <c r="K36" s="2"/>
    </row>
    <row r="37" spans="2:11" x14ac:dyDescent="0.2">
      <c r="B37" s="23"/>
      <c r="K37" s="2"/>
    </row>
    <row r="38" spans="2:11" x14ac:dyDescent="0.2"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ht="12" thickBot="1" x14ac:dyDescent="0.25">
      <c r="K66" s="2"/>
    </row>
    <row r="67" spans="1:11" ht="12" thickBot="1" x14ac:dyDescent="0.25">
      <c r="A67" s="4"/>
      <c r="B67" s="5"/>
      <c r="C67" s="5"/>
      <c r="D67" s="5"/>
      <c r="E67" s="5"/>
      <c r="F67" s="5"/>
      <c r="G67" s="5"/>
      <c r="H67" s="5"/>
      <c r="I67" s="5"/>
      <c r="J67" s="5"/>
      <c r="K67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4">
    <tabColor rgb="FF92D050"/>
  </sheetPr>
  <dimension ref="A1:O67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3" width="15.33203125" customWidth="1"/>
    <col min="4" max="4" width="15.33203125" style="11" customWidth="1"/>
    <col min="5" max="5" width="15.33203125" customWidth="1"/>
    <col min="6" max="9" width="11.33203125" customWidth="1"/>
    <col min="10" max="10" width="12.33203125" customWidth="1"/>
  </cols>
  <sheetData>
    <row r="1" spans="1:13" x14ac:dyDescent="0.2">
      <c r="A1" s="8" t="str">
        <f>'1'!$A$1</f>
        <v>Texas Windstorm Insurance Association</v>
      </c>
      <c r="B1" s="12"/>
      <c r="J1" s="7" t="s">
        <v>150</v>
      </c>
      <c r="K1" s="1"/>
      <c r="M1" s="160"/>
    </row>
    <row r="2" spans="1:13" x14ac:dyDescent="0.2">
      <c r="A2" s="8" t="str">
        <f>'1'!$A$2</f>
        <v>Residential Property - Wind &amp; Hail</v>
      </c>
      <c r="B2" s="12"/>
      <c r="J2" s="7" t="s">
        <v>162</v>
      </c>
      <c r="K2" s="2"/>
    </row>
    <row r="3" spans="1:13" x14ac:dyDescent="0.2">
      <c r="A3" s="8" t="str">
        <f>'1'!$A$3</f>
        <v>Rate Level Review</v>
      </c>
      <c r="B3" s="12"/>
      <c r="K3" s="2"/>
    </row>
    <row r="4" spans="1:13" x14ac:dyDescent="0.2">
      <c r="A4" t="s">
        <v>163</v>
      </c>
      <c r="B4" s="12"/>
      <c r="K4" s="2"/>
    </row>
    <row r="5" spans="1:13" x14ac:dyDescent="0.2">
      <c r="A5" t="s">
        <v>439</v>
      </c>
      <c r="B5" s="12"/>
      <c r="K5" s="2"/>
    </row>
    <row r="6" spans="1:13" x14ac:dyDescent="0.2">
      <c r="K6" s="2"/>
    </row>
    <row r="7" spans="1:13" ht="12" thickBot="1" x14ac:dyDescent="0.25">
      <c r="A7" s="6"/>
      <c r="B7" s="6"/>
      <c r="C7" s="6"/>
      <c r="D7" s="101"/>
      <c r="E7" s="6"/>
      <c r="K7" s="2"/>
    </row>
    <row r="8" spans="1:13" ht="12" thickTop="1" x14ac:dyDescent="0.2">
      <c r="A8" t="s">
        <v>48</v>
      </c>
      <c r="D8" s="23"/>
      <c r="K8" s="2"/>
    </row>
    <row r="9" spans="1:13" x14ac:dyDescent="0.2">
      <c r="A9" t="s">
        <v>49</v>
      </c>
      <c r="C9" s="180"/>
      <c r="D9" s="11" t="s">
        <v>35</v>
      </c>
      <c r="E9" s="11" t="s">
        <v>42</v>
      </c>
      <c r="K9" s="2"/>
      <c r="L9" s="17"/>
    </row>
    <row r="10" spans="1:13" x14ac:dyDescent="0.2">
      <c r="A10" t="s">
        <v>32</v>
      </c>
      <c r="C10" s="11" t="s">
        <v>275</v>
      </c>
      <c r="D10" s="11" t="s">
        <v>276</v>
      </c>
      <c r="E10" s="11" t="s">
        <v>40</v>
      </c>
      <c r="K10" s="2"/>
    </row>
    <row r="11" spans="1:13" x14ac:dyDescent="0.2">
      <c r="A11" s="9" t="str">
        <f>TEXT(L21,"m/d")</f>
        <v>9/30</v>
      </c>
      <c r="B11" s="9"/>
      <c r="C11" s="121" t="s">
        <v>42</v>
      </c>
      <c r="D11" s="121" t="s">
        <v>119</v>
      </c>
      <c r="E11" s="121" t="s">
        <v>119</v>
      </c>
      <c r="K11" s="2"/>
    </row>
    <row r="12" spans="1:13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3" x14ac:dyDescent="0.2">
      <c r="K13" s="2"/>
    </row>
    <row r="14" spans="1:13" x14ac:dyDescent="0.2">
      <c r="A14" t="str">
        <f t="shared" ref="A14:A22" si="0">TEXT(A15-1,"#")</f>
        <v>2016</v>
      </c>
      <c r="B14" s="23"/>
      <c r="C14" s="151">
        <f>'[2]TICO 2'!R30</f>
        <v>4436708</v>
      </c>
      <c r="D14" s="96">
        <f>_xlfn.XLOOKUP(VALUE(A14),'9.2'!$A$14:$A$37,'9.2'!$D$14:$D$37,0)</f>
        <v>1.1303877408726286</v>
      </c>
      <c r="E14" s="26">
        <f t="shared" ref="E14:E21" si="1">ROUND(C14*D14,0)</f>
        <v>5015200</v>
      </c>
      <c r="K14" s="2"/>
      <c r="L14" s="28"/>
    </row>
    <row r="15" spans="1:13" x14ac:dyDescent="0.2">
      <c r="A15" t="str">
        <f t="shared" si="0"/>
        <v>2017</v>
      </c>
      <c r="B15" s="23"/>
      <c r="C15" s="151">
        <f>'[2]TICO 2'!R31</f>
        <v>4435808</v>
      </c>
      <c r="D15" s="96">
        <f>_xlfn.XLOOKUP(VALUE(A15),'9.2'!$A$14:$A$37,'9.2'!$D$14:$D$37,0)</f>
        <v>1.1025000000000003</v>
      </c>
      <c r="E15" s="26">
        <f t="shared" si="1"/>
        <v>4890478</v>
      </c>
      <c r="K15" s="2"/>
      <c r="L15" s="28"/>
    </row>
    <row r="16" spans="1:13" x14ac:dyDescent="0.2">
      <c r="A16" t="str">
        <f t="shared" si="0"/>
        <v>2018</v>
      </c>
      <c r="B16" s="23"/>
      <c r="C16" s="151">
        <f>'[2]TICO 2'!R32</f>
        <v>4301050</v>
      </c>
      <c r="D16" s="96">
        <f>_xlfn.XLOOKUP(VALUE(A16),'9.2'!$A$14:$A$37,'9.2'!$D$14:$D$37,0)</f>
        <v>1.0768211446107889</v>
      </c>
      <c r="E16" s="26">
        <f t="shared" si="1"/>
        <v>4631462</v>
      </c>
      <c r="K16" s="2"/>
      <c r="L16" s="28"/>
    </row>
    <row r="17" spans="1:15" x14ac:dyDescent="0.2">
      <c r="A17" t="str">
        <f t="shared" si="0"/>
        <v>2019</v>
      </c>
      <c r="B17" s="23"/>
      <c r="C17" s="151">
        <f>'[2]TICO 2'!R33</f>
        <v>4296061</v>
      </c>
      <c r="D17" s="96">
        <f>_xlfn.XLOOKUP(VALUE(A17),'9.2'!$A$14:$A$37,'9.2'!$D$14:$D$37,0)</f>
        <v>1.0499999999999947</v>
      </c>
      <c r="E17" s="26">
        <f t="shared" si="1"/>
        <v>4510864</v>
      </c>
      <c r="K17" s="2"/>
      <c r="L17" s="28"/>
    </row>
    <row r="18" spans="1:15" x14ac:dyDescent="0.2">
      <c r="A18" t="str">
        <f t="shared" si="0"/>
        <v>2020</v>
      </c>
      <c r="B18" s="23"/>
      <c r="C18" s="151">
        <f>'[2]TICO 2'!R34</f>
        <v>4367811</v>
      </c>
      <c r="D18" s="96">
        <f>_xlfn.XLOOKUP(VALUE(A18),'9.2'!$A$14:$A$37,'9.2'!$D$14:$D$37,0)</f>
        <v>1.0500000000000036</v>
      </c>
      <c r="E18" s="26">
        <f t="shared" si="1"/>
        <v>4586202</v>
      </c>
      <c r="K18" s="2"/>
      <c r="L18" s="28"/>
    </row>
    <row r="19" spans="1:15" x14ac:dyDescent="0.2">
      <c r="A19" t="str">
        <f t="shared" si="0"/>
        <v>2021</v>
      </c>
      <c r="B19" s="23"/>
      <c r="C19" s="151">
        <f>'[2]TICO 2'!R35</f>
        <v>4523216</v>
      </c>
      <c r="D19" s="96">
        <f>_xlfn.XLOOKUP(VALUE(A19),'9.2'!$A$14:$A$37,'9.2'!$D$14:$D$37,0)</f>
        <v>1.0500000000000056</v>
      </c>
      <c r="E19" s="26">
        <f t="shared" si="1"/>
        <v>4749377</v>
      </c>
      <c r="K19" s="2"/>
      <c r="L19" s="28"/>
    </row>
    <row r="20" spans="1:15" x14ac:dyDescent="0.2">
      <c r="A20" t="str">
        <f t="shared" si="0"/>
        <v>2022</v>
      </c>
      <c r="B20" s="23"/>
      <c r="C20" s="151">
        <f>'[2]TICO 2'!R36</f>
        <v>4935851</v>
      </c>
      <c r="D20" s="96">
        <f>_xlfn.XLOOKUP(VALUE(A20),'9.2'!$A$14:$A$37,'9.2'!$D$14:$D$37,0)</f>
        <v>1.0228262738748721</v>
      </c>
      <c r="E20" s="26">
        <f t="shared" si="1"/>
        <v>5048518</v>
      </c>
      <c r="K20" s="2"/>
      <c r="L20" s="28" t="s">
        <v>192</v>
      </c>
    </row>
    <row r="21" spans="1:15" x14ac:dyDescent="0.2">
      <c r="A21" t="str">
        <f t="shared" si="0"/>
        <v>2023</v>
      </c>
      <c r="B21" s="23"/>
      <c r="C21" s="151">
        <f>'[2]TICO 2'!R37</f>
        <v>5922961</v>
      </c>
      <c r="D21" s="96">
        <f>_xlfn.XLOOKUP(VALUE(A21),'9.2'!$A$14:$A$37,'9.2'!$D$14:$D$37,0)</f>
        <v>1</v>
      </c>
      <c r="E21" s="26">
        <f t="shared" si="1"/>
        <v>5922961</v>
      </c>
      <c r="K21" s="2"/>
      <c r="L21" s="37">
        <f>'9.1a'!$L$23</f>
        <v>45930</v>
      </c>
    </row>
    <row r="22" spans="1:15" x14ac:dyDescent="0.2">
      <c r="A22" t="str">
        <f t="shared" si="0"/>
        <v>2024</v>
      </c>
      <c r="B22" s="23"/>
      <c r="C22" s="151">
        <f>'[2]TICO 2'!R38</f>
        <v>6879118</v>
      </c>
      <c r="D22" s="96">
        <f>_xlfn.XLOOKUP(VALUE(A22),'9.2'!$A$14:$A$37,'9.2'!$D$14:$D$37,0)</f>
        <v>1</v>
      </c>
      <c r="E22" s="26">
        <f>ROUND(C22*D22,0)</f>
        <v>6879118</v>
      </c>
      <c r="K22" s="2"/>
      <c r="L22" s="37"/>
      <c r="O22" s="19"/>
    </row>
    <row r="23" spans="1:15" x14ac:dyDescent="0.2">
      <c r="A23" s="23" t="str">
        <f>TEXT(YEAR($L$21),"#")</f>
        <v>2025</v>
      </c>
      <c r="B23" s="23"/>
      <c r="C23" s="151">
        <f>'[2]TICO 2'!R39</f>
        <v>7839413</v>
      </c>
      <c r="D23" s="96">
        <f>_xlfn.XLOOKUP(VALUE(A23),'9.2'!$A$14:$A$37,'9.2'!$D$14:$D$37,0)</f>
        <v>0.99999999999999856</v>
      </c>
      <c r="E23" s="26">
        <f>ROUND(C23*D23,0)</f>
        <v>7839413</v>
      </c>
      <c r="K23" s="2"/>
      <c r="L23" s="37"/>
      <c r="O23" s="19"/>
    </row>
    <row r="24" spans="1:15" x14ac:dyDescent="0.2">
      <c r="A24" s="9"/>
      <c r="B24" s="24"/>
      <c r="C24" s="54"/>
      <c r="D24" s="103"/>
      <c r="E24" s="46"/>
      <c r="K24" s="2"/>
    </row>
    <row r="25" spans="1:15" x14ac:dyDescent="0.2">
      <c r="C25" s="19"/>
      <c r="K25" s="2"/>
    </row>
    <row r="26" spans="1:15" x14ac:dyDescent="0.2">
      <c r="A26" t="s">
        <v>9</v>
      </c>
      <c r="C26" s="19">
        <f>SUM(C14:C24)</f>
        <v>51937997</v>
      </c>
      <c r="E26" s="19">
        <f>SUM(E14:E24)</f>
        <v>54073593</v>
      </c>
      <c r="K26" s="2"/>
    </row>
    <row r="27" spans="1:15" ht="12" thickBot="1" x14ac:dyDescent="0.25">
      <c r="A27" s="6"/>
      <c r="B27" s="6"/>
      <c r="C27" s="6"/>
      <c r="D27" s="101"/>
      <c r="E27" s="6"/>
      <c r="K27" s="2"/>
    </row>
    <row r="28" spans="1:15" ht="12" thickTop="1" x14ac:dyDescent="0.2">
      <c r="K28" s="2"/>
    </row>
    <row r="29" spans="1:15" x14ac:dyDescent="0.2">
      <c r="A29" t="s">
        <v>17</v>
      </c>
      <c r="K29" s="2"/>
    </row>
    <row r="30" spans="1:15" x14ac:dyDescent="0.2">
      <c r="B30" s="12" t="str">
        <f>C12&amp;" Provided by TWIA"</f>
        <v>(2) Provided by TWIA</v>
      </c>
      <c r="K30" s="2"/>
    </row>
    <row r="31" spans="1:15" x14ac:dyDescent="0.2">
      <c r="B31" s="12" t="str">
        <f>D12&amp;" Provided by TWIA"</f>
        <v>(3) Provided by TWIA</v>
      </c>
      <c r="K31" s="2"/>
    </row>
    <row r="32" spans="1:15" x14ac:dyDescent="0.2">
      <c r="B32" s="12" t="str">
        <f>E12&amp;" = "&amp;C12&amp;" * "&amp;D12</f>
        <v>(4) = (2) * (3)</v>
      </c>
      <c r="K32" s="2"/>
    </row>
    <row r="33" spans="2:11" x14ac:dyDescent="0.2">
      <c r="B33" s="23"/>
      <c r="K33" s="2"/>
    </row>
    <row r="34" spans="2:11" x14ac:dyDescent="0.2">
      <c r="B34" s="23"/>
      <c r="K34" s="2"/>
    </row>
    <row r="35" spans="2:11" x14ac:dyDescent="0.2">
      <c r="B35" s="12"/>
      <c r="K35" s="2"/>
    </row>
    <row r="36" spans="2:11" x14ac:dyDescent="0.2">
      <c r="B36" s="12"/>
      <c r="K36" s="2"/>
    </row>
    <row r="37" spans="2:11" x14ac:dyDescent="0.2">
      <c r="K37" s="2"/>
    </row>
    <row r="38" spans="2:11" x14ac:dyDescent="0.2"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ht="12" thickBot="1" x14ac:dyDescent="0.25">
      <c r="K66" s="2"/>
    </row>
    <row r="67" spans="1:11" ht="12" thickBot="1" x14ac:dyDescent="0.25">
      <c r="A67" s="4"/>
      <c r="B67" s="5"/>
      <c r="C67" s="5"/>
      <c r="D67" s="102"/>
      <c r="E67" s="5"/>
      <c r="F67" s="5"/>
      <c r="G67" s="5"/>
      <c r="H67" s="5"/>
      <c r="I67" s="5"/>
      <c r="J67" s="5"/>
      <c r="K67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5">
    <tabColor rgb="FF92D050"/>
  </sheetPr>
  <dimension ref="A1:N46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6.33203125" bestFit="1" customWidth="1"/>
    <col min="2" max="2" width="11.33203125" customWidth="1"/>
    <col min="3" max="3" width="15.33203125" customWidth="1"/>
    <col min="4" max="4" width="15.33203125" style="11" customWidth="1"/>
    <col min="5" max="5" width="15.33203125" customWidth="1"/>
    <col min="6" max="9" width="11.33203125" customWidth="1"/>
    <col min="10" max="10" width="12.33203125" customWidth="1"/>
    <col min="19" max="19" width="12" bestFit="1" customWidth="1"/>
  </cols>
  <sheetData>
    <row r="1" spans="1:11" x14ac:dyDescent="0.2">
      <c r="A1" s="8" t="str">
        <f>'1'!$A$1</f>
        <v>Texas Windstorm Insurance Association</v>
      </c>
      <c r="B1" s="12"/>
      <c r="J1" s="7" t="s">
        <v>150</v>
      </c>
      <c r="K1" s="1"/>
    </row>
    <row r="2" spans="1:11" x14ac:dyDescent="0.2">
      <c r="A2" s="8" t="str">
        <f>'1'!$A$2</f>
        <v>Residential Property - Wind &amp; Hail</v>
      </c>
      <c r="B2" s="12"/>
      <c r="J2" s="7" t="s">
        <v>77</v>
      </c>
      <c r="K2" s="2"/>
    </row>
    <row r="3" spans="1:11" x14ac:dyDescent="0.2">
      <c r="A3" s="8" t="str">
        <f>'1'!$A$3</f>
        <v>Rate Level Review</v>
      </c>
      <c r="B3" s="12"/>
      <c r="K3" s="2"/>
    </row>
    <row r="4" spans="1:11" x14ac:dyDescent="0.2">
      <c r="A4" t="s">
        <v>163</v>
      </c>
      <c r="B4" s="12"/>
      <c r="K4" s="2"/>
    </row>
    <row r="5" spans="1:11" x14ac:dyDescent="0.2">
      <c r="B5" s="12"/>
      <c r="K5" s="2"/>
    </row>
    <row r="6" spans="1:11" x14ac:dyDescent="0.2">
      <c r="K6" s="2"/>
    </row>
    <row r="7" spans="1:11" ht="12" thickBot="1" x14ac:dyDescent="0.25">
      <c r="A7" s="6"/>
      <c r="B7" s="6"/>
      <c r="C7" s="6"/>
      <c r="D7" s="101"/>
      <c r="E7" s="6"/>
      <c r="K7" s="2"/>
    </row>
    <row r="8" spans="1:11" ht="12" thickTop="1" x14ac:dyDescent="0.2">
      <c r="A8" t="s">
        <v>48</v>
      </c>
      <c r="K8" s="2"/>
    </row>
    <row r="9" spans="1:11" x14ac:dyDescent="0.2">
      <c r="A9" t="s">
        <v>49</v>
      </c>
      <c r="C9" s="180" t="s">
        <v>42</v>
      </c>
      <c r="D9" s="11" t="s">
        <v>35</v>
      </c>
      <c r="E9" s="11" t="s">
        <v>42</v>
      </c>
      <c r="K9" s="2"/>
    </row>
    <row r="10" spans="1:11" x14ac:dyDescent="0.2">
      <c r="A10" t="s">
        <v>32</v>
      </c>
      <c r="C10" s="11" t="s">
        <v>279</v>
      </c>
      <c r="D10" s="11" t="s">
        <v>276</v>
      </c>
      <c r="E10" s="11" t="s">
        <v>40</v>
      </c>
      <c r="K10" s="2"/>
    </row>
    <row r="11" spans="1:11" x14ac:dyDescent="0.2">
      <c r="A11" s="9" t="str">
        <f>TEXT('9.1d'!A11,"m/d")</f>
        <v>9/30</v>
      </c>
      <c r="B11" s="9"/>
      <c r="C11" s="121" t="s">
        <v>159</v>
      </c>
      <c r="D11" s="121" t="s">
        <v>119</v>
      </c>
      <c r="E11" s="121" t="s">
        <v>119</v>
      </c>
      <c r="K11" s="2"/>
    </row>
    <row r="12" spans="1:11" x14ac:dyDescent="0.2">
      <c r="A12" s="2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K12" s="2"/>
    </row>
    <row r="13" spans="1:11" x14ac:dyDescent="0.2">
      <c r="K13" s="2"/>
    </row>
    <row r="14" spans="1:11" x14ac:dyDescent="0.2">
      <c r="A14" s="23">
        <v>2008</v>
      </c>
      <c r="B14" s="23"/>
      <c r="C14" s="151">
        <f>'[2]TWIA Historical EPPR'!G325</f>
        <v>219412771.41374999</v>
      </c>
      <c r="D14" s="132">
        <f t="shared" ref="D14:D31" si="0">E14/C14</f>
        <v>1.7320113079002213</v>
      </c>
      <c r="E14" s="151">
        <f>'[2]TWIA Historical EPPR'!O325</f>
        <v>380025401.1863414</v>
      </c>
      <c r="F14" s="137"/>
      <c r="K14" s="2"/>
    </row>
    <row r="15" spans="1:11" x14ac:dyDescent="0.2">
      <c r="A15" s="23">
        <v>2009</v>
      </c>
      <c r="B15" s="23"/>
      <c r="C15" s="151">
        <f>'[2]TWIA Historical EPPR'!G326</f>
        <v>250693787.58916676</v>
      </c>
      <c r="D15" s="132">
        <f t="shared" si="0"/>
        <v>1.5736409509560276</v>
      </c>
      <c r="E15" s="151">
        <f>'[2]TWIA Historical EPPR'!O326</f>
        <v>394502010.30058479</v>
      </c>
      <c r="F15" s="137"/>
      <c r="K15" s="2"/>
    </row>
    <row r="16" spans="1:11" x14ac:dyDescent="0.2">
      <c r="A16" s="23">
        <v>2010</v>
      </c>
      <c r="B16" s="23"/>
      <c r="C16" s="151">
        <f>'[2]TWIA Historical EPPR'!G327</f>
        <v>273154916.13250017</v>
      </c>
      <c r="D16" s="132">
        <f t="shared" si="0"/>
        <v>1.4778548957967284</v>
      </c>
      <c r="E16" s="151">
        <f>'[2]TWIA Historical EPPR'!O327</f>
        <v>403683330.11736012</v>
      </c>
      <c r="F16" s="137"/>
      <c r="K16" s="2"/>
    </row>
    <row r="17" spans="1:14" x14ac:dyDescent="0.2">
      <c r="A17" s="23">
        <v>2011</v>
      </c>
      <c r="B17" s="23"/>
      <c r="C17" s="151">
        <f>'[2]TWIA Historical EPPR'!G328</f>
        <v>292239326.51041698</v>
      </c>
      <c r="D17" s="132">
        <f t="shared" si="0"/>
        <v>1.4413525093000297</v>
      </c>
      <c r="E17" s="151">
        <f>'[2]TWIA Historical EPPR'!O328</f>
        <v>421219886.58194017</v>
      </c>
      <c r="F17" s="137"/>
      <c r="K17" s="2"/>
    </row>
    <row r="18" spans="1:14" x14ac:dyDescent="0.2">
      <c r="A18" s="23">
        <v>2012</v>
      </c>
      <c r="B18" s="23"/>
      <c r="C18" s="151">
        <f>'[2]TWIA Historical EPPR'!G329</f>
        <v>323323868.9816668</v>
      </c>
      <c r="D18" s="132">
        <f t="shared" si="0"/>
        <v>1.3727418575616306</v>
      </c>
      <c r="E18" s="151">
        <f>'[2]TWIA Historical EPPR'!O329</f>
        <v>443840208.49990654</v>
      </c>
      <c r="F18" s="137"/>
      <c r="K18" s="2"/>
    </row>
    <row r="19" spans="1:14" x14ac:dyDescent="0.2">
      <c r="A19" s="23">
        <v>2013</v>
      </c>
      <c r="B19" s="23"/>
      <c r="C19" s="151">
        <f>'[2]TWIA Historical EPPR'!G330</f>
        <v>346955938.10791683</v>
      </c>
      <c r="D19" s="132">
        <f t="shared" si="0"/>
        <v>1.3075493593415137</v>
      </c>
      <c r="E19" s="151">
        <f>'[2]TWIA Historical EPPR'!O330</f>
        <v>453662014.59274054</v>
      </c>
      <c r="F19" s="137"/>
      <c r="K19" s="2"/>
    </row>
    <row r="20" spans="1:14" x14ac:dyDescent="0.2">
      <c r="A20" s="23">
        <v>2014</v>
      </c>
      <c r="B20" s="23"/>
      <c r="C20" s="151">
        <f>'[2]TWIA Historical EPPR'!G331</f>
        <v>372022088.97291565</v>
      </c>
      <c r="D20" s="132">
        <f t="shared" si="0"/>
        <v>1.2455465141622082</v>
      </c>
      <c r="E20" s="151">
        <f>'[2]TWIA Historical EPPR'!O331</f>
        <v>463370816.11155796</v>
      </c>
      <c r="F20" s="137"/>
      <c r="K20" s="2"/>
      <c r="N20" s="19"/>
    </row>
    <row r="21" spans="1:14" x14ac:dyDescent="0.2">
      <c r="A21" s="23">
        <v>2015</v>
      </c>
      <c r="B21" s="23"/>
      <c r="C21" s="151">
        <f>'[2]TWIA Historical EPPR'!G332</f>
        <v>403803905.31166744</v>
      </c>
      <c r="D21" s="132">
        <f t="shared" si="0"/>
        <v>1.1864644900727379</v>
      </c>
      <c r="E21" s="151">
        <f>'[2]TWIA Historical EPPR'!O332</f>
        <v>479098994.60498762</v>
      </c>
      <c r="F21" s="137"/>
      <c r="K21" s="2"/>
      <c r="N21" s="19"/>
    </row>
    <row r="22" spans="1:14" x14ac:dyDescent="0.2">
      <c r="A22" s="23">
        <v>2016</v>
      </c>
      <c r="B22" s="23"/>
      <c r="C22" s="151">
        <f>'[2]TWIA Historical EPPR'!G333</f>
        <v>405934589.57833338</v>
      </c>
      <c r="D22" s="132">
        <f t="shared" si="0"/>
        <v>1.1303877408726286</v>
      </c>
      <c r="E22" s="151">
        <f>'[2]TWIA Historical EPPR'!O333</f>
        <v>458863483.65550995</v>
      </c>
      <c r="F22" s="137"/>
      <c r="K22" s="2"/>
      <c r="N22" s="19"/>
    </row>
    <row r="23" spans="1:14" x14ac:dyDescent="0.2">
      <c r="A23" s="23">
        <v>2017</v>
      </c>
      <c r="B23" s="23"/>
      <c r="C23" s="151">
        <f>'[2]TWIA Historical EPPR'!G334</f>
        <v>376421384.29166651</v>
      </c>
      <c r="D23" s="132">
        <f t="shared" si="0"/>
        <v>1.1025000000000003</v>
      </c>
      <c r="E23" s="151">
        <f>'[2]TWIA Historical EPPR'!O334</f>
        <v>415004576.18156242</v>
      </c>
      <c r="F23" s="137"/>
      <c r="K23" s="2"/>
      <c r="N23" s="19"/>
    </row>
    <row r="24" spans="1:14" x14ac:dyDescent="0.2">
      <c r="A24" s="23">
        <v>2018</v>
      </c>
      <c r="B24" s="23"/>
      <c r="C24" s="151">
        <f>'[2]TWIA Historical EPPR'!G335</f>
        <v>341468875.45833349</v>
      </c>
      <c r="D24" s="132">
        <f t="shared" si="0"/>
        <v>1.0768211446107889</v>
      </c>
      <c r="E24" s="151">
        <f>'[2]TWIA Historical EPPR'!O335</f>
        <v>367700905.3200016</v>
      </c>
      <c r="F24" s="137"/>
      <c r="K24" s="2"/>
      <c r="N24" s="19"/>
    </row>
    <row r="25" spans="1:14" x14ac:dyDescent="0.2">
      <c r="A25" s="23">
        <v>2019</v>
      </c>
      <c r="B25" s="23"/>
      <c r="C25" s="151">
        <f>'[2]TWIA Historical EPPR'!G336</f>
        <v>322259385.91666698</v>
      </c>
      <c r="D25" s="132">
        <f t="shared" si="0"/>
        <v>1.0499999999999947</v>
      </c>
      <c r="E25" s="151">
        <f>'[2]TWIA Historical EPPR'!O336</f>
        <v>338372355.21249866</v>
      </c>
      <c r="F25" s="137"/>
      <c r="K25" s="2"/>
      <c r="N25" s="19"/>
    </row>
    <row r="26" spans="1:14" x14ac:dyDescent="0.2">
      <c r="A26" s="23">
        <v>2020</v>
      </c>
      <c r="B26" s="23"/>
      <c r="C26" s="151">
        <f>'[2]TWIA Historical EPPR'!G337</f>
        <v>311420426.08333302</v>
      </c>
      <c r="D26" s="132">
        <f t="shared" si="0"/>
        <v>1.0500000000000036</v>
      </c>
      <c r="E26" s="151">
        <f>'[2]TWIA Historical EPPR'!O337</f>
        <v>326991447.38750076</v>
      </c>
      <c r="F26" s="137"/>
      <c r="K26" s="2"/>
      <c r="N26" s="19"/>
    </row>
    <row r="27" spans="1:14" x14ac:dyDescent="0.2">
      <c r="A27" s="23">
        <v>2021</v>
      </c>
      <c r="B27" s="23"/>
      <c r="C27" s="151">
        <f>'[2]TWIA Historical EPPR'!G338</f>
        <v>319441102.04166603</v>
      </c>
      <c r="D27" s="132">
        <f t="shared" si="0"/>
        <v>1.0500000000000056</v>
      </c>
      <c r="E27" s="151">
        <f>'[2]TWIA Historical EPPR'!O338</f>
        <v>335413157.14375114</v>
      </c>
      <c r="F27" s="137"/>
      <c r="K27" s="2"/>
      <c r="N27" s="19"/>
    </row>
    <row r="28" spans="1:14" x14ac:dyDescent="0.2">
      <c r="A28" s="23">
        <v>2022</v>
      </c>
      <c r="B28" s="23"/>
      <c r="C28" s="151">
        <f>'[2]TWIA Historical EPPR'!G339</f>
        <v>369077295</v>
      </c>
      <c r="D28" s="132">
        <f t="shared" si="0"/>
        <v>1.0228262738748721</v>
      </c>
      <c r="E28" s="151">
        <f>'[2]TWIA Historical EPPR'!O339</f>
        <v>377501954.41666698</v>
      </c>
      <c r="F28" s="137"/>
      <c r="K28" s="2"/>
      <c r="L28" s="52">
        <v>46022</v>
      </c>
      <c r="N28" s="19"/>
    </row>
    <row r="29" spans="1:14" x14ac:dyDescent="0.2">
      <c r="A29" s="23">
        <v>2023</v>
      </c>
      <c r="B29" s="23"/>
      <c r="C29" s="151">
        <f>'[2]TWIA Historical EPPR'!G340</f>
        <v>477497545.37499905</v>
      </c>
      <c r="D29" s="132">
        <f t="shared" si="0"/>
        <v>1</v>
      </c>
      <c r="E29" s="151">
        <f>'[2]TWIA Historical EPPR'!O340</f>
        <v>477497545.37499905</v>
      </c>
      <c r="F29" s="137"/>
      <c r="K29" s="2"/>
      <c r="L29" s="52"/>
      <c r="N29" s="19"/>
    </row>
    <row r="30" spans="1:14" x14ac:dyDescent="0.2">
      <c r="A30" s="23">
        <v>2024</v>
      </c>
      <c r="B30" s="23"/>
      <c r="C30" s="151">
        <f>'[2]TWIA Historical EPPR'!G341</f>
        <v>576270298.37500191</v>
      </c>
      <c r="D30" s="132">
        <f t="shared" si="0"/>
        <v>1</v>
      </c>
      <c r="E30" s="151">
        <f>'[2]TWIA Historical EPPR'!O341</f>
        <v>576270298.37500191</v>
      </c>
      <c r="K30" s="2"/>
    </row>
    <row r="31" spans="1:14" x14ac:dyDescent="0.2">
      <c r="A31" s="24">
        <v>2025</v>
      </c>
      <c r="B31" s="9"/>
      <c r="C31" s="161">
        <f>'[2]TWIA Historical EPPR'!G342</f>
        <v>670675261.20833397</v>
      </c>
      <c r="D31" s="227">
        <f t="shared" si="0"/>
        <v>0.99999999999999856</v>
      </c>
      <c r="E31" s="161">
        <f>'[2]TWIA Historical EPPR'!O342</f>
        <v>670675261.20833302</v>
      </c>
      <c r="K31" s="2"/>
    </row>
    <row r="32" spans="1:14" x14ac:dyDescent="0.2">
      <c r="K32" s="2"/>
    </row>
    <row r="33" spans="1:11" x14ac:dyDescent="0.2">
      <c r="A33" t="s">
        <v>9</v>
      </c>
      <c r="C33" s="19">
        <f>SUM(C14:C32)</f>
        <v>6652072766.3483343</v>
      </c>
      <c r="E33" s="19">
        <f>SUM(E14:E32)</f>
        <v>7783693646.271244</v>
      </c>
      <c r="K33" s="2"/>
    </row>
    <row r="34" spans="1:11" ht="12" thickBot="1" x14ac:dyDescent="0.25">
      <c r="A34" s="6"/>
      <c r="B34" s="6"/>
      <c r="C34" s="6"/>
      <c r="D34" s="101"/>
      <c r="E34" s="6"/>
      <c r="K34" s="2"/>
    </row>
    <row r="35" spans="1:11" ht="12" thickTop="1" x14ac:dyDescent="0.2">
      <c r="K35" s="2"/>
    </row>
    <row r="36" spans="1:11" x14ac:dyDescent="0.2">
      <c r="A36" t="s">
        <v>17</v>
      </c>
      <c r="K36" s="2"/>
    </row>
    <row r="37" spans="1:11" x14ac:dyDescent="0.2">
      <c r="B37" s="12" t="str">
        <f>C12&amp;" Provided by TWIA"</f>
        <v>(2) Provided by TWIA</v>
      </c>
      <c r="K37" s="2"/>
    </row>
    <row r="38" spans="1:11" x14ac:dyDescent="0.2">
      <c r="B38" s="12" t="str">
        <f>D12&amp;" Based on historical rate changes"</f>
        <v>(3) Based on historical rate changes</v>
      </c>
      <c r="K38" s="2"/>
    </row>
    <row r="39" spans="1:11" x14ac:dyDescent="0.2">
      <c r="B39" s="12" t="str">
        <f>E12&amp;" = "&amp;C12&amp;" * "&amp;D12</f>
        <v>(4) = (2) * (3)</v>
      </c>
      <c r="K39" s="2"/>
    </row>
    <row r="40" spans="1:11" x14ac:dyDescent="0.2">
      <c r="K40" s="2"/>
    </row>
    <row r="41" spans="1:11" x14ac:dyDescent="0.2">
      <c r="K41" s="2"/>
    </row>
    <row r="42" spans="1:11" x14ac:dyDescent="0.2">
      <c r="K42" s="2"/>
    </row>
    <row r="43" spans="1:11" x14ac:dyDescent="0.2">
      <c r="K43" s="2"/>
    </row>
    <row r="44" spans="1:11" x14ac:dyDescent="0.2">
      <c r="K44" s="2"/>
    </row>
    <row r="45" spans="1:11" ht="12" thickBot="1" x14ac:dyDescent="0.25">
      <c r="K45" s="2"/>
    </row>
    <row r="46" spans="1:11" ht="12" thickBot="1" x14ac:dyDescent="0.25">
      <c r="A46" s="4"/>
      <c r="B46" s="5"/>
      <c r="C46" s="5"/>
      <c r="D46" s="102"/>
      <c r="E46" s="5"/>
      <c r="F46" s="5"/>
      <c r="G46" s="5"/>
      <c r="H46" s="5"/>
      <c r="I46" s="5"/>
      <c r="J46" s="5"/>
      <c r="K46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6">
    <tabColor rgb="FF92D050"/>
    <pageSetUpPr fitToPage="1"/>
  </sheetPr>
  <dimension ref="A1:M68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4.5" customWidth="1"/>
    <col min="2" max="2" width="3.5" customWidth="1"/>
    <col min="3" max="3" width="34.1640625" customWidth="1"/>
    <col min="4" max="8" width="12.33203125" customWidth="1"/>
    <col min="9" max="10" width="11.33203125" customWidth="1"/>
    <col min="11" max="11" width="11" customWidth="1"/>
  </cols>
  <sheetData>
    <row r="1" spans="1:13" x14ac:dyDescent="0.2">
      <c r="A1" s="8" t="str">
        <f>'1'!$A$1</f>
        <v>Texas Windstorm Insurance Association</v>
      </c>
      <c r="K1" s="7" t="s">
        <v>151</v>
      </c>
      <c r="L1" s="1"/>
    </row>
    <row r="2" spans="1:13" x14ac:dyDescent="0.2">
      <c r="A2" s="8" t="str">
        <f>'1'!$A$2</f>
        <v>Residential Property - Wind &amp; Hail</v>
      </c>
      <c r="K2" s="7" t="s">
        <v>21</v>
      </c>
      <c r="L2" s="2"/>
    </row>
    <row r="3" spans="1:13" x14ac:dyDescent="0.2">
      <c r="A3" s="8" t="str">
        <f>'1'!$A$3</f>
        <v>Rate Level Review</v>
      </c>
      <c r="K3" s="7"/>
      <c r="L3" s="2"/>
    </row>
    <row r="4" spans="1:13" x14ac:dyDescent="0.2">
      <c r="A4" t="s">
        <v>373</v>
      </c>
      <c r="L4" s="2"/>
    </row>
    <row r="5" spans="1:13" x14ac:dyDescent="0.2">
      <c r="L5" s="2"/>
    </row>
    <row r="6" spans="1:13" x14ac:dyDescent="0.2">
      <c r="L6" s="2"/>
    </row>
    <row r="7" spans="1:13" ht="12" thickBot="1" x14ac:dyDescent="0.25">
      <c r="A7" s="6"/>
      <c r="B7" s="6"/>
      <c r="C7" s="6"/>
      <c r="D7" s="6"/>
      <c r="E7" s="6"/>
      <c r="F7" s="6"/>
      <c r="G7" s="6"/>
      <c r="H7" s="6"/>
      <c r="L7" s="2"/>
    </row>
    <row r="8" spans="1:13" ht="12" thickTop="1" x14ac:dyDescent="0.2">
      <c r="L8" s="2"/>
    </row>
    <row r="9" spans="1:13" x14ac:dyDescent="0.2">
      <c r="L9" s="2"/>
      <c r="M9" s="17"/>
    </row>
    <row r="10" spans="1:13" x14ac:dyDescent="0.2">
      <c r="G10" s="11" t="s">
        <v>38</v>
      </c>
      <c r="L10" s="2"/>
      <c r="M10" t="s">
        <v>195</v>
      </c>
    </row>
    <row r="11" spans="1:13" x14ac:dyDescent="0.2">
      <c r="A11" s="9" t="s">
        <v>164</v>
      </c>
      <c r="B11" s="9"/>
      <c r="C11" s="9"/>
      <c r="D11" s="177">
        <f>E11-1</f>
        <v>2023</v>
      </c>
      <c r="E11" s="177">
        <f>F11-1</f>
        <v>2024</v>
      </c>
      <c r="F11" s="177">
        <f>YEAR(M11)</f>
        <v>2025</v>
      </c>
      <c r="G11" s="177">
        <f>F11+1</f>
        <v>2026</v>
      </c>
      <c r="H11" s="121" t="s">
        <v>66</v>
      </c>
      <c r="L11" s="2"/>
      <c r="M11" s="59">
        <f>'[3]10.1'!$M$11</f>
        <v>46022</v>
      </c>
    </row>
    <row r="12" spans="1:13" x14ac:dyDescent="0.2">
      <c r="A12" s="13"/>
      <c r="B12" s="13"/>
      <c r="C12" s="13"/>
      <c r="D12" s="11"/>
      <c r="E12" s="11"/>
      <c r="F12" s="11"/>
      <c r="G12" s="11"/>
      <c r="H12" s="11"/>
      <c r="L12" s="2"/>
    </row>
    <row r="13" spans="1:13" x14ac:dyDescent="0.2">
      <c r="L13" s="2"/>
    </row>
    <row r="14" spans="1:13" x14ac:dyDescent="0.2">
      <c r="A14" s="41" t="s">
        <v>165</v>
      </c>
      <c r="B14" t="s">
        <v>169</v>
      </c>
      <c r="D14" s="151">
        <f>'[3]10.1'!D14</f>
        <v>653043231</v>
      </c>
      <c r="E14" s="151">
        <f>'[3]10.1'!E14</f>
        <v>758845192</v>
      </c>
      <c r="F14" s="151">
        <f>'[3]10.1'!F14</f>
        <v>820864531</v>
      </c>
      <c r="G14" s="151">
        <f>'[3]10.1'!G14</f>
        <v>781032000</v>
      </c>
      <c r="L14" s="2"/>
      <c r="M14" s="29"/>
    </row>
    <row r="15" spans="1:13" x14ac:dyDescent="0.2">
      <c r="A15" s="41" t="s">
        <v>166</v>
      </c>
      <c r="B15" t="s">
        <v>168</v>
      </c>
      <c r="D15" s="151">
        <f>'[3]10.1'!D15</f>
        <v>589353024</v>
      </c>
      <c r="E15" s="151">
        <f>'[3]10.1'!E15</f>
        <v>708981286</v>
      </c>
      <c r="F15" s="151">
        <f>'[3]10.1'!F15</f>
        <v>794594956</v>
      </c>
      <c r="G15" s="151">
        <f>'[3]10.1'!G15</f>
        <v>808261000</v>
      </c>
      <c r="L15" s="2"/>
      <c r="M15" s="29"/>
    </row>
    <row r="16" spans="1:13" x14ac:dyDescent="0.2">
      <c r="L16" s="2"/>
      <c r="M16" s="29"/>
    </row>
    <row r="17" spans="1:13" x14ac:dyDescent="0.2">
      <c r="A17" s="41" t="s">
        <v>167</v>
      </c>
      <c r="B17" t="s">
        <v>170</v>
      </c>
      <c r="L17" s="2"/>
      <c r="M17" s="29"/>
    </row>
    <row r="18" spans="1:13" x14ac:dyDescent="0.2">
      <c r="C18" t="s">
        <v>171</v>
      </c>
      <c r="D18" s="151">
        <f>'[3]10.1'!D18</f>
        <v>104392398</v>
      </c>
      <c r="E18" s="151">
        <f>'[3]10.1'!E18</f>
        <v>121292653</v>
      </c>
      <c r="F18" s="151">
        <f>'[3]10.1'!F18</f>
        <v>131226325</v>
      </c>
      <c r="G18" s="151">
        <f>'[3]10.1'!G18</f>
        <v>124965000</v>
      </c>
      <c r="L18" s="2"/>
      <c r="M18" s="29"/>
    </row>
    <row r="19" spans="1:13" x14ac:dyDescent="0.2">
      <c r="C19" t="s">
        <v>172</v>
      </c>
      <c r="D19" s="20">
        <f>D18/D$14</f>
        <v>0.15985526385465285</v>
      </c>
      <c r="E19" s="20">
        <f>E18/E$14</f>
        <v>0.15983846808111554</v>
      </c>
      <c r="F19" s="20">
        <f>F18/F$14</f>
        <v>0.15986355853399639</v>
      </c>
      <c r="G19" s="20">
        <f>G18/G$14</f>
        <v>0.1599998463571275</v>
      </c>
      <c r="H19" s="153">
        <f>'[3]10.1'!H19</f>
        <v>0.16</v>
      </c>
      <c r="L19" s="2"/>
      <c r="M19" s="29"/>
    </row>
    <row r="20" spans="1:13" x14ac:dyDescent="0.2">
      <c r="L20" s="2"/>
      <c r="M20" s="29"/>
    </row>
    <row r="21" spans="1:13" x14ac:dyDescent="0.2">
      <c r="A21" s="41" t="s">
        <v>123</v>
      </c>
      <c r="B21" t="s">
        <v>173</v>
      </c>
      <c r="L21" s="2"/>
      <c r="M21" s="29"/>
    </row>
    <row r="22" spans="1:13" x14ac:dyDescent="0.2">
      <c r="C22" t="s">
        <v>171</v>
      </c>
      <c r="D22" s="151">
        <f>'[3]10.1'!D22</f>
        <v>0</v>
      </c>
      <c r="E22" s="151">
        <f>'[3]10.1'!E22</f>
        <v>0</v>
      </c>
      <c r="F22" s="151">
        <f>'[3]10.1'!F22</f>
        <v>0</v>
      </c>
      <c r="G22" s="151">
        <f>'[3]10.1'!G22</f>
        <v>0</v>
      </c>
      <c r="L22" s="2"/>
      <c r="M22" s="29"/>
    </row>
    <row r="23" spans="1:13" x14ac:dyDescent="0.2">
      <c r="C23" t="s">
        <v>172</v>
      </c>
      <c r="D23" s="20">
        <f>D22/D$14</f>
        <v>0</v>
      </c>
      <c r="E23" s="20">
        <f>E22/E$14</f>
        <v>0</v>
      </c>
      <c r="F23" s="20">
        <f>F22/F$14</f>
        <v>0</v>
      </c>
      <c r="G23" s="20">
        <f>G22/G$14</f>
        <v>0</v>
      </c>
      <c r="H23" s="153">
        <f>'[3]10.1'!H23</f>
        <v>0</v>
      </c>
      <c r="L23" s="2"/>
      <c r="M23" s="29"/>
    </row>
    <row r="24" spans="1:13" x14ac:dyDescent="0.2">
      <c r="L24" s="2"/>
    </row>
    <row r="25" spans="1:13" x14ac:dyDescent="0.2">
      <c r="A25" s="41" t="s">
        <v>102</v>
      </c>
      <c r="B25" t="s">
        <v>174</v>
      </c>
      <c r="L25" s="2"/>
    </row>
    <row r="26" spans="1:13" x14ac:dyDescent="0.2">
      <c r="C26" t="s">
        <v>175</v>
      </c>
      <c r="D26" s="151">
        <f>'[3]10.1'!D26</f>
        <v>36234634</v>
      </c>
      <c r="E26" s="151">
        <f>'[3]10.1'!E26</f>
        <v>39509911</v>
      </c>
      <c r="F26" s="151">
        <f>'[3]10.1'!F26</f>
        <v>41453278</v>
      </c>
      <c r="G26" s="151">
        <f>'[3]10.1'!G26</f>
        <v>44714000</v>
      </c>
      <c r="L26" s="2"/>
    </row>
    <row r="27" spans="1:13" x14ac:dyDescent="0.2">
      <c r="L27" s="2"/>
    </row>
    <row r="28" spans="1:13" x14ac:dyDescent="0.2">
      <c r="B28" t="s">
        <v>176</v>
      </c>
      <c r="L28" s="2"/>
    </row>
    <row r="29" spans="1:13" x14ac:dyDescent="0.2">
      <c r="C29" t="s">
        <v>177</v>
      </c>
      <c r="D29" s="151">
        <f>'[3]10.1'!D29</f>
        <v>0</v>
      </c>
      <c r="E29" s="151">
        <f>'[3]10.1'!E29</f>
        <v>0</v>
      </c>
      <c r="F29" s="151">
        <f>'[3]10.1'!F29</f>
        <v>0</v>
      </c>
      <c r="G29" s="151">
        <f>'[3]10.1'!G29</f>
        <v>0</v>
      </c>
      <c r="L29" s="2"/>
    </row>
    <row r="30" spans="1:13" x14ac:dyDescent="0.2">
      <c r="L30" s="2"/>
    </row>
    <row r="31" spans="1:13" x14ac:dyDescent="0.2">
      <c r="C31" t="s">
        <v>178</v>
      </c>
      <c r="D31" s="26">
        <f>D26-SUM(D29)</f>
        <v>36234634</v>
      </c>
      <c r="E31" s="26">
        <f>E26-SUM(E29)</f>
        <v>39509911</v>
      </c>
      <c r="F31" s="26">
        <f>F26-SUM(F29)</f>
        <v>41453278</v>
      </c>
      <c r="G31" s="26">
        <f>G26-SUM(G29)</f>
        <v>44714000</v>
      </c>
      <c r="L31" s="2"/>
    </row>
    <row r="32" spans="1:13" x14ac:dyDescent="0.2">
      <c r="C32" s="12" t="s">
        <v>172</v>
      </c>
      <c r="D32" s="20">
        <f>D31/D$14</f>
        <v>5.5485812087071464E-2</v>
      </c>
      <c r="E32" s="20">
        <f>E31/E$14</f>
        <v>5.2065838219081714E-2</v>
      </c>
      <c r="F32" s="20">
        <f>F31/F$14</f>
        <v>5.0499536079967378E-2</v>
      </c>
      <c r="G32" s="20">
        <f>G31/G$14</f>
        <v>5.7249895010703787E-2</v>
      </c>
      <c r="H32" s="153">
        <f>'[3]10.1'!H32</f>
        <v>5.3999999999999999E-2</v>
      </c>
      <c r="L32" s="2"/>
    </row>
    <row r="33" spans="1:12" x14ac:dyDescent="0.2">
      <c r="L33" s="2"/>
    </row>
    <row r="34" spans="1:12" x14ac:dyDescent="0.2">
      <c r="A34" s="41" t="s">
        <v>106</v>
      </c>
      <c r="B34" t="s">
        <v>179</v>
      </c>
      <c r="L34" s="2"/>
    </row>
    <row r="35" spans="1:12" x14ac:dyDescent="0.2">
      <c r="B35" s="23"/>
      <c r="C35" t="s">
        <v>171</v>
      </c>
      <c r="D35" s="151">
        <f>'[3]10.1'!D35</f>
        <v>11379394</v>
      </c>
      <c r="E35" s="151">
        <f>'[3]10.1'!E35</f>
        <v>13191282</v>
      </c>
      <c r="F35" s="151">
        <f>'[3]10.1'!F35</f>
        <v>47541</v>
      </c>
      <c r="G35" s="151">
        <f>'[3]10.1'!G35</f>
        <v>58000</v>
      </c>
      <c r="L35" s="2"/>
    </row>
    <row r="36" spans="1:12" x14ac:dyDescent="0.2">
      <c r="B36" s="23"/>
      <c r="C36" t="s">
        <v>172</v>
      </c>
      <c r="D36" s="20">
        <f>D35/D$14</f>
        <v>1.7425177170238521E-2</v>
      </c>
      <c r="E36" s="20">
        <f>E35/E$14</f>
        <v>1.7383363746739006E-2</v>
      </c>
      <c r="F36" s="20">
        <f>F35/F$14</f>
        <v>5.7915768320607335E-5</v>
      </c>
      <c r="G36" s="20">
        <f>G35/G$14</f>
        <v>7.4260721711786454E-5</v>
      </c>
      <c r="H36" s="153">
        <f>'[3]10.1'!H36</f>
        <v>7.4260721711786454E-5</v>
      </c>
      <c r="L36" s="2"/>
    </row>
    <row r="37" spans="1:12" x14ac:dyDescent="0.2">
      <c r="L37" s="2"/>
    </row>
    <row r="38" spans="1:12" x14ac:dyDescent="0.2">
      <c r="A38" s="41" t="s">
        <v>105</v>
      </c>
      <c r="B38" t="s">
        <v>180</v>
      </c>
      <c r="H38" s="20">
        <f>'10.2'!E31</f>
        <v>0.1392496547964954</v>
      </c>
      <c r="I38" s="20"/>
      <c r="L38" s="2"/>
    </row>
    <row r="39" spans="1:12" x14ac:dyDescent="0.2">
      <c r="L39" s="2"/>
    </row>
    <row r="40" spans="1:12" x14ac:dyDescent="0.2">
      <c r="A40" s="127" t="str">
        <f>'[3]10.1'!A40</f>
        <v>(8)</v>
      </c>
      <c r="B40" s="127" t="str">
        <f>'[3]10.1'!B40</f>
        <v>Outstanding Class 1 Public Security Repayment</v>
      </c>
      <c r="C40" s="127"/>
      <c r="D40" s="127"/>
      <c r="E40" s="127"/>
      <c r="F40" s="127"/>
      <c r="G40" s="127"/>
      <c r="H40" s="153">
        <f>'[3]10.1'!H40</f>
        <v>0</v>
      </c>
      <c r="L40" s="2"/>
    </row>
    <row r="41" spans="1:12" x14ac:dyDescent="0.2">
      <c r="L41" s="2"/>
    </row>
    <row r="42" spans="1:12" x14ac:dyDescent="0.2">
      <c r="A42" s="127" t="str">
        <f>'[3]10.1'!A42</f>
        <v>(9)</v>
      </c>
      <c r="B42" s="127" t="str">
        <f>'[3]10.1'!B42</f>
        <v>Total Fixed Expenses</v>
      </c>
      <c r="C42" s="127"/>
      <c r="D42" s="127"/>
      <c r="E42" s="127"/>
      <c r="F42" s="127"/>
      <c r="G42" s="127"/>
      <c r="H42" s="20">
        <f>H32+H38+H40</f>
        <v>0.19324965479649539</v>
      </c>
      <c r="I42" s="127"/>
      <c r="L42" s="2"/>
    </row>
    <row r="43" spans="1:12" x14ac:dyDescent="0.2">
      <c r="L43" s="2"/>
    </row>
    <row r="44" spans="1:12" x14ac:dyDescent="0.2">
      <c r="A44" s="127" t="str">
        <f>'[3]10.1'!A44</f>
        <v>(10)</v>
      </c>
      <c r="B44" s="127" t="str">
        <f>'[3]10.1'!B44</f>
        <v>Total Variable Expenses</v>
      </c>
      <c r="C44" s="127"/>
      <c r="D44" s="127"/>
      <c r="E44" s="127"/>
      <c r="F44" s="127"/>
      <c r="G44" s="127"/>
      <c r="H44" s="153">
        <f>'[3]10.1'!H44</f>
        <v>0.1600742607217118</v>
      </c>
      <c r="I44" s="127"/>
      <c r="L44" s="2"/>
    </row>
    <row r="45" spans="1:12" x14ac:dyDescent="0.2">
      <c r="H45" s="60"/>
      <c r="L45" s="2"/>
    </row>
    <row r="46" spans="1:12" x14ac:dyDescent="0.2">
      <c r="A46" s="127" t="str">
        <f>'[3]10.1'!A46</f>
        <v>(11)</v>
      </c>
      <c r="B46" s="127" t="str">
        <f>'[3]10.1'!B46</f>
        <v>CRTF Contribution &amp; UW Contingency &amp; Uncertainty</v>
      </c>
      <c r="C46" s="128"/>
      <c r="D46" s="128"/>
      <c r="E46" s="128"/>
      <c r="F46" s="128"/>
      <c r="G46" s="128"/>
      <c r="H46" s="153">
        <f>'[3]10.1'!H46</f>
        <v>0.05</v>
      </c>
      <c r="L46" s="2"/>
    </row>
    <row r="47" spans="1:12" x14ac:dyDescent="0.2">
      <c r="L47" s="2"/>
    </row>
    <row r="48" spans="1:12" x14ac:dyDescent="0.2">
      <c r="A48" s="127" t="str">
        <f>'[3]10.1'!A48</f>
        <v>(12)</v>
      </c>
      <c r="B48" s="127" t="str">
        <f>'[3]10.1'!B48</f>
        <v>Permissible Loss, LAE, and Fixed Expense Ratio</v>
      </c>
      <c r="C48" s="128"/>
      <c r="D48" s="128"/>
      <c r="H48" s="20">
        <f>1-H44-H46</f>
        <v>0.78992573927828813</v>
      </c>
      <c r="L48" s="2"/>
    </row>
    <row r="49" spans="1:12" ht="12" thickBot="1" x14ac:dyDescent="0.25">
      <c r="A49" s="6"/>
      <c r="B49" s="6"/>
      <c r="C49" s="6"/>
      <c r="D49" s="6"/>
      <c r="E49" s="6"/>
      <c r="F49" s="6"/>
      <c r="G49" s="6"/>
      <c r="H49" s="6"/>
      <c r="L49" s="2"/>
    </row>
    <row r="50" spans="1:12" ht="12" thickTop="1" x14ac:dyDescent="0.2">
      <c r="L50" s="2"/>
    </row>
    <row r="51" spans="1:12" x14ac:dyDescent="0.2">
      <c r="A51" t="s">
        <v>17</v>
      </c>
      <c r="L51" s="2"/>
    </row>
    <row r="52" spans="1:12" x14ac:dyDescent="0.2">
      <c r="B52" s="127" t="str">
        <f>'[3]10.1'!B52</f>
        <v>(1) - (6) From TWIA's Statutory Annual Statements and Insurance Expense Exhibits. 2026 figures are projected</v>
      </c>
      <c r="L52" s="2"/>
    </row>
    <row r="53" spans="1:12" x14ac:dyDescent="0.2">
      <c r="B53" s="127" t="str">
        <f>'[3]10.1'!B53</f>
        <v>(7) Exhibit 10, Sheet 2</v>
      </c>
      <c r="L53" s="2"/>
    </row>
    <row r="54" spans="1:12" x14ac:dyDescent="0.2">
      <c r="B54" s="127" t="str">
        <f>'[3]10.1'!B54</f>
        <v>(8) Outstanding principal paid off in 2022</v>
      </c>
      <c r="L54" s="2"/>
    </row>
    <row r="55" spans="1:12" x14ac:dyDescent="0.2">
      <c r="B55" s="127" t="str">
        <f>'[3]10.1'!B55</f>
        <v>(9) = (5) + (7) + (8)</v>
      </c>
      <c r="L55" s="2"/>
    </row>
    <row r="56" spans="1:12" x14ac:dyDescent="0.2">
      <c r="B56" s="127" t="str">
        <f>'[3]10.1'!B56</f>
        <v>(10) = (3) + (4) + (6)</v>
      </c>
      <c r="L56" s="2"/>
    </row>
    <row r="57" spans="1:12" x14ac:dyDescent="0.2">
      <c r="B57" s="127" t="str">
        <f>'[3]10.1'!B57</f>
        <v xml:space="preserve">(11) CRTF contribution selected judgmentally </v>
      </c>
      <c r="L57" s="2"/>
    </row>
    <row r="58" spans="1:12" x14ac:dyDescent="0.2">
      <c r="B58" s="127" t="str">
        <f>'[3]10.1'!B58</f>
        <v>(12) = 100% - (10) - (11)</v>
      </c>
      <c r="L58" s="2"/>
    </row>
    <row r="59" spans="1:12" x14ac:dyDescent="0.2">
      <c r="B59" s="128"/>
      <c r="L59" s="2"/>
    </row>
    <row r="60" spans="1:12" x14ac:dyDescent="0.2">
      <c r="B60" s="128"/>
      <c r="L60" s="2"/>
    </row>
    <row r="61" spans="1:12" x14ac:dyDescent="0.2">
      <c r="L61" s="2"/>
    </row>
    <row r="62" spans="1:12" x14ac:dyDescent="0.2">
      <c r="L62" s="2"/>
    </row>
    <row r="63" spans="1:12" x14ac:dyDescent="0.2">
      <c r="D63" s="31"/>
      <c r="E63" s="31"/>
      <c r="F63" s="31"/>
      <c r="G63" s="31"/>
      <c r="L63" s="2"/>
    </row>
    <row r="64" spans="1:12" x14ac:dyDescent="0.2">
      <c r="H64" s="20"/>
      <c r="L64" s="2"/>
    </row>
    <row r="65" spans="1:12" x14ac:dyDescent="0.2">
      <c r="L65" s="2"/>
    </row>
    <row r="66" spans="1:12" x14ac:dyDescent="0.2">
      <c r="L66" s="2"/>
    </row>
    <row r="67" spans="1:12" ht="12" thickBot="1" x14ac:dyDescent="0.25">
      <c r="L67" s="2"/>
    </row>
    <row r="68" spans="1:12" ht="12" thickBot="1" x14ac:dyDescent="0.25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3"/>
    </row>
  </sheetData>
  <phoneticPr fontId="0" type="noConversion"/>
  <pageMargins left="0.5" right="0.5" top="0.5" bottom="0.5" header="0.5" footer="0.5"/>
  <pageSetup scale="87" orientation="portrait" blackAndWhite="1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C2CC1-0E7D-44C3-930A-D4B508C009B4}">
  <sheetPr>
    <tabColor rgb="FF92D050"/>
  </sheetPr>
  <dimension ref="A1:N51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4.5" customWidth="1"/>
    <col min="2" max="2" width="10.83203125" customWidth="1"/>
    <col min="3" max="3" width="58.1640625" customWidth="1"/>
    <col min="4" max="6" width="13.83203125" customWidth="1"/>
    <col min="7" max="7" width="3.1640625" customWidth="1"/>
  </cols>
  <sheetData>
    <row r="1" spans="1:14" x14ac:dyDescent="0.2">
      <c r="A1" s="8" t="str">
        <f>'1'!$A$1</f>
        <v>Texas Windstorm Insurance Association</v>
      </c>
      <c r="C1" s="12"/>
      <c r="G1" s="95" t="s">
        <v>151</v>
      </c>
      <c r="H1" s="1"/>
      <c r="K1" s="166" t="s">
        <v>356</v>
      </c>
      <c r="M1" s="167">
        <f ca="1">'1'!H15</f>
        <v>-0.09</v>
      </c>
    </row>
    <row r="2" spans="1:14" x14ac:dyDescent="0.2">
      <c r="A2" s="8" t="str">
        <f>'1'!$A$2</f>
        <v>Residential Property - Wind &amp; Hail</v>
      </c>
      <c r="C2" s="12"/>
      <c r="G2" s="95" t="s">
        <v>77</v>
      </c>
      <c r="H2" s="2"/>
    </row>
    <row r="3" spans="1:14" x14ac:dyDescent="0.2">
      <c r="A3" s="8" t="str">
        <f>'1'!$A$3</f>
        <v>Rate Level Review</v>
      </c>
      <c r="C3" s="12"/>
      <c r="H3" s="2"/>
    </row>
    <row r="4" spans="1:14" x14ac:dyDescent="0.2">
      <c r="A4" t="s">
        <v>443</v>
      </c>
      <c r="C4" s="12"/>
      <c r="H4" s="2"/>
    </row>
    <row r="5" spans="1:14" x14ac:dyDescent="0.2">
      <c r="A5" t="s">
        <v>359</v>
      </c>
      <c r="C5" s="12"/>
      <c r="H5" s="2"/>
    </row>
    <row r="6" spans="1:14" x14ac:dyDescent="0.2">
      <c r="H6" s="2"/>
    </row>
    <row r="7" spans="1:14" ht="12" thickBot="1" x14ac:dyDescent="0.25">
      <c r="A7" s="6"/>
      <c r="B7" s="6"/>
      <c r="C7" s="6"/>
      <c r="D7" s="101" t="s">
        <v>430</v>
      </c>
      <c r="E7" s="101" t="s">
        <v>187</v>
      </c>
      <c r="F7" s="101" t="s">
        <v>186</v>
      </c>
      <c r="H7" s="2"/>
    </row>
    <row r="8" spans="1:14" ht="12" thickTop="1" x14ac:dyDescent="0.2">
      <c r="H8" s="2"/>
      <c r="J8" t="s">
        <v>271</v>
      </c>
    </row>
    <row r="9" spans="1:14" x14ac:dyDescent="0.2">
      <c r="H9" s="2"/>
      <c r="J9" t="s">
        <v>272</v>
      </c>
      <c r="K9" t="s">
        <v>273</v>
      </c>
      <c r="L9" t="s">
        <v>441</v>
      </c>
    </row>
    <row r="10" spans="1:14" x14ac:dyDescent="0.2">
      <c r="A10" s="41" t="s">
        <v>165</v>
      </c>
      <c r="B10" t="str">
        <f>YEAR($J$10)&amp;" - "&amp;YEAR($K$10)&amp;" Reinsurance Premium"</f>
        <v>2026 - 2027 Reinsurance Premium</v>
      </c>
      <c r="D10" s="53">
        <f>'[3]10.2'!D10</f>
        <v>196981999.99999997</v>
      </c>
      <c r="E10" s="53">
        <f>'[3]10.2'!E10</f>
        <v>163160223.88776952</v>
      </c>
      <c r="F10" s="53">
        <f>'[3]10.2'!F10</f>
        <v>33821776.112230487</v>
      </c>
      <c r="H10" s="2"/>
      <c r="J10" s="55">
        <f>'[3]10.2'!K10</f>
        <v>46174</v>
      </c>
      <c r="K10" s="55">
        <f>'[3]10.2'!L10</f>
        <v>46538</v>
      </c>
      <c r="L10" s="55">
        <f>'[3]10.2'!M10</f>
        <v>46295</v>
      </c>
    </row>
    <row r="11" spans="1:14" x14ac:dyDescent="0.2">
      <c r="H11" s="2"/>
    </row>
    <row r="12" spans="1:14" x14ac:dyDescent="0.2">
      <c r="A12" s="41" t="str">
        <f>'[3]10.2'!A12</f>
        <v>(2)</v>
      </c>
      <c r="B12" s="41" t="str">
        <f>'[3]10.2'!B12</f>
        <v>Actual Exposures (000s) as of 11/30/25</v>
      </c>
      <c r="D12" s="53">
        <f>'[3]10.2'!D12</f>
        <v>140845953.28870001</v>
      </c>
      <c r="E12" s="53"/>
      <c r="F12" s="53"/>
      <c r="H12" s="2"/>
      <c r="J12" t="s">
        <v>274</v>
      </c>
    </row>
    <row r="13" spans="1:14" x14ac:dyDescent="0.2">
      <c r="A13" s="41"/>
      <c r="B13" s="41"/>
      <c r="D13" s="53"/>
      <c r="E13" s="53"/>
      <c r="F13" s="53"/>
      <c r="H13" s="2"/>
      <c r="I13" s="61"/>
      <c r="J13" t="s">
        <v>196</v>
      </c>
    </row>
    <row r="14" spans="1:14" x14ac:dyDescent="0.2">
      <c r="A14" s="41" t="str">
        <f>'[3]10.2'!A14</f>
        <v>(3)</v>
      </c>
      <c r="B14" s="41" t="str">
        <f>'[3]10.2'!B14</f>
        <v>Initial Estimated Exposures (000s) at 09/30/26 Used for Reinsurance Pricing</v>
      </c>
      <c r="D14" s="53">
        <f>'[3]10.2'!D14</f>
        <v>141794095.755</v>
      </c>
      <c r="E14" s="53"/>
      <c r="F14" s="53"/>
      <c r="H14" s="2"/>
      <c r="I14" s="41"/>
      <c r="J14" s="55">
        <f>'[3]10.2'!K14</f>
        <v>45991</v>
      </c>
      <c r="N14" s="104"/>
    </row>
    <row r="15" spans="1:14" x14ac:dyDescent="0.2">
      <c r="A15" s="41"/>
      <c r="B15" s="41"/>
      <c r="D15" s="53"/>
      <c r="E15" s="53"/>
      <c r="F15" s="53"/>
      <c r="H15" s="2"/>
      <c r="N15" s="104"/>
    </row>
    <row r="16" spans="1:14" x14ac:dyDescent="0.2">
      <c r="A16" s="41" t="str">
        <f>'[3]10.2'!A16</f>
        <v>(4)</v>
      </c>
      <c r="B16" s="41" t="str">
        <f>'[3]10.2'!B16</f>
        <v>Current Estimated Exposures (000s) at 09/30/26</v>
      </c>
      <c r="D16" s="53">
        <f>'[3]10.2'!D16</f>
        <v>143006335.73917028</v>
      </c>
      <c r="E16" s="53"/>
      <c r="F16" s="53"/>
      <c r="H16" s="2"/>
      <c r="N16" s="104"/>
    </row>
    <row r="17" spans="1:14" x14ac:dyDescent="0.2">
      <c r="A17" s="41"/>
      <c r="B17" s="41"/>
      <c r="D17" s="53"/>
      <c r="E17" s="53"/>
      <c r="F17" s="53"/>
      <c r="H17" s="2"/>
      <c r="N17" s="104"/>
    </row>
    <row r="18" spans="1:14" x14ac:dyDescent="0.2">
      <c r="A18" s="41" t="str">
        <f>'[3]10.2'!A18</f>
        <v>(5)</v>
      </c>
      <c r="B18" s="41" t="str">
        <f>'[3]10.2'!B18</f>
        <v>Prospective Adjusted 2025-2026 Reinsurance Premium</v>
      </c>
      <c r="D18" s="53">
        <f>'[3]10.2'!D18</f>
        <v>198666057.82547125</v>
      </c>
      <c r="E18" s="53">
        <f>'[3]10.2'!E18</f>
        <v>164555129.26919442</v>
      </c>
      <c r="F18" s="53">
        <f>'[3]10.2'!F18</f>
        <v>34110928.55627685</v>
      </c>
      <c r="H18" s="2"/>
      <c r="I18" s="28"/>
      <c r="N18" s="104"/>
    </row>
    <row r="19" spans="1:14" x14ac:dyDescent="0.2">
      <c r="A19" s="41"/>
      <c r="B19" s="41"/>
      <c r="D19" s="53"/>
      <c r="E19" s="53"/>
      <c r="F19" s="53"/>
      <c r="H19" s="2"/>
      <c r="N19" s="104"/>
    </row>
    <row r="20" spans="1:14" x14ac:dyDescent="0.2">
      <c r="A20" s="41" t="str">
        <f>'[3]10.2'!A20</f>
        <v>(6)</v>
      </c>
      <c r="B20" s="41" t="str">
        <f>'[3]10.2'!B20</f>
        <v>Average Annual Loss to 50-Year PML</v>
      </c>
      <c r="D20" s="53"/>
      <c r="E20" s="53"/>
      <c r="F20" s="53"/>
      <c r="H20" s="2"/>
      <c r="I20" s="61"/>
      <c r="N20" s="104"/>
    </row>
    <row r="21" spans="1:14" x14ac:dyDescent="0.2">
      <c r="A21" s="41"/>
      <c r="B21" s="41" t="str">
        <f>'[3]10.2'!B21</f>
        <v>(a)</v>
      </c>
      <c r="C21" s="41" t="str">
        <f>'[3]10.2'!C21</f>
        <v>Verisk</v>
      </c>
      <c r="D21" s="53">
        <f>'[3]10.2'!D21</f>
        <v>70665208.496571496</v>
      </c>
      <c r="E21" s="53">
        <f>'[3]10.2'!E21</f>
        <v>58869707.385638699</v>
      </c>
      <c r="F21" s="53">
        <f>'[3]10.2'!F21</f>
        <v>11795501.110932801</v>
      </c>
      <c r="H21" s="2"/>
      <c r="J21" s="53"/>
      <c r="K21" s="53"/>
      <c r="M21" s="19"/>
    </row>
    <row r="22" spans="1:14" x14ac:dyDescent="0.2">
      <c r="A22" s="41"/>
      <c r="B22" s="226" t="str">
        <f>'[3]10.2'!B22</f>
        <v>(b)</v>
      </c>
      <c r="C22" s="226" t="str">
        <f>'[3]10.2'!C22</f>
        <v>RMS</v>
      </c>
      <c r="D22" s="54">
        <f>'[3]10.2'!D22</f>
        <v>63972617.631056197</v>
      </c>
      <c r="E22" s="54">
        <f>'[3]10.2'!E22</f>
        <v>52650826.748172097</v>
      </c>
      <c r="F22" s="54">
        <f>'[3]10.2'!F22</f>
        <v>11321790.8828841</v>
      </c>
      <c r="H22" s="2"/>
      <c r="J22" s="19"/>
      <c r="K22" s="53"/>
    </row>
    <row r="23" spans="1:14" x14ac:dyDescent="0.2">
      <c r="A23" s="41"/>
      <c r="B23" s="41" t="str">
        <f>'[3]10.2'!B23</f>
        <v>(c)</v>
      </c>
      <c r="C23" s="41" t="str">
        <f>'[3]10.2'!C23</f>
        <v>Selected Average Annual Loss and LAE</v>
      </c>
      <c r="D23" s="53">
        <f>'[3]10.2'!D23</f>
        <v>78695809.371598393</v>
      </c>
      <c r="E23" s="53">
        <f>'[3]10.2'!E23</f>
        <v>65183752.201212406</v>
      </c>
      <c r="F23" s="53">
        <f>'[3]10.2'!F23</f>
        <v>13512057.170385979</v>
      </c>
      <c r="H23" s="2"/>
    </row>
    <row r="24" spans="1:14" x14ac:dyDescent="0.2">
      <c r="A24" s="41"/>
      <c r="B24" s="41"/>
      <c r="C24" s="41"/>
      <c r="D24" s="53"/>
      <c r="E24" s="53"/>
      <c r="F24" s="53"/>
      <c r="H24" s="2"/>
    </row>
    <row r="25" spans="1:14" x14ac:dyDescent="0.2">
      <c r="A25" s="41" t="str">
        <f>'[3]10.2'!A25</f>
        <v>(7)</v>
      </c>
      <c r="B25" s="41" t="str">
        <f>'[3]10.2'!B25</f>
        <v>Prospective Average Annual Loss and LAE</v>
      </c>
      <c r="C25" s="41"/>
      <c r="D25" s="53">
        <f>'[3]10.2'!D25</f>
        <v>79902894.428159922</v>
      </c>
      <c r="E25" s="53">
        <f>'[3]10.2'!E25</f>
        <v>66183580.957546301</v>
      </c>
      <c r="F25" s="53">
        <f>'[3]10.2'!F25</f>
        <v>13719313.470613632</v>
      </c>
      <c r="H25" s="2"/>
    </row>
    <row r="26" spans="1:14" x14ac:dyDescent="0.2">
      <c r="A26" s="41"/>
      <c r="B26" s="41"/>
      <c r="C26" s="41"/>
      <c r="D26" s="53"/>
      <c r="E26" s="53"/>
      <c r="F26" s="53"/>
      <c r="H26" s="2"/>
    </row>
    <row r="27" spans="1:14" x14ac:dyDescent="0.2">
      <c r="A27" s="41" t="str">
        <f>'[3]10.2'!A27</f>
        <v>(8)</v>
      </c>
      <c r="B27" s="41" t="str">
        <f>'[3]10.2'!B27</f>
        <v>Net Cost of Reinsurance</v>
      </c>
      <c r="C27" s="41"/>
      <c r="D27" s="53">
        <f>'[3]10.2'!D27</f>
        <v>118763163.39731133</v>
      </c>
      <c r="E27" s="53">
        <f>'[3]10.2'!E27</f>
        <v>98371548.31164813</v>
      </c>
      <c r="F27" s="53">
        <f>'[3]10.2'!F27</f>
        <v>20391615.085663218</v>
      </c>
      <c r="H27" s="2"/>
      <c r="K27" s="37"/>
    </row>
    <row r="28" spans="1:14" x14ac:dyDescent="0.2">
      <c r="A28" s="41"/>
      <c r="B28" s="41"/>
      <c r="C28" s="41"/>
      <c r="D28" s="53"/>
      <c r="E28" s="53"/>
      <c r="F28" s="53"/>
      <c r="H28" s="2"/>
    </row>
    <row r="29" spans="1:14" x14ac:dyDescent="0.2">
      <c r="A29" s="41" t="str">
        <f>'[3]10.2'!A29</f>
        <v>(9)</v>
      </c>
      <c r="B29" s="41" t="str">
        <f>'[3]10.2'!B29</f>
        <v>2026 TWIA Prospective Earned Premium at Present Rates</v>
      </c>
      <c r="C29" s="41"/>
      <c r="D29" s="53">
        <f>'[3]10.2'!D29</f>
        <v>816512882.84537578</v>
      </c>
      <c r="E29" s="53">
        <f>'[3]10.2'!E29</f>
        <v>706440159.26223981</v>
      </c>
      <c r="F29" s="53">
        <f>'[3]10.2'!F29</f>
        <v>110072723.58313592</v>
      </c>
      <c r="H29" s="2"/>
    </row>
    <row r="30" spans="1:14" x14ac:dyDescent="0.2">
      <c r="A30" s="41"/>
      <c r="B30" s="41"/>
      <c r="C30" s="41"/>
      <c r="D30" s="53"/>
      <c r="E30" s="53"/>
      <c r="F30" s="53"/>
      <c r="H30" s="2"/>
    </row>
    <row r="31" spans="1:14" x14ac:dyDescent="0.2">
      <c r="A31" s="41" t="str">
        <f>'[3]10.2'!A31</f>
        <v>(10)</v>
      </c>
      <c r="B31" s="41" t="str">
        <f>'[3]10.2'!B31</f>
        <v>Indicated Reinsurance Expense %</v>
      </c>
      <c r="C31" s="41"/>
      <c r="D31" s="233">
        <f>'[3]10.2'!D31</f>
        <v>0.14545167123811528</v>
      </c>
      <c r="E31" s="233">
        <f>'[3]10.2'!E31</f>
        <v>0.1392496547964954</v>
      </c>
      <c r="F31" s="233">
        <f>'[3]10.2'!F31</f>
        <v>0.1852558419730734</v>
      </c>
      <c r="H31" s="2"/>
    </row>
    <row r="32" spans="1:14" ht="12" thickBot="1" x14ac:dyDescent="0.25">
      <c r="A32" s="229"/>
      <c r="B32" s="229"/>
      <c r="C32" s="6"/>
      <c r="D32" s="230"/>
      <c r="E32" s="230"/>
      <c r="F32" s="230"/>
      <c r="H32" s="2"/>
    </row>
    <row r="33" spans="1:8" ht="12" thickTop="1" x14ac:dyDescent="0.2">
      <c r="A33" s="41"/>
      <c r="B33" s="41"/>
      <c r="D33" s="53"/>
      <c r="E33" s="53"/>
      <c r="F33" s="53"/>
      <c r="H33" s="2"/>
    </row>
    <row r="34" spans="1:8" x14ac:dyDescent="0.2">
      <c r="A34" t="s">
        <v>17</v>
      </c>
      <c r="B34" s="41"/>
      <c r="D34" s="53"/>
      <c r="E34" s="53"/>
      <c r="F34" s="53"/>
      <c r="H34" s="2"/>
    </row>
    <row r="35" spans="1:8" x14ac:dyDescent="0.2">
      <c r="A35" s="41"/>
      <c r="B35" s="128" t="str">
        <f>'[3]10.2'!B35</f>
        <v>(1) Subject premium for TWIA reinsurance contract effective 6/1/2026 through 5/31/2027</v>
      </c>
      <c r="D35" s="53"/>
      <c r="E35" s="53"/>
      <c r="F35" s="53"/>
      <c r="H35" s="2"/>
    </row>
    <row r="36" spans="1:8" x14ac:dyDescent="0.2">
      <c r="A36" s="41"/>
      <c r="B36" s="128" t="str">
        <f>'[3]10.2'!B36</f>
        <v>(2) From TWIA data</v>
      </c>
      <c r="D36" s="228"/>
      <c r="E36" s="228"/>
      <c r="F36" s="228"/>
      <c r="H36" s="2"/>
    </row>
    <row r="37" spans="1:8" x14ac:dyDescent="0.2">
      <c r="A37" s="41"/>
      <c r="B37" s="128" t="str">
        <f>'[3]10.2'!B37</f>
        <v>(3) Projected exposures as of September 30, 2026 used for reinsurance pricing</v>
      </c>
      <c r="D37" s="53"/>
      <c r="E37" s="53"/>
      <c r="F37" s="53"/>
      <c r="H37" s="2"/>
    </row>
    <row r="38" spans="1:8" x14ac:dyDescent="0.2">
      <c r="B38" s="128" t="str">
        <f>'[3]10.2'!B38</f>
        <v>(4) Projections updated through May 31, 2026</v>
      </c>
      <c r="H38" s="2"/>
    </row>
    <row r="39" spans="1:8" x14ac:dyDescent="0.2">
      <c r="B39" s="128" t="str">
        <f>'[3]10.2'!B39</f>
        <v>(5) = (1) * (4) / (3) (subject premiums adjusted for difference between initially estimated and actual exposures)</v>
      </c>
      <c r="H39" s="2"/>
    </row>
    <row r="40" spans="1:8" x14ac:dyDescent="0.2">
      <c r="B40" s="128" t="str">
        <f>'[3]10.2'!B40</f>
        <v>(6) Expected modeled losses in the reinsurance layers up to the 50-year PML</v>
      </c>
      <c r="C40" s="128"/>
      <c r="D40" s="128"/>
      <c r="E40" s="128"/>
      <c r="F40" s="128"/>
      <c r="H40" s="2"/>
    </row>
    <row r="41" spans="1:8" x14ac:dyDescent="0.2">
      <c r="B41" s="128" t="str">
        <f>'[3]10.2'!B41</f>
        <v>(a) Provided by Aon, based on Verisk model using TWIA exposures as of 11/30/2025</v>
      </c>
      <c r="C41" s="128"/>
      <c r="D41" s="128"/>
      <c r="E41" s="128"/>
      <c r="F41" s="128"/>
      <c r="H41" s="2"/>
    </row>
    <row r="42" spans="1:8" x14ac:dyDescent="0.2">
      <c r="B42" s="128" t="str">
        <f>'[3]10.2'!B42</f>
        <v>(b) Provided by Aon, based on RMS model using TWIA exposures as of 11/30/2025</v>
      </c>
      <c r="C42" s="128"/>
      <c r="D42" s="128"/>
      <c r="E42" s="128"/>
      <c r="F42" s="128"/>
      <c r="H42" s="2"/>
    </row>
    <row r="43" spans="1:8" x14ac:dyDescent="0.2">
      <c r="B43" s="128" t="str">
        <f>'[3]10.2'!B43</f>
        <v>(c) Selected equal to the average of the RMS and Verisk catastrophe models with an LAE loading of 1.169</v>
      </c>
      <c r="C43" s="128"/>
      <c r="D43" s="128"/>
      <c r="E43" s="128"/>
      <c r="F43" s="128"/>
      <c r="H43" s="2"/>
    </row>
    <row r="44" spans="1:8" x14ac:dyDescent="0.2">
      <c r="B44" s="128" t="str">
        <f>'[3]10.2'!B44</f>
        <v>(7) = (6)(c) * (4) / (2) (projected loss growth from 11/30/2025 to 9/30/2026)</v>
      </c>
      <c r="C44" s="128"/>
      <c r="D44" s="128"/>
      <c r="E44" s="128"/>
      <c r="F44" s="128"/>
      <c r="H44" s="2"/>
    </row>
    <row r="45" spans="1:8" x14ac:dyDescent="0.2">
      <c r="B45" s="128" t="str">
        <f>'[3]10.2'!B45</f>
        <v>(8) = (5) - (7)</v>
      </c>
      <c r="C45" s="128"/>
      <c r="D45" s="128"/>
      <c r="E45" s="128"/>
      <c r="F45" s="128"/>
      <c r="H45" s="2"/>
    </row>
    <row r="46" spans="1:8" x14ac:dyDescent="0.2">
      <c r="B46" s="128" t="str">
        <f>'[3]10.2'!B46</f>
        <v>(9) Projections updated through May 31, 2026</v>
      </c>
      <c r="C46" s="128"/>
      <c r="D46" s="128"/>
      <c r="E46" s="128"/>
      <c r="F46" s="128"/>
      <c r="H46" s="2"/>
    </row>
    <row r="47" spans="1:8" x14ac:dyDescent="0.2">
      <c r="A47" s="41"/>
      <c r="B47" s="128" t="str">
        <f>'[3]10.2'!B47</f>
        <v>(10) = (8) / (9)</v>
      </c>
      <c r="D47" s="31"/>
      <c r="E47" s="19"/>
      <c r="F47" s="19"/>
      <c r="G47" s="19"/>
      <c r="H47" s="2"/>
    </row>
    <row r="48" spans="1:8" x14ac:dyDescent="0.2">
      <c r="A48" s="41"/>
      <c r="B48" s="128"/>
      <c r="D48" s="31"/>
      <c r="E48" s="19"/>
      <c r="F48" s="19"/>
      <c r="G48" s="19"/>
      <c r="H48" s="2"/>
    </row>
    <row r="49" spans="1:8" x14ac:dyDescent="0.2">
      <c r="A49" s="41"/>
      <c r="B49" s="128"/>
      <c r="D49" s="31"/>
      <c r="E49" s="19"/>
      <c r="F49" s="19"/>
      <c r="G49" s="19"/>
      <c r="H49" s="2"/>
    </row>
    <row r="50" spans="1:8" ht="12" thickBot="1" x14ac:dyDescent="0.25">
      <c r="A50" s="41"/>
      <c r="B50" s="128"/>
      <c r="D50" s="31"/>
      <c r="E50" s="19"/>
      <c r="F50" s="19"/>
      <c r="G50" s="19"/>
      <c r="H50" s="2"/>
    </row>
    <row r="51" spans="1:8" ht="12" thickBot="1" x14ac:dyDescent="0.25">
      <c r="A51" s="4"/>
      <c r="B51" s="5"/>
      <c r="C51" s="5"/>
      <c r="D51" s="5"/>
      <c r="E51" s="5"/>
      <c r="F51" s="5"/>
      <c r="G51" s="5"/>
      <c r="H51" s="3"/>
    </row>
  </sheetData>
  <pageMargins left="0.5" right="0.5" top="0.5" bottom="0.5" header="0.5" footer="0.5"/>
  <pageSetup orientation="portrait" blackAndWhite="1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8">
    <tabColor rgb="FF92D050"/>
  </sheetPr>
  <dimension ref="A1:M72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0" customWidth="1"/>
    <col min="3" max="8" width="14.6640625" customWidth="1"/>
    <col min="9" max="9" width="11.33203125" customWidth="1"/>
    <col min="10" max="10" width="5.6640625" customWidth="1"/>
  </cols>
  <sheetData>
    <row r="1" spans="1:13" x14ac:dyDescent="0.2">
      <c r="A1" s="8" t="str">
        <f>'1'!$A$1</f>
        <v>Texas Windstorm Insurance Association</v>
      </c>
      <c r="B1" s="12"/>
      <c r="J1" s="7" t="s">
        <v>157</v>
      </c>
      <c r="K1" s="1"/>
    </row>
    <row r="2" spans="1:13" x14ac:dyDescent="0.2">
      <c r="A2" s="8" t="str">
        <f>'1'!$A$2</f>
        <v>Residential Property - Wind &amp; Hail</v>
      </c>
      <c r="B2" s="12"/>
      <c r="J2" s="7"/>
      <c r="K2" s="2"/>
    </row>
    <row r="3" spans="1:13" x14ac:dyDescent="0.2">
      <c r="A3" s="8" t="str">
        <f>'1'!$A$3</f>
        <v>Rate Level Review</v>
      </c>
      <c r="B3" s="12"/>
      <c r="K3" s="2"/>
    </row>
    <row r="4" spans="1:13" x14ac:dyDescent="0.2">
      <c r="A4" t="s">
        <v>183</v>
      </c>
      <c r="B4" s="12"/>
      <c r="K4" s="2"/>
    </row>
    <row r="5" spans="1:13" x14ac:dyDescent="0.2">
      <c r="B5" s="12"/>
      <c r="K5" s="2"/>
    </row>
    <row r="6" spans="1:13" x14ac:dyDescent="0.2">
      <c r="K6" s="2"/>
    </row>
    <row r="7" spans="1:13" ht="12" thickBot="1" x14ac:dyDescent="0.25">
      <c r="A7" s="6"/>
      <c r="B7" s="6"/>
      <c r="C7" s="6"/>
      <c r="D7" s="6"/>
      <c r="E7" s="6"/>
      <c r="F7" s="6"/>
      <c r="G7" s="6"/>
      <c r="K7" s="2"/>
    </row>
    <row r="8" spans="1:13" ht="12" thickTop="1" x14ac:dyDescent="0.2">
      <c r="K8" s="2"/>
    </row>
    <row r="9" spans="1:13" x14ac:dyDescent="0.2">
      <c r="C9" s="218" t="s">
        <v>185</v>
      </c>
      <c r="D9" s="218"/>
      <c r="F9" s="11" t="s">
        <v>148</v>
      </c>
      <c r="K9" s="2"/>
      <c r="L9" s="17"/>
    </row>
    <row r="10" spans="1:13" x14ac:dyDescent="0.2">
      <c r="A10" t="s">
        <v>184</v>
      </c>
      <c r="C10" s="11"/>
      <c r="D10" s="11"/>
      <c r="E10" s="11"/>
      <c r="F10" s="11" t="s">
        <v>189</v>
      </c>
      <c r="G10" s="11"/>
      <c r="K10" s="2"/>
      <c r="L10" s="12"/>
    </row>
    <row r="11" spans="1:13" x14ac:dyDescent="0.2">
      <c r="A11" s="9" t="s">
        <v>49</v>
      </c>
      <c r="B11" s="9"/>
      <c r="C11" s="121" t="s">
        <v>186</v>
      </c>
      <c r="D11" s="121" t="s">
        <v>187</v>
      </c>
      <c r="E11" s="121" t="s">
        <v>9</v>
      </c>
      <c r="F11" s="121" t="s">
        <v>188</v>
      </c>
      <c r="G11" s="121" t="s">
        <v>190</v>
      </c>
      <c r="K11" s="2"/>
      <c r="L11" s="37"/>
    </row>
    <row r="12" spans="1:13" x14ac:dyDescent="0.2">
      <c r="A12" s="13" t="str">
        <f>TEXT(COLUMN(),"(#)")</f>
        <v>(1)</v>
      </c>
      <c r="B12" s="13"/>
      <c r="C12" s="11" t="str">
        <f>TEXT(COLUMN()-1,"(#)")</f>
        <v>(2)</v>
      </c>
      <c r="D12" s="11" t="str">
        <f>TEXT(COLUMN()-1,"(#)")</f>
        <v>(3)</v>
      </c>
      <c r="E12" s="11" t="str">
        <f>TEXT(COLUMN()-1,"(#)")</f>
        <v>(4)</v>
      </c>
      <c r="F12" s="11" t="str">
        <f>TEXT(COLUMN()-1,"(#)")</f>
        <v>(5)</v>
      </c>
      <c r="G12" s="11" t="str">
        <f>TEXT(COLUMN()-1,"(#)")</f>
        <v>(6)</v>
      </c>
      <c r="I12" s="11"/>
      <c r="K12" s="2"/>
    </row>
    <row r="13" spans="1:13" x14ac:dyDescent="0.2">
      <c r="K13" s="2"/>
    </row>
    <row r="14" spans="1:13" x14ac:dyDescent="0.2">
      <c r="A14" s="93">
        <v>1994</v>
      </c>
      <c r="B14" s="12"/>
      <c r="C14" s="151">
        <f>'[3]11.2'!C14</f>
        <v>10672677</v>
      </c>
      <c r="D14" s="151">
        <f>'[3]11.2'!D14</f>
        <v>15758330</v>
      </c>
      <c r="E14" s="26">
        <f>SUM(C14:D14)</f>
        <v>26431007</v>
      </c>
      <c r="F14" s="151">
        <f>'[3]11.2'!F14</f>
        <v>26510501</v>
      </c>
      <c r="G14" s="50">
        <f t="shared" ref="G14:G45" si="0">E14-F14</f>
        <v>-79494</v>
      </c>
      <c r="K14" s="2"/>
      <c r="L14" s="20"/>
      <c r="M14" s="22">
        <f t="shared" ref="M14:M40" si="1">G14/F14</f>
        <v>-2.9985853530267118E-3</v>
      </c>
    </row>
    <row r="15" spans="1:13" x14ac:dyDescent="0.2">
      <c r="A15" t="str">
        <f>TEXT(A14+1,"#")</f>
        <v>1995</v>
      </c>
      <c r="B15" s="12"/>
      <c r="C15" s="151">
        <f>'[3]11.2'!C15</f>
        <v>12865905</v>
      </c>
      <c r="D15" s="151">
        <f>'[3]11.2'!D15</f>
        <v>19259265</v>
      </c>
      <c r="E15" s="26">
        <f t="shared" ref="E15:E30" si="2">SUM(C15:D15)</f>
        <v>32125170</v>
      </c>
      <c r="F15" s="151">
        <f>'[3]11.2'!F15</f>
        <v>32419287</v>
      </c>
      <c r="G15" s="50">
        <f t="shared" si="0"/>
        <v>-294117</v>
      </c>
      <c r="K15" s="2"/>
      <c r="L15" s="20"/>
      <c r="M15" s="22">
        <f t="shared" si="1"/>
        <v>-9.0722846557359516E-3</v>
      </c>
    </row>
    <row r="16" spans="1:13" x14ac:dyDescent="0.2">
      <c r="A16" t="str">
        <f t="shared" ref="A16:A30" si="3">TEXT(A15+1,"#")</f>
        <v>1996</v>
      </c>
      <c r="C16" s="151">
        <f>'[3]11.2'!C16</f>
        <v>15640660</v>
      </c>
      <c r="D16" s="151">
        <f>'[3]11.2'!D16</f>
        <v>24504127</v>
      </c>
      <c r="E16" s="26">
        <f t="shared" si="2"/>
        <v>40144787</v>
      </c>
      <c r="F16" s="151">
        <f>'[3]11.2'!F16</f>
        <v>40358575</v>
      </c>
      <c r="G16" s="50">
        <f t="shared" si="0"/>
        <v>-213788</v>
      </c>
      <c r="K16" s="2"/>
      <c r="L16" s="20"/>
      <c r="M16" s="22">
        <f t="shared" si="1"/>
        <v>-5.2972137891389871E-3</v>
      </c>
    </row>
    <row r="17" spans="1:13" x14ac:dyDescent="0.2">
      <c r="A17" t="str">
        <f t="shared" si="3"/>
        <v>1997</v>
      </c>
      <c r="C17" s="151">
        <f>'[3]11.2'!C17</f>
        <v>16536186</v>
      </c>
      <c r="D17" s="151">
        <f>'[3]11.2'!D17</f>
        <v>25783455</v>
      </c>
      <c r="E17" s="26">
        <f t="shared" si="2"/>
        <v>42319641</v>
      </c>
      <c r="F17" s="151">
        <f>'[3]11.2'!F17</f>
        <v>42462844</v>
      </c>
      <c r="G17" s="50">
        <f t="shared" si="0"/>
        <v>-143203</v>
      </c>
      <c r="K17" s="2"/>
      <c r="L17" s="20"/>
      <c r="M17" s="22">
        <f t="shared" si="1"/>
        <v>-3.3724307302638512E-3</v>
      </c>
    </row>
    <row r="18" spans="1:13" x14ac:dyDescent="0.2">
      <c r="A18" t="str">
        <f t="shared" si="3"/>
        <v>1998</v>
      </c>
      <c r="C18" s="151">
        <f>'[3]11.2'!C18</f>
        <v>16558977</v>
      </c>
      <c r="D18" s="151">
        <f>'[3]11.2'!D18</f>
        <v>27833800</v>
      </c>
      <c r="E18" s="26">
        <f t="shared" si="2"/>
        <v>44392777</v>
      </c>
      <c r="F18" s="151">
        <f>'[3]11.2'!F18</f>
        <v>44410914</v>
      </c>
      <c r="G18" s="50">
        <f t="shared" si="0"/>
        <v>-18137</v>
      </c>
      <c r="K18" s="2"/>
      <c r="L18" s="20"/>
      <c r="M18" s="22">
        <f t="shared" si="1"/>
        <v>-4.0839060416545357E-4</v>
      </c>
    </row>
    <row r="19" spans="1:13" x14ac:dyDescent="0.2">
      <c r="A19" t="str">
        <f t="shared" si="3"/>
        <v>1999</v>
      </c>
      <c r="C19" s="151">
        <f>'[3]11.2'!C19</f>
        <v>17394142.049999997</v>
      </c>
      <c r="D19" s="151">
        <f>'[3]11.2'!D19</f>
        <v>27168992</v>
      </c>
      <c r="E19" s="26">
        <f t="shared" si="2"/>
        <v>44563134.049999997</v>
      </c>
      <c r="F19" s="151">
        <f>'[3]11.2'!F19</f>
        <v>44581218</v>
      </c>
      <c r="G19" s="50">
        <f t="shared" si="0"/>
        <v>-18083.95000000298</v>
      </c>
      <c r="K19" s="2"/>
      <c r="L19" s="20"/>
      <c r="M19" s="22">
        <f t="shared" si="1"/>
        <v>-4.0564055472874203E-4</v>
      </c>
    </row>
    <row r="20" spans="1:13" x14ac:dyDescent="0.2">
      <c r="A20" t="str">
        <f t="shared" si="3"/>
        <v>2000</v>
      </c>
      <c r="C20" s="151">
        <f>'[3]11.2'!C20</f>
        <v>17332561</v>
      </c>
      <c r="D20" s="151">
        <f>'[3]11.2'!D20</f>
        <v>29762296</v>
      </c>
      <c r="E20" s="26">
        <f t="shared" si="2"/>
        <v>47094857</v>
      </c>
      <c r="F20" s="151">
        <f>'[3]11.2'!F20</f>
        <v>48012426</v>
      </c>
      <c r="G20" s="50">
        <f t="shared" si="0"/>
        <v>-917569</v>
      </c>
      <c r="K20" s="2"/>
      <c r="L20" s="20"/>
      <c r="M20" s="22">
        <f t="shared" si="1"/>
        <v>-1.911107345419288E-2</v>
      </c>
    </row>
    <row r="21" spans="1:13" x14ac:dyDescent="0.2">
      <c r="A21" t="str">
        <f t="shared" si="3"/>
        <v>2001</v>
      </c>
      <c r="C21" s="151">
        <f>'[3]11.2'!C21</f>
        <v>17544251</v>
      </c>
      <c r="D21" s="151">
        <f>'[3]11.2'!D21</f>
        <v>36220622.519999996</v>
      </c>
      <c r="E21" s="26">
        <f t="shared" si="2"/>
        <v>53764873.519999996</v>
      </c>
      <c r="F21" s="151">
        <f>'[3]11.2'!F21</f>
        <v>54630727</v>
      </c>
      <c r="G21" s="50">
        <f t="shared" si="0"/>
        <v>-865853.48000000417</v>
      </c>
      <c r="K21" s="2"/>
      <c r="L21" s="20"/>
      <c r="M21" s="22">
        <f t="shared" si="1"/>
        <v>-1.584920295862078E-2</v>
      </c>
    </row>
    <row r="22" spans="1:13" x14ac:dyDescent="0.2">
      <c r="A22" t="str">
        <f t="shared" si="3"/>
        <v>2002</v>
      </c>
      <c r="C22" s="151">
        <f>'[3]11.2'!C22</f>
        <v>24013525</v>
      </c>
      <c r="D22" s="151">
        <f>'[3]11.2'!D22</f>
        <v>48856422.25</v>
      </c>
      <c r="E22" s="26">
        <f t="shared" si="2"/>
        <v>72869947.25</v>
      </c>
      <c r="F22" s="151">
        <f>'[3]11.2'!F22</f>
        <v>72967831</v>
      </c>
      <c r="G22" s="50">
        <f t="shared" si="0"/>
        <v>-97883.75</v>
      </c>
      <c r="K22" s="2"/>
      <c r="L22" s="20"/>
      <c r="M22" s="22">
        <f t="shared" si="1"/>
        <v>-1.3414644324565438E-3</v>
      </c>
    </row>
    <row r="23" spans="1:13" x14ac:dyDescent="0.2">
      <c r="A23" t="str">
        <f t="shared" si="3"/>
        <v>2003</v>
      </c>
      <c r="C23" s="151">
        <f>'[3]11.2'!C23</f>
        <v>29220514</v>
      </c>
      <c r="D23" s="151">
        <f>'[3]11.2'!D23</f>
        <v>58573191</v>
      </c>
      <c r="E23" s="26">
        <f t="shared" si="2"/>
        <v>87793705</v>
      </c>
      <c r="F23" s="151">
        <f>'[3]11.2'!F23</f>
        <v>87987279</v>
      </c>
      <c r="G23" s="50">
        <f t="shared" si="0"/>
        <v>-193574</v>
      </c>
      <c r="K23" s="2"/>
      <c r="L23" s="20"/>
      <c r="M23" s="22">
        <f t="shared" si="1"/>
        <v>-2.2000225737177303E-3</v>
      </c>
    </row>
    <row r="24" spans="1:13" x14ac:dyDescent="0.2">
      <c r="A24" t="str">
        <f t="shared" si="3"/>
        <v>2004</v>
      </c>
      <c r="C24" s="151">
        <f>'[3]11.2'!C24</f>
        <v>31009323</v>
      </c>
      <c r="D24" s="151">
        <f>'[3]11.2'!D24</f>
        <v>71292702</v>
      </c>
      <c r="E24" s="26">
        <f t="shared" si="2"/>
        <v>102302025</v>
      </c>
      <c r="F24" s="151">
        <f>'[3]11.2'!F24</f>
        <v>102384351</v>
      </c>
      <c r="G24" s="50">
        <f t="shared" si="0"/>
        <v>-82326</v>
      </c>
      <c r="K24" s="2"/>
      <c r="L24" s="20"/>
      <c r="M24" s="22">
        <f t="shared" si="1"/>
        <v>-8.0408772625808805E-4</v>
      </c>
    </row>
    <row r="25" spans="1:13" x14ac:dyDescent="0.2">
      <c r="A25" t="str">
        <f t="shared" si="3"/>
        <v>2005</v>
      </c>
      <c r="B25" s="23"/>
      <c r="C25" s="151">
        <f>'[3]11.2'!C25</f>
        <v>35740174</v>
      </c>
      <c r="D25" s="151">
        <f>'[3]11.2'!D25</f>
        <v>78094458</v>
      </c>
      <c r="E25" s="26">
        <f t="shared" si="2"/>
        <v>113834632</v>
      </c>
      <c r="F25" s="151">
        <f>'[3]11.2'!F25</f>
        <v>113927701</v>
      </c>
      <c r="G25" s="50">
        <f t="shared" si="0"/>
        <v>-93069</v>
      </c>
      <c r="K25" s="2"/>
      <c r="L25" s="20"/>
      <c r="M25" s="22">
        <f t="shared" si="1"/>
        <v>-8.169128243885129E-4</v>
      </c>
    </row>
    <row r="26" spans="1:13" x14ac:dyDescent="0.2">
      <c r="A26" t="str">
        <f t="shared" si="3"/>
        <v>2006</v>
      </c>
      <c r="C26" s="151">
        <f>'[3]11.2'!C26</f>
        <v>76847840</v>
      </c>
      <c r="D26" s="151">
        <f>'[3]11.2'!D26</f>
        <v>119658576</v>
      </c>
      <c r="E26" s="26">
        <f t="shared" si="2"/>
        <v>196506416</v>
      </c>
      <c r="F26" s="151">
        <f>'[3]11.2'!F26</f>
        <v>196833235</v>
      </c>
      <c r="G26" s="50">
        <f t="shared" si="0"/>
        <v>-326819</v>
      </c>
      <c r="K26" s="2"/>
      <c r="L26" s="20"/>
      <c r="M26" s="22">
        <f t="shared" si="1"/>
        <v>-1.6603852494727325E-3</v>
      </c>
    </row>
    <row r="27" spans="1:13" x14ac:dyDescent="0.2">
      <c r="A27" t="str">
        <f t="shared" si="3"/>
        <v>2007</v>
      </c>
      <c r="C27" s="151">
        <f>'[3]11.2'!C27</f>
        <v>110951718</v>
      </c>
      <c r="D27" s="151">
        <f>'[3]11.2'!D27</f>
        <v>203561196</v>
      </c>
      <c r="E27" s="26">
        <f t="shared" si="2"/>
        <v>314512914</v>
      </c>
      <c r="F27" s="151">
        <f>'[3]11.2'!F27</f>
        <v>315139307</v>
      </c>
      <c r="G27" s="50">
        <f t="shared" si="0"/>
        <v>-626393</v>
      </c>
      <c r="K27" s="2"/>
      <c r="L27" s="20"/>
      <c r="M27" s="22">
        <f t="shared" si="1"/>
        <v>-1.9876701702590213E-3</v>
      </c>
    </row>
    <row r="28" spans="1:13" x14ac:dyDescent="0.2">
      <c r="A28" t="str">
        <f t="shared" si="3"/>
        <v>2008</v>
      </c>
      <c r="B28" s="23"/>
      <c r="C28" s="151">
        <f>'[3]11.2'!C28</f>
        <v>98036118.420000017</v>
      </c>
      <c r="D28" s="151">
        <f>'[3]11.2'!D28</f>
        <v>232925989.76999998</v>
      </c>
      <c r="E28" s="26">
        <f t="shared" si="2"/>
        <v>330962108.19</v>
      </c>
      <c r="F28" s="151">
        <f>'[3]11.2'!F28</f>
        <v>331057645</v>
      </c>
      <c r="G28" s="50">
        <f t="shared" si="0"/>
        <v>-95536.810000002384</v>
      </c>
      <c r="K28" s="2"/>
      <c r="L28" s="20"/>
      <c r="M28" s="22">
        <f t="shared" si="1"/>
        <v>-2.8858058843499109E-4</v>
      </c>
    </row>
    <row r="29" spans="1:13" x14ac:dyDescent="0.2">
      <c r="A29" t="str">
        <f t="shared" si="3"/>
        <v>2009</v>
      </c>
      <c r="C29" s="151">
        <f>'[3]11.2'!C29</f>
        <v>111269572.63</v>
      </c>
      <c r="D29" s="151">
        <f>'[3]11.2'!D29</f>
        <v>269535059.02999997</v>
      </c>
      <c r="E29" s="26">
        <f t="shared" si="2"/>
        <v>380804631.65999997</v>
      </c>
      <c r="F29" s="151">
        <f>'[3]11.2'!F29</f>
        <v>382342402</v>
      </c>
      <c r="G29" s="50">
        <f t="shared" si="0"/>
        <v>-1537770.3400000334</v>
      </c>
      <c r="K29" s="2"/>
      <c r="L29" s="20"/>
      <c r="M29" s="22">
        <f t="shared" si="1"/>
        <v>-4.021971750860197E-3</v>
      </c>
    </row>
    <row r="30" spans="1:13" x14ac:dyDescent="0.2">
      <c r="A30" t="str">
        <f t="shared" si="3"/>
        <v>2010</v>
      </c>
      <c r="B30" s="23"/>
      <c r="C30" s="151">
        <f>'[3]11.2'!C30</f>
        <v>102174679.52999991</v>
      </c>
      <c r="D30" s="151">
        <f>'[3]11.2'!D30</f>
        <v>278116922.00999999</v>
      </c>
      <c r="E30" s="26">
        <f t="shared" si="2"/>
        <v>380291601.5399999</v>
      </c>
      <c r="F30" s="151">
        <f>'[3]11.2'!F30</f>
        <v>385549582</v>
      </c>
      <c r="G30" s="50">
        <f t="shared" si="0"/>
        <v>-5257980.4600000978</v>
      </c>
      <c r="K30" s="2"/>
      <c r="L30" s="20"/>
      <c r="M30" s="22">
        <f t="shared" si="1"/>
        <v>-1.3637624589617887E-2</v>
      </c>
    </row>
    <row r="31" spans="1:13" x14ac:dyDescent="0.2">
      <c r="A31" t="str">
        <f t="shared" ref="A31:A45" si="4">TEXT(A30+1,"#")</f>
        <v>2011</v>
      </c>
      <c r="B31" s="23"/>
      <c r="C31" s="151">
        <f>'[3]11.2'!C31</f>
        <v>100017021</v>
      </c>
      <c r="D31" s="151">
        <f>'[3]11.2'!D31</f>
        <v>307494236.20000005</v>
      </c>
      <c r="E31" s="26">
        <f t="shared" ref="E31:E37" si="5">SUM(C31:D31)</f>
        <v>407511257.20000005</v>
      </c>
      <c r="F31" s="151">
        <f>'[3]11.2'!F31</f>
        <v>403748164</v>
      </c>
      <c r="G31" s="50">
        <f t="shared" si="0"/>
        <v>3763093.2000000477</v>
      </c>
      <c r="K31" s="2"/>
      <c r="L31" s="20"/>
      <c r="M31" s="22">
        <f t="shared" si="1"/>
        <v>9.3203970582019721E-3</v>
      </c>
    </row>
    <row r="32" spans="1:13" x14ac:dyDescent="0.2">
      <c r="A32" t="str">
        <f t="shared" si="4"/>
        <v>2012</v>
      </c>
      <c r="B32" s="23"/>
      <c r="C32" s="151">
        <f>'[3]11.2'!C32</f>
        <v>110524396.51999998</v>
      </c>
      <c r="D32" s="151">
        <f>'[3]11.2'!D32</f>
        <v>335795725.19999981</v>
      </c>
      <c r="E32" s="26">
        <f>SUM(C32:D32)</f>
        <v>446320121.71999979</v>
      </c>
      <c r="F32" s="151">
        <f>'[3]11.2'!F32</f>
        <v>443479701</v>
      </c>
      <c r="G32" s="50">
        <f t="shared" si="0"/>
        <v>2840420.7199997902</v>
      </c>
      <c r="K32" s="2"/>
      <c r="L32" s="20"/>
      <c r="M32" s="22">
        <f t="shared" si="1"/>
        <v>6.4048494521732127E-3</v>
      </c>
    </row>
    <row r="33" spans="1:13" x14ac:dyDescent="0.2">
      <c r="A33" t="str">
        <f t="shared" si="4"/>
        <v>2013</v>
      </c>
      <c r="B33" s="23"/>
      <c r="C33" s="151">
        <f>'[3]11.2'!C33</f>
        <v>112904624</v>
      </c>
      <c r="D33" s="151">
        <f>'[3]11.2'!D33</f>
        <v>360838080.7099998</v>
      </c>
      <c r="E33" s="19">
        <f t="shared" si="5"/>
        <v>473742704.7099998</v>
      </c>
      <c r="F33" s="151">
        <f>'[3]11.2'!F33</f>
        <v>472739474</v>
      </c>
      <c r="G33" s="50">
        <f t="shared" si="0"/>
        <v>1003230.7099997997</v>
      </c>
      <c r="K33" s="2"/>
      <c r="L33" s="20"/>
      <c r="M33" s="22">
        <f t="shared" si="1"/>
        <v>2.1221640357449814E-3</v>
      </c>
    </row>
    <row r="34" spans="1:13" x14ac:dyDescent="0.2">
      <c r="A34" t="str">
        <f t="shared" si="4"/>
        <v>2014</v>
      </c>
      <c r="B34" s="23"/>
      <c r="C34" s="151">
        <f>'[3]11.2'!C34</f>
        <v>104642688</v>
      </c>
      <c r="D34" s="151">
        <f>'[3]11.2'!D34</f>
        <v>389333918.13999987</v>
      </c>
      <c r="E34" s="26">
        <f t="shared" si="5"/>
        <v>493976606.13999987</v>
      </c>
      <c r="F34" s="151">
        <f>'[3]11.2'!F34</f>
        <v>494036010</v>
      </c>
      <c r="G34" s="50">
        <f t="shared" si="0"/>
        <v>-59403.860000133514</v>
      </c>
      <c r="K34" s="2"/>
      <c r="L34" s="20"/>
      <c r="M34" s="22">
        <f t="shared" si="1"/>
        <v>-1.2024196373890541E-4</v>
      </c>
    </row>
    <row r="35" spans="1:13" x14ac:dyDescent="0.2">
      <c r="A35" t="str">
        <f t="shared" si="4"/>
        <v>2015</v>
      </c>
      <c r="B35" s="23"/>
      <c r="C35" s="151">
        <f>'[3]11.2'!C35</f>
        <v>98715934</v>
      </c>
      <c r="D35" s="151">
        <f>'[3]11.2'!D35</f>
        <v>407969846.0800004</v>
      </c>
      <c r="E35" s="26">
        <f t="shared" si="5"/>
        <v>506685780.0800004</v>
      </c>
      <c r="F35" s="151">
        <f>'[3]11.2'!F35</f>
        <v>503824316</v>
      </c>
      <c r="G35" s="50">
        <f t="shared" si="0"/>
        <v>2861464.0800004005</v>
      </c>
      <c r="K35" s="2"/>
      <c r="L35" s="20"/>
      <c r="M35" s="22">
        <f t="shared" si="1"/>
        <v>5.6794878475067501E-3</v>
      </c>
    </row>
    <row r="36" spans="1:13" x14ac:dyDescent="0.2">
      <c r="A36" t="str">
        <f t="shared" si="4"/>
        <v>2016</v>
      </c>
      <c r="B36" s="23"/>
      <c r="C36" s="151">
        <f>'[3]11.2'!C36</f>
        <v>88278690</v>
      </c>
      <c r="D36" s="151">
        <f>'[3]11.2'!D36</f>
        <v>399074847</v>
      </c>
      <c r="E36" s="26">
        <f t="shared" si="5"/>
        <v>487353537</v>
      </c>
      <c r="F36" s="151">
        <f>'[3]11.2'!F36</f>
        <v>487353537</v>
      </c>
      <c r="G36" s="50">
        <f t="shared" si="0"/>
        <v>0</v>
      </c>
      <c r="K36" s="2"/>
      <c r="L36" s="20"/>
      <c r="M36" s="22">
        <f t="shared" si="1"/>
        <v>0</v>
      </c>
    </row>
    <row r="37" spans="1:13" x14ac:dyDescent="0.2">
      <c r="A37" t="str">
        <f t="shared" si="4"/>
        <v>2017</v>
      </c>
      <c r="B37" s="23"/>
      <c r="C37" s="151">
        <f>'[3]11.2'!C37</f>
        <v>70749081</v>
      </c>
      <c r="D37" s="151">
        <f>'[3]11.2'!D37</f>
        <v>352368052</v>
      </c>
      <c r="E37" s="26">
        <f t="shared" si="5"/>
        <v>423117133</v>
      </c>
      <c r="F37" s="151">
        <f>'[3]11.2'!F37</f>
        <v>423074138</v>
      </c>
      <c r="G37" s="50">
        <f t="shared" si="0"/>
        <v>42995</v>
      </c>
      <c r="K37" s="2"/>
      <c r="L37" s="20"/>
      <c r="M37" s="22">
        <f t="shared" si="1"/>
        <v>1.0162521444409348E-4</v>
      </c>
    </row>
    <row r="38" spans="1:13" x14ac:dyDescent="0.2">
      <c r="A38" t="str">
        <f t="shared" si="4"/>
        <v>2018</v>
      </c>
      <c r="B38" s="23"/>
      <c r="C38" s="151">
        <f>'[3]11.2'!C38</f>
        <v>65696833</v>
      </c>
      <c r="D38" s="151">
        <f>'[3]11.2'!D38</f>
        <v>331676957</v>
      </c>
      <c r="E38" s="26">
        <f t="shared" ref="E38:E45" si="6">SUM(C38:D38)</f>
        <v>397373790</v>
      </c>
      <c r="F38" s="151">
        <f>'[3]11.2'!F38</f>
        <v>395551679</v>
      </c>
      <c r="G38" s="50">
        <f t="shared" si="0"/>
        <v>1822111</v>
      </c>
      <c r="K38" s="2"/>
      <c r="M38" s="22">
        <f t="shared" si="1"/>
        <v>4.6065055383066643E-3</v>
      </c>
    </row>
    <row r="39" spans="1:13" x14ac:dyDescent="0.2">
      <c r="A39" t="str">
        <f t="shared" si="4"/>
        <v>2019</v>
      </c>
      <c r="B39" s="23"/>
      <c r="C39" s="151">
        <f>'[3]11.2'!C39</f>
        <v>59123729</v>
      </c>
      <c r="D39" s="151">
        <f>'[3]11.2'!D39</f>
        <v>314907158.99999952</v>
      </c>
      <c r="E39" s="26">
        <f t="shared" si="6"/>
        <v>374030887.99999952</v>
      </c>
      <c r="F39" s="151">
        <f>'[3]11.2'!F39</f>
        <v>372016601</v>
      </c>
      <c r="G39" s="50">
        <f t="shared" si="0"/>
        <v>2014286.9999995232</v>
      </c>
      <c r="K39" s="2"/>
      <c r="M39" s="22">
        <f t="shared" si="1"/>
        <v>5.4145083702851291E-3</v>
      </c>
    </row>
    <row r="40" spans="1:13" x14ac:dyDescent="0.2">
      <c r="A40" t="str">
        <f t="shared" si="4"/>
        <v>2020</v>
      </c>
      <c r="B40" s="23"/>
      <c r="C40" s="151">
        <f>'[3]11.2'!C40</f>
        <v>60327052</v>
      </c>
      <c r="D40" s="151">
        <f>'[3]11.2'!D40</f>
        <v>310312753</v>
      </c>
      <c r="E40" s="26">
        <f t="shared" si="6"/>
        <v>370639805</v>
      </c>
      <c r="F40" s="151">
        <f>'[3]11.2'!F40</f>
        <v>369600488</v>
      </c>
      <c r="G40" s="50">
        <f t="shared" si="0"/>
        <v>1039317</v>
      </c>
      <c r="K40" s="2"/>
      <c r="M40" s="22">
        <f t="shared" si="1"/>
        <v>2.8120011573144893E-3</v>
      </c>
    </row>
    <row r="41" spans="1:13" x14ac:dyDescent="0.2">
      <c r="A41" t="str">
        <f t="shared" si="4"/>
        <v>2021</v>
      </c>
      <c r="B41" s="23"/>
      <c r="C41" s="151">
        <f>'[3]11.2'!C41</f>
        <v>63366551</v>
      </c>
      <c r="D41" s="151">
        <f>'[3]11.2'!D41</f>
        <v>331736850</v>
      </c>
      <c r="E41" s="26">
        <f t="shared" si="6"/>
        <v>395103401</v>
      </c>
      <c r="F41" s="151">
        <f>'[3]11.2'!F41</f>
        <v>395112773</v>
      </c>
      <c r="G41" s="50">
        <f t="shared" si="0"/>
        <v>-9372</v>
      </c>
      <c r="K41" s="2"/>
      <c r="M41" s="22">
        <f>G41/F41</f>
        <v>-2.3719810242631666E-5</v>
      </c>
    </row>
    <row r="42" spans="1:13" x14ac:dyDescent="0.2">
      <c r="A42" t="str">
        <f t="shared" si="4"/>
        <v>2022</v>
      </c>
      <c r="B42" s="23"/>
      <c r="C42" s="151">
        <f>'[3]11.2'!C42</f>
        <v>88784127</v>
      </c>
      <c r="D42" s="151">
        <f>'[3]11.2'!D42</f>
        <v>429663068</v>
      </c>
      <c r="E42" s="26">
        <f t="shared" si="6"/>
        <v>518447195</v>
      </c>
      <c r="F42" s="151">
        <f>'[3]11.2'!F42</f>
        <v>518299032</v>
      </c>
      <c r="G42" s="50">
        <f t="shared" si="0"/>
        <v>148163</v>
      </c>
      <c r="K42" s="2"/>
      <c r="M42" s="22">
        <f t="shared" ref="M42:M45" si="7">G42/F42</f>
        <v>2.8586393346765888E-4</v>
      </c>
    </row>
    <row r="43" spans="1:13" x14ac:dyDescent="0.2">
      <c r="A43" t="str">
        <f t="shared" si="4"/>
        <v>2023</v>
      </c>
      <c r="B43" s="23"/>
      <c r="C43" s="151">
        <f>'[3]11.2'!C43</f>
        <v>130162738</v>
      </c>
      <c r="D43" s="151">
        <f>'[3]11.2'!D43</f>
        <v>522931821</v>
      </c>
      <c r="E43" s="26">
        <f t="shared" si="6"/>
        <v>653094559</v>
      </c>
      <c r="F43" s="151">
        <f>'[3]11.2'!F43</f>
        <v>653043231</v>
      </c>
      <c r="G43" s="50">
        <f t="shared" si="0"/>
        <v>51328</v>
      </c>
      <c r="K43" s="2"/>
      <c r="M43" s="22">
        <f t="shared" si="7"/>
        <v>7.8598165578413294E-5</v>
      </c>
    </row>
    <row r="44" spans="1:13" x14ac:dyDescent="0.2">
      <c r="A44" t="str">
        <f t="shared" si="4"/>
        <v>2024</v>
      </c>
      <c r="B44" s="23"/>
      <c r="C44" s="151">
        <f>'[3]11.2'!C44</f>
        <v>130434727</v>
      </c>
      <c r="D44" s="151">
        <f>'[3]11.2'!D44</f>
        <v>628410118</v>
      </c>
      <c r="E44" s="26">
        <f t="shared" si="6"/>
        <v>758844845</v>
      </c>
      <c r="F44" s="151">
        <f>'[3]11.2'!F44</f>
        <v>758845192</v>
      </c>
      <c r="G44" s="50">
        <f t="shared" si="0"/>
        <v>-347</v>
      </c>
      <c r="K44" s="2"/>
      <c r="M44" s="22">
        <f t="shared" si="7"/>
        <v>-4.5727376763823522E-7</v>
      </c>
    </row>
    <row r="45" spans="1:13" x14ac:dyDescent="0.2">
      <c r="A45" t="str">
        <f t="shared" si="4"/>
        <v>2025</v>
      </c>
      <c r="B45" s="23"/>
      <c r="C45" s="151">
        <f>'[3]11.2'!C45</f>
        <v>117408620</v>
      </c>
      <c r="D45" s="151">
        <f>'[3]11.2'!D45</f>
        <v>703455911</v>
      </c>
      <c r="E45" s="26">
        <f t="shared" si="6"/>
        <v>820864531</v>
      </c>
      <c r="F45" s="151">
        <f>'[3]11.2'!F45</f>
        <v>820864531</v>
      </c>
      <c r="G45" s="50">
        <f t="shared" si="0"/>
        <v>0</v>
      </c>
      <c r="K45" s="2"/>
      <c r="M45" s="22">
        <f t="shared" si="7"/>
        <v>0</v>
      </c>
    </row>
    <row r="46" spans="1:13" x14ac:dyDescent="0.2">
      <c r="A46" s="142"/>
      <c r="B46" s="142"/>
      <c r="C46" s="142"/>
      <c r="D46" s="142"/>
      <c r="E46" s="142"/>
      <c r="F46" s="142"/>
      <c r="G46" s="142"/>
      <c r="K46" s="2"/>
    </row>
    <row r="47" spans="1:13" x14ac:dyDescent="0.2">
      <c r="A47" t="s">
        <v>9</v>
      </c>
      <c r="C47" s="50">
        <f>SUM(C14:C46)</f>
        <v>2144945635.1499999</v>
      </c>
      <c r="D47" s="50">
        <f t="shared" ref="D47:G47" si="8">SUM(D14:D46)</f>
        <v>7692874745.9099998</v>
      </c>
      <c r="E47" s="50">
        <f t="shared" si="8"/>
        <v>9837820381.0599995</v>
      </c>
      <c r="F47" s="50">
        <f t="shared" si="8"/>
        <v>9833164692</v>
      </c>
      <c r="G47" s="50">
        <f t="shared" si="8"/>
        <v>4655689.0599992871</v>
      </c>
      <c r="K47" s="2"/>
    </row>
    <row r="48" spans="1:13" ht="12" thickBot="1" x14ac:dyDescent="0.25">
      <c r="A48" s="6"/>
      <c r="B48" s="6"/>
      <c r="C48" s="6"/>
      <c r="D48" s="6"/>
      <c r="E48" s="6"/>
      <c r="F48" s="6"/>
      <c r="G48" s="6"/>
      <c r="K48" s="2"/>
      <c r="L48" s="59"/>
    </row>
    <row r="49" spans="1:11" ht="12" thickTop="1" x14ac:dyDescent="0.2">
      <c r="K49" s="2"/>
    </row>
    <row r="50" spans="1:11" x14ac:dyDescent="0.2">
      <c r="A50" t="s">
        <v>17</v>
      </c>
      <c r="K50" s="2"/>
    </row>
    <row r="51" spans="1:11" x14ac:dyDescent="0.2">
      <c r="B51" s="154" t="str">
        <f>'[3]11.2'!B51</f>
        <v>(2), (3) Provided by TWIA, as of 12/31/2025</v>
      </c>
      <c r="K51" s="2"/>
    </row>
    <row r="52" spans="1:11" x14ac:dyDescent="0.2">
      <c r="B52" s="154" t="str">
        <f>'[3]11.2'!B52</f>
        <v>(4) = (2) + (3)</v>
      </c>
      <c r="K52" s="2"/>
    </row>
    <row r="53" spans="1:11" x14ac:dyDescent="0.2">
      <c r="B53" s="154" t="str">
        <f>'[3]11.2'!B53</f>
        <v>(5) Based on TWIA Annual Statements</v>
      </c>
      <c r="K53" s="2"/>
    </row>
    <row r="54" spans="1:11" x14ac:dyDescent="0.2">
      <c r="B54" s="154" t="str">
        <f>'[3]11.2'!B54</f>
        <v>(6) = (4) - (5)</v>
      </c>
      <c r="K54" s="2"/>
    </row>
    <row r="55" spans="1:11" x14ac:dyDescent="0.2">
      <c r="B55" s="12"/>
      <c r="K55" s="2"/>
    </row>
    <row r="56" spans="1:11" x14ac:dyDescent="0.2">
      <c r="K56" s="2"/>
    </row>
    <row r="57" spans="1:11" x14ac:dyDescent="0.2">
      <c r="K57" s="2"/>
    </row>
    <row r="58" spans="1:11" x14ac:dyDescent="0.2">
      <c r="K58" s="2"/>
    </row>
    <row r="59" spans="1:11" x14ac:dyDescent="0.2">
      <c r="K59" s="2"/>
    </row>
    <row r="60" spans="1:11" x14ac:dyDescent="0.2">
      <c r="K60" s="2"/>
    </row>
    <row r="61" spans="1:11" x14ac:dyDescent="0.2">
      <c r="K61" s="2"/>
    </row>
    <row r="62" spans="1:11" x14ac:dyDescent="0.2">
      <c r="K62" s="2"/>
    </row>
    <row r="63" spans="1:11" x14ac:dyDescent="0.2">
      <c r="C63" s="12"/>
      <c r="K63" s="2"/>
    </row>
    <row r="64" spans="1:11" x14ac:dyDescent="0.2">
      <c r="K64" s="2"/>
    </row>
    <row r="65" spans="1:11" x14ac:dyDescent="0.2">
      <c r="K65" s="2"/>
    </row>
    <row r="66" spans="1:11" x14ac:dyDescent="0.2">
      <c r="H66" s="19"/>
      <c r="I66" s="19"/>
      <c r="K66" s="2"/>
    </row>
    <row r="67" spans="1:11" x14ac:dyDescent="0.2">
      <c r="A67" s="41"/>
      <c r="C67" s="31"/>
      <c r="D67" s="31"/>
      <c r="E67" s="31"/>
      <c r="F67" s="31"/>
      <c r="G67" s="19"/>
      <c r="H67" s="19"/>
      <c r="I67" s="19"/>
      <c r="K67" s="2"/>
    </row>
    <row r="68" spans="1:11" x14ac:dyDescent="0.2">
      <c r="A68" s="41"/>
      <c r="C68" s="31"/>
      <c r="D68" s="31"/>
      <c r="E68" s="31"/>
      <c r="F68" s="31"/>
      <c r="G68" s="19"/>
      <c r="H68" s="19"/>
      <c r="I68" s="19"/>
      <c r="K68" s="2"/>
    </row>
    <row r="69" spans="1:11" ht="12" thickBot="1" x14ac:dyDescent="0.25">
      <c r="A69" s="41"/>
      <c r="C69" s="31"/>
      <c r="D69" s="31"/>
      <c r="E69" s="31"/>
      <c r="F69" s="31"/>
      <c r="G69" s="19"/>
      <c r="H69" s="19"/>
      <c r="I69" s="19"/>
      <c r="K69" s="2"/>
    </row>
    <row r="70" spans="1:11" ht="12" thickBot="1" x14ac:dyDescent="0.25">
      <c r="A70" s="4"/>
      <c r="B70" s="5"/>
      <c r="C70" s="5"/>
      <c r="D70" s="5"/>
      <c r="E70" s="5"/>
      <c r="F70" s="5"/>
      <c r="G70" s="5"/>
      <c r="H70" s="5"/>
      <c r="I70" s="5"/>
      <c r="J70" s="5"/>
      <c r="K70" s="3"/>
    </row>
    <row r="72" spans="1:11" x14ac:dyDescent="0.2">
      <c r="B72" s="23"/>
      <c r="C72" s="42"/>
      <c r="D72" s="42"/>
      <c r="E72" s="42"/>
      <c r="F72" s="42"/>
      <c r="G72" s="22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92D050"/>
  </sheetPr>
  <dimension ref="A1:L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6" width="13" customWidth="1"/>
    <col min="7" max="7" width="15.6640625" customWidth="1"/>
    <col min="8" max="8" width="16.33203125" customWidth="1"/>
    <col min="9" max="9" width="11.33203125" customWidth="1"/>
    <col min="10" max="10" width="9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31</v>
      </c>
      <c r="K2" s="2"/>
    </row>
    <row r="3" spans="1:12" x14ac:dyDescent="0.2">
      <c r="A3" s="8" t="str">
        <f>'1'!$A$3</f>
        <v>Rate Level Review</v>
      </c>
      <c r="B3" s="12"/>
      <c r="J3" s="7"/>
      <c r="K3" s="2"/>
    </row>
    <row r="4" spans="1:12" x14ac:dyDescent="0.2">
      <c r="A4" t="s">
        <v>18</v>
      </c>
      <c r="B4" s="12"/>
      <c r="K4" s="2"/>
    </row>
    <row r="5" spans="1:12" x14ac:dyDescent="0.2">
      <c r="A5" t="s">
        <v>436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F7" s="6"/>
      <c r="G7" s="6"/>
      <c r="H7" s="6"/>
      <c r="K7" s="2"/>
      <c r="L7" t="s">
        <v>193</v>
      </c>
    </row>
    <row r="8" spans="1:12" ht="12" thickTop="1" x14ac:dyDescent="0.2">
      <c r="A8" t="s">
        <v>48</v>
      </c>
      <c r="K8" s="2"/>
      <c r="L8" s="37">
        <f>'2.4a'!L$22</f>
        <v>45930</v>
      </c>
    </row>
    <row r="9" spans="1:12" x14ac:dyDescent="0.2">
      <c r="A9" t="s">
        <v>49</v>
      </c>
      <c r="C9" s="180" t="s">
        <v>33</v>
      </c>
      <c r="D9" s="11"/>
      <c r="E9" s="11" t="s">
        <v>36</v>
      </c>
      <c r="F9" s="11" t="s">
        <v>38</v>
      </c>
      <c r="G9" s="11" t="s">
        <v>42</v>
      </c>
      <c r="H9" s="11" t="s">
        <v>13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34</v>
      </c>
      <c r="E10" s="11" t="s">
        <v>37</v>
      </c>
      <c r="F10" s="11" t="s">
        <v>8</v>
      </c>
      <c r="G10" s="11" t="s">
        <v>40</v>
      </c>
      <c r="H10" s="11" t="s">
        <v>8</v>
      </c>
      <c r="K10" s="2"/>
    </row>
    <row r="11" spans="1:12" x14ac:dyDescent="0.2">
      <c r="A11" s="9" t="str">
        <f>TEXT($L$8,"m/d")</f>
        <v>9/30</v>
      </c>
      <c r="B11" s="9"/>
      <c r="C11" s="121" t="s">
        <v>39</v>
      </c>
      <c r="D11" s="121" t="s">
        <v>35</v>
      </c>
      <c r="E11" s="121" t="s">
        <v>35</v>
      </c>
      <c r="F11" s="121" t="s">
        <v>11</v>
      </c>
      <c r="G11" s="121" t="s">
        <v>41</v>
      </c>
      <c r="H11" s="121" t="s">
        <v>29</v>
      </c>
      <c r="K11" s="2"/>
    </row>
    <row r="12" spans="1:12" x14ac:dyDescent="0.2">
      <c r="A12" s="13" t="str">
        <f>TEXT(COLUMN(),"(#)")</f>
        <v>(1)</v>
      </c>
      <c r="B12" s="13"/>
      <c r="C12" s="11" t="str">
        <f t="shared" ref="C12:H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11" t="str">
        <f t="shared" si="0"/>
        <v>(7)</v>
      </c>
      <c r="I12" s="11"/>
      <c r="K12" s="2"/>
    </row>
    <row r="13" spans="1:12" x14ac:dyDescent="0.2">
      <c r="K13" s="2"/>
    </row>
    <row r="14" spans="1:12" x14ac:dyDescent="0.2">
      <c r="A14" t="str">
        <f t="shared" ref="A14:A22" si="1">TEXT(A15-1,"#")</f>
        <v>2016</v>
      </c>
      <c r="B14" s="23"/>
      <c r="C14" s="19">
        <f>'2.3b'!E14</f>
        <v>10985881</v>
      </c>
      <c r="D14" s="29">
        <f>'4'!$E$66</f>
        <v>0.29499999999999998</v>
      </c>
      <c r="E14" s="28">
        <f>'2.5'!$G31</f>
        <v>0.85499999999999998</v>
      </c>
      <c r="F14" s="19">
        <f>ROUND(C14*(1+D14)*E14,0)</f>
        <v>12163842</v>
      </c>
      <c r="G14" s="19">
        <f>'9.1a'!E14</f>
        <v>140103503</v>
      </c>
      <c r="H14" s="20">
        <f>ROUND(F14/G14,3)</f>
        <v>8.6999999999999994E-2</v>
      </c>
      <c r="I14" s="20"/>
      <c r="K14" s="2"/>
    </row>
    <row r="15" spans="1:12" x14ac:dyDescent="0.2">
      <c r="A15" t="str">
        <f t="shared" si="1"/>
        <v>2017</v>
      </c>
      <c r="B15" s="23"/>
      <c r="C15" s="19">
        <f>'2.3b'!E15</f>
        <v>2709781</v>
      </c>
      <c r="D15" s="29">
        <f t="shared" ref="D15:D23" si="2">D$14</f>
        <v>0.29499999999999998</v>
      </c>
      <c r="E15" s="28">
        <f>'2.5'!$G32</f>
        <v>0.82699999999999996</v>
      </c>
      <c r="F15" s="19">
        <f t="shared" ref="F15:F22" si="3">ROUND(C15*(1+D15)*E15,0)</f>
        <v>2902081</v>
      </c>
      <c r="G15" s="19">
        <f>'9.1a'!E15</f>
        <v>133016924</v>
      </c>
      <c r="H15" s="20">
        <f t="shared" ref="H15:H20" si="4">ROUND(F15/G15,3)</f>
        <v>2.1999999999999999E-2</v>
      </c>
      <c r="I15" s="20"/>
      <c r="K15" s="2"/>
    </row>
    <row r="16" spans="1:12" x14ac:dyDescent="0.2">
      <c r="A16" t="str">
        <f t="shared" si="1"/>
        <v>2018</v>
      </c>
      <c r="B16" s="23"/>
      <c r="C16" s="19">
        <f>'2.3b'!E16</f>
        <v>2553014</v>
      </c>
      <c r="D16" s="29">
        <f t="shared" si="2"/>
        <v>0.29499999999999998</v>
      </c>
      <c r="E16" s="28">
        <f>'2.5'!$G33</f>
        <v>0.81799999999999995</v>
      </c>
      <c r="F16" s="19">
        <f t="shared" si="3"/>
        <v>2704433</v>
      </c>
      <c r="G16" s="19">
        <f>'9.1a'!E16</f>
        <v>121376251</v>
      </c>
      <c r="H16" s="20">
        <f t="shared" si="4"/>
        <v>2.1999999999999999E-2</v>
      </c>
      <c r="I16" s="20"/>
      <c r="K16" s="2"/>
    </row>
    <row r="17" spans="1:11" x14ac:dyDescent="0.2">
      <c r="A17" t="str">
        <f t="shared" si="1"/>
        <v>2019</v>
      </c>
      <c r="B17" s="23"/>
      <c r="C17" s="19">
        <f>'2.3b'!E17</f>
        <v>4837299</v>
      </c>
      <c r="D17" s="29">
        <f t="shared" si="2"/>
        <v>0.29499999999999998</v>
      </c>
      <c r="E17" s="28">
        <f>'2.5'!$G34</f>
        <v>0.79100000000000004</v>
      </c>
      <c r="F17" s="19">
        <f t="shared" si="3"/>
        <v>4955063</v>
      </c>
      <c r="G17" s="19">
        <f>'9.1a'!E17</f>
        <v>114641201</v>
      </c>
      <c r="H17" s="20">
        <f t="shared" si="4"/>
        <v>4.2999999999999997E-2</v>
      </c>
      <c r="I17" s="20"/>
      <c r="K17" s="2"/>
    </row>
    <row r="18" spans="1:11" x14ac:dyDescent="0.2">
      <c r="A18" t="str">
        <f t="shared" si="1"/>
        <v>2020</v>
      </c>
      <c r="B18" s="23"/>
      <c r="C18" s="19">
        <f>'2.3b'!E18</f>
        <v>5586041</v>
      </c>
      <c r="D18" s="29">
        <f t="shared" si="2"/>
        <v>0.29499999999999998</v>
      </c>
      <c r="E18" s="28">
        <f>'2.5'!$G35</f>
        <v>0.80300000000000005</v>
      </c>
      <c r="F18" s="19">
        <f t="shared" si="3"/>
        <v>5808840</v>
      </c>
      <c r="G18" s="19">
        <f>'9.1a'!E18</f>
        <v>113445809</v>
      </c>
      <c r="H18" s="20">
        <f t="shared" si="4"/>
        <v>5.0999999999999997E-2</v>
      </c>
      <c r="I18" s="20"/>
      <c r="K18" s="2"/>
    </row>
    <row r="19" spans="1:11" x14ac:dyDescent="0.2">
      <c r="A19" t="str">
        <f t="shared" si="1"/>
        <v>2021</v>
      </c>
      <c r="B19" s="23"/>
      <c r="C19" s="19">
        <f>'2.3b'!E19</f>
        <v>25563697</v>
      </c>
      <c r="D19" s="29">
        <f t="shared" si="2"/>
        <v>0.29499999999999998</v>
      </c>
      <c r="E19" s="28">
        <f>'2.5'!$G36</f>
        <v>0.751</v>
      </c>
      <c r="F19" s="19">
        <f>ROUND(C19*(1+D19)*E19,0)</f>
        <v>24861846</v>
      </c>
      <c r="G19" s="19">
        <f>'9.1a'!E19</f>
        <v>117940724</v>
      </c>
      <c r="H19" s="20">
        <f t="shared" si="4"/>
        <v>0.21099999999999999</v>
      </c>
      <c r="I19" s="20"/>
      <c r="K19" s="2"/>
    </row>
    <row r="20" spans="1:11" x14ac:dyDescent="0.2">
      <c r="A20" t="str">
        <f t="shared" si="1"/>
        <v>2022</v>
      </c>
      <c r="B20" s="23"/>
      <c r="C20" s="19">
        <f>'2.3b'!E20</f>
        <v>11462469</v>
      </c>
      <c r="D20" s="29">
        <f t="shared" si="2"/>
        <v>0.29499999999999998</v>
      </c>
      <c r="E20" s="28">
        <f>'2.5'!$G37</f>
        <v>0.72899999999999998</v>
      </c>
      <c r="F20" s="19">
        <f t="shared" si="3"/>
        <v>10821201</v>
      </c>
      <c r="G20" s="19">
        <f>'9.1a'!E20</f>
        <v>129461860</v>
      </c>
      <c r="H20" s="20">
        <f t="shared" si="4"/>
        <v>8.4000000000000005E-2</v>
      </c>
      <c r="I20" s="20"/>
      <c r="K20" s="2"/>
    </row>
    <row r="21" spans="1:11" x14ac:dyDescent="0.2">
      <c r="A21" t="str">
        <f t="shared" si="1"/>
        <v>2023</v>
      </c>
      <c r="B21" s="23"/>
      <c r="C21" s="19">
        <f>'2.3b'!E21</f>
        <v>33460318</v>
      </c>
      <c r="D21" s="29">
        <f t="shared" si="2"/>
        <v>0.29499999999999998</v>
      </c>
      <c r="E21" s="28">
        <f>'2.5'!$G38</f>
        <v>0.77300000000000002</v>
      </c>
      <c r="F21" s="19">
        <f t="shared" si="3"/>
        <v>33494949</v>
      </c>
      <c r="G21" s="19">
        <f>'9.1a'!E21</f>
        <v>159933055</v>
      </c>
      <c r="H21" s="20">
        <f>ROUND(F21/G21,3)</f>
        <v>0.20899999999999999</v>
      </c>
      <c r="I21" s="20"/>
      <c r="K21" s="2"/>
    </row>
    <row r="22" spans="1:11" x14ac:dyDescent="0.2">
      <c r="A22" t="str">
        <f t="shared" si="1"/>
        <v>2024</v>
      </c>
      <c r="B22" s="23"/>
      <c r="C22" s="19">
        <f>'2.3b'!E22</f>
        <v>30020784</v>
      </c>
      <c r="D22" s="29">
        <f t="shared" si="2"/>
        <v>0.29499999999999998</v>
      </c>
      <c r="E22" s="28">
        <f>'2.5'!$G39</f>
        <v>0.85</v>
      </c>
      <c r="F22" s="19">
        <f t="shared" si="3"/>
        <v>33045378</v>
      </c>
      <c r="G22" s="19">
        <f>'9.1a'!E22</f>
        <v>191002757</v>
      </c>
      <c r="H22" s="20">
        <f>ROUND(F22/G22,3)</f>
        <v>0.17299999999999999</v>
      </c>
      <c r="I22" s="20"/>
      <c r="K22" s="2"/>
    </row>
    <row r="23" spans="1:11" x14ac:dyDescent="0.2">
      <c r="A23" t="str">
        <f>TEXT(YEAR($L$8),"#")</f>
        <v>2025</v>
      </c>
      <c r="B23" s="23"/>
      <c r="C23" s="19">
        <f>'2.3b'!E23</f>
        <v>18364481</v>
      </c>
      <c r="D23" s="29">
        <f t="shared" si="2"/>
        <v>0.29499999999999998</v>
      </c>
      <c r="E23" s="28">
        <f>'2.5'!$G40</f>
        <v>0.89800000000000002</v>
      </c>
      <c r="F23" s="19">
        <f>ROUND(C23*(1+D23)*E23,0)</f>
        <v>21356239</v>
      </c>
      <c r="G23" s="19">
        <f>'9.1a'!E23</f>
        <v>221374300</v>
      </c>
      <c r="H23" s="20">
        <f>ROUND(F23/G23,3)</f>
        <v>9.6000000000000002E-2</v>
      </c>
      <c r="K23" s="2"/>
    </row>
    <row r="24" spans="1:11" x14ac:dyDescent="0.2">
      <c r="A24" s="9"/>
      <c r="B24" s="24"/>
      <c r="C24" s="25"/>
      <c r="D24" s="30"/>
      <c r="E24" s="45"/>
      <c r="F24" s="25"/>
      <c r="G24" s="25"/>
      <c r="H24" s="21"/>
      <c r="K24" s="2"/>
    </row>
    <row r="25" spans="1:11" x14ac:dyDescent="0.2">
      <c r="I25" s="20"/>
      <c r="J25" s="20"/>
      <c r="K25" s="2"/>
    </row>
    <row r="26" spans="1:11" x14ac:dyDescent="0.2">
      <c r="A26" t="s">
        <v>9</v>
      </c>
      <c r="C26" s="19">
        <f>SUM(C14:C24)</f>
        <v>145543765</v>
      </c>
      <c r="F26" s="19">
        <f>SUM(F14:F24)</f>
        <v>152113872</v>
      </c>
      <c r="G26" s="19">
        <f>SUM(G14:G24)</f>
        <v>1442296384</v>
      </c>
      <c r="H26" s="20">
        <f>ROUND(F26/G26,3)</f>
        <v>0.105</v>
      </c>
      <c r="K26" s="2"/>
    </row>
    <row r="27" spans="1:11" ht="12" thickBot="1" x14ac:dyDescent="0.25">
      <c r="A27" s="6"/>
      <c r="B27" s="6"/>
      <c r="C27" s="6"/>
      <c r="D27" s="6"/>
      <c r="E27" s="6"/>
      <c r="F27" s="6"/>
      <c r="G27" s="6"/>
      <c r="H27" s="6"/>
      <c r="K27" s="2"/>
    </row>
    <row r="28" spans="1:11" ht="12" thickTop="1" x14ac:dyDescent="0.2">
      <c r="K28" s="2"/>
    </row>
    <row r="29" spans="1:11" x14ac:dyDescent="0.2">
      <c r="A29" t="s">
        <v>17</v>
      </c>
      <c r="K29" s="2"/>
    </row>
    <row r="30" spans="1:11" x14ac:dyDescent="0.2">
      <c r="B30" s="12" t="str">
        <f>C12&amp;" "&amp;'2.3b'!J1&amp;", "&amp;'2.3b'!J2</f>
        <v>(2) Exhibit 2, Sheet 3b</v>
      </c>
      <c r="K30" s="2"/>
    </row>
    <row r="31" spans="1:11" x14ac:dyDescent="0.2">
      <c r="B31" s="12" t="str">
        <f>D12&amp;" "&amp;'4'!$J$1</f>
        <v>(3) Exhibit 4</v>
      </c>
      <c r="K31" s="2"/>
    </row>
    <row r="32" spans="1:11" x14ac:dyDescent="0.2">
      <c r="B32" s="12" t="str">
        <f>E12&amp;" "&amp;'2.5'!$L$1&amp;", "&amp;'2.5'!$L$2</f>
        <v>(4) Exhibit 2, Sheet 5</v>
      </c>
      <c r="K32" s="2"/>
    </row>
    <row r="33" spans="2:11" x14ac:dyDescent="0.2">
      <c r="B33" s="12" t="str">
        <f>F12&amp;" = "&amp;C12&amp;" * [1 + "&amp;D12&amp;"] * "&amp;E12</f>
        <v>(5) = (2) * [1 + (3)] * (4)</v>
      </c>
      <c r="K33" s="2"/>
    </row>
    <row r="34" spans="2:11" x14ac:dyDescent="0.2">
      <c r="B34" s="12" t="str">
        <f>G12&amp;" "&amp;'9.1a'!$J$1&amp;", "&amp;'9.1a'!$J$2</f>
        <v>(6) Exhibit 9, Sheet 1a</v>
      </c>
      <c r="K34" s="2"/>
    </row>
    <row r="35" spans="2:11" x14ac:dyDescent="0.2">
      <c r="B35" s="12" t="str">
        <f>H12&amp;" = "&amp;F12&amp;" / "&amp;G12</f>
        <v>(7) = (5) / (6)</v>
      </c>
      <c r="K35" s="2"/>
    </row>
    <row r="36" spans="2:11" x14ac:dyDescent="0.2">
      <c r="K36" s="2"/>
    </row>
    <row r="37" spans="2:11" x14ac:dyDescent="0.2">
      <c r="B37" s="23"/>
      <c r="K37" s="2"/>
    </row>
    <row r="38" spans="2:11" x14ac:dyDescent="0.2">
      <c r="B38" s="23"/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92D050"/>
  </sheetPr>
  <dimension ref="A1:L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6" width="13" customWidth="1"/>
    <col min="7" max="7" width="15.6640625" customWidth="1"/>
    <col min="8" max="8" width="16.33203125" customWidth="1"/>
    <col min="9" max="9" width="11.33203125" customWidth="1"/>
    <col min="10" max="10" width="9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43</v>
      </c>
      <c r="K2" s="2"/>
    </row>
    <row r="3" spans="1:12" x14ac:dyDescent="0.2">
      <c r="A3" s="8" t="str">
        <f>'1'!$A$3</f>
        <v>Rate Level Review</v>
      </c>
      <c r="B3" s="12"/>
      <c r="J3" s="7"/>
      <c r="K3" s="2"/>
    </row>
    <row r="4" spans="1:12" x14ac:dyDescent="0.2">
      <c r="A4" t="s">
        <v>18</v>
      </c>
      <c r="B4" s="12"/>
      <c r="K4" s="2"/>
    </row>
    <row r="5" spans="1:12" x14ac:dyDescent="0.2">
      <c r="A5" t="s">
        <v>437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F7" s="6"/>
      <c r="G7" s="6"/>
      <c r="H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80" t="s">
        <v>33</v>
      </c>
      <c r="D9" s="11"/>
      <c r="E9" s="11" t="s">
        <v>36</v>
      </c>
      <c r="F9" s="11" t="s">
        <v>38</v>
      </c>
      <c r="G9" s="11" t="s">
        <v>42</v>
      </c>
      <c r="H9" s="11" t="s">
        <v>13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34</v>
      </c>
      <c r="E10" s="11" t="s">
        <v>37</v>
      </c>
      <c r="F10" s="11" t="s">
        <v>8</v>
      </c>
      <c r="G10" s="11" t="s">
        <v>40</v>
      </c>
      <c r="H10" s="11" t="s">
        <v>8</v>
      </c>
      <c r="K10" s="2"/>
      <c r="L10" t="s">
        <v>193</v>
      </c>
    </row>
    <row r="11" spans="1:12" x14ac:dyDescent="0.2">
      <c r="A11" s="9" t="str">
        <f>TEXT($L$11,"m/d")</f>
        <v>9/30</v>
      </c>
      <c r="B11" s="9"/>
      <c r="C11" s="121" t="s">
        <v>39</v>
      </c>
      <c r="D11" s="121" t="s">
        <v>35</v>
      </c>
      <c r="E11" s="121" t="s">
        <v>35</v>
      </c>
      <c r="F11" s="121" t="s">
        <v>11</v>
      </c>
      <c r="G11" s="121" t="s">
        <v>41</v>
      </c>
      <c r="H11" s="121" t="s">
        <v>29</v>
      </c>
      <c r="K11" s="2"/>
      <c r="L11" s="37">
        <f>'2.4a'!L$22</f>
        <v>45930</v>
      </c>
    </row>
    <row r="12" spans="1:12" x14ac:dyDescent="0.2">
      <c r="A12" s="13" t="str">
        <f>TEXT(COLUMN(),"(#)")</f>
        <v>(1)</v>
      </c>
      <c r="B12" s="13"/>
      <c r="C12" s="11" t="str">
        <f t="shared" ref="C12:H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11" t="str">
        <f t="shared" si="0"/>
        <v>(7)</v>
      </c>
      <c r="I12" s="11"/>
      <c r="K12" s="2"/>
    </row>
    <row r="13" spans="1:12" x14ac:dyDescent="0.2">
      <c r="K13" s="2"/>
    </row>
    <row r="14" spans="1:12" x14ac:dyDescent="0.2">
      <c r="A14" t="str">
        <f t="shared" ref="A14:A22" si="1">TEXT(A15-1,"#")</f>
        <v>2016</v>
      </c>
      <c r="B14" s="23"/>
      <c r="C14" s="19">
        <f>'2.3c'!E14</f>
        <v>9531194</v>
      </c>
      <c r="D14" s="29">
        <f>'4'!$E$66</f>
        <v>0.29499999999999998</v>
      </c>
      <c r="E14" s="28">
        <f>'2.2a'!E14</f>
        <v>0.85499999999999998</v>
      </c>
      <c r="F14" s="19">
        <f t="shared" ref="F14:F23" si="2">ROUND(C14*(1+D14)*E14,0)</f>
        <v>10553176</v>
      </c>
      <c r="G14" s="19">
        <f>'9.1b'!E14</f>
        <v>80522915</v>
      </c>
      <c r="H14" s="20">
        <f t="shared" ref="H14:H23" si="3">ROUND(F14/G14,3)</f>
        <v>0.13100000000000001</v>
      </c>
      <c r="I14" s="20"/>
      <c r="K14" s="2"/>
    </row>
    <row r="15" spans="1:12" x14ac:dyDescent="0.2">
      <c r="A15" t="str">
        <f t="shared" si="1"/>
        <v>2017</v>
      </c>
      <c r="B15" s="23"/>
      <c r="C15" s="19">
        <f>'2.3c'!E15</f>
        <v>7653240</v>
      </c>
      <c r="D15" s="29">
        <f t="shared" ref="D15:D23" si="4">D$14</f>
        <v>0.29499999999999998</v>
      </c>
      <c r="E15" s="28">
        <f>'2.2a'!E15</f>
        <v>0.82699999999999996</v>
      </c>
      <c r="F15" s="19">
        <f t="shared" si="2"/>
        <v>8196352</v>
      </c>
      <c r="G15" s="19">
        <f>'9.1b'!E15</f>
        <v>76211725</v>
      </c>
      <c r="H15" s="20">
        <f t="shared" si="3"/>
        <v>0.108</v>
      </c>
      <c r="I15" s="20"/>
      <c r="K15" s="2"/>
    </row>
    <row r="16" spans="1:12" x14ac:dyDescent="0.2">
      <c r="A16" t="str">
        <f t="shared" si="1"/>
        <v>2018</v>
      </c>
      <c r="B16" s="23"/>
      <c r="C16" s="19">
        <f>'2.3c'!E16</f>
        <v>1114603</v>
      </c>
      <c r="D16" s="29">
        <f t="shared" si="4"/>
        <v>0.29499999999999998</v>
      </c>
      <c r="E16" s="28">
        <f>'2.2a'!E16</f>
        <v>0.81799999999999995</v>
      </c>
      <c r="F16" s="19">
        <f t="shared" si="2"/>
        <v>1180710</v>
      </c>
      <c r="G16" s="19">
        <f>'9.1b'!E16</f>
        <v>68808541</v>
      </c>
      <c r="H16" s="20">
        <f t="shared" si="3"/>
        <v>1.7000000000000001E-2</v>
      </c>
      <c r="I16" s="20"/>
      <c r="K16" s="2"/>
    </row>
    <row r="17" spans="1:11" x14ac:dyDescent="0.2">
      <c r="A17" t="str">
        <f t="shared" si="1"/>
        <v>2019</v>
      </c>
      <c r="B17" s="23"/>
      <c r="C17" s="19">
        <f>'2.3c'!E17</f>
        <v>832616</v>
      </c>
      <c r="D17" s="29">
        <f t="shared" si="4"/>
        <v>0.29499999999999998</v>
      </c>
      <c r="E17" s="28">
        <f>'2.2a'!E17</f>
        <v>0.79100000000000004</v>
      </c>
      <c r="F17" s="19">
        <f t="shared" si="2"/>
        <v>852886</v>
      </c>
      <c r="G17" s="19">
        <f>'9.1b'!E17</f>
        <v>62864123</v>
      </c>
      <c r="H17" s="20">
        <f t="shared" si="3"/>
        <v>1.4E-2</v>
      </c>
      <c r="I17" s="20"/>
      <c r="K17" s="2"/>
    </row>
    <row r="18" spans="1:11" x14ac:dyDescent="0.2">
      <c r="A18" t="str">
        <f t="shared" si="1"/>
        <v>2020</v>
      </c>
      <c r="B18" s="23"/>
      <c r="C18" s="19">
        <f>'2.3c'!E18</f>
        <v>477901</v>
      </c>
      <c r="D18" s="29">
        <f t="shared" si="4"/>
        <v>0.29499999999999998</v>
      </c>
      <c r="E18" s="28">
        <f>'2.2a'!E18</f>
        <v>0.80300000000000005</v>
      </c>
      <c r="F18" s="19">
        <f t="shared" si="2"/>
        <v>496962</v>
      </c>
      <c r="G18" s="19">
        <f>'9.1b'!E18</f>
        <v>60369447</v>
      </c>
      <c r="H18" s="20">
        <f t="shared" si="3"/>
        <v>8.0000000000000002E-3</v>
      </c>
      <c r="I18" s="20"/>
      <c r="K18" s="2"/>
    </row>
    <row r="19" spans="1:11" x14ac:dyDescent="0.2">
      <c r="A19" t="str">
        <f t="shared" si="1"/>
        <v>2021</v>
      </c>
      <c r="B19" s="23"/>
      <c r="C19" s="19">
        <f>'2.3c'!E19</f>
        <v>781174</v>
      </c>
      <c r="D19" s="29">
        <f t="shared" si="4"/>
        <v>0.29499999999999998</v>
      </c>
      <c r="E19" s="28">
        <f>'2.2a'!E19</f>
        <v>0.751</v>
      </c>
      <c r="F19" s="19">
        <f t="shared" si="2"/>
        <v>759727</v>
      </c>
      <c r="G19" s="19">
        <f>'9.1b'!E19</f>
        <v>59850735</v>
      </c>
      <c r="H19" s="20">
        <f t="shared" si="3"/>
        <v>1.2999999999999999E-2</v>
      </c>
      <c r="I19" s="20"/>
      <c r="K19" s="2"/>
    </row>
    <row r="20" spans="1:11" x14ac:dyDescent="0.2">
      <c r="A20" t="str">
        <f t="shared" si="1"/>
        <v>2022</v>
      </c>
      <c r="B20" s="23"/>
      <c r="C20" s="19">
        <f>'2.3c'!E20</f>
        <v>1133291</v>
      </c>
      <c r="D20" s="29">
        <f t="shared" si="4"/>
        <v>0.29499999999999998</v>
      </c>
      <c r="E20" s="28">
        <f>'2.2a'!E20</f>
        <v>0.72899999999999998</v>
      </c>
      <c r="F20" s="19">
        <f t="shared" si="2"/>
        <v>1069889</v>
      </c>
      <c r="G20" s="19">
        <f>'9.1b'!E20</f>
        <v>62591785</v>
      </c>
      <c r="H20" s="20">
        <f t="shared" si="3"/>
        <v>1.7000000000000001E-2</v>
      </c>
      <c r="I20" s="20"/>
      <c r="K20" s="2"/>
    </row>
    <row r="21" spans="1:11" x14ac:dyDescent="0.2">
      <c r="A21" t="str">
        <f t="shared" si="1"/>
        <v>2023</v>
      </c>
      <c r="B21" s="23"/>
      <c r="C21" s="19">
        <f>'2.3c'!E21</f>
        <v>1694872</v>
      </c>
      <c r="D21" s="29">
        <f t="shared" si="4"/>
        <v>0.29499999999999998</v>
      </c>
      <c r="E21" s="28">
        <f>'2.2a'!E21</f>
        <v>0.77300000000000002</v>
      </c>
      <c r="F21" s="19">
        <f>ROUND(C21*(1+D21)*E21,0)</f>
        <v>1696626</v>
      </c>
      <c r="G21" s="19">
        <f>'9.1b'!E21</f>
        <v>76445090</v>
      </c>
      <c r="H21" s="20">
        <f t="shared" si="3"/>
        <v>2.1999999999999999E-2</v>
      </c>
      <c r="I21" s="20"/>
      <c r="K21" s="2"/>
    </row>
    <row r="22" spans="1:11" x14ac:dyDescent="0.2">
      <c r="A22" t="str">
        <f t="shared" si="1"/>
        <v>2024</v>
      </c>
      <c r="B22" s="23"/>
      <c r="C22" s="19">
        <f>'2.3c'!E22</f>
        <v>1007268</v>
      </c>
      <c r="D22" s="29">
        <f t="shared" si="4"/>
        <v>0.29499999999999998</v>
      </c>
      <c r="E22" s="28">
        <f>'2.2a'!E22</f>
        <v>0.85</v>
      </c>
      <c r="F22" s="19">
        <f t="shared" si="2"/>
        <v>1108750</v>
      </c>
      <c r="G22" s="19">
        <f>'9.1b'!E22</f>
        <v>91268998</v>
      </c>
      <c r="H22" s="20">
        <f t="shared" si="3"/>
        <v>1.2E-2</v>
      </c>
      <c r="I22" s="20"/>
      <c r="K22" s="2"/>
    </row>
    <row r="23" spans="1:11" x14ac:dyDescent="0.2">
      <c r="A23" t="str">
        <f>TEXT(YEAR($L$11),"#")</f>
        <v>2025</v>
      </c>
      <c r="B23" s="23"/>
      <c r="C23" s="19">
        <f>'2.3c'!E23</f>
        <v>1430534</v>
      </c>
      <c r="D23" s="29">
        <f t="shared" si="4"/>
        <v>0.29499999999999998</v>
      </c>
      <c r="E23" s="28">
        <f>'2.2a'!E23</f>
        <v>0.89800000000000002</v>
      </c>
      <c r="F23" s="19">
        <f t="shared" si="2"/>
        <v>1663582</v>
      </c>
      <c r="G23" s="19">
        <f>'9.1b'!E23</f>
        <v>107161542</v>
      </c>
      <c r="H23" s="20">
        <f t="shared" si="3"/>
        <v>1.6E-2</v>
      </c>
      <c r="I23" s="20"/>
      <c r="K23" s="2"/>
    </row>
    <row r="24" spans="1:11" x14ac:dyDescent="0.2">
      <c r="A24" s="9"/>
      <c r="B24" s="24"/>
      <c r="C24" s="25"/>
      <c r="D24" s="30"/>
      <c r="E24" s="45"/>
      <c r="F24" s="25"/>
      <c r="G24" s="25"/>
      <c r="H24" s="21"/>
      <c r="K24" s="2"/>
    </row>
    <row r="25" spans="1:11" x14ac:dyDescent="0.2">
      <c r="I25" s="20"/>
      <c r="J25" s="20"/>
      <c r="K25" s="2"/>
    </row>
    <row r="26" spans="1:11" x14ac:dyDescent="0.2">
      <c r="A26" t="s">
        <v>9</v>
      </c>
      <c r="C26" s="19">
        <f>SUM(C14:C24)</f>
        <v>25656693</v>
      </c>
      <c r="F26" s="19">
        <f>SUM(F14:F24)</f>
        <v>27578660</v>
      </c>
      <c r="G26" s="19">
        <f>SUM(G14:G24)</f>
        <v>746094901</v>
      </c>
      <c r="H26" s="20">
        <f>ROUND(F26/G26,3)</f>
        <v>3.6999999999999998E-2</v>
      </c>
      <c r="K26" s="2"/>
    </row>
    <row r="27" spans="1:11" ht="12" thickBot="1" x14ac:dyDescent="0.25">
      <c r="A27" s="6"/>
      <c r="B27" s="6"/>
      <c r="C27" s="6"/>
      <c r="D27" s="6"/>
      <c r="E27" s="6"/>
      <c r="F27" s="6"/>
      <c r="G27" s="6"/>
      <c r="H27" s="6"/>
      <c r="K27" s="2"/>
    </row>
    <row r="28" spans="1:11" ht="12" thickTop="1" x14ac:dyDescent="0.2">
      <c r="K28" s="2"/>
    </row>
    <row r="29" spans="1:11" x14ac:dyDescent="0.2">
      <c r="A29" t="s">
        <v>17</v>
      </c>
      <c r="K29" s="2"/>
    </row>
    <row r="30" spans="1:11" x14ac:dyDescent="0.2">
      <c r="B30" s="12" t="str">
        <f>C12&amp;" "&amp;'2.3c'!$J$1&amp;", "&amp;'2.3c'!$J$2</f>
        <v>(2) Exhibit 2, Sheet 3c</v>
      </c>
      <c r="K30" s="2"/>
    </row>
    <row r="31" spans="1:11" x14ac:dyDescent="0.2">
      <c r="B31" s="12" t="str">
        <f>D12&amp;" "&amp;'4'!$J$1</f>
        <v>(3) Exhibit 4</v>
      </c>
      <c r="K31" s="2"/>
    </row>
    <row r="32" spans="1:11" x14ac:dyDescent="0.2">
      <c r="B32" s="12" t="str">
        <f>E12&amp;" "&amp;'2.5'!$L$1&amp;", "&amp;'2.5'!$L$2</f>
        <v>(4) Exhibit 2, Sheet 5</v>
      </c>
      <c r="K32" s="2"/>
    </row>
    <row r="33" spans="2:11" x14ac:dyDescent="0.2">
      <c r="B33" s="12" t="str">
        <f>F12&amp;" = "&amp;C12&amp;" * [1 + "&amp;D12&amp;"] * "&amp;E12</f>
        <v>(5) = (2) * [1 + (3)] * (4)</v>
      </c>
      <c r="K33" s="2"/>
    </row>
    <row r="34" spans="2:11" x14ac:dyDescent="0.2">
      <c r="B34" s="12" t="str">
        <f>G12&amp;" "&amp;'9.1b'!$J$1&amp;", "&amp;'9.1b'!$J$2</f>
        <v>(6) Exhibit 9, Sheet 1b</v>
      </c>
      <c r="K34" s="2"/>
    </row>
    <row r="35" spans="2:11" x14ac:dyDescent="0.2">
      <c r="B35" s="12" t="str">
        <f>H12&amp;" = "&amp;F12&amp;" / "&amp;G12</f>
        <v>(7) = (5) / (6)</v>
      </c>
      <c r="K35" s="2"/>
    </row>
    <row r="36" spans="2:11" x14ac:dyDescent="0.2">
      <c r="K36" s="2"/>
    </row>
    <row r="37" spans="2:11" x14ac:dyDescent="0.2">
      <c r="K37" s="2"/>
    </row>
    <row r="38" spans="2:11" x14ac:dyDescent="0.2">
      <c r="K38" s="2"/>
    </row>
    <row r="39" spans="2:11" x14ac:dyDescent="0.2">
      <c r="K39" s="2"/>
    </row>
    <row r="40" spans="2:11" x14ac:dyDescent="0.2">
      <c r="B40" s="23"/>
      <c r="K40" s="2"/>
    </row>
    <row r="41" spans="2:11" x14ac:dyDescent="0.2">
      <c r="B41" s="23"/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92D050"/>
  </sheetPr>
  <dimension ref="A1:L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6" width="13" customWidth="1"/>
    <col min="7" max="7" width="15.6640625" customWidth="1"/>
    <col min="8" max="8" width="16.33203125" customWidth="1"/>
    <col min="9" max="9" width="11.33203125" customWidth="1"/>
    <col min="10" max="10" width="9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44</v>
      </c>
      <c r="K2" s="2"/>
    </row>
    <row r="3" spans="1:12" x14ac:dyDescent="0.2">
      <c r="A3" s="8" t="str">
        <f>'1'!$A$3</f>
        <v>Rate Level Review</v>
      </c>
      <c r="B3" s="12"/>
      <c r="J3" s="7"/>
      <c r="K3" s="2"/>
    </row>
    <row r="4" spans="1:12" x14ac:dyDescent="0.2">
      <c r="A4" t="s">
        <v>18</v>
      </c>
      <c r="B4" s="12"/>
      <c r="K4" s="2"/>
    </row>
    <row r="5" spans="1:12" x14ac:dyDescent="0.2">
      <c r="A5" t="s">
        <v>438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F7" s="6"/>
      <c r="G7" s="6"/>
      <c r="H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80" t="s">
        <v>33</v>
      </c>
      <c r="D9" s="11"/>
      <c r="E9" s="11" t="s">
        <v>36</v>
      </c>
      <c r="F9" s="11" t="s">
        <v>38</v>
      </c>
      <c r="G9" s="11" t="s">
        <v>42</v>
      </c>
      <c r="H9" s="11" t="s">
        <v>13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34</v>
      </c>
      <c r="E10" s="11" t="s">
        <v>37</v>
      </c>
      <c r="F10" s="11" t="s">
        <v>8</v>
      </c>
      <c r="G10" s="11" t="s">
        <v>40</v>
      </c>
      <c r="H10" s="11" t="s">
        <v>8</v>
      </c>
      <c r="K10" s="2"/>
      <c r="L10" t="s">
        <v>193</v>
      </c>
    </row>
    <row r="11" spans="1:12" x14ac:dyDescent="0.2">
      <c r="A11" s="9" t="str">
        <f>TEXT($L$11,"m/d")</f>
        <v>9/30</v>
      </c>
      <c r="B11" s="9"/>
      <c r="C11" s="121" t="s">
        <v>39</v>
      </c>
      <c r="D11" s="121" t="s">
        <v>35</v>
      </c>
      <c r="E11" s="121" t="s">
        <v>35</v>
      </c>
      <c r="F11" s="121" t="s">
        <v>11</v>
      </c>
      <c r="G11" s="121" t="s">
        <v>41</v>
      </c>
      <c r="H11" s="121" t="s">
        <v>29</v>
      </c>
      <c r="K11" s="2"/>
      <c r="L11" s="37">
        <f>'2.4a'!L$22</f>
        <v>45930</v>
      </c>
    </row>
    <row r="12" spans="1:12" x14ac:dyDescent="0.2">
      <c r="A12" s="13" t="str">
        <f>TEXT(COLUMN(),"(#)")</f>
        <v>(1)</v>
      </c>
      <c r="B12" s="13"/>
      <c r="C12" s="11" t="str">
        <f t="shared" ref="C12:H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11" t="str">
        <f t="shared" si="0"/>
        <v>(7)</v>
      </c>
      <c r="I12" s="11"/>
      <c r="K12" s="2"/>
    </row>
    <row r="13" spans="1:12" x14ac:dyDescent="0.2">
      <c r="K13" s="2"/>
    </row>
    <row r="14" spans="1:12" x14ac:dyDescent="0.2">
      <c r="A14" t="str">
        <f t="shared" ref="A14:A22" si="1">TEXT(A15-1,"#")</f>
        <v>2016</v>
      </c>
      <c r="B14" s="23"/>
      <c r="C14" s="19">
        <f>'2.3d'!E14</f>
        <v>12167890</v>
      </c>
      <c r="D14" s="29">
        <f>'4'!$E$66</f>
        <v>0.29499999999999998</v>
      </c>
      <c r="E14" s="28">
        <f>'2.2a'!E14</f>
        <v>0.85499999999999998</v>
      </c>
      <c r="F14" s="19">
        <f t="shared" ref="F14:F22" si="2">ROUND(C14*(1+D14)*E14,0)</f>
        <v>13472592</v>
      </c>
      <c r="G14" s="19">
        <f>'9.1c'!E14</f>
        <v>227183607</v>
      </c>
      <c r="H14" s="20">
        <f>ROUND(F14/G14,3)</f>
        <v>5.8999999999999997E-2</v>
      </c>
      <c r="I14" s="20"/>
      <c r="K14" s="2"/>
    </row>
    <row r="15" spans="1:12" x14ac:dyDescent="0.2">
      <c r="A15" t="str">
        <f t="shared" si="1"/>
        <v>2017</v>
      </c>
      <c r="B15" s="23"/>
      <c r="C15" s="19">
        <f>'2.3d'!E15</f>
        <v>21858338</v>
      </c>
      <c r="D15" s="29">
        <f t="shared" ref="D15:D23" si="3">D$14</f>
        <v>0.29499999999999998</v>
      </c>
      <c r="E15" s="28">
        <f>'2.2a'!E15</f>
        <v>0.82699999999999996</v>
      </c>
      <c r="F15" s="19">
        <f t="shared" si="2"/>
        <v>23409515</v>
      </c>
      <c r="G15" s="19">
        <f>'9.1c'!E15</f>
        <v>207881527</v>
      </c>
      <c r="H15" s="20">
        <f t="shared" ref="H15:H22" si="4">ROUND(F15/G15,3)</f>
        <v>0.113</v>
      </c>
      <c r="I15" s="20"/>
      <c r="K15" s="2"/>
    </row>
    <row r="16" spans="1:12" x14ac:dyDescent="0.2">
      <c r="A16" t="str">
        <f t="shared" si="1"/>
        <v>2018</v>
      </c>
      <c r="B16" s="23"/>
      <c r="C16" s="19">
        <f>'2.3d'!E16</f>
        <v>6768770</v>
      </c>
      <c r="D16" s="29">
        <f t="shared" si="3"/>
        <v>0.29499999999999998</v>
      </c>
      <c r="E16" s="28">
        <f>'2.2a'!E16</f>
        <v>0.81799999999999995</v>
      </c>
      <c r="F16" s="19">
        <f t="shared" si="2"/>
        <v>7170226</v>
      </c>
      <c r="G16" s="19">
        <f>'9.1c'!E16</f>
        <v>179645974</v>
      </c>
      <c r="H16" s="20">
        <f t="shared" si="4"/>
        <v>0.04</v>
      </c>
      <c r="I16" s="20"/>
      <c r="K16" s="2"/>
    </row>
    <row r="17" spans="1:11" x14ac:dyDescent="0.2">
      <c r="A17" t="str">
        <f t="shared" si="1"/>
        <v>2019</v>
      </c>
      <c r="B17" s="23"/>
      <c r="C17" s="19">
        <f>'2.3d'!E17</f>
        <v>10108613</v>
      </c>
      <c r="D17" s="29">
        <f t="shared" si="3"/>
        <v>0.29499999999999998</v>
      </c>
      <c r="E17" s="28">
        <f>'2.2a'!E17</f>
        <v>0.79100000000000004</v>
      </c>
      <c r="F17" s="19">
        <f t="shared" si="2"/>
        <v>10354707</v>
      </c>
      <c r="G17" s="19">
        <f>'9.1c'!E17</f>
        <v>159579121</v>
      </c>
      <c r="H17" s="20">
        <f t="shared" si="4"/>
        <v>6.5000000000000002E-2</v>
      </c>
      <c r="I17" s="20"/>
      <c r="K17" s="2"/>
    </row>
    <row r="18" spans="1:11" x14ac:dyDescent="0.2">
      <c r="A18" t="str">
        <f t="shared" si="1"/>
        <v>2020</v>
      </c>
      <c r="B18" s="23"/>
      <c r="C18" s="19">
        <f>'2.3d'!E18</f>
        <v>21845072</v>
      </c>
      <c r="D18" s="29">
        <f t="shared" si="3"/>
        <v>0.29499999999999998</v>
      </c>
      <c r="E18" s="28">
        <f>'2.2a'!E18</f>
        <v>0.80300000000000005</v>
      </c>
      <c r="F18" s="19">
        <f t="shared" si="2"/>
        <v>22716363</v>
      </c>
      <c r="G18" s="19">
        <f>'9.1c'!E18</f>
        <v>148714964</v>
      </c>
      <c r="H18" s="20">
        <f t="shared" si="4"/>
        <v>0.153</v>
      </c>
      <c r="I18" s="20"/>
      <c r="K18" s="2"/>
    </row>
    <row r="19" spans="1:11" x14ac:dyDescent="0.2">
      <c r="A19" t="str">
        <f t="shared" si="1"/>
        <v>2021</v>
      </c>
      <c r="B19" s="23"/>
      <c r="C19" s="19">
        <f>'2.3d'!E19</f>
        <v>30066983</v>
      </c>
      <c r="D19" s="29">
        <f t="shared" si="3"/>
        <v>0.29499999999999998</v>
      </c>
      <c r="E19" s="28">
        <f>'2.2a'!E19</f>
        <v>0.751</v>
      </c>
      <c r="F19" s="19">
        <f t="shared" si="2"/>
        <v>29241494</v>
      </c>
      <c r="G19" s="19">
        <f>'9.1c'!E19</f>
        <v>147041832</v>
      </c>
      <c r="H19" s="20">
        <f t="shared" si="4"/>
        <v>0.19900000000000001</v>
      </c>
      <c r="I19" s="20"/>
      <c r="K19" s="2"/>
    </row>
    <row r="20" spans="1:11" x14ac:dyDescent="0.2">
      <c r="A20" t="str">
        <f t="shared" si="1"/>
        <v>2022</v>
      </c>
      <c r="B20" s="23"/>
      <c r="C20" s="19">
        <f>'2.3d'!E20</f>
        <v>13045261</v>
      </c>
      <c r="D20" s="29">
        <f t="shared" si="3"/>
        <v>0.29499999999999998</v>
      </c>
      <c r="E20" s="28">
        <f>'2.2a'!E20</f>
        <v>0.72899999999999998</v>
      </c>
      <c r="F20" s="19">
        <f t="shared" si="2"/>
        <v>12315444</v>
      </c>
      <c r="G20" s="19">
        <f>'9.1c'!E20</f>
        <v>157257092</v>
      </c>
      <c r="H20" s="20">
        <f t="shared" si="4"/>
        <v>7.8E-2</v>
      </c>
      <c r="I20" s="20"/>
      <c r="K20" s="2"/>
    </row>
    <row r="21" spans="1:11" x14ac:dyDescent="0.2">
      <c r="A21" t="str">
        <f t="shared" si="1"/>
        <v>2023</v>
      </c>
      <c r="B21" s="23"/>
      <c r="C21" s="19">
        <f>'2.3d'!E21</f>
        <v>32621551</v>
      </c>
      <c r="D21" s="29">
        <f t="shared" si="3"/>
        <v>0.29499999999999998</v>
      </c>
      <c r="E21" s="28">
        <f>'2.2a'!E21</f>
        <v>0.77300000000000002</v>
      </c>
      <c r="F21" s="19">
        <f t="shared" si="2"/>
        <v>32655314</v>
      </c>
      <c r="G21" s="19">
        <f>'9.1c'!E21</f>
        <v>211507410</v>
      </c>
      <c r="H21" s="20">
        <f t="shared" si="4"/>
        <v>0.154</v>
      </c>
      <c r="I21" s="20"/>
      <c r="K21" s="2"/>
    </row>
    <row r="22" spans="1:11" x14ac:dyDescent="0.2">
      <c r="A22" t="str">
        <f t="shared" si="1"/>
        <v>2024</v>
      </c>
      <c r="B22" s="23"/>
      <c r="C22" s="19">
        <f>'2.3d'!E22</f>
        <v>76765513</v>
      </c>
      <c r="D22" s="29">
        <f t="shared" si="3"/>
        <v>0.29499999999999998</v>
      </c>
      <c r="E22" s="28">
        <f>'2.2a'!E22</f>
        <v>0.85</v>
      </c>
      <c r="F22" s="19">
        <f t="shared" si="2"/>
        <v>84499638</v>
      </c>
      <c r="G22" s="19">
        <f>'9.1c'!E22</f>
        <v>260144729</v>
      </c>
      <c r="H22" s="20">
        <f t="shared" si="4"/>
        <v>0.32500000000000001</v>
      </c>
      <c r="I22" s="20"/>
      <c r="K22" s="2"/>
    </row>
    <row r="23" spans="1:11" x14ac:dyDescent="0.2">
      <c r="A23" t="str">
        <f>TEXT(YEAR($L$11),"#")</f>
        <v>2025</v>
      </c>
      <c r="B23" s="23"/>
      <c r="C23" s="19">
        <f>'2.3d'!E23</f>
        <v>32481925</v>
      </c>
      <c r="D23" s="29">
        <f t="shared" si="3"/>
        <v>0.29499999999999998</v>
      </c>
      <c r="E23" s="28">
        <f>'2.2a'!E23</f>
        <v>0.89800000000000002</v>
      </c>
      <c r="F23" s="19">
        <f>ROUND(C23*(1+D23)*E23,0)</f>
        <v>37773555</v>
      </c>
      <c r="G23" s="19">
        <f>'9.1c'!E23</f>
        <v>314043909</v>
      </c>
      <c r="H23" s="20">
        <f>ROUND(F23/G23,3)</f>
        <v>0.12</v>
      </c>
      <c r="I23" s="20"/>
      <c r="K23" s="2"/>
    </row>
    <row r="24" spans="1:11" x14ac:dyDescent="0.2">
      <c r="A24" s="9"/>
      <c r="B24" s="24"/>
      <c r="C24" s="25"/>
      <c r="D24" s="30"/>
      <c r="E24" s="45"/>
      <c r="F24" s="25"/>
      <c r="G24" s="25"/>
      <c r="H24" s="21"/>
      <c r="K24" s="2"/>
    </row>
    <row r="25" spans="1:11" x14ac:dyDescent="0.2">
      <c r="I25" s="20"/>
      <c r="J25" s="20"/>
      <c r="K25" s="2"/>
    </row>
    <row r="26" spans="1:11" x14ac:dyDescent="0.2">
      <c r="A26" t="s">
        <v>9</v>
      </c>
      <c r="C26" s="19">
        <f>SUM(C14:C24)</f>
        <v>257729916</v>
      </c>
      <c r="F26" s="19">
        <f>SUM(F14:F24)</f>
        <v>273608848</v>
      </c>
      <c r="G26" s="19">
        <f>SUM(G14:G24)</f>
        <v>2013000165</v>
      </c>
      <c r="H26" s="20">
        <f>ROUND(F26/G26,3)</f>
        <v>0.13600000000000001</v>
      </c>
      <c r="K26" s="2"/>
    </row>
    <row r="27" spans="1:11" ht="12" thickBot="1" x14ac:dyDescent="0.25">
      <c r="A27" s="6"/>
      <c r="B27" s="6"/>
      <c r="C27" s="6"/>
      <c r="D27" s="6"/>
      <c r="E27" s="6"/>
      <c r="F27" s="6"/>
      <c r="G27" s="6"/>
      <c r="H27" s="6"/>
      <c r="K27" s="2"/>
    </row>
    <row r="28" spans="1:11" ht="12" thickTop="1" x14ac:dyDescent="0.2">
      <c r="K28" s="2"/>
    </row>
    <row r="29" spans="1:11" x14ac:dyDescent="0.2">
      <c r="A29" t="s">
        <v>17</v>
      </c>
      <c r="K29" s="2"/>
    </row>
    <row r="30" spans="1:11" x14ac:dyDescent="0.2">
      <c r="B30" s="12" t="str">
        <f>C12&amp;" "&amp;'2.3d'!$J$1&amp;", "&amp;'2.3d'!$J$2</f>
        <v>(2) Exhibit 2, Sheet 3d</v>
      </c>
      <c r="K30" s="2"/>
    </row>
    <row r="31" spans="1:11" x14ac:dyDescent="0.2">
      <c r="B31" s="12" t="str">
        <f>D12&amp;" "&amp;'4'!$J$1</f>
        <v>(3) Exhibit 4</v>
      </c>
      <c r="K31" s="2"/>
    </row>
    <row r="32" spans="1:11" x14ac:dyDescent="0.2">
      <c r="B32" s="12" t="str">
        <f>E12&amp;" "&amp;'2.5'!$L$1&amp;", "&amp;'2.5'!$L$2</f>
        <v>(4) Exhibit 2, Sheet 5</v>
      </c>
      <c r="K32" s="2"/>
    </row>
    <row r="33" spans="2:11" x14ac:dyDescent="0.2">
      <c r="B33" s="12" t="str">
        <f>F12&amp;" = "&amp;C12&amp;" * [1 + "&amp;D12&amp;"] * "&amp;E12</f>
        <v>(5) = (2) * [1 + (3)] * (4)</v>
      </c>
      <c r="K33" s="2"/>
    </row>
    <row r="34" spans="2:11" x14ac:dyDescent="0.2">
      <c r="B34" s="12" t="str">
        <f>G12&amp;" "&amp;'9.1c'!$J$1&amp;", "&amp;'9.1c'!$J$2</f>
        <v>(6) Exhibit 9, Sheet 1c</v>
      </c>
      <c r="K34" s="2"/>
    </row>
    <row r="35" spans="2:11" x14ac:dyDescent="0.2">
      <c r="B35" s="12" t="str">
        <f>H12&amp;" = "&amp;F12&amp;" / "&amp;G12</f>
        <v>(7) = (5) / (6)</v>
      </c>
      <c r="K35" s="2"/>
    </row>
    <row r="36" spans="2:11" x14ac:dyDescent="0.2">
      <c r="K36" s="2"/>
    </row>
    <row r="37" spans="2:11" x14ac:dyDescent="0.2">
      <c r="K37" s="2"/>
    </row>
    <row r="38" spans="2:11" x14ac:dyDescent="0.2">
      <c r="K38" s="2"/>
    </row>
    <row r="39" spans="2:11" x14ac:dyDescent="0.2">
      <c r="K39" s="2"/>
    </row>
    <row r="40" spans="2:11" x14ac:dyDescent="0.2">
      <c r="B40" s="23"/>
      <c r="K40" s="2"/>
    </row>
    <row r="41" spans="2:11" x14ac:dyDescent="0.2">
      <c r="B41" s="23"/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1:11" x14ac:dyDescent="0.2">
      <c r="K49" s="2"/>
    </row>
    <row r="50" spans="11:11" x14ac:dyDescent="0.2">
      <c r="K50" s="2"/>
    </row>
    <row r="51" spans="11:11" x14ac:dyDescent="0.2">
      <c r="K51" s="2"/>
    </row>
    <row r="52" spans="11:11" x14ac:dyDescent="0.2">
      <c r="K52" s="2"/>
    </row>
    <row r="53" spans="11:11" x14ac:dyDescent="0.2">
      <c r="K53" s="2"/>
    </row>
    <row r="54" spans="11:11" x14ac:dyDescent="0.2">
      <c r="K54" s="2"/>
    </row>
    <row r="55" spans="11:11" x14ac:dyDescent="0.2">
      <c r="K55" s="2"/>
    </row>
    <row r="56" spans="11:11" x14ac:dyDescent="0.2">
      <c r="K56" s="2"/>
    </row>
    <row r="57" spans="11:11" x14ac:dyDescent="0.2">
      <c r="K57" s="2"/>
    </row>
    <row r="58" spans="11:11" x14ac:dyDescent="0.2">
      <c r="K58" s="2"/>
    </row>
    <row r="59" spans="11:11" x14ac:dyDescent="0.2">
      <c r="K59" s="2"/>
    </row>
    <row r="60" spans="11:11" x14ac:dyDescent="0.2">
      <c r="K60" s="2"/>
    </row>
    <row r="61" spans="11:11" x14ac:dyDescent="0.2">
      <c r="K61" s="2"/>
    </row>
    <row r="62" spans="11:11" x14ac:dyDescent="0.2">
      <c r="K62" s="2"/>
    </row>
    <row r="63" spans="11:11" x14ac:dyDescent="0.2">
      <c r="K63" s="2"/>
    </row>
    <row r="64" spans="11:11" x14ac:dyDescent="0.2">
      <c r="K64" s="2"/>
    </row>
    <row r="65" spans="1:11" x14ac:dyDescent="0.2">
      <c r="K65" s="2"/>
    </row>
    <row r="66" spans="1:11" x14ac:dyDescent="0.2">
      <c r="K66" s="2"/>
    </row>
    <row r="67" spans="1:11" x14ac:dyDescent="0.2">
      <c r="K67" s="2"/>
    </row>
    <row r="68" spans="1:11" ht="12" thickBot="1" x14ac:dyDescent="0.25">
      <c r="K68" s="2"/>
    </row>
    <row r="69" spans="1:11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92D050"/>
  </sheetPr>
  <dimension ref="A1:L57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2" width="11.33203125" customWidth="1"/>
    <col min="3" max="6" width="13" customWidth="1"/>
    <col min="7" max="7" width="15.6640625" customWidth="1"/>
    <col min="8" max="8" width="16.33203125" customWidth="1"/>
    <col min="9" max="9" width="11.33203125" customWidth="1"/>
    <col min="10" max="10" width="9.5" customWidth="1"/>
  </cols>
  <sheetData>
    <row r="1" spans="1:12" x14ac:dyDescent="0.2">
      <c r="A1" s="8" t="str">
        <f>'1'!$A$1</f>
        <v>Texas Windstorm Insurance Association</v>
      </c>
      <c r="B1" s="12"/>
      <c r="J1" s="7" t="s">
        <v>20</v>
      </c>
      <c r="K1" s="1"/>
    </row>
    <row r="2" spans="1:12" x14ac:dyDescent="0.2">
      <c r="A2" s="8" t="str">
        <f>'1'!$A$2</f>
        <v>Residential Property - Wind &amp; Hail</v>
      </c>
      <c r="B2" s="12"/>
      <c r="J2" s="7" t="s">
        <v>45</v>
      </c>
      <c r="K2" s="2"/>
    </row>
    <row r="3" spans="1:12" x14ac:dyDescent="0.2">
      <c r="A3" s="8" t="str">
        <f>'1'!$A$3</f>
        <v>Rate Level Review</v>
      </c>
      <c r="B3" s="12"/>
      <c r="J3" s="7"/>
      <c r="K3" s="2"/>
    </row>
    <row r="4" spans="1:12" x14ac:dyDescent="0.2">
      <c r="A4" t="s">
        <v>18</v>
      </c>
      <c r="B4" s="12"/>
      <c r="K4" s="2"/>
    </row>
    <row r="5" spans="1:12" x14ac:dyDescent="0.2">
      <c r="A5" t="s">
        <v>439</v>
      </c>
      <c r="B5" s="12"/>
      <c r="K5" s="2"/>
    </row>
    <row r="6" spans="1:12" x14ac:dyDescent="0.2">
      <c r="K6" s="2"/>
    </row>
    <row r="7" spans="1:12" ht="12" thickBot="1" x14ac:dyDescent="0.25">
      <c r="A7" s="6"/>
      <c r="B7" s="6"/>
      <c r="C7" s="6"/>
      <c r="D7" s="6"/>
      <c r="E7" s="6"/>
      <c r="F7" s="6"/>
      <c r="G7" s="6"/>
      <c r="H7" s="6"/>
      <c r="K7" s="2"/>
    </row>
    <row r="8" spans="1:12" ht="12" thickTop="1" x14ac:dyDescent="0.2">
      <c r="A8" t="s">
        <v>48</v>
      </c>
      <c r="K8" s="2"/>
    </row>
    <row r="9" spans="1:12" x14ac:dyDescent="0.2">
      <c r="A9" t="s">
        <v>49</v>
      </c>
      <c r="C9" s="180" t="s">
        <v>33</v>
      </c>
      <c r="D9" s="11"/>
      <c r="E9" s="11" t="s">
        <v>36</v>
      </c>
      <c r="F9" s="11" t="s">
        <v>38</v>
      </c>
      <c r="G9" s="11" t="s">
        <v>42</v>
      </c>
      <c r="H9" s="11" t="s">
        <v>13</v>
      </c>
      <c r="K9" s="2"/>
      <c r="L9" s="17"/>
    </row>
    <row r="10" spans="1:12" x14ac:dyDescent="0.2">
      <c r="A10" t="s">
        <v>32</v>
      </c>
      <c r="C10" s="11" t="s">
        <v>8</v>
      </c>
      <c r="D10" s="11" t="s">
        <v>34</v>
      </c>
      <c r="E10" s="11" t="s">
        <v>37</v>
      </c>
      <c r="F10" s="11" t="s">
        <v>8</v>
      </c>
      <c r="G10" s="11" t="s">
        <v>40</v>
      </c>
      <c r="H10" s="11" t="s">
        <v>8</v>
      </c>
      <c r="K10" s="2"/>
      <c r="L10" t="s">
        <v>193</v>
      </c>
    </row>
    <row r="11" spans="1:12" x14ac:dyDescent="0.2">
      <c r="A11" s="9" t="str">
        <f>TEXT($L$11,"m/d")</f>
        <v>9/30</v>
      </c>
      <c r="B11" s="9"/>
      <c r="C11" s="121" t="s">
        <v>39</v>
      </c>
      <c r="D11" s="121" t="s">
        <v>35</v>
      </c>
      <c r="E11" s="121" t="s">
        <v>35</v>
      </c>
      <c r="F11" s="121" t="s">
        <v>11</v>
      </c>
      <c r="G11" s="121" t="s">
        <v>41</v>
      </c>
      <c r="H11" s="121" t="s">
        <v>29</v>
      </c>
      <c r="K11" s="2"/>
      <c r="L11" s="112">
        <f>'2.4a'!L$22</f>
        <v>45930</v>
      </c>
    </row>
    <row r="12" spans="1:12" x14ac:dyDescent="0.2">
      <c r="A12" s="13" t="str">
        <f>TEXT(COLUMN(),"(#)")</f>
        <v>(1)</v>
      </c>
      <c r="B12" s="13"/>
      <c r="C12" s="11" t="str">
        <f t="shared" ref="C12:H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 t="shared" si="0"/>
        <v>(5)</v>
      </c>
      <c r="G12" s="11" t="str">
        <f t="shared" si="0"/>
        <v>(6)</v>
      </c>
      <c r="H12" s="11" t="str">
        <f t="shared" si="0"/>
        <v>(7)</v>
      </c>
      <c r="I12" s="11"/>
      <c r="K12" s="2"/>
    </row>
    <row r="13" spans="1:12" x14ac:dyDescent="0.2">
      <c r="K13" s="2"/>
    </row>
    <row r="14" spans="1:12" x14ac:dyDescent="0.2">
      <c r="A14" t="str">
        <f t="shared" ref="A14:A22" si="1">TEXT(A15-1,"#")</f>
        <v>2016</v>
      </c>
      <c r="B14" s="23"/>
      <c r="C14" s="19">
        <f>'2.3e'!E14</f>
        <v>446449</v>
      </c>
      <c r="D14" s="29">
        <f>'4'!$E$66</f>
        <v>0.29499999999999998</v>
      </c>
      <c r="E14" s="28">
        <f>'2.2a'!E14</f>
        <v>0.85499999999999998</v>
      </c>
      <c r="F14" s="19">
        <f>ROUND(C14*(1+D14)*E14,0)</f>
        <v>494319</v>
      </c>
      <c r="G14" s="19">
        <f>'9.1d'!E14</f>
        <v>5015200</v>
      </c>
      <c r="H14" s="20">
        <f>ROUND(F14/G14,3)</f>
        <v>9.9000000000000005E-2</v>
      </c>
      <c r="I14" s="20"/>
      <c r="K14" s="2"/>
    </row>
    <row r="15" spans="1:12" x14ac:dyDescent="0.2">
      <c r="A15" t="str">
        <f t="shared" si="1"/>
        <v>2017</v>
      </c>
      <c r="B15" s="23"/>
      <c r="C15" s="19">
        <f>'2.3e'!E15</f>
        <v>481873</v>
      </c>
      <c r="D15" s="29">
        <f t="shared" ref="D15:D23" si="2">D$14</f>
        <v>0.29499999999999998</v>
      </c>
      <c r="E15" s="28">
        <f>'2.2a'!E15</f>
        <v>0.82699999999999996</v>
      </c>
      <c r="F15" s="19">
        <f t="shared" ref="F15:F22" si="3">ROUND(C15*(1+D15)*E15,0)</f>
        <v>516069</v>
      </c>
      <c r="G15" s="19">
        <f>'9.1d'!E15</f>
        <v>4890478</v>
      </c>
      <c r="H15" s="20">
        <f t="shared" ref="H15:H22" si="4">ROUND(F15/G15,3)</f>
        <v>0.106</v>
      </c>
      <c r="I15" s="20"/>
      <c r="K15" s="2"/>
    </row>
    <row r="16" spans="1:12" x14ac:dyDescent="0.2">
      <c r="A16" t="str">
        <f t="shared" si="1"/>
        <v>2018</v>
      </c>
      <c r="B16" s="23"/>
      <c r="C16" s="19">
        <f>'2.3e'!E16</f>
        <v>282856</v>
      </c>
      <c r="D16" s="29">
        <f t="shared" si="2"/>
        <v>0.29499999999999998</v>
      </c>
      <c r="E16" s="28">
        <f>'2.2a'!E16</f>
        <v>0.81799999999999995</v>
      </c>
      <c r="F16" s="19">
        <f t="shared" si="3"/>
        <v>299632</v>
      </c>
      <c r="G16" s="19">
        <f>'9.1d'!E16</f>
        <v>4631462</v>
      </c>
      <c r="H16" s="20">
        <f t="shared" si="4"/>
        <v>6.5000000000000002E-2</v>
      </c>
      <c r="I16" s="20"/>
      <c r="K16" s="2"/>
    </row>
    <row r="17" spans="1:11" x14ac:dyDescent="0.2">
      <c r="A17" t="str">
        <f t="shared" si="1"/>
        <v>2019</v>
      </c>
      <c r="B17" s="23"/>
      <c r="C17" s="19">
        <f>'2.3e'!E17</f>
        <v>2701499</v>
      </c>
      <c r="D17" s="29">
        <f t="shared" si="2"/>
        <v>0.29499999999999998</v>
      </c>
      <c r="E17" s="28">
        <f>'2.2a'!E17</f>
        <v>0.79100000000000004</v>
      </c>
      <c r="F17" s="19">
        <f t="shared" si="3"/>
        <v>2767267</v>
      </c>
      <c r="G17" s="19">
        <f>'9.1d'!E17</f>
        <v>4510864</v>
      </c>
      <c r="H17" s="20">
        <f t="shared" si="4"/>
        <v>0.61299999999999999</v>
      </c>
      <c r="I17" s="20"/>
      <c r="K17" s="2"/>
    </row>
    <row r="18" spans="1:11" x14ac:dyDescent="0.2">
      <c r="A18" t="str">
        <f t="shared" si="1"/>
        <v>2020</v>
      </c>
      <c r="B18" s="23"/>
      <c r="C18" s="19">
        <f>'2.3e'!E18</f>
        <v>450990</v>
      </c>
      <c r="D18" s="29">
        <f t="shared" si="2"/>
        <v>0.29499999999999998</v>
      </c>
      <c r="E18" s="28">
        <f>'2.2a'!E18</f>
        <v>0.80300000000000005</v>
      </c>
      <c r="F18" s="19">
        <f t="shared" si="3"/>
        <v>468978</v>
      </c>
      <c r="G18" s="19">
        <f>'9.1d'!E18</f>
        <v>4586202</v>
      </c>
      <c r="H18" s="20">
        <f t="shared" si="4"/>
        <v>0.10199999999999999</v>
      </c>
      <c r="I18" s="20"/>
      <c r="K18" s="2"/>
    </row>
    <row r="19" spans="1:11" x14ac:dyDescent="0.2">
      <c r="A19" t="str">
        <f t="shared" si="1"/>
        <v>2021</v>
      </c>
      <c r="B19" s="23"/>
      <c r="C19" s="19">
        <f>'2.3e'!E19</f>
        <v>2136826</v>
      </c>
      <c r="D19" s="29">
        <f t="shared" si="2"/>
        <v>0.29499999999999998</v>
      </c>
      <c r="E19" s="28">
        <f>'2.2a'!E19</f>
        <v>0.751</v>
      </c>
      <c r="F19" s="19">
        <f t="shared" si="3"/>
        <v>2078159</v>
      </c>
      <c r="G19" s="19">
        <f>'9.1d'!E19</f>
        <v>4749377</v>
      </c>
      <c r="H19" s="20">
        <f t="shared" si="4"/>
        <v>0.438</v>
      </c>
      <c r="I19" s="20"/>
      <c r="K19" s="2"/>
    </row>
    <row r="20" spans="1:11" x14ac:dyDescent="0.2">
      <c r="A20" t="str">
        <f t="shared" si="1"/>
        <v>2022</v>
      </c>
      <c r="B20" s="23"/>
      <c r="C20" s="19">
        <f>'2.3e'!E20</f>
        <v>752116</v>
      </c>
      <c r="D20" s="29">
        <f t="shared" si="2"/>
        <v>0.29499999999999998</v>
      </c>
      <c r="E20" s="28">
        <f>'2.2a'!E20</f>
        <v>0.72899999999999998</v>
      </c>
      <c r="F20" s="19">
        <f t="shared" si="3"/>
        <v>710039</v>
      </c>
      <c r="G20" s="19">
        <f>'9.1d'!E20</f>
        <v>5048518</v>
      </c>
      <c r="H20" s="20">
        <f t="shared" si="4"/>
        <v>0.14099999999999999</v>
      </c>
      <c r="I20" s="20"/>
      <c r="K20" s="2"/>
    </row>
    <row r="21" spans="1:11" x14ac:dyDescent="0.2">
      <c r="A21" t="str">
        <f t="shared" si="1"/>
        <v>2023</v>
      </c>
      <c r="B21" s="23"/>
      <c r="C21" s="19">
        <f>'2.3e'!E21</f>
        <v>4331535</v>
      </c>
      <c r="D21" s="29">
        <f t="shared" si="2"/>
        <v>0.29499999999999998</v>
      </c>
      <c r="E21" s="28">
        <f>'2.2a'!E21</f>
        <v>0.77300000000000002</v>
      </c>
      <c r="F21" s="19">
        <f t="shared" si="3"/>
        <v>4336018</v>
      </c>
      <c r="G21" s="19">
        <f>'9.1d'!E21</f>
        <v>5922961</v>
      </c>
      <c r="H21" s="20">
        <f>ROUND(F21/G21,3)</f>
        <v>0.73199999999999998</v>
      </c>
      <c r="I21" s="20"/>
      <c r="K21" s="2"/>
    </row>
    <row r="22" spans="1:11" x14ac:dyDescent="0.2">
      <c r="A22" t="str">
        <f t="shared" si="1"/>
        <v>2024</v>
      </c>
      <c r="B22" s="23"/>
      <c r="C22" s="19">
        <f>'2.3e'!E22</f>
        <v>1561393</v>
      </c>
      <c r="D22" s="29">
        <f t="shared" si="2"/>
        <v>0.29499999999999998</v>
      </c>
      <c r="E22" s="28">
        <f>'2.2a'!E22</f>
        <v>0.85</v>
      </c>
      <c r="F22" s="19">
        <f t="shared" si="3"/>
        <v>1718703</v>
      </c>
      <c r="G22" s="19">
        <f>'9.1d'!E22</f>
        <v>6879118</v>
      </c>
      <c r="H22" s="20">
        <f t="shared" si="4"/>
        <v>0.25</v>
      </c>
      <c r="I22" s="20"/>
      <c r="K22" s="2"/>
    </row>
    <row r="23" spans="1:11" x14ac:dyDescent="0.2">
      <c r="A23" t="str">
        <f>TEXT(YEAR($L$11),"#")</f>
        <v>2025</v>
      </c>
      <c r="B23" s="23"/>
      <c r="C23" s="19">
        <f>'2.3e'!E23</f>
        <v>1070580</v>
      </c>
      <c r="D23" s="29">
        <f t="shared" si="2"/>
        <v>0.29499999999999998</v>
      </c>
      <c r="E23" s="28">
        <f>'2.2a'!E23</f>
        <v>0.89800000000000002</v>
      </c>
      <c r="F23" s="19">
        <f>ROUND(C23*(1+D23)*E23,0)</f>
        <v>1244988</v>
      </c>
      <c r="G23" s="19">
        <f>'9.1d'!E23</f>
        <v>7839413</v>
      </c>
      <c r="H23" s="20">
        <f>ROUND(F23/G23,3)</f>
        <v>0.159</v>
      </c>
      <c r="I23" s="20"/>
      <c r="K23" s="2"/>
    </row>
    <row r="24" spans="1:11" x14ac:dyDescent="0.2">
      <c r="A24" s="9"/>
      <c r="B24" s="24"/>
      <c r="C24" s="25"/>
      <c r="D24" s="30"/>
      <c r="E24" s="45"/>
      <c r="F24" s="25"/>
      <c r="G24" s="25"/>
      <c r="H24" s="21"/>
      <c r="K24" s="2"/>
    </row>
    <row r="25" spans="1:11" x14ac:dyDescent="0.2">
      <c r="I25" s="20"/>
      <c r="J25" s="20"/>
      <c r="K25" s="2"/>
    </row>
    <row r="26" spans="1:11" x14ac:dyDescent="0.2">
      <c r="A26" t="s">
        <v>9</v>
      </c>
      <c r="C26" s="19">
        <f>SUM(C14:C24)</f>
        <v>14216117</v>
      </c>
      <c r="F26" s="19">
        <f>SUM(F14:F24)</f>
        <v>14634172</v>
      </c>
      <c r="G26" s="19">
        <f>SUM(G14:G24)</f>
        <v>54073593</v>
      </c>
      <c r="H26" s="20">
        <f>ROUND(F26/G26,3)</f>
        <v>0.27100000000000002</v>
      </c>
      <c r="K26" s="2"/>
    </row>
    <row r="27" spans="1:11" ht="12" thickBot="1" x14ac:dyDescent="0.25">
      <c r="A27" s="6"/>
      <c r="B27" s="6"/>
      <c r="C27" s="6"/>
      <c r="D27" s="6"/>
      <c r="E27" s="6"/>
      <c r="F27" s="6"/>
      <c r="G27" s="6"/>
      <c r="H27" s="6"/>
      <c r="K27" s="2"/>
    </row>
    <row r="28" spans="1:11" ht="12" thickTop="1" x14ac:dyDescent="0.2">
      <c r="K28" s="2"/>
    </row>
    <row r="29" spans="1:11" x14ac:dyDescent="0.2">
      <c r="A29" t="s">
        <v>17</v>
      </c>
      <c r="K29" s="2"/>
    </row>
    <row r="30" spans="1:11" x14ac:dyDescent="0.2">
      <c r="B30" s="12" t="str">
        <f>C12&amp;" "&amp;'2.3e'!$J$1&amp;", "&amp;'2.3e'!$J$2</f>
        <v>(2) Exhibit 2, Sheet 3e</v>
      </c>
      <c r="K30" s="2"/>
    </row>
    <row r="31" spans="1:11" x14ac:dyDescent="0.2">
      <c r="B31" s="12" t="str">
        <f>D12&amp;" "&amp;'4'!$J$1</f>
        <v>(3) Exhibit 4</v>
      </c>
      <c r="K31" s="2"/>
    </row>
    <row r="32" spans="1:11" x14ac:dyDescent="0.2">
      <c r="B32" s="12" t="str">
        <f>E12&amp;" "&amp;'2.5'!$L$1&amp;", "&amp;'2.5'!$L$2</f>
        <v>(4) Exhibit 2, Sheet 5</v>
      </c>
      <c r="K32" s="2"/>
    </row>
    <row r="33" spans="2:11" x14ac:dyDescent="0.2">
      <c r="B33" s="12" t="str">
        <f>F12&amp;" = "&amp;C12&amp;" * [1 + "&amp;D12&amp;"] * "&amp;E12</f>
        <v>(5) = (2) * [1 + (3)] * (4)</v>
      </c>
      <c r="K33" s="2"/>
    </row>
    <row r="34" spans="2:11" x14ac:dyDescent="0.2">
      <c r="B34" s="12" t="str">
        <f>G12&amp;" "&amp;'9.1d'!$J$1&amp;", "&amp;'9.1d'!$J$2</f>
        <v>(6) Exhibit 9, Sheet 1d</v>
      </c>
      <c r="K34" s="2"/>
    </row>
    <row r="35" spans="2:11" x14ac:dyDescent="0.2">
      <c r="B35" s="12" t="str">
        <f>H12&amp;" = "&amp;F12&amp;" / "&amp;G12</f>
        <v>(7) = (5) / (6)</v>
      </c>
      <c r="K35" s="2"/>
    </row>
    <row r="36" spans="2:11" x14ac:dyDescent="0.2">
      <c r="K36" s="2"/>
    </row>
    <row r="37" spans="2:11" x14ac:dyDescent="0.2">
      <c r="K37" s="2"/>
    </row>
    <row r="38" spans="2:11" x14ac:dyDescent="0.2">
      <c r="K38" s="2"/>
    </row>
    <row r="39" spans="2:11" x14ac:dyDescent="0.2">
      <c r="K39" s="2"/>
    </row>
    <row r="40" spans="2:11" x14ac:dyDescent="0.2">
      <c r="K40" s="2"/>
    </row>
    <row r="41" spans="2:11" x14ac:dyDescent="0.2">
      <c r="K41" s="2"/>
    </row>
    <row r="42" spans="2:11" x14ac:dyDescent="0.2">
      <c r="K42" s="2"/>
    </row>
    <row r="43" spans="2:11" x14ac:dyDescent="0.2">
      <c r="K43" s="2"/>
    </row>
    <row r="44" spans="2:11" x14ac:dyDescent="0.2">
      <c r="K44" s="2"/>
    </row>
    <row r="45" spans="2:11" x14ac:dyDescent="0.2">
      <c r="K45" s="2"/>
    </row>
    <row r="46" spans="2:11" x14ac:dyDescent="0.2">
      <c r="K46" s="2"/>
    </row>
    <row r="47" spans="2:11" x14ac:dyDescent="0.2">
      <c r="K47" s="2"/>
    </row>
    <row r="48" spans="2:11" x14ac:dyDescent="0.2">
      <c r="K48" s="2"/>
    </row>
    <row r="49" spans="1:11" x14ac:dyDescent="0.2">
      <c r="K49" s="2"/>
    </row>
    <row r="50" spans="1:11" x14ac:dyDescent="0.2">
      <c r="K50" s="2"/>
    </row>
    <row r="51" spans="1:11" x14ac:dyDescent="0.2">
      <c r="K51" s="2"/>
    </row>
    <row r="52" spans="1:11" x14ac:dyDescent="0.2">
      <c r="K52" s="2"/>
    </row>
    <row r="53" spans="1:11" x14ac:dyDescent="0.2">
      <c r="K53" s="2"/>
    </row>
    <row r="54" spans="1:11" x14ac:dyDescent="0.2">
      <c r="K54" s="2"/>
    </row>
    <row r="55" spans="1:11" x14ac:dyDescent="0.2">
      <c r="K55" s="2"/>
    </row>
    <row r="56" spans="1:11" ht="12" thickBot="1" x14ac:dyDescent="0.25">
      <c r="K56" s="2"/>
    </row>
    <row r="57" spans="1:11" ht="12" thickBot="1" x14ac:dyDescent="0.25">
      <c r="A57" s="4"/>
      <c r="B57" s="5"/>
      <c r="C57" s="5"/>
      <c r="D57" s="5"/>
      <c r="E57" s="5"/>
      <c r="F57" s="5"/>
      <c r="G57" s="5"/>
      <c r="H57" s="5"/>
      <c r="I57" s="5"/>
      <c r="J57" s="5"/>
      <c r="K57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92D050"/>
  </sheetPr>
  <dimension ref="A1:P69"/>
  <sheetViews>
    <sheetView showGridLines="0" zoomScaleNormal="100" workbookViewId="0">
      <selection activeCell="P38" sqref="P38"/>
    </sheetView>
  </sheetViews>
  <sheetFormatPr defaultColWidth="11.33203125" defaultRowHeight="11.25" x14ac:dyDescent="0.2"/>
  <cols>
    <col min="1" max="1" width="5.1640625" bestFit="1" customWidth="1"/>
    <col min="2" max="3" width="11.33203125" customWidth="1"/>
    <col min="4" max="5" width="15.83203125" bestFit="1" customWidth="1"/>
    <col min="6" max="8" width="14.6640625" customWidth="1"/>
    <col min="9" max="9" width="3.83203125" customWidth="1"/>
    <col min="10" max="10" width="3.6640625" customWidth="1"/>
    <col min="11" max="11" width="4" customWidth="1"/>
    <col min="12" max="12" width="1.83203125" customWidth="1"/>
    <col min="13" max="13" width="4.1640625" customWidth="1"/>
  </cols>
  <sheetData>
    <row r="1" spans="1:15" x14ac:dyDescent="0.2">
      <c r="A1" s="8" t="str">
        <f>'1'!$A$1</f>
        <v>Texas Windstorm Insurance Association</v>
      </c>
      <c r="B1" s="12"/>
      <c r="C1" s="12"/>
      <c r="D1" s="12"/>
      <c r="E1" s="12"/>
      <c r="F1" s="12"/>
      <c r="G1" s="12"/>
      <c r="H1" s="12"/>
      <c r="M1" s="7" t="s">
        <v>20</v>
      </c>
      <c r="N1" s="1"/>
    </row>
    <row r="2" spans="1:15" x14ac:dyDescent="0.2">
      <c r="A2" s="8" t="str">
        <f>'1'!$A$2</f>
        <v>Residential Property - Wind &amp; Hail</v>
      </c>
      <c r="B2" s="12"/>
      <c r="C2" s="12"/>
      <c r="D2" s="12"/>
      <c r="E2" s="12"/>
      <c r="F2" s="12"/>
      <c r="G2" s="12"/>
      <c r="H2" s="12"/>
      <c r="M2" s="7" t="s">
        <v>46</v>
      </c>
      <c r="N2" s="2"/>
    </row>
    <row r="3" spans="1:15" x14ac:dyDescent="0.2">
      <c r="A3" s="8" t="str">
        <f>'1'!$A$3</f>
        <v>Rate Level Review</v>
      </c>
      <c r="B3" s="12"/>
      <c r="C3" s="12"/>
      <c r="D3" s="12"/>
      <c r="E3" s="12"/>
      <c r="F3" s="12"/>
      <c r="G3" s="12"/>
      <c r="H3" s="12"/>
      <c r="N3" s="2"/>
    </row>
    <row r="4" spans="1:15" x14ac:dyDescent="0.2">
      <c r="A4" t="s">
        <v>370</v>
      </c>
      <c r="B4" s="12"/>
      <c r="C4" s="12"/>
      <c r="D4" s="12"/>
      <c r="E4" s="12"/>
      <c r="F4" s="12"/>
      <c r="G4" s="12"/>
      <c r="H4" s="12"/>
      <c r="N4" s="2"/>
    </row>
    <row r="5" spans="1:15" x14ac:dyDescent="0.2">
      <c r="B5" s="12"/>
      <c r="C5" s="12"/>
      <c r="D5" s="12"/>
      <c r="E5" s="12"/>
      <c r="F5" s="12"/>
      <c r="G5" s="12"/>
      <c r="H5" s="12"/>
      <c r="N5" s="2"/>
    </row>
    <row r="6" spans="1:15" x14ac:dyDescent="0.2">
      <c r="N6" s="2"/>
    </row>
    <row r="7" spans="1:15" ht="12" thickBot="1" x14ac:dyDescent="0.25">
      <c r="A7" s="6"/>
      <c r="B7" s="6"/>
      <c r="C7" s="6"/>
      <c r="D7" s="6"/>
      <c r="E7" s="6"/>
      <c r="F7" s="6"/>
      <c r="G7" s="6"/>
      <c r="H7" s="6"/>
      <c r="N7" s="2"/>
    </row>
    <row r="8" spans="1:15" ht="12" thickTop="1" x14ac:dyDescent="0.2">
      <c r="A8" t="s">
        <v>48</v>
      </c>
      <c r="D8" s="11"/>
      <c r="E8" s="11"/>
      <c r="F8" s="11"/>
      <c r="G8" s="11"/>
      <c r="H8" s="11"/>
      <c r="N8" s="2"/>
    </row>
    <row r="9" spans="1:15" x14ac:dyDescent="0.2">
      <c r="A9" t="s">
        <v>49</v>
      </c>
      <c r="C9" s="11" t="s">
        <v>365</v>
      </c>
      <c r="D9" s="11" t="s">
        <v>362</v>
      </c>
      <c r="E9" s="11" t="s">
        <v>362</v>
      </c>
      <c r="F9" s="11" t="s">
        <v>362</v>
      </c>
      <c r="G9" s="11" t="s">
        <v>368</v>
      </c>
      <c r="H9" s="11" t="s">
        <v>368</v>
      </c>
      <c r="N9" s="2"/>
      <c r="O9" s="17"/>
    </row>
    <row r="10" spans="1:15" x14ac:dyDescent="0.2">
      <c r="A10" t="s">
        <v>32</v>
      </c>
      <c r="C10" s="11" t="s">
        <v>366</v>
      </c>
      <c r="D10" s="11" t="s">
        <v>363</v>
      </c>
      <c r="E10" s="11" t="s">
        <v>363</v>
      </c>
      <c r="F10" s="11" t="s">
        <v>51</v>
      </c>
      <c r="G10" s="11" t="s">
        <v>366</v>
      </c>
      <c r="H10" s="11" t="s">
        <v>51</v>
      </c>
      <c r="N10" s="2"/>
    </row>
    <row r="11" spans="1:15" x14ac:dyDescent="0.2">
      <c r="A11" s="9" t="str">
        <f>TEXT(P22,"m/d")</f>
        <v>12/31</v>
      </c>
      <c r="B11" s="9"/>
      <c r="C11" s="121" t="s">
        <v>367</v>
      </c>
      <c r="D11" s="121" t="s">
        <v>50</v>
      </c>
      <c r="E11" s="121" t="s">
        <v>364</v>
      </c>
      <c r="F11" s="121" t="s">
        <v>35</v>
      </c>
      <c r="G11" s="121" t="s">
        <v>367</v>
      </c>
      <c r="H11" s="121" t="s">
        <v>35</v>
      </c>
      <c r="N11" s="2"/>
    </row>
    <row r="12" spans="1:15" x14ac:dyDescent="0.2">
      <c r="A12" s="23" t="str">
        <f>TEXT(COLUMN(),"(#)")</f>
        <v>(1)</v>
      </c>
      <c r="B12" s="13"/>
      <c r="C12" s="11" t="str">
        <f t="shared" ref="C12:E12" si="0">TEXT(COLUMN()-1,"(#)")</f>
        <v>(2)</v>
      </c>
      <c r="D12" s="11" t="str">
        <f t="shared" si="0"/>
        <v>(3)</v>
      </c>
      <c r="E12" s="11" t="str">
        <f t="shared" si="0"/>
        <v>(4)</v>
      </c>
      <c r="F12" s="11" t="str">
        <f>TEXT(COLUMN()-1,"(#)")</f>
        <v>(5)</v>
      </c>
      <c r="G12" s="11" t="str">
        <f t="shared" ref="G12:H12" si="1">TEXT(COLUMN()-1,"(#)")</f>
        <v>(6)</v>
      </c>
      <c r="H12" s="11" t="str">
        <f t="shared" si="1"/>
        <v>(7)</v>
      </c>
      <c r="N12" s="2"/>
    </row>
    <row r="13" spans="1:15" x14ac:dyDescent="0.2">
      <c r="N13" s="2"/>
    </row>
    <row r="14" spans="1:15" x14ac:dyDescent="0.2">
      <c r="A14" t="str">
        <f t="shared" ref="A14:A22" si="2">TEXT(A15-1,"#")</f>
        <v>2016</v>
      </c>
      <c r="B14" s="23"/>
      <c r="C14" s="11">
        <f t="shared" ref="C14:C21" si="3">C15+12</f>
        <v>120</v>
      </c>
      <c r="D14" s="151">
        <f>'[3]2.2'!C14</f>
        <v>28422000</v>
      </c>
      <c r="E14" s="151">
        <f>'[3]2.2'!D14</f>
        <v>28422000</v>
      </c>
      <c r="F14" s="113">
        <f t="shared" ref="F14:F23" si="4">E14/D14</f>
        <v>1</v>
      </c>
      <c r="G14" s="193">
        <f t="shared" ref="G14:G22" si="5">C14+3</f>
        <v>123</v>
      </c>
      <c r="H14" s="194">
        <v>1</v>
      </c>
      <c r="N14" s="2"/>
      <c r="O14" s="28"/>
    </row>
    <row r="15" spans="1:15" x14ac:dyDescent="0.2">
      <c r="A15" t="str">
        <f t="shared" si="2"/>
        <v>2017</v>
      </c>
      <c r="B15" s="23"/>
      <c r="C15" s="11">
        <f t="shared" si="3"/>
        <v>108</v>
      </c>
      <c r="D15" s="151">
        <f>'[3]2.2'!C15</f>
        <v>1406855000</v>
      </c>
      <c r="E15" s="151">
        <f>'[3]2.2'!D15</f>
        <v>1409788000</v>
      </c>
      <c r="F15" s="113">
        <f t="shared" si="4"/>
        <v>1.0020847919650568</v>
      </c>
      <c r="G15" s="193">
        <f t="shared" si="5"/>
        <v>111</v>
      </c>
      <c r="H15" s="113" cm="1">
        <f t="array" ref="H15">TREND(F14:F15,C14:C15,G15)</f>
        <v>1.0015635939737928</v>
      </c>
      <c r="N15" s="2"/>
      <c r="O15" s="28"/>
    </row>
    <row r="16" spans="1:15" x14ac:dyDescent="0.2">
      <c r="A16" t="str">
        <f t="shared" si="2"/>
        <v>2018</v>
      </c>
      <c r="B16" s="23"/>
      <c r="C16" s="11">
        <f t="shared" si="3"/>
        <v>96</v>
      </c>
      <c r="D16" s="151">
        <f>'[3]2.2'!C16</f>
        <v>12097000</v>
      </c>
      <c r="E16" s="151">
        <f>'[3]2.2'!D16</f>
        <v>12097000</v>
      </c>
      <c r="F16" s="113">
        <f t="shared" si="4"/>
        <v>1</v>
      </c>
      <c r="G16" s="193">
        <f t="shared" si="5"/>
        <v>99</v>
      </c>
      <c r="H16" s="113" cm="1">
        <f t="array" ref="H16">TREND(F15:F16,C15:C16,G16)</f>
        <v>1.0005211979912643</v>
      </c>
      <c r="N16" s="2"/>
      <c r="O16" s="28"/>
    </row>
    <row r="17" spans="1:16" x14ac:dyDescent="0.2">
      <c r="A17" t="str">
        <f t="shared" si="2"/>
        <v>2019</v>
      </c>
      <c r="B17" s="23"/>
      <c r="C17" s="11">
        <f t="shared" si="3"/>
        <v>84</v>
      </c>
      <c r="D17" s="151">
        <f>'[3]2.2'!C17</f>
        <v>17606000</v>
      </c>
      <c r="E17" s="151">
        <f>'[3]2.2'!D17</f>
        <v>17606000</v>
      </c>
      <c r="F17" s="113">
        <f t="shared" si="4"/>
        <v>1</v>
      </c>
      <c r="G17" s="193">
        <f t="shared" si="5"/>
        <v>87</v>
      </c>
      <c r="H17" s="113" cm="1">
        <f t="array" ref="H17">TREND(F16:F17,C16:C17,G17)</f>
        <v>1</v>
      </c>
      <c r="N17" s="2"/>
      <c r="O17" s="28"/>
    </row>
    <row r="18" spans="1:16" x14ac:dyDescent="0.2">
      <c r="A18" t="str">
        <f t="shared" si="2"/>
        <v>2020</v>
      </c>
      <c r="B18" s="23"/>
      <c r="C18" s="11">
        <f t="shared" si="3"/>
        <v>72</v>
      </c>
      <c r="D18" s="151">
        <f>'[3]2.2'!C18</f>
        <v>64294000</v>
      </c>
      <c r="E18" s="151">
        <f>'[3]2.2'!D18</f>
        <v>64503000</v>
      </c>
      <c r="F18" s="113">
        <f t="shared" si="4"/>
        <v>1.003250692133014</v>
      </c>
      <c r="G18" s="193">
        <f t="shared" si="5"/>
        <v>75</v>
      </c>
      <c r="H18" s="113" cm="1">
        <f t="array" ref="H18">TREND(F17:F18,C17:C18,G18)</f>
        <v>1.0024380190997604</v>
      </c>
      <c r="N18" s="2"/>
      <c r="O18" s="28"/>
    </row>
    <row r="19" spans="1:16" x14ac:dyDescent="0.2">
      <c r="A19" t="str">
        <f t="shared" si="2"/>
        <v>2021</v>
      </c>
      <c r="B19" s="23"/>
      <c r="C19" s="11">
        <f t="shared" si="3"/>
        <v>60</v>
      </c>
      <c r="D19" s="151">
        <f>'[3]2.2'!C19</f>
        <v>65494000</v>
      </c>
      <c r="E19" s="151">
        <f>'[3]2.2'!D19</f>
        <v>67351000</v>
      </c>
      <c r="F19" s="113">
        <f t="shared" si="4"/>
        <v>1.0283537423275415</v>
      </c>
      <c r="G19" s="193">
        <f t="shared" si="5"/>
        <v>63</v>
      </c>
      <c r="H19" s="113" cm="1">
        <f t="array" ref="H19">TREND(F18:F19,C18:C19,G19)</f>
        <v>1.0220779797789097</v>
      </c>
      <c r="N19" s="2"/>
      <c r="O19" s="28"/>
    </row>
    <row r="20" spans="1:16" x14ac:dyDescent="0.2">
      <c r="A20" t="str">
        <f t="shared" si="2"/>
        <v>2022</v>
      </c>
      <c r="B20" s="23"/>
      <c r="C20" s="11">
        <f t="shared" si="3"/>
        <v>48</v>
      </c>
      <c r="D20" s="151">
        <f>'[3]2.2'!C20</f>
        <v>28875000</v>
      </c>
      <c r="E20" s="151">
        <f>'[3]2.2'!D20</f>
        <v>28969000</v>
      </c>
      <c r="F20" s="113">
        <f t="shared" si="4"/>
        <v>1.0032554112554113</v>
      </c>
      <c r="G20" s="193">
        <f t="shared" si="5"/>
        <v>51</v>
      </c>
      <c r="H20" s="113" cm="1">
        <f t="array" ref="H20">TREND(F19:F20,C19:C20,G20)</f>
        <v>1.0095299940234439</v>
      </c>
      <c r="N20" s="2"/>
      <c r="O20" s="28"/>
    </row>
    <row r="21" spans="1:16" x14ac:dyDescent="0.2">
      <c r="A21" t="str">
        <f t="shared" si="2"/>
        <v>2023</v>
      </c>
      <c r="B21" s="23"/>
      <c r="C21" s="11">
        <f t="shared" si="3"/>
        <v>36</v>
      </c>
      <c r="D21" s="151">
        <f>'[3]2.2'!C21</f>
        <v>77590000</v>
      </c>
      <c r="E21" s="151">
        <f>'[3]2.2'!D21</f>
        <v>79006000</v>
      </c>
      <c r="F21" s="113">
        <f t="shared" si="4"/>
        <v>1.018249774455471</v>
      </c>
      <c r="G21" s="193">
        <f t="shared" si="5"/>
        <v>39</v>
      </c>
      <c r="H21" s="113" cm="1">
        <f t="array" ref="H21">TREND(F20:F21,C20:C21,G21)</f>
        <v>1.0145011836554563</v>
      </c>
      <c r="N21" s="2"/>
      <c r="O21" t="s">
        <v>193</v>
      </c>
      <c r="P21" t="s">
        <v>194</v>
      </c>
    </row>
    <row r="22" spans="1:16" x14ac:dyDescent="0.2">
      <c r="A22" t="str">
        <f t="shared" si="2"/>
        <v>2024</v>
      </c>
      <c r="B22" s="23"/>
      <c r="C22" s="11">
        <f>C23+12</f>
        <v>24</v>
      </c>
      <c r="D22" s="151">
        <f>'[3]2.2'!C22</f>
        <v>486142000</v>
      </c>
      <c r="E22" s="151">
        <f>'[3]2.2'!D22</f>
        <v>546593000</v>
      </c>
      <c r="F22" s="113">
        <f t="shared" si="4"/>
        <v>1.1243484414018949</v>
      </c>
      <c r="G22" s="193">
        <f t="shared" si="5"/>
        <v>27</v>
      </c>
      <c r="H22" s="113" cm="1">
        <f t="array" ref="H22">TREND(F21:F22,C21:C22,G22)</f>
        <v>1.0978237746652892</v>
      </c>
      <c r="N22" s="2"/>
      <c r="O22" s="37">
        <f>'2.4a'!L$22</f>
        <v>45930</v>
      </c>
      <c r="P22" s="37">
        <f>'2.4a'!M$22</f>
        <v>46022</v>
      </c>
    </row>
    <row r="23" spans="1:16" x14ac:dyDescent="0.2">
      <c r="A23" t="str">
        <f>TEXT(YEAR($O$22),"#")</f>
        <v>2025</v>
      </c>
      <c r="B23" s="23"/>
      <c r="C23" s="11">
        <v>12</v>
      </c>
      <c r="D23" s="151">
        <f>'[3]2.2'!C23</f>
        <v>90523000</v>
      </c>
      <c r="E23" s="151">
        <f>'[3]2.2'!D23</f>
        <v>153607000</v>
      </c>
      <c r="F23" s="113">
        <f t="shared" si="4"/>
        <v>1.6968836649249361</v>
      </c>
      <c r="G23" s="193">
        <f>C23+3</f>
        <v>15</v>
      </c>
      <c r="H23" s="113" cm="1">
        <f t="array" ref="H23">TREND(F22:F23,C22:C23,G23)</f>
        <v>1.5537498590441758</v>
      </c>
      <c r="N23" s="2"/>
      <c r="O23" s="37"/>
      <c r="P23" s="37"/>
    </row>
    <row r="24" spans="1:16" ht="12" thickBot="1" x14ac:dyDescent="0.25">
      <c r="A24" s="6"/>
      <c r="B24" s="6"/>
      <c r="C24" s="6"/>
      <c r="D24" s="6"/>
      <c r="E24" s="6"/>
      <c r="F24" s="6"/>
      <c r="G24" s="6"/>
      <c r="H24" s="6"/>
      <c r="N24" s="2"/>
    </row>
    <row r="25" spans="1:16" ht="12" thickTop="1" x14ac:dyDescent="0.2">
      <c r="N25" s="2"/>
    </row>
    <row r="26" spans="1:16" x14ac:dyDescent="0.2">
      <c r="A26" t="s">
        <v>17</v>
      </c>
      <c r="N26" s="2"/>
    </row>
    <row r="27" spans="1:16" x14ac:dyDescent="0.2">
      <c r="B27" s="12" t="str">
        <f>D12&amp;" Based on TWIA "&amp;TEXT(YEAR(P22),"#")&amp;" Annual Statement"</f>
        <v>(3) Based on TWIA 2025 Annual Statement</v>
      </c>
      <c r="C27" s="12"/>
      <c r="N27" s="2"/>
    </row>
    <row r="28" spans="1:16" x14ac:dyDescent="0.2">
      <c r="B28" s="12" t="str">
        <f>E12&amp;" Based on TWIA "&amp;TEXT(YEAR(P22),"#")&amp;" Annual Statement"</f>
        <v>(4) Based on TWIA 2025 Annual Statement</v>
      </c>
      <c r="C28" s="12"/>
      <c r="N28" s="2"/>
    </row>
    <row r="29" spans="1:16" x14ac:dyDescent="0.2">
      <c r="B29" s="12" t="str">
        <f>F12&amp;" = "&amp;E12&amp;" / "&amp;D12</f>
        <v>(5) = (4) / (3)</v>
      </c>
      <c r="C29" s="12"/>
      <c r="D29" s="12"/>
      <c r="E29" s="12"/>
      <c r="F29" s="12"/>
      <c r="G29" s="12"/>
      <c r="H29" s="12"/>
      <c r="N29" s="2"/>
    </row>
    <row r="30" spans="1:16" x14ac:dyDescent="0.2">
      <c r="B30" s="12" t="str">
        <f>H12&amp;" "&amp;"Interpolated based on "&amp;F12</f>
        <v>(7) Interpolated based on (5)</v>
      </c>
      <c r="E30" s="12"/>
      <c r="F30" s="12"/>
      <c r="G30" s="12"/>
      <c r="H30" s="12"/>
      <c r="N30" s="2"/>
    </row>
    <row r="31" spans="1:16" x14ac:dyDescent="0.2">
      <c r="B31" s="12"/>
      <c r="C31" s="12"/>
      <c r="D31" s="12"/>
      <c r="E31" s="12"/>
      <c r="F31" s="12"/>
      <c r="G31" s="12"/>
      <c r="H31" s="12"/>
      <c r="N31" s="2"/>
    </row>
    <row r="32" spans="1:16" x14ac:dyDescent="0.2">
      <c r="B32" s="12"/>
      <c r="C32" s="12"/>
      <c r="D32" s="12"/>
      <c r="N32" s="2"/>
    </row>
    <row r="33" spans="2:14" x14ac:dyDescent="0.2">
      <c r="B33" s="12"/>
      <c r="C33" s="12"/>
      <c r="D33" s="12"/>
      <c r="E33" s="12"/>
      <c r="F33" s="12"/>
      <c r="G33" s="12"/>
      <c r="H33" s="12"/>
      <c r="N33" s="2"/>
    </row>
    <row r="34" spans="2:14" x14ac:dyDescent="0.2">
      <c r="B34" s="23"/>
      <c r="C34" s="23"/>
      <c r="D34" s="23"/>
      <c r="E34" s="23"/>
      <c r="F34" s="23"/>
      <c r="G34" s="23"/>
      <c r="H34" s="23"/>
      <c r="N34" s="2"/>
    </row>
    <row r="35" spans="2:14" x14ac:dyDescent="0.2">
      <c r="B35" s="12"/>
      <c r="C35" s="12"/>
      <c r="D35" s="12"/>
      <c r="E35" s="12"/>
      <c r="F35" s="12"/>
      <c r="G35" s="12"/>
      <c r="H35" s="12"/>
      <c r="N35" s="2"/>
    </row>
    <row r="36" spans="2:14" x14ac:dyDescent="0.2">
      <c r="B36" s="12"/>
      <c r="C36" s="12"/>
      <c r="D36" s="12"/>
      <c r="E36" s="12"/>
      <c r="F36" s="12"/>
      <c r="G36" s="12"/>
      <c r="H36" s="12"/>
      <c r="N36" s="2"/>
    </row>
    <row r="37" spans="2:14" x14ac:dyDescent="0.2">
      <c r="B37" s="23"/>
      <c r="C37" s="23"/>
      <c r="D37" s="23"/>
      <c r="E37" s="23"/>
      <c r="F37" s="23"/>
      <c r="G37" s="23"/>
      <c r="H37" s="23"/>
      <c r="N37" s="2"/>
    </row>
    <row r="38" spans="2:14" x14ac:dyDescent="0.2">
      <c r="N38" s="2"/>
    </row>
    <row r="39" spans="2:14" x14ac:dyDescent="0.2">
      <c r="N39" s="2"/>
    </row>
    <row r="40" spans="2:14" x14ac:dyDescent="0.2">
      <c r="N40" s="2"/>
    </row>
    <row r="41" spans="2:14" x14ac:dyDescent="0.2">
      <c r="N41" s="2"/>
    </row>
    <row r="42" spans="2:14" x14ac:dyDescent="0.2">
      <c r="N42" s="2"/>
    </row>
    <row r="43" spans="2:14" x14ac:dyDescent="0.2">
      <c r="N43" s="2"/>
    </row>
    <row r="44" spans="2:14" x14ac:dyDescent="0.2">
      <c r="N44" s="2"/>
    </row>
    <row r="45" spans="2:14" x14ac:dyDescent="0.2">
      <c r="N45" s="2"/>
    </row>
    <row r="46" spans="2:14" x14ac:dyDescent="0.2">
      <c r="N46" s="2"/>
    </row>
    <row r="47" spans="2:14" x14ac:dyDescent="0.2">
      <c r="N47" s="2"/>
    </row>
    <row r="48" spans="2:14" x14ac:dyDescent="0.2">
      <c r="N48" s="2"/>
    </row>
    <row r="49" spans="14:14" x14ac:dyDescent="0.2">
      <c r="N49" s="2"/>
    </row>
    <row r="50" spans="14:14" x14ac:dyDescent="0.2">
      <c r="N50" s="2"/>
    </row>
    <row r="51" spans="14:14" x14ac:dyDescent="0.2">
      <c r="N51" s="2"/>
    </row>
    <row r="52" spans="14:14" x14ac:dyDescent="0.2">
      <c r="N52" s="2"/>
    </row>
    <row r="53" spans="14:14" x14ac:dyDescent="0.2">
      <c r="N53" s="2"/>
    </row>
    <row r="54" spans="14:14" x14ac:dyDescent="0.2">
      <c r="N54" s="2"/>
    </row>
    <row r="55" spans="14:14" x14ac:dyDescent="0.2">
      <c r="N55" s="2"/>
    </row>
    <row r="56" spans="14:14" x14ac:dyDescent="0.2">
      <c r="N56" s="2"/>
    </row>
    <row r="57" spans="14:14" x14ac:dyDescent="0.2">
      <c r="N57" s="2"/>
    </row>
    <row r="58" spans="14:14" x14ac:dyDescent="0.2">
      <c r="N58" s="2"/>
    </row>
    <row r="59" spans="14:14" x14ac:dyDescent="0.2">
      <c r="N59" s="2"/>
    </row>
    <row r="60" spans="14:14" x14ac:dyDescent="0.2">
      <c r="N60" s="2"/>
    </row>
    <row r="61" spans="14:14" x14ac:dyDescent="0.2">
      <c r="N61" s="2"/>
    </row>
    <row r="62" spans="14:14" x14ac:dyDescent="0.2">
      <c r="N62" s="2"/>
    </row>
    <row r="63" spans="14:14" x14ac:dyDescent="0.2">
      <c r="N63" s="2"/>
    </row>
    <row r="64" spans="14:14" x14ac:dyDescent="0.2">
      <c r="N64" s="2"/>
    </row>
    <row r="65" spans="1:14" x14ac:dyDescent="0.2">
      <c r="N65" s="2"/>
    </row>
    <row r="66" spans="1:14" x14ac:dyDescent="0.2">
      <c r="N66" s="2"/>
    </row>
    <row r="67" spans="1:14" x14ac:dyDescent="0.2">
      <c r="N67" s="2"/>
    </row>
    <row r="68" spans="1:14" ht="12" thickBot="1" x14ac:dyDescent="0.25">
      <c r="N68" s="2"/>
    </row>
    <row r="69" spans="1:14" ht="12" thickBo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3"/>
    </row>
  </sheetData>
  <phoneticPr fontId="0" type="noConversion"/>
  <pageMargins left="0.5" right="0.5" top="0.5" bottom="0.5" header="0.5" footer="0.5"/>
  <pageSetup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46</vt:i4>
      </vt:variant>
      <vt:variant>
        <vt:lpstr>Named Ranges</vt:lpstr>
      </vt:variant>
      <vt:variant>
        <vt:i4>45</vt:i4>
      </vt:variant>
    </vt:vector>
  </HeadingPairs>
  <TitlesOfParts>
    <vt:vector size="91" baseType="lpstr">
      <vt:lpstr>Cover Page</vt:lpstr>
      <vt:lpstr>Table of Contents</vt:lpstr>
      <vt:lpstr>1</vt:lpstr>
      <vt:lpstr>2.1</vt:lpstr>
      <vt:lpstr>2.2a</vt:lpstr>
      <vt:lpstr>2.2b</vt:lpstr>
      <vt:lpstr>2.2c</vt:lpstr>
      <vt:lpstr>2.2d</vt:lpstr>
      <vt:lpstr>2.3a</vt:lpstr>
      <vt:lpstr>2.3b</vt:lpstr>
      <vt:lpstr>2.3c</vt:lpstr>
      <vt:lpstr>2.3d</vt:lpstr>
      <vt:lpstr>2.3e</vt:lpstr>
      <vt:lpstr>2.4a</vt:lpstr>
      <vt:lpstr>2.4b</vt:lpstr>
      <vt:lpstr>2.4c</vt:lpstr>
      <vt:lpstr>2.4d</vt:lpstr>
      <vt:lpstr>2.5</vt:lpstr>
      <vt:lpstr>3.1</vt:lpstr>
      <vt:lpstr>3.2</vt:lpstr>
      <vt:lpstr>3.3a</vt:lpstr>
      <vt:lpstr>3.3b</vt:lpstr>
      <vt:lpstr>3.3c</vt:lpstr>
      <vt:lpstr>3.3d</vt:lpstr>
      <vt:lpstr>4</vt:lpstr>
      <vt:lpstr>5</vt:lpstr>
      <vt:lpstr>6.1</vt:lpstr>
      <vt:lpstr>6.2</vt:lpstr>
      <vt:lpstr>6.3</vt:lpstr>
      <vt:lpstr>6.4</vt:lpstr>
      <vt:lpstr>6.5</vt:lpstr>
      <vt:lpstr>6.6</vt:lpstr>
      <vt:lpstr>6.7</vt:lpstr>
      <vt:lpstr>7.1</vt:lpstr>
      <vt:lpstr>7.2</vt:lpstr>
      <vt:lpstr>7.3</vt:lpstr>
      <vt:lpstr>7.4</vt:lpstr>
      <vt:lpstr>8</vt:lpstr>
      <vt:lpstr>9.1a</vt:lpstr>
      <vt:lpstr>9.1b</vt:lpstr>
      <vt:lpstr>9.1c</vt:lpstr>
      <vt:lpstr>9.1d</vt:lpstr>
      <vt:lpstr>9.2</vt:lpstr>
      <vt:lpstr>10.1</vt:lpstr>
      <vt:lpstr>10.2</vt:lpstr>
      <vt:lpstr>11</vt:lpstr>
      <vt:lpstr>'1'!Print_Area</vt:lpstr>
      <vt:lpstr>'10.1'!Print_Area</vt:lpstr>
      <vt:lpstr>'10.2'!Print_Area</vt:lpstr>
      <vt:lpstr>'11'!Print_Area</vt:lpstr>
      <vt:lpstr>'2.1'!Print_Area</vt:lpstr>
      <vt:lpstr>'2.2a'!Print_Area</vt:lpstr>
      <vt:lpstr>'2.2b'!Print_Area</vt:lpstr>
      <vt:lpstr>'2.2c'!Print_Area</vt:lpstr>
      <vt:lpstr>'2.2d'!Print_Area</vt:lpstr>
      <vt:lpstr>'2.3a'!Print_Area</vt:lpstr>
      <vt:lpstr>'2.3b'!Print_Area</vt:lpstr>
      <vt:lpstr>'2.3c'!Print_Area</vt:lpstr>
      <vt:lpstr>'2.3d'!Print_Area</vt:lpstr>
      <vt:lpstr>'2.3e'!Print_Area</vt:lpstr>
      <vt:lpstr>'2.4a'!Print_Area</vt:lpstr>
      <vt:lpstr>'2.4b'!Print_Area</vt:lpstr>
      <vt:lpstr>'2.4c'!Print_Area</vt:lpstr>
      <vt:lpstr>'2.4d'!Print_Area</vt:lpstr>
      <vt:lpstr>'2.5'!Print_Area</vt:lpstr>
      <vt:lpstr>'3.1'!Print_Area</vt:lpstr>
      <vt:lpstr>'3.2'!Print_Area</vt:lpstr>
      <vt:lpstr>'3.3a'!Print_Area</vt:lpstr>
      <vt:lpstr>'3.3b'!Print_Area</vt:lpstr>
      <vt:lpstr>'3.3c'!Print_Area</vt:lpstr>
      <vt:lpstr>'3.3d'!Print_Area</vt:lpstr>
      <vt:lpstr>'4'!Print_Area</vt:lpstr>
      <vt:lpstr>'5'!Print_Area</vt:lpstr>
      <vt:lpstr>'6.1'!Print_Area</vt:lpstr>
      <vt:lpstr>'6.2'!Print_Area</vt:lpstr>
      <vt:lpstr>'6.3'!Print_Area</vt:lpstr>
      <vt:lpstr>'6.4'!Print_Area</vt:lpstr>
      <vt:lpstr>'6.5'!Print_Area</vt:lpstr>
      <vt:lpstr>'6.6'!Print_Area</vt:lpstr>
      <vt:lpstr>'6.7'!Print_Area</vt:lpstr>
      <vt:lpstr>'7.1'!Print_Area</vt:lpstr>
      <vt:lpstr>'7.2'!Print_Area</vt:lpstr>
      <vt:lpstr>'7.3'!Print_Area</vt:lpstr>
      <vt:lpstr>'7.4'!Print_Area</vt:lpstr>
      <vt:lpstr>'8'!Print_Area</vt:lpstr>
      <vt:lpstr>'9.1a'!Print_Area</vt:lpstr>
      <vt:lpstr>'9.1b'!Print_Area</vt:lpstr>
      <vt:lpstr>'9.1c'!Print_Area</vt:lpstr>
      <vt:lpstr>'9.1d'!Print_Area</vt:lpstr>
      <vt:lpstr>'9.2'!Print_Area</vt:lpstr>
      <vt:lpstr>'Table of Contents'!Print_Area</vt:lpstr>
    </vt:vector>
  </TitlesOfParts>
  <Company>Republic Ins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Xiuyu Li</dc:creator>
  <cp:lastModifiedBy>Angela Fang</cp:lastModifiedBy>
  <cp:lastPrinted>2025-06-30T21:28:46Z</cp:lastPrinted>
  <dcterms:created xsi:type="dcterms:W3CDTF">2001-12-17T21:49:07Z</dcterms:created>
  <dcterms:modified xsi:type="dcterms:W3CDTF">2026-06-17T20:36:08Z</dcterms:modified>
</cp:coreProperties>
</file>