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codeName="ThisWorkbook"/>
  <mc:AlternateContent xmlns:mc="http://schemas.openxmlformats.org/markup-compatibility/2006">
    <mc:Choice Requires="x15">
      <x15ac:absPath xmlns:x15ac="http://schemas.microsoft.com/office/spreadsheetml/2010/11/ac" url="O:\Issues Management\Rates\2019 Rate Decision\Rate Adequacy Analysis Documents for Web Posting\"/>
    </mc:Choice>
  </mc:AlternateContent>
  <xr:revisionPtr revIDLastSave="0" documentId="8_{3F36DBAF-D53E-4FA1-829C-C9A304A3CA8A}" xr6:coauthVersionLast="41" xr6:coauthVersionMax="41" xr10:uidLastSave="{00000000-0000-0000-0000-000000000000}"/>
  <bookViews>
    <workbookView xWindow="-18870" yWindow="390" windowWidth="18870" windowHeight="13440" tabRatio="973" firstSheet="9" activeTab="37" xr2:uid="{00000000-000D-0000-FFFF-FFFF00000000}"/>
  </bookViews>
  <sheets>
    <sheet name="Cover Page" sheetId="46" r:id="rId1"/>
    <sheet name="Table of Contents" sheetId="45" r:id="rId2"/>
    <sheet name="1" sheetId="1" r:id="rId3"/>
    <sheet name="2.1" sheetId="2" r:id="rId4"/>
    <sheet name="2.2" sheetId="3" r:id="rId5"/>
    <sheet name="2.3" sheetId="4" r:id="rId6"/>
    <sheet name="2.4" sheetId="5" r:id="rId7"/>
    <sheet name="3.1" sheetId="6" r:id="rId8"/>
    <sheet name="3.2 premium trend" sheetId="7" r:id="rId9"/>
    <sheet name="3.3a" sheetId="8" r:id="rId10"/>
    <sheet name="3.3b" sheetId="9" r:id="rId11"/>
    <sheet name="3.3c" sheetId="10" r:id="rId12"/>
    <sheet name="3.3d" sheetId="11" r:id="rId13"/>
    <sheet name="4.1" sheetId="13" r:id="rId14"/>
    <sheet name="4.2" sheetId="14" r:id="rId15"/>
    <sheet name="4.3" sheetId="15" r:id="rId16"/>
    <sheet name="4.4" sheetId="16" r:id="rId17"/>
    <sheet name="4.5" sheetId="17" r:id="rId18"/>
    <sheet name="5" sheetId="18" r:id="rId19"/>
    <sheet name="6.1" sheetId="19" r:id="rId20"/>
    <sheet name="6.2 - industry" sheetId="20" r:id="rId21"/>
    <sheet name="6.3" sheetId="21" r:id="rId22"/>
    <sheet name="6.4" sheetId="22" r:id="rId23"/>
    <sheet name="6.5" sheetId="23" r:id="rId24"/>
    <sheet name="6.6" sheetId="24" r:id="rId25"/>
    <sheet name="6.7" sheetId="25" r:id="rId26"/>
    <sheet name="7.1" sheetId="26" r:id="rId27"/>
    <sheet name="7.2" sheetId="27" r:id="rId28"/>
    <sheet name="8.1" sheetId="28" r:id="rId29"/>
    <sheet name="8.2" sheetId="29" r:id="rId30"/>
    <sheet name="9" sheetId="30" r:id="rId31"/>
    <sheet name="10.1" sheetId="31" r:id="rId32"/>
    <sheet name="10.2" sheetId="32" r:id="rId33"/>
    <sheet name="10.3" sheetId="33" r:id="rId34"/>
    <sheet name="11.1" sheetId="34" r:id="rId35"/>
    <sheet name="11.2" sheetId="43" r:id="rId36"/>
    <sheet name="12.1" sheetId="36" r:id="rId37"/>
    <sheet name="12.2" sheetId="37" r:id="rId38"/>
  </sheets>
  <externalReferences>
    <externalReference r:id="rId39"/>
    <externalReference r:id="rId40"/>
    <externalReference r:id="rId41"/>
    <externalReference r:id="rId42"/>
    <externalReference r:id="rId43"/>
  </externalReferences>
  <definedNames>
    <definedName name="_xlnm.Print_Area" localSheetId="2">'1'!$A$1:$K$68</definedName>
    <definedName name="_xlnm.Print_Area" localSheetId="31">'10.1'!$A$1:$J$70</definedName>
    <definedName name="_xlnm.Print_Area" localSheetId="32">'10.2'!$A$1:$O$70</definedName>
    <definedName name="_xlnm.Print_Area" localSheetId="33">'10.3'!$A$1:$K$70</definedName>
    <definedName name="_xlnm.Print_Area" localSheetId="34">'11.1'!$A$1:$J$69</definedName>
    <definedName name="_xlnm.Print_Area" localSheetId="35">'11.2'!$A$1:$H$68</definedName>
    <definedName name="_xlnm.Print_Area" localSheetId="36">'12.1'!$A$1:$I$69</definedName>
    <definedName name="_xlnm.Print_Area" localSheetId="37">'12.2'!$A$1:$J$70</definedName>
    <definedName name="_xlnm.Print_Area" localSheetId="3">'2.1'!$A$1:$J$68</definedName>
    <definedName name="_xlnm.Print_Area" localSheetId="4">'2.2'!$A$1:$K$68</definedName>
    <definedName name="_xlnm.Print_Area" localSheetId="5">'2.3'!$A$1:$K$68</definedName>
    <definedName name="_xlnm.Print_Area" localSheetId="6">'2.4'!$A$1:$L$62</definedName>
    <definedName name="_xlnm.Print_Area" localSheetId="7">'3.1'!$A$1:$K$68</definedName>
    <definedName name="_xlnm.Print_Area" localSheetId="8">'3.2 premium trend'!$A$1:$L$72</definedName>
    <definedName name="_xlnm.Print_Area" localSheetId="9">'3.3a'!$A$1:$L$68</definedName>
    <definedName name="_xlnm.Print_Area" localSheetId="10">'3.3b'!$A$1:$L$68</definedName>
    <definedName name="_xlnm.Print_Area" localSheetId="11">'3.3c'!$A$1:$L$70</definedName>
    <definedName name="_xlnm.Print_Area" localSheetId="12">'3.3d'!$A$1:$L$68</definedName>
    <definedName name="_xlnm.Print_Area" localSheetId="13">'4.1'!$A$1:$J$70</definedName>
    <definedName name="_xlnm.Print_Area" localSheetId="14">'4.2'!$A$1:$K$70</definedName>
    <definedName name="_xlnm.Print_Area" localSheetId="15">'4.3'!$A$1:$K$68</definedName>
    <definedName name="_xlnm.Print_Area" localSheetId="16">'4.4'!$A$1:$J$70</definedName>
    <definedName name="_xlnm.Print_Area" localSheetId="17">'4.5'!$A$1:$J$70</definedName>
    <definedName name="_xlnm.Print_Area" localSheetId="18">'5'!$A$1:$H$32</definedName>
    <definedName name="_xlnm.Print_Area" localSheetId="19">'6.1'!$A$1:$J$55</definedName>
    <definedName name="_xlnm.Print_Area" localSheetId="20">'6.2 - industry'!$A$1:$J$74</definedName>
    <definedName name="_xlnm.Print_Area" localSheetId="21">'6.3'!$A$1:$I$71</definedName>
    <definedName name="_xlnm.Print_Area" localSheetId="22">'6.4'!$A$1:$J$70</definedName>
    <definedName name="_xlnm.Print_Area" localSheetId="23">'6.5'!$A$1:$J$70</definedName>
    <definedName name="_xlnm.Print_Area" localSheetId="24">'6.6'!$A$1:$J$70</definedName>
    <definedName name="_xlnm.Print_Area" localSheetId="25">'6.7'!$A$1:$J$69</definedName>
    <definedName name="_xlnm.Print_Area" localSheetId="26">'7.1'!$A$1:$J$68</definedName>
    <definedName name="_xlnm.Print_Area" localSheetId="27">'7.2'!$A$1:$K$68</definedName>
    <definedName name="_xlnm.Print_Area" localSheetId="28">'8.1'!$A$1:$J$68</definedName>
    <definedName name="_xlnm.Print_Area" localSheetId="29">'8.2'!$A$1:$K$68</definedName>
    <definedName name="_xlnm.Print_Area" localSheetId="30">'9'!$A$1:$J$67</definedName>
    <definedName name="_xlnm.Print_Area" localSheetId="0">'Cover Page'!$A$1:$H$39</definedName>
    <definedName name="_xlnm.Print_Area" localSheetId="1">'Table of Contents'!$A$1:$I$43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6" i="45" l="1"/>
  <c r="D41" i="45"/>
  <c r="D32" i="45"/>
  <c r="D31" i="45"/>
  <c r="D30" i="45"/>
  <c r="D29" i="45"/>
  <c r="D26" i="45"/>
  <c r="D19" i="45"/>
  <c r="D18" i="45"/>
  <c r="D17" i="45"/>
  <c r="D15" i="45"/>
  <c r="D10" i="45"/>
  <c r="D9" i="45"/>
  <c r="D38" i="45"/>
  <c r="D27" i="45"/>
  <c r="D38" i="37" l="1"/>
  <c r="C38" i="37"/>
  <c r="D37" i="37"/>
  <c r="C37" i="37"/>
  <c r="D36" i="37"/>
  <c r="C36" i="37"/>
  <c r="D35" i="37"/>
  <c r="C35" i="37"/>
  <c r="D34" i="37"/>
  <c r="C34" i="37"/>
  <c r="D33" i="37"/>
  <c r="C33" i="37"/>
  <c r="D32" i="37"/>
  <c r="C32" i="37"/>
  <c r="D31" i="37"/>
  <c r="C31" i="37"/>
  <c r="D30" i="37"/>
  <c r="C30" i="37"/>
  <c r="D29" i="37"/>
  <c r="C29" i="37"/>
  <c r="D28" i="37"/>
  <c r="C28" i="37"/>
  <c r="D27" i="37"/>
  <c r="C27" i="37"/>
  <c r="D26" i="37"/>
  <c r="C26" i="37"/>
  <c r="D25" i="37"/>
  <c r="C25" i="37"/>
  <c r="D24" i="37"/>
  <c r="C24" i="37"/>
  <c r="D23" i="37"/>
  <c r="C23" i="37"/>
  <c r="D28" i="29"/>
  <c r="C28" i="29"/>
  <c r="D27" i="29"/>
  <c r="C27" i="29"/>
  <c r="D26" i="29"/>
  <c r="C26" i="29"/>
  <c r="D25" i="29"/>
  <c r="C25" i="29"/>
  <c r="D24" i="29"/>
  <c r="C24" i="29"/>
  <c r="D23" i="29"/>
  <c r="C23" i="29"/>
  <c r="D22" i="29"/>
  <c r="C22" i="29"/>
  <c r="D21" i="29"/>
  <c r="C21" i="29"/>
  <c r="D20" i="29"/>
  <c r="C20" i="29"/>
  <c r="D19" i="29"/>
  <c r="C19" i="29"/>
  <c r="D18" i="29"/>
  <c r="C18" i="29"/>
  <c r="D17" i="29"/>
  <c r="C17" i="29"/>
  <c r="D16" i="29"/>
  <c r="C16" i="29"/>
  <c r="D15" i="29"/>
  <c r="C15" i="29"/>
  <c r="D14" i="29"/>
  <c r="C14" i="29"/>
  <c r="M11" i="29"/>
  <c r="D28" i="27"/>
  <c r="C28" i="27"/>
  <c r="D27" i="27"/>
  <c r="C27" i="27"/>
  <c r="D26" i="27"/>
  <c r="C26" i="27"/>
  <c r="D25" i="27"/>
  <c r="C25" i="27"/>
  <c r="D24" i="27"/>
  <c r="C24" i="27"/>
  <c r="D23" i="27"/>
  <c r="C23" i="27"/>
  <c r="D22" i="27"/>
  <c r="C22" i="27"/>
  <c r="D21" i="27"/>
  <c r="C21" i="27"/>
  <c r="D20" i="27"/>
  <c r="C20" i="27"/>
  <c r="D19" i="27"/>
  <c r="C19" i="27"/>
  <c r="D18" i="27"/>
  <c r="C18" i="27"/>
  <c r="D17" i="27"/>
  <c r="C17" i="27"/>
  <c r="D16" i="27"/>
  <c r="C16" i="27"/>
  <c r="D15" i="27"/>
  <c r="C15" i="27"/>
  <c r="D14" i="27"/>
  <c r="C14" i="27"/>
  <c r="M11" i="27"/>
  <c r="G49" i="25"/>
  <c r="C49" i="25"/>
  <c r="G48" i="25"/>
  <c r="C48" i="25"/>
  <c r="G47" i="25"/>
  <c r="C47" i="25"/>
  <c r="G46" i="25"/>
  <c r="C46" i="25"/>
  <c r="G45" i="25"/>
  <c r="C45" i="25"/>
  <c r="G44" i="25"/>
  <c r="C44" i="25"/>
  <c r="G43" i="25"/>
  <c r="C43" i="25"/>
  <c r="G42" i="25"/>
  <c r="C42" i="25"/>
  <c r="G41" i="25"/>
  <c r="C41" i="25"/>
  <c r="G40" i="25"/>
  <c r="C40" i="25"/>
  <c r="L32" i="25"/>
  <c r="G49" i="24"/>
  <c r="C49" i="24"/>
  <c r="G48" i="24"/>
  <c r="C48" i="24"/>
  <c r="G47" i="24"/>
  <c r="C47" i="24"/>
  <c r="G46" i="24"/>
  <c r="C46" i="24"/>
  <c r="G45" i="24"/>
  <c r="C45" i="24"/>
  <c r="G44" i="24"/>
  <c r="C44" i="24"/>
  <c r="G43" i="24"/>
  <c r="C43" i="24"/>
  <c r="G42" i="24"/>
  <c r="C42" i="24"/>
  <c r="G41" i="24"/>
  <c r="C41" i="24"/>
  <c r="G40" i="24"/>
  <c r="C40" i="24"/>
  <c r="L32" i="24"/>
  <c r="G49" i="23"/>
  <c r="C49" i="23"/>
  <c r="G48" i="23"/>
  <c r="C48" i="23"/>
  <c r="G47" i="23"/>
  <c r="C47" i="23"/>
  <c r="G46" i="23"/>
  <c r="C46" i="23"/>
  <c r="G45" i="23"/>
  <c r="C45" i="23"/>
  <c r="G44" i="23"/>
  <c r="C44" i="23"/>
  <c r="G43" i="23"/>
  <c r="C43" i="23"/>
  <c r="G42" i="23"/>
  <c r="C42" i="23"/>
  <c r="G41" i="23"/>
  <c r="C41" i="23"/>
  <c r="G40" i="23"/>
  <c r="C40" i="23"/>
  <c r="L32" i="23"/>
  <c r="M49" i="22"/>
  <c r="L49" i="22"/>
  <c r="G49" i="22"/>
  <c r="C49" i="22"/>
  <c r="G48" i="22"/>
  <c r="C48" i="22"/>
  <c r="G47" i="22"/>
  <c r="C47" i="22"/>
  <c r="G46" i="22"/>
  <c r="C46" i="22"/>
  <c r="G45" i="22"/>
  <c r="C45" i="22"/>
  <c r="G44" i="22"/>
  <c r="C44" i="22"/>
  <c r="G43" i="22"/>
  <c r="C43" i="22"/>
  <c r="G42" i="22"/>
  <c r="C42" i="22"/>
  <c r="G41" i="22"/>
  <c r="C41" i="22"/>
  <c r="G40" i="22"/>
  <c r="C40" i="22"/>
  <c r="L32" i="22"/>
  <c r="F57" i="21"/>
  <c r="E57" i="21"/>
  <c r="D57" i="21"/>
  <c r="C57" i="21"/>
  <c r="C55" i="11"/>
  <c r="C54" i="11"/>
  <c r="C53" i="11"/>
  <c r="C52" i="11"/>
  <c r="C51" i="11"/>
  <c r="C50" i="11"/>
  <c r="C49" i="11"/>
  <c r="C48" i="11"/>
  <c r="C47" i="11"/>
  <c r="C46" i="11"/>
  <c r="C45" i="11"/>
  <c r="C44" i="11"/>
  <c r="C43" i="11"/>
  <c r="C42" i="11"/>
  <c r="C41" i="11"/>
  <c r="C40" i="11"/>
  <c r="C39" i="11"/>
  <c r="C38" i="11"/>
  <c r="C37" i="11"/>
  <c r="C36" i="11"/>
  <c r="C35" i="11"/>
  <c r="C34" i="11"/>
  <c r="C33" i="11"/>
  <c r="C32" i="11"/>
  <c r="C31" i="11"/>
  <c r="C30" i="11"/>
  <c r="C29" i="11"/>
  <c r="C28" i="11"/>
  <c r="C27" i="11"/>
  <c r="C26" i="11"/>
  <c r="C25" i="11"/>
  <c r="C24" i="11"/>
  <c r="C23" i="11"/>
  <c r="C22" i="11"/>
  <c r="C21" i="11"/>
  <c r="C20" i="11"/>
  <c r="C19" i="11"/>
  <c r="C18" i="11"/>
  <c r="C17" i="11"/>
  <c r="C16" i="11"/>
  <c r="C15" i="11"/>
  <c r="C14" i="11"/>
  <c r="C61" i="10"/>
  <c r="C60" i="10"/>
  <c r="C59" i="10"/>
  <c r="C58" i="10"/>
  <c r="C57" i="10"/>
  <c r="C56" i="10"/>
  <c r="C55" i="10"/>
  <c r="C54" i="10"/>
  <c r="C53" i="10"/>
  <c r="C52" i="10"/>
  <c r="C51" i="10"/>
  <c r="C50" i="10"/>
  <c r="C49" i="10"/>
  <c r="C48" i="10"/>
  <c r="C47" i="10"/>
  <c r="C46" i="10"/>
  <c r="C45" i="10"/>
  <c r="C44" i="10"/>
  <c r="C43" i="10"/>
  <c r="C42" i="10"/>
  <c r="C41" i="10"/>
  <c r="C40" i="10"/>
  <c r="C39" i="10"/>
  <c r="C38" i="10"/>
  <c r="C37" i="10"/>
  <c r="C36" i="10"/>
  <c r="C35" i="10"/>
  <c r="C34" i="10"/>
  <c r="C33" i="10"/>
  <c r="C32" i="10"/>
  <c r="C31" i="10"/>
  <c r="C30" i="10"/>
  <c r="C29" i="10"/>
  <c r="C28" i="10"/>
  <c r="C27" i="10"/>
  <c r="C26" i="10"/>
  <c r="C25" i="10"/>
  <c r="C24" i="10"/>
  <c r="C23" i="10"/>
  <c r="C22" i="10"/>
  <c r="C21" i="10"/>
  <c r="C53" i="9"/>
  <c r="C52" i="9"/>
  <c r="C51" i="9"/>
  <c r="C50" i="9"/>
  <c r="C49" i="9"/>
  <c r="C48" i="9"/>
  <c r="C47" i="9"/>
  <c r="C46" i="9"/>
  <c r="C45" i="9"/>
  <c r="C44" i="9"/>
  <c r="C43" i="9"/>
  <c r="C42" i="9"/>
  <c r="C41" i="9"/>
  <c r="C40" i="9"/>
  <c r="C39" i="9"/>
  <c r="C38" i="9"/>
  <c r="C37" i="9"/>
  <c r="C36" i="9"/>
  <c r="C35" i="9"/>
  <c r="C34" i="9"/>
  <c r="C33" i="9"/>
  <c r="C32" i="9"/>
  <c r="C31" i="9"/>
  <c r="C30" i="9"/>
  <c r="C29" i="9"/>
  <c r="C28" i="9"/>
  <c r="C27" i="9"/>
  <c r="C26" i="9"/>
  <c r="C25" i="9"/>
  <c r="C24" i="9"/>
  <c r="C23" i="9"/>
  <c r="C22" i="9"/>
  <c r="C21" i="9"/>
  <c r="C20" i="9"/>
  <c r="C19" i="9"/>
  <c r="C18" i="9"/>
  <c r="C17" i="9"/>
  <c r="C16" i="9"/>
  <c r="C15" i="9"/>
  <c r="C14" i="9"/>
  <c r="D52" i="7"/>
  <c r="C52" i="7"/>
  <c r="D51" i="7"/>
  <c r="C51" i="7"/>
  <c r="D50" i="7"/>
  <c r="C50" i="7"/>
  <c r="E49" i="7"/>
  <c r="D49" i="7"/>
  <c r="C49" i="7"/>
  <c r="D48" i="7"/>
  <c r="C48" i="7"/>
  <c r="D47" i="7"/>
  <c r="C47" i="7"/>
  <c r="D46" i="7"/>
  <c r="C46" i="7"/>
  <c r="E45" i="7"/>
  <c r="D45" i="7"/>
  <c r="C45" i="7"/>
  <c r="D44" i="7"/>
  <c r="C44" i="7"/>
  <c r="D43" i="7"/>
  <c r="C43" i="7"/>
  <c r="D42" i="7"/>
  <c r="C42" i="7"/>
  <c r="E41" i="7"/>
  <c r="D41" i="7"/>
  <c r="C41" i="7"/>
  <c r="D40" i="7"/>
  <c r="C40" i="7"/>
  <c r="D39" i="7"/>
  <c r="C39" i="7"/>
  <c r="D38" i="7"/>
  <c r="C38" i="7"/>
  <c r="E37" i="7"/>
  <c r="D37" i="7"/>
  <c r="C37" i="7"/>
  <c r="D36" i="7"/>
  <c r="C36" i="7"/>
  <c r="D35" i="7"/>
  <c r="C35" i="7"/>
  <c r="D34" i="7"/>
  <c r="C34" i="7"/>
  <c r="E33" i="7"/>
  <c r="D33" i="7"/>
  <c r="C33" i="7"/>
  <c r="D32" i="7"/>
  <c r="C32" i="7"/>
  <c r="D31" i="7"/>
  <c r="C31" i="7"/>
  <c r="D30" i="7"/>
  <c r="C30" i="7"/>
  <c r="E29" i="7"/>
  <c r="D29" i="7"/>
  <c r="C29" i="7"/>
  <c r="D28" i="7"/>
  <c r="C28" i="7"/>
  <c r="D27" i="7"/>
  <c r="C27" i="7"/>
  <c r="D26" i="7"/>
  <c r="C26" i="7"/>
  <c r="E25" i="7"/>
  <c r="D25" i="7"/>
  <c r="C25" i="7"/>
  <c r="D24" i="7"/>
  <c r="C24" i="7"/>
  <c r="D23" i="7"/>
  <c r="C23" i="7"/>
  <c r="D22" i="7"/>
  <c r="C22" i="7"/>
  <c r="E21" i="7"/>
  <c r="D21" i="7"/>
  <c r="C21" i="7"/>
  <c r="D20" i="7"/>
  <c r="C20" i="7"/>
  <c r="D19" i="7"/>
  <c r="C19" i="7"/>
  <c r="E18" i="7"/>
  <c r="D18" i="7"/>
  <c r="C18" i="7"/>
  <c r="D17" i="7"/>
  <c r="C17" i="7"/>
  <c r="D16" i="7"/>
  <c r="C16" i="7"/>
  <c r="D15" i="7"/>
  <c r="C15" i="7"/>
  <c r="E14" i="7"/>
  <c r="D14" i="7"/>
  <c r="C14" i="7"/>
  <c r="D23" i="4"/>
  <c r="C23" i="4"/>
  <c r="D22" i="4"/>
  <c r="C22" i="4"/>
  <c r="D21" i="4"/>
  <c r="C21" i="4"/>
  <c r="D20" i="4"/>
  <c r="C20" i="4"/>
  <c r="D19" i="4"/>
  <c r="C19" i="4"/>
  <c r="D18" i="4"/>
  <c r="C18" i="4"/>
  <c r="D17" i="4"/>
  <c r="C17" i="4"/>
  <c r="D16" i="4"/>
  <c r="C16" i="4"/>
  <c r="D15" i="4"/>
  <c r="C15" i="4"/>
  <c r="D14" i="4"/>
  <c r="C14" i="4"/>
  <c r="D15" i="36" l="1"/>
  <c r="D16" i="36"/>
  <c r="D17" i="36"/>
  <c r="D18" i="36"/>
  <c r="D19" i="36"/>
  <c r="D20" i="36"/>
  <c r="D21" i="36"/>
  <c r="D22" i="36"/>
  <c r="D23" i="36"/>
  <c r="D24" i="36"/>
  <c r="D14" i="36"/>
  <c r="C15" i="36"/>
  <c r="C16" i="36"/>
  <c r="C17" i="36"/>
  <c r="C18" i="36"/>
  <c r="C19" i="36"/>
  <c r="C20" i="36"/>
  <c r="C21" i="36"/>
  <c r="C22" i="36"/>
  <c r="C23" i="36"/>
  <c r="C24" i="36"/>
  <c r="C14" i="36"/>
  <c r="D50" i="30" l="1"/>
  <c r="D51" i="30"/>
  <c r="A5" i="19"/>
  <c r="G12" i="7" l="1"/>
  <c r="M47" i="23" l="1"/>
  <c r="B61" i="23"/>
  <c r="B61" i="25" s="1"/>
  <c r="B61" i="22"/>
  <c r="B61" i="24" l="1"/>
  <c r="M48" i="23"/>
  <c r="B45" i="43" l="1"/>
  <c r="B44" i="43" l="1"/>
  <c r="F49" i="16"/>
  <c r="F50" i="16"/>
  <c r="M49" i="21" l="1"/>
  <c r="M47" i="21"/>
  <c r="M48" i="21"/>
  <c r="M14" i="21"/>
  <c r="R25" i="17"/>
  <c r="C55" i="20"/>
  <c r="C59" i="20"/>
  <c r="C51" i="20"/>
  <c r="F36" i="34"/>
  <c r="I16" i="5"/>
  <c r="E42" i="7"/>
  <c r="E50" i="7"/>
  <c r="E51" i="7" s="1"/>
  <c r="E34" i="7"/>
  <c r="E35" i="7" s="1"/>
  <c r="E36" i="7" s="1"/>
  <c r="E30" i="7"/>
  <c r="E31" i="7" s="1"/>
  <c r="E26" i="7"/>
  <c r="E27" i="7" s="1"/>
  <c r="C14" i="3"/>
  <c r="E14" i="3" s="1"/>
  <c r="C14" i="2" s="1"/>
  <c r="E19" i="4"/>
  <c r="C20" i="3"/>
  <c r="C22" i="3"/>
  <c r="C23" i="6"/>
  <c r="O32" i="8"/>
  <c r="G17" i="8"/>
  <c r="E23" i="13"/>
  <c r="E39" i="13"/>
  <c r="E14" i="13"/>
  <c r="D15" i="13"/>
  <c r="D16" i="13"/>
  <c r="E16" i="13" s="1"/>
  <c r="D17" i="13"/>
  <c r="E17" i="13" s="1"/>
  <c r="D18" i="13"/>
  <c r="E18" i="13" s="1"/>
  <c r="D19" i="13"/>
  <c r="D21" i="13"/>
  <c r="E21" i="13" s="1"/>
  <c r="D41" i="13"/>
  <c r="E41" i="13" s="1"/>
  <c r="D14" i="13"/>
  <c r="E51" i="14"/>
  <c r="C51" i="13" s="1"/>
  <c r="Q26" i="15"/>
  <c r="P26" i="15"/>
  <c r="G31" i="15"/>
  <c r="F32" i="15"/>
  <c r="F31" i="15"/>
  <c r="E33" i="15"/>
  <c r="E32" i="15"/>
  <c r="E31" i="15"/>
  <c r="D31" i="15"/>
  <c r="C31" i="15"/>
  <c r="F43" i="16"/>
  <c r="F44" i="16"/>
  <c r="F45" i="16"/>
  <c r="F46" i="16"/>
  <c r="F47" i="16"/>
  <c r="F48" i="16"/>
  <c r="F51" i="16"/>
  <c r="F42" i="16"/>
  <c r="O31" i="16"/>
  <c r="O30" i="16"/>
  <c r="N31" i="16"/>
  <c r="N30" i="16"/>
  <c r="P23" i="16"/>
  <c r="O23" i="16"/>
  <c r="G19" i="16"/>
  <c r="D20" i="13" s="1"/>
  <c r="E20" i="13" s="1"/>
  <c r="G20" i="16"/>
  <c r="C32" i="17"/>
  <c r="E22" i="17"/>
  <c r="D40" i="17" s="1"/>
  <c r="C24" i="17"/>
  <c r="O26" i="17"/>
  <c r="O18" i="15"/>
  <c r="O17" i="15" s="1"/>
  <c r="O16" i="15" s="1"/>
  <c r="O15" i="15" s="1"/>
  <c r="O14" i="15" s="1"/>
  <c r="O22" i="15"/>
  <c r="O21" i="15" s="1"/>
  <c r="O20" i="15" s="1"/>
  <c r="O19" i="15" s="1"/>
  <c r="R26" i="15"/>
  <c r="B33" i="26"/>
  <c r="F40" i="37"/>
  <c r="E38" i="37"/>
  <c r="G38" i="37" s="1"/>
  <c r="L38" i="37" s="1"/>
  <c r="E33" i="28"/>
  <c r="J18" i="43"/>
  <c r="D24" i="43" s="1"/>
  <c r="M47" i="34" s="1"/>
  <c r="L10" i="43"/>
  <c r="C28" i="28"/>
  <c r="C27" i="28"/>
  <c r="C26" i="28"/>
  <c r="C25" i="28"/>
  <c r="C22" i="28"/>
  <c r="C21" i="28"/>
  <c r="C19" i="28"/>
  <c r="C17" i="28"/>
  <c r="C16" i="28"/>
  <c r="M48" i="25"/>
  <c r="L48" i="23"/>
  <c r="C28" i="26"/>
  <c r="C27" i="26"/>
  <c r="C25" i="26"/>
  <c r="C24" i="26"/>
  <c r="C22" i="26"/>
  <c r="C21" i="26"/>
  <c r="C20" i="26"/>
  <c r="C17" i="26"/>
  <c r="C16" i="26"/>
  <c r="C11" i="27"/>
  <c r="F26" i="34"/>
  <c r="F31" i="34" s="1"/>
  <c r="F32" i="34" s="1"/>
  <c r="F11" i="34"/>
  <c r="E36" i="34"/>
  <c r="D36" i="34"/>
  <c r="G36" i="34" s="1"/>
  <c r="E31" i="34"/>
  <c r="E32" i="34" s="1"/>
  <c r="D31" i="34"/>
  <c r="D32" i="34" s="1"/>
  <c r="E23" i="34"/>
  <c r="D23" i="34"/>
  <c r="E19" i="34"/>
  <c r="G19" i="34" s="1"/>
  <c r="G44" i="34" s="1"/>
  <c r="D19" i="34"/>
  <c r="L47" i="34"/>
  <c r="N5" i="19"/>
  <c r="E50" i="30"/>
  <c r="B41" i="28"/>
  <c r="B41" i="26"/>
  <c r="B33" i="28"/>
  <c r="I17" i="5"/>
  <c r="M23" i="6"/>
  <c r="C15" i="13"/>
  <c r="E15" i="13" s="1"/>
  <c r="C16" i="13"/>
  <c r="C17" i="13"/>
  <c r="C18" i="13"/>
  <c r="C19" i="13"/>
  <c r="E19" i="13" s="1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14" i="13"/>
  <c r="R14" i="17"/>
  <c r="Q26" i="17"/>
  <c r="C51" i="16"/>
  <c r="P26" i="17"/>
  <c r="O40" i="22"/>
  <c r="A15" i="25"/>
  <c r="A16" i="25" s="1"/>
  <c r="A17" i="25" s="1"/>
  <c r="A18" i="25" s="1"/>
  <c r="A19" i="25" s="1"/>
  <c r="A20" i="25" s="1"/>
  <c r="A21" i="25" s="1"/>
  <c r="A22" i="25" s="1"/>
  <c r="A23" i="25" s="1"/>
  <c r="A24" i="25" s="1"/>
  <c r="A25" i="25" s="1"/>
  <c r="A26" i="25" s="1"/>
  <c r="A27" i="25" s="1"/>
  <c r="A28" i="25" s="1"/>
  <c r="A29" i="25"/>
  <c r="A30" i="25" s="1"/>
  <c r="A31" i="25" s="1"/>
  <c r="A32" i="25" s="1"/>
  <c r="A33" i="25" s="1"/>
  <c r="A34" i="25" s="1"/>
  <c r="A35" i="25" s="1"/>
  <c r="A36" i="25" s="1"/>
  <c r="A37" i="25" s="1"/>
  <c r="A38" i="25" s="1"/>
  <c r="A39" i="25" s="1"/>
  <c r="A40" i="25" s="1"/>
  <c r="A41" i="25" s="1"/>
  <c r="A42" i="25" s="1"/>
  <c r="A43" i="25" s="1"/>
  <c r="A44" i="25" s="1"/>
  <c r="A45" i="25" s="1"/>
  <c r="A46" i="25" s="1"/>
  <c r="A47" i="25" s="1"/>
  <c r="G46" i="34"/>
  <c r="B60" i="34"/>
  <c r="F19" i="34"/>
  <c r="D20" i="43"/>
  <c r="S23" i="15"/>
  <c r="C23" i="15" s="1"/>
  <c r="C52" i="14" s="1"/>
  <c r="O37" i="22"/>
  <c r="L17" i="22"/>
  <c r="L17" i="24"/>
  <c r="C68" i="7"/>
  <c r="O52" i="7"/>
  <c r="F39" i="15"/>
  <c r="G40" i="16"/>
  <c r="G21" i="16"/>
  <c r="D22" i="13" s="1"/>
  <c r="E22" i="13" s="1"/>
  <c r="R24" i="17"/>
  <c r="D23" i="17" s="1"/>
  <c r="C41" i="17" s="1"/>
  <c r="C50" i="16"/>
  <c r="R23" i="17"/>
  <c r="C49" i="16"/>
  <c r="E51" i="30"/>
  <c r="G51" i="30" s="1"/>
  <c r="C51" i="30"/>
  <c r="C18" i="43"/>
  <c r="G33" i="16"/>
  <c r="D34" i="13" s="1"/>
  <c r="E34" i="13" s="1"/>
  <c r="O39" i="22"/>
  <c r="O60" i="22"/>
  <c r="O44" i="22"/>
  <c r="O45" i="22"/>
  <c r="O34" i="23" s="1"/>
  <c r="O46" i="22"/>
  <c r="O35" i="23" s="1"/>
  <c r="O47" i="22"/>
  <c r="O36" i="23" s="1"/>
  <c r="O48" i="22"/>
  <c r="O37" i="23" s="1"/>
  <c r="O49" i="22"/>
  <c r="O50" i="22"/>
  <c r="O51" i="22"/>
  <c r="O40" i="24" s="1"/>
  <c r="O52" i="22"/>
  <c r="O40" i="25" s="1"/>
  <c r="O53" i="22"/>
  <c r="O54" i="22"/>
  <c r="O43" i="24"/>
  <c r="O55" i="22"/>
  <c r="O43" i="25" s="1"/>
  <c r="O56" i="22"/>
  <c r="O57" i="22"/>
  <c r="O58" i="22"/>
  <c r="O59" i="22"/>
  <c r="O48" i="23"/>
  <c r="O43" i="22"/>
  <c r="G22" i="16"/>
  <c r="D23" i="13" s="1"/>
  <c r="C36" i="17"/>
  <c r="A1" i="37"/>
  <c r="A2" i="37"/>
  <c r="A3" i="37"/>
  <c r="A12" i="37"/>
  <c r="C12" i="37"/>
  <c r="B44" i="37" s="1"/>
  <c r="D12" i="37"/>
  <c r="E12" i="37"/>
  <c r="F12" i="37"/>
  <c r="B46" i="37" s="1"/>
  <c r="G12" i="37"/>
  <c r="B47" i="37" s="1"/>
  <c r="E14" i="37"/>
  <c r="G14" i="37" s="1"/>
  <c r="L14" i="37"/>
  <c r="A15" i="37"/>
  <c r="A16" i="37" s="1"/>
  <c r="E15" i="37"/>
  <c r="G15" i="37" s="1"/>
  <c r="L15" i="37" s="1"/>
  <c r="A17" i="37"/>
  <c r="A18" i="37" s="1"/>
  <c r="A19" i="37"/>
  <c r="A20" i="37" s="1"/>
  <c r="A21" i="37" s="1"/>
  <c r="A22" i="37" s="1"/>
  <c r="A23" i="37" s="1"/>
  <c r="A24" i="37" s="1"/>
  <c r="A25" i="37" s="1"/>
  <c r="A26" i="37" s="1"/>
  <c r="A27" i="37" s="1"/>
  <c r="A28" i="37" s="1"/>
  <c r="A29" i="37" s="1"/>
  <c r="A30" i="37" s="1"/>
  <c r="A31" i="37" s="1"/>
  <c r="A32" i="37" s="1"/>
  <c r="A33" i="37" s="1"/>
  <c r="A34" i="37" s="1"/>
  <c r="A35" i="37" s="1"/>
  <c r="A36" i="37" s="1"/>
  <c r="E16" i="37"/>
  <c r="G16" i="37" s="1"/>
  <c r="L16" i="37" s="1"/>
  <c r="E17" i="37"/>
  <c r="G17" i="37"/>
  <c r="L17" i="37" s="1"/>
  <c r="E18" i="37"/>
  <c r="G18" i="37" s="1"/>
  <c r="L18" i="37" s="1"/>
  <c r="E19" i="37"/>
  <c r="G19" i="37" s="1"/>
  <c r="L19" i="37" s="1"/>
  <c r="E20" i="37"/>
  <c r="G20" i="37" s="1"/>
  <c r="L20" i="37" s="1"/>
  <c r="E21" i="37"/>
  <c r="G21" i="37" s="1"/>
  <c r="L21" i="37" s="1"/>
  <c r="A1" i="36"/>
  <c r="A2" i="36"/>
  <c r="A3" i="36"/>
  <c r="A12" i="36"/>
  <c r="C12" i="36"/>
  <c r="B31" i="36" s="1"/>
  <c r="D12" i="36"/>
  <c r="E12" i="36"/>
  <c r="F12" i="36"/>
  <c r="B32" i="36" s="1"/>
  <c r="G12" i="36"/>
  <c r="F26" i="36"/>
  <c r="A1" i="43"/>
  <c r="A2" i="43"/>
  <c r="A3" i="43"/>
  <c r="B10" i="43"/>
  <c r="D15" i="43"/>
  <c r="B32" i="43"/>
  <c r="B38" i="43"/>
  <c r="B41" i="43"/>
  <c r="B42" i="43"/>
  <c r="B47" i="43"/>
  <c r="A1" i="34"/>
  <c r="A2" i="34"/>
  <c r="A3" i="34"/>
  <c r="F23" i="34"/>
  <c r="G23" i="34"/>
  <c r="B54" i="34"/>
  <c r="B55" i="34"/>
  <c r="B61" i="34"/>
  <c r="B62" i="34"/>
  <c r="A1" i="33"/>
  <c r="A2" i="33"/>
  <c r="A3" i="33"/>
  <c r="A12" i="33"/>
  <c r="C12" i="33"/>
  <c r="B50" i="33"/>
  <c r="D12" i="33"/>
  <c r="B51" i="33"/>
  <c r="D15" i="33"/>
  <c r="I14" i="32"/>
  <c r="C43" i="33"/>
  <c r="A1" i="32"/>
  <c r="A2" i="32"/>
  <c r="A3" i="32"/>
  <c r="A12" i="32"/>
  <c r="B12" i="32"/>
  <c r="C12" i="32"/>
  <c r="D12" i="32"/>
  <c r="E12" i="32"/>
  <c r="F12" i="32"/>
  <c r="G12" i="32"/>
  <c r="H12" i="32"/>
  <c r="I12" i="32"/>
  <c r="B63" i="32" s="1"/>
  <c r="J12" i="32"/>
  <c r="K12" i="32"/>
  <c r="L12" i="32"/>
  <c r="M12" i="32"/>
  <c r="N12" i="32"/>
  <c r="O12" i="32"/>
  <c r="B66" i="32" s="1"/>
  <c r="F14" i="32"/>
  <c r="J14" i="32"/>
  <c r="M14" i="32"/>
  <c r="J15" i="32"/>
  <c r="M15" i="32"/>
  <c r="J16" i="32"/>
  <c r="M16" i="32"/>
  <c r="J17" i="32"/>
  <c r="M17" i="32"/>
  <c r="J18" i="32"/>
  <c r="M18" i="32"/>
  <c r="J19" i="32"/>
  <c r="J20" i="32"/>
  <c r="M20" i="32" s="1"/>
  <c r="J21" i="32"/>
  <c r="M21" i="32" s="1"/>
  <c r="J22" i="32"/>
  <c r="M22" i="32" s="1"/>
  <c r="J23" i="32"/>
  <c r="M23" i="32" s="1"/>
  <c r="J24" i="32"/>
  <c r="M24" i="32" s="1"/>
  <c r="J25" i="32"/>
  <c r="M25" i="32" s="1"/>
  <c r="J26" i="32"/>
  <c r="M26" i="32" s="1"/>
  <c r="J27" i="32"/>
  <c r="M27" i="32" s="1"/>
  <c r="J28" i="32"/>
  <c r="M28" i="32" s="1"/>
  <c r="J29" i="32"/>
  <c r="M29" i="32" s="1"/>
  <c r="J30" i="32"/>
  <c r="M30" i="32" s="1"/>
  <c r="J31" i="32"/>
  <c r="M31" i="32" s="1"/>
  <c r="J32" i="32"/>
  <c r="M32" i="32" s="1"/>
  <c r="J33" i="32"/>
  <c r="M33" i="32" s="1"/>
  <c r="J34" i="32"/>
  <c r="M34" i="32" s="1"/>
  <c r="J35" i="32"/>
  <c r="M35" i="32" s="1"/>
  <c r="J36" i="32"/>
  <c r="M36" i="32" s="1"/>
  <c r="J37" i="32"/>
  <c r="M37" i="32" s="1"/>
  <c r="J38" i="32"/>
  <c r="M38" i="32" s="1"/>
  <c r="J39" i="32"/>
  <c r="M39" i="32" s="1"/>
  <c r="J40" i="32"/>
  <c r="M40" i="32" s="1"/>
  <c r="J41" i="32"/>
  <c r="M41" i="32" s="1"/>
  <c r="J42" i="32"/>
  <c r="M42" i="32" s="1"/>
  <c r="J43" i="32"/>
  <c r="M43" i="32" s="1"/>
  <c r="J44" i="32"/>
  <c r="M44" i="32" s="1"/>
  <c r="J45" i="32"/>
  <c r="M46" i="32"/>
  <c r="J47" i="32"/>
  <c r="J48" i="32"/>
  <c r="A1" i="31"/>
  <c r="A2" i="31"/>
  <c r="A3" i="31"/>
  <c r="A12" i="31"/>
  <c r="C12" i="31"/>
  <c r="D12" i="31"/>
  <c r="B45" i="31" s="1"/>
  <c r="E12" i="31"/>
  <c r="F12" i="31"/>
  <c r="C14" i="31"/>
  <c r="A15" i="31"/>
  <c r="A16" i="31" s="1"/>
  <c r="A17" i="31" s="1"/>
  <c r="A18" i="31" s="1"/>
  <c r="A19" i="31" s="1"/>
  <c r="A20" i="31" s="1"/>
  <c r="A21" i="31" s="1"/>
  <c r="A22" i="31" s="1"/>
  <c r="A23" i="31" s="1"/>
  <c r="A24" i="31" s="1"/>
  <c r="A25" i="31" s="1"/>
  <c r="A26" i="31" s="1"/>
  <c r="C15" i="31"/>
  <c r="C16" i="31"/>
  <c r="C17" i="31"/>
  <c r="C18" i="31"/>
  <c r="C19" i="31"/>
  <c r="C20" i="31"/>
  <c r="C21" i="31"/>
  <c r="L25" i="31"/>
  <c r="J29" i="43" s="1"/>
  <c r="L29" i="43" s="1"/>
  <c r="A1" i="30"/>
  <c r="A2" i="30"/>
  <c r="A3" i="30"/>
  <c r="A4" i="30"/>
  <c r="A12" i="30"/>
  <c r="C12" i="30"/>
  <c r="G12" i="30" s="1"/>
  <c r="C50" i="30"/>
  <c r="A1" i="29"/>
  <c r="A2" i="29"/>
  <c r="A3" i="29"/>
  <c r="A12" i="29"/>
  <c r="C12" i="29"/>
  <c r="B35" i="29"/>
  <c r="D12" i="29"/>
  <c r="E12" i="29"/>
  <c r="B37" i="29" s="1"/>
  <c r="F12" i="29"/>
  <c r="E14" i="29"/>
  <c r="E15" i="29"/>
  <c r="E16" i="29"/>
  <c r="E17" i="29"/>
  <c r="E18" i="29"/>
  <c r="E19" i="29"/>
  <c r="E20" i="29"/>
  <c r="E21" i="29"/>
  <c r="E22" i="29"/>
  <c r="E23" i="29"/>
  <c r="F23" i="29" s="1"/>
  <c r="D23" i="28" s="1"/>
  <c r="E24" i="29"/>
  <c r="E25" i="29"/>
  <c r="E26" i="29"/>
  <c r="E27" i="29"/>
  <c r="E28" i="29"/>
  <c r="E31" i="29"/>
  <c r="A1" i="28"/>
  <c r="A2" i="28"/>
  <c r="A3" i="28"/>
  <c r="A12" i="28"/>
  <c r="C12" i="28"/>
  <c r="B38" i="28"/>
  <c r="D12" i="28"/>
  <c r="B39" i="28"/>
  <c r="E12" i="28"/>
  <c r="B42" i="28"/>
  <c r="A1" i="27"/>
  <c r="A2" i="27"/>
  <c r="A3" i="27"/>
  <c r="A12" i="27"/>
  <c r="C12" i="27"/>
  <c r="B35" i="27"/>
  <c r="D12" i="27"/>
  <c r="B36" i="27"/>
  <c r="E12" i="27"/>
  <c r="B37" i="27"/>
  <c r="F12" i="27"/>
  <c r="B38" i="27"/>
  <c r="E14" i="27"/>
  <c r="E15" i="27"/>
  <c r="E16" i="27"/>
  <c r="E17" i="27"/>
  <c r="E18" i="27"/>
  <c r="E19" i="27"/>
  <c r="E20" i="27"/>
  <c r="E21" i="27"/>
  <c r="E22" i="27"/>
  <c r="E23" i="27"/>
  <c r="E24" i="27"/>
  <c r="E25" i="27"/>
  <c r="E26" i="27"/>
  <c r="E27" i="27"/>
  <c r="E28" i="27"/>
  <c r="E31" i="27"/>
  <c r="A1" i="26"/>
  <c r="A2" i="26"/>
  <c r="A3" i="26"/>
  <c r="A12" i="26"/>
  <c r="C12" i="26"/>
  <c r="B38" i="26"/>
  <c r="D12" i="26"/>
  <c r="B39" i="26"/>
  <c r="E12" i="26"/>
  <c r="B42" i="26"/>
  <c r="A1" i="25"/>
  <c r="A2" i="25"/>
  <c r="A3" i="25"/>
  <c r="A12" i="25"/>
  <c r="C12" i="25"/>
  <c r="D12" i="25"/>
  <c r="E12" i="25"/>
  <c r="F12" i="25"/>
  <c r="B59" i="25" s="1"/>
  <c r="G12" i="25"/>
  <c r="H12" i="25"/>
  <c r="O39" i="25"/>
  <c r="O45" i="25"/>
  <c r="L47" i="25"/>
  <c r="M47" i="25"/>
  <c r="B56" i="25"/>
  <c r="A1" i="24"/>
  <c r="A2" i="24"/>
  <c r="A3" i="24"/>
  <c r="A12" i="24"/>
  <c r="C12" i="24"/>
  <c r="D12" i="24"/>
  <c r="B56" i="24" s="1"/>
  <c r="E12" i="24"/>
  <c r="F12" i="24"/>
  <c r="G12" i="24"/>
  <c r="H12" i="24"/>
  <c r="O33" i="24"/>
  <c r="L45" i="24"/>
  <c r="M45" i="24"/>
  <c r="O46" i="24"/>
  <c r="A1" i="23"/>
  <c r="A2" i="23"/>
  <c r="A3" i="23"/>
  <c r="A12" i="23"/>
  <c r="C12" i="23"/>
  <c r="D12" i="23"/>
  <c r="E12" i="23"/>
  <c r="F12" i="23"/>
  <c r="G12" i="23"/>
  <c r="H12" i="23"/>
  <c r="L46" i="23"/>
  <c r="M46" i="23"/>
  <c r="O46" i="23"/>
  <c r="A1" i="22"/>
  <c r="A2" i="22"/>
  <c r="A3" i="22"/>
  <c r="A12" i="22"/>
  <c r="C12" i="22"/>
  <c r="D12" i="22"/>
  <c r="E12" i="22"/>
  <c r="F12" i="22"/>
  <c r="G12" i="22"/>
  <c r="H12" i="22"/>
  <c r="B62" i="22" s="1"/>
  <c r="R21" i="22"/>
  <c r="O22" i="22"/>
  <c r="B57" i="22" s="1"/>
  <c r="P22" i="22"/>
  <c r="Q22" i="22" s="1"/>
  <c r="O23" i="22"/>
  <c r="P23" i="22"/>
  <c r="Q23" i="22"/>
  <c r="O24" i="22"/>
  <c r="P24" i="22"/>
  <c r="Q24" i="22" s="1"/>
  <c r="O25" i="22"/>
  <c r="P25" i="22"/>
  <c r="Q25" i="22" s="1"/>
  <c r="O26" i="22"/>
  <c r="P26" i="22"/>
  <c r="Q26" i="22" s="1"/>
  <c r="O27" i="22"/>
  <c r="P27" i="22"/>
  <c r="Q27" i="22"/>
  <c r="O28" i="22"/>
  <c r="P28" i="22"/>
  <c r="Q28" i="22" s="1"/>
  <c r="O29" i="22"/>
  <c r="P29" i="22"/>
  <c r="Q29" i="22" s="1"/>
  <c r="O30" i="22"/>
  <c r="P30" i="22"/>
  <c r="Q30" i="22" s="1"/>
  <c r="O31" i="22"/>
  <c r="P31" i="22"/>
  <c r="Q31" i="22"/>
  <c r="O32" i="22"/>
  <c r="P32" i="22"/>
  <c r="Q32" i="22" s="1"/>
  <c r="O33" i="22"/>
  <c r="P33" i="22"/>
  <c r="Q33" i="22" s="1"/>
  <c r="O34" i="22"/>
  <c r="P34" i="22"/>
  <c r="Q34" i="22" s="1"/>
  <c r="O35" i="22"/>
  <c r="P35" i="22"/>
  <c r="Q35" i="22"/>
  <c r="O36" i="22"/>
  <c r="Q36" i="22"/>
  <c r="Q37" i="22"/>
  <c r="O38" i="22"/>
  <c r="P42" i="22"/>
  <c r="O32" i="23"/>
  <c r="O32" i="25"/>
  <c r="O38" i="23"/>
  <c r="A1" i="21"/>
  <c r="A2" i="21"/>
  <c r="A3" i="21"/>
  <c r="A12" i="21"/>
  <c r="C12" i="21"/>
  <c r="B62" i="21" s="1"/>
  <c r="D12" i="21"/>
  <c r="B63" i="21"/>
  <c r="E12" i="21"/>
  <c r="B64" i="21" s="1"/>
  <c r="F12" i="21"/>
  <c r="B65" i="21" s="1"/>
  <c r="G12" i="21"/>
  <c r="A15" i="21"/>
  <c r="M15" i="21" s="1"/>
  <c r="C53" i="21"/>
  <c r="B68" i="21"/>
  <c r="B69" i="21"/>
  <c r="A1" i="20"/>
  <c r="A2" i="20"/>
  <c r="A3" i="20"/>
  <c r="A5" i="20"/>
  <c r="A10" i="20"/>
  <c r="C10" i="20"/>
  <c r="B69" i="20" s="1"/>
  <c r="D10" i="20"/>
  <c r="B70" i="20" s="1"/>
  <c r="E10" i="20"/>
  <c r="F10" i="20"/>
  <c r="B72" i="20" s="1"/>
  <c r="G10" i="20"/>
  <c r="H10" i="20"/>
  <c r="B74" i="20" s="1"/>
  <c r="A1" i="19"/>
  <c r="A2" i="19"/>
  <c r="A3" i="19"/>
  <c r="A12" i="19"/>
  <c r="C12" i="19"/>
  <c r="B46" i="19" s="1"/>
  <c r="E12" i="19"/>
  <c r="B47" i="19" s="1"/>
  <c r="B49" i="19"/>
  <c r="B50" i="19"/>
  <c r="B51" i="19"/>
  <c r="B52" i="19"/>
  <c r="A1" i="18"/>
  <c r="A2" i="18"/>
  <c r="A3" i="18"/>
  <c r="A12" i="18"/>
  <c r="C12" i="18"/>
  <c r="B24" i="18" s="1"/>
  <c r="D12" i="18"/>
  <c r="B25" i="18" s="1"/>
  <c r="E12" i="18"/>
  <c r="B26" i="18" s="1"/>
  <c r="A1" i="17"/>
  <c r="A2" i="17"/>
  <c r="A3" i="17"/>
  <c r="C11" i="17"/>
  <c r="D11" i="17"/>
  <c r="C29" i="17" s="1"/>
  <c r="A12" i="17"/>
  <c r="C12" i="17"/>
  <c r="D12" i="17"/>
  <c r="E12" i="17"/>
  <c r="F12" i="17"/>
  <c r="G12" i="17"/>
  <c r="H12" i="17"/>
  <c r="I12" i="17"/>
  <c r="R15" i="17"/>
  <c r="I14" i="17" s="1"/>
  <c r="C41" i="16"/>
  <c r="R16" i="17"/>
  <c r="I15" i="17" s="1"/>
  <c r="R17" i="17"/>
  <c r="R26" i="17" s="1"/>
  <c r="R18" i="17"/>
  <c r="R19" i="17"/>
  <c r="R20" i="17"/>
  <c r="R21" i="17"/>
  <c r="R22" i="17"/>
  <c r="N23" i="17"/>
  <c r="N22" i="17"/>
  <c r="N21" i="17" s="1"/>
  <c r="N20" i="17"/>
  <c r="N19" i="17" s="1"/>
  <c r="N18" i="17" s="1"/>
  <c r="N17" i="17" s="1"/>
  <c r="N16" i="17" s="1"/>
  <c r="N15" i="17" s="1"/>
  <c r="N14" i="17" s="1"/>
  <c r="A24" i="17"/>
  <c r="A23" i="17"/>
  <c r="A30" i="17"/>
  <c r="C30" i="17"/>
  <c r="D30" i="17"/>
  <c r="E30" i="17"/>
  <c r="F30" i="17"/>
  <c r="G30" i="17"/>
  <c r="H30" i="17"/>
  <c r="I30" i="17"/>
  <c r="D32" i="17"/>
  <c r="E32" i="17"/>
  <c r="F32" i="17"/>
  <c r="G32" i="17"/>
  <c r="C33" i="17"/>
  <c r="D33" i="17"/>
  <c r="E33" i="17"/>
  <c r="F33" i="17"/>
  <c r="G33" i="17"/>
  <c r="C34" i="17"/>
  <c r="D34" i="17"/>
  <c r="E34" i="17"/>
  <c r="F34" i="17"/>
  <c r="G34" i="17"/>
  <c r="C35" i="17"/>
  <c r="D35" i="17"/>
  <c r="E35" i="17"/>
  <c r="F35" i="17"/>
  <c r="G35" i="17"/>
  <c r="D36" i="17"/>
  <c r="E36" i="17"/>
  <c r="F36" i="17"/>
  <c r="G36" i="17"/>
  <c r="C37" i="17"/>
  <c r="D37" i="17"/>
  <c r="E37" i="17"/>
  <c r="F37" i="17"/>
  <c r="H37" i="17"/>
  <c r="C38" i="17"/>
  <c r="D38" i="17"/>
  <c r="D45" i="17" s="1"/>
  <c r="E38" i="17"/>
  <c r="G38" i="17"/>
  <c r="H38" i="17"/>
  <c r="C39" i="17"/>
  <c r="C45" i="17" s="1"/>
  <c r="D39" i="17"/>
  <c r="F39" i="17"/>
  <c r="G39" i="17"/>
  <c r="H39" i="17"/>
  <c r="C40" i="17"/>
  <c r="E40" i="17"/>
  <c r="F40" i="17"/>
  <c r="G40" i="17"/>
  <c r="H40" i="17"/>
  <c r="I48" i="17"/>
  <c r="I49" i="17" s="1"/>
  <c r="D45" i="16" s="1"/>
  <c r="D42" i="16"/>
  <c r="A1" i="16"/>
  <c r="A2" i="16"/>
  <c r="A3" i="16"/>
  <c r="A12" i="16"/>
  <c r="C12" i="16"/>
  <c r="B54" i="16"/>
  <c r="D12" i="16"/>
  <c r="E12" i="16"/>
  <c r="F12" i="16"/>
  <c r="G12" i="16"/>
  <c r="A15" i="16"/>
  <c r="A16" i="16"/>
  <c r="A17" i="16" s="1"/>
  <c r="A18" i="16"/>
  <c r="A19" i="16" s="1"/>
  <c r="A20" i="16" s="1"/>
  <c r="G23" i="16"/>
  <c r="D24" i="13" s="1"/>
  <c r="E24" i="13" s="1"/>
  <c r="G24" i="16"/>
  <c r="D25" i="13" s="1"/>
  <c r="E25" i="13" s="1"/>
  <c r="G25" i="16"/>
  <c r="D26" i="13" s="1"/>
  <c r="E26" i="13" s="1"/>
  <c r="G26" i="16"/>
  <c r="D27" i="13" s="1"/>
  <c r="E27" i="13" s="1"/>
  <c r="G27" i="16"/>
  <c r="D28" i="13" s="1"/>
  <c r="E28" i="13" s="1"/>
  <c r="G28" i="16"/>
  <c r="D29" i="13" s="1"/>
  <c r="E29" i="13" s="1"/>
  <c r="G29" i="16"/>
  <c r="D30" i="13" s="1"/>
  <c r="E30" i="13" s="1"/>
  <c r="G30" i="16"/>
  <c r="D31" i="13" s="1"/>
  <c r="E31" i="13" s="1"/>
  <c r="G31" i="16"/>
  <c r="D32" i="13" s="1"/>
  <c r="E32" i="13" s="1"/>
  <c r="G32" i="16"/>
  <c r="D33" i="13" s="1"/>
  <c r="E33" i="13" s="1"/>
  <c r="G34" i="16"/>
  <c r="D35" i="13" s="1"/>
  <c r="E35" i="13" s="1"/>
  <c r="G35" i="16"/>
  <c r="D36" i="13" s="1"/>
  <c r="E36" i="13" s="1"/>
  <c r="G36" i="16"/>
  <c r="D37" i="13" s="1"/>
  <c r="E37" i="13" s="1"/>
  <c r="G37" i="16"/>
  <c r="D38" i="13" s="1"/>
  <c r="E38" i="13" s="1"/>
  <c r="G38" i="16"/>
  <c r="D39" i="13" s="1"/>
  <c r="G39" i="16"/>
  <c r="D40" i="13" s="1"/>
  <c r="L39" i="16"/>
  <c r="B55" i="16"/>
  <c r="B57" i="16"/>
  <c r="A1" i="15"/>
  <c r="A2" i="15"/>
  <c r="A3" i="15"/>
  <c r="C11" i="15"/>
  <c r="D11" i="15"/>
  <c r="A12" i="15"/>
  <c r="C12" i="15"/>
  <c r="D12" i="15"/>
  <c r="E12" i="15"/>
  <c r="F12" i="15"/>
  <c r="G12" i="15"/>
  <c r="H12" i="15"/>
  <c r="I12" i="15"/>
  <c r="S14" i="15"/>
  <c r="S15" i="15"/>
  <c r="I15" i="15" s="1"/>
  <c r="S16" i="15"/>
  <c r="S17" i="15"/>
  <c r="I17" i="15" s="1"/>
  <c r="S18" i="15"/>
  <c r="H18" i="15" s="1"/>
  <c r="G35" i="15" s="1"/>
  <c r="S19" i="15"/>
  <c r="G19" i="15" s="1"/>
  <c r="S20" i="15"/>
  <c r="F20" i="15" s="1"/>
  <c r="S21" i="15"/>
  <c r="E21" i="15" s="1"/>
  <c r="S22" i="15"/>
  <c r="A23" i="15"/>
  <c r="A22" i="15"/>
  <c r="A29" i="15"/>
  <c r="C29" i="15"/>
  <c r="D29" i="15"/>
  <c r="E29" i="15"/>
  <c r="F29" i="15"/>
  <c r="G29" i="15"/>
  <c r="H29" i="15"/>
  <c r="I29" i="15"/>
  <c r="C32" i="15"/>
  <c r="D32" i="15"/>
  <c r="G32" i="15"/>
  <c r="C33" i="15"/>
  <c r="D33" i="15"/>
  <c r="F33" i="15"/>
  <c r="G33" i="15"/>
  <c r="C34" i="15"/>
  <c r="D34" i="15"/>
  <c r="E34" i="15"/>
  <c r="F34" i="15"/>
  <c r="G34" i="15"/>
  <c r="G42" i="15" s="1"/>
  <c r="C35" i="15"/>
  <c r="D35" i="15"/>
  <c r="E35" i="15"/>
  <c r="F35" i="15"/>
  <c r="H35" i="15"/>
  <c r="C36" i="15"/>
  <c r="D36" i="15"/>
  <c r="E36" i="15"/>
  <c r="G36" i="15"/>
  <c r="H36" i="15"/>
  <c r="C37" i="15"/>
  <c r="D37" i="15"/>
  <c r="F37" i="15"/>
  <c r="G37" i="15"/>
  <c r="H37" i="15"/>
  <c r="C38" i="15"/>
  <c r="E38" i="15"/>
  <c r="F38" i="15"/>
  <c r="G38" i="15"/>
  <c r="H38" i="15"/>
  <c r="D39" i="15"/>
  <c r="E39" i="15"/>
  <c r="G39" i="15"/>
  <c r="H39" i="15"/>
  <c r="I47" i="15"/>
  <c r="I48" i="15"/>
  <c r="A1" i="14"/>
  <c r="A2" i="14"/>
  <c r="A3" i="14"/>
  <c r="M11" i="14"/>
  <c r="C11" i="14" s="1"/>
  <c r="A12" i="14"/>
  <c r="C12" i="14"/>
  <c r="B55" i="14"/>
  <c r="D12" i="14"/>
  <c r="B56" i="14"/>
  <c r="E12" i="14"/>
  <c r="A15" i="14"/>
  <c r="A16" i="14" s="1"/>
  <c r="A17" i="14"/>
  <c r="A18" i="14" s="1"/>
  <c r="A19" i="14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1" i="13"/>
  <c r="A2" i="13"/>
  <c r="A3" i="13"/>
  <c r="A12" i="13"/>
  <c r="C12" i="13"/>
  <c r="B64" i="13"/>
  <c r="D12" i="13"/>
  <c r="E12" i="13"/>
  <c r="B66" i="13" s="1"/>
  <c r="F12" i="13"/>
  <c r="B67" i="13" s="1"/>
  <c r="A15" i="13"/>
  <c r="A16" i="13" s="1"/>
  <c r="A17" i="13"/>
  <c r="A18" i="13" s="1"/>
  <c r="A19" i="13"/>
  <c r="A20" i="13" s="1"/>
  <c r="A21" i="13" s="1"/>
  <c r="A22" i="13" s="1"/>
  <c r="A23" i="13" s="1"/>
  <c r="A24" i="13" s="1"/>
  <c r="A25" i="13"/>
  <c r="A26" i="13" s="1"/>
  <c r="A27" i="13" s="1"/>
  <c r="A28" i="13" s="1"/>
  <c r="A29" i="13" s="1"/>
  <c r="A30" i="13" s="1"/>
  <c r="A31" i="13" s="1"/>
  <c r="A32" i="13" s="1"/>
  <c r="A33" i="13" s="1"/>
  <c r="A34" i="13" s="1"/>
  <c r="A35" i="13" s="1"/>
  <c r="A36" i="13" s="1"/>
  <c r="A37" i="13" s="1"/>
  <c r="A38" i="13" s="1"/>
  <c r="A39" i="13" s="1"/>
  <c r="A40" i="13" s="1"/>
  <c r="A41" i="13" s="1"/>
  <c r="A42" i="13" s="1"/>
  <c r="A43" i="13" s="1"/>
  <c r="A44" i="13" s="1"/>
  <c r="A45" i="13" s="1"/>
  <c r="A46" i="13" s="1"/>
  <c r="A47" i="13" s="1"/>
  <c r="A48" i="13" s="1"/>
  <c r="A49" i="13" s="1"/>
  <c r="A50" i="13" s="1"/>
  <c r="A1" i="11"/>
  <c r="A2" i="11"/>
  <c r="A3" i="11"/>
  <c r="A12" i="11"/>
  <c r="C12" i="11"/>
  <c r="B63" i="11" s="1"/>
  <c r="D12" i="11"/>
  <c r="E12" i="11"/>
  <c r="F12" i="11"/>
  <c r="G12" i="11"/>
  <c r="H12" i="11"/>
  <c r="I12" i="11"/>
  <c r="J12" i="11"/>
  <c r="K12" i="11"/>
  <c r="A55" i="11"/>
  <c r="A54" i="11" s="1"/>
  <c r="A1" i="10"/>
  <c r="A2" i="10"/>
  <c r="A3" i="10"/>
  <c r="N9" i="10"/>
  <c r="A61" i="10"/>
  <c r="A12" i="10"/>
  <c r="C12" i="10"/>
  <c r="B69" i="10" s="1"/>
  <c r="D12" i="10"/>
  <c r="E12" i="10"/>
  <c r="A1" i="9"/>
  <c r="A2" i="9"/>
  <c r="A3" i="9"/>
  <c r="A12" i="9"/>
  <c r="C12" i="9"/>
  <c r="B61" i="9" s="1"/>
  <c r="D12" i="9"/>
  <c r="B62" i="9" s="1"/>
  <c r="E12" i="9"/>
  <c r="A53" i="9"/>
  <c r="A52" i="9" s="1"/>
  <c r="A1" i="8"/>
  <c r="A2" i="8"/>
  <c r="A3" i="8"/>
  <c r="A11" i="8"/>
  <c r="A12" i="8"/>
  <c r="C12" i="8"/>
  <c r="D12" i="8"/>
  <c r="B35" i="8" s="1"/>
  <c r="E12" i="8"/>
  <c r="B36" i="8" s="1"/>
  <c r="F12" i="8"/>
  <c r="B37" i="8" s="1"/>
  <c r="G12" i="8"/>
  <c r="B38" i="8" s="1"/>
  <c r="H12" i="8"/>
  <c r="B39" i="8" s="1"/>
  <c r="A23" i="8"/>
  <c r="N23" i="8"/>
  <c r="P32" i="8"/>
  <c r="N32" i="8"/>
  <c r="A1" i="7"/>
  <c r="A2" i="7"/>
  <c r="A3" i="7"/>
  <c r="A12" i="7"/>
  <c r="C12" i="7"/>
  <c r="D12" i="7"/>
  <c r="E12" i="7"/>
  <c r="C63" i="7" s="1"/>
  <c r="F12" i="7"/>
  <c r="B49" i="5"/>
  <c r="I12" i="7"/>
  <c r="J12" i="7"/>
  <c r="K12" i="7"/>
  <c r="L12" i="7"/>
  <c r="C67" i="7" s="1"/>
  <c r="N51" i="7"/>
  <c r="O51" i="7"/>
  <c r="A52" i="7"/>
  <c r="C69" i="7"/>
  <c r="C70" i="7"/>
  <c r="A1" i="6"/>
  <c r="A2" i="6"/>
  <c r="A3" i="6"/>
  <c r="A12" i="6"/>
  <c r="C12" i="6"/>
  <c r="D12" i="6"/>
  <c r="E12" i="6"/>
  <c r="F12" i="6"/>
  <c r="G12" i="6"/>
  <c r="H12" i="6"/>
  <c r="I12" i="6"/>
  <c r="N23" i="6"/>
  <c r="A29" i="6"/>
  <c r="C29" i="6"/>
  <c r="D29" i="6"/>
  <c r="E29" i="6"/>
  <c r="F29" i="6"/>
  <c r="G29" i="6"/>
  <c r="H29" i="6"/>
  <c r="I29" i="6"/>
  <c r="C31" i="6"/>
  <c r="D31" i="6"/>
  <c r="E31" i="6"/>
  <c r="F31" i="6"/>
  <c r="G31" i="6"/>
  <c r="I31" i="6"/>
  <c r="C32" i="6"/>
  <c r="D32" i="6"/>
  <c r="E32" i="6"/>
  <c r="F32" i="6"/>
  <c r="G32" i="6"/>
  <c r="I32" i="6"/>
  <c r="C33" i="6"/>
  <c r="D33" i="6"/>
  <c r="E33" i="6"/>
  <c r="F33" i="6"/>
  <c r="G33" i="6"/>
  <c r="I33" i="6"/>
  <c r="C34" i="6"/>
  <c r="D34" i="6"/>
  <c r="E34" i="6"/>
  <c r="F34" i="6"/>
  <c r="G34" i="6"/>
  <c r="I34" i="6"/>
  <c r="C35" i="6"/>
  <c r="D35" i="6"/>
  <c r="E35" i="6"/>
  <c r="F35" i="6"/>
  <c r="H35" i="6"/>
  <c r="I35" i="6"/>
  <c r="C36" i="6"/>
  <c r="D36" i="6"/>
  <c r="E36" i="6"/>
  <c r="G36" i="6"/>
  <c r="H36" i="6"/>
  <c r="I36" i="6"/>
  <c r="C37" i="6"/>
  <c r="D37" i="6"/>
  <c r="F37" i="6"/>
  <c r="G37" i="6"/>
  <c r="H37" i="6"/>
  <c r="I37" i="6"/>
  <c r="C38" i="6"/>
  <c r="E38" i="6"/>
  <c r="F38" i="6"/>
  <c r="G38" i="6"/>
  <c r="H38" i="6"/>
  <c r="I38" i="6"/>
  <c r="D39" i="6"/>
  <c r="E39" i="6"/>
  <c r="F39" i="6"/>
  <c r="G39" i="6"/>
  <c r="H39" i="6"/>
  <c r="I39" i="6"/>
  <c r="I47" i="6"/>
  <c r="I48" i="6" s="1"/>
  <c r="A1" i="5"/>
  <c r="A2" i="5"/>
  <c r="A3" i="5"/>
  <c r="A45" i="5"/>
  <c r="A44" i="5"/>
  <c r="A43" i="5" s="1"/>
  <c r="A42" i="5"/>
  <c r="A41" i="5" s="1"/>
  <c r="A40" i="5" s="1"/>
  <c r="A39" i="5" s="1"/>
  <c r="A38" i="5" s="1"/>
  <c r="A37" i="5" s="1"/>
  <c r="A36" i="5"/>
  <c r="B50" i="5"/>
  <c r="B51" i="5"/>
  <c r="B52" i="5"/>
  <c r="B53" i="5"/>
  <c r="B54" i="5"/>
  <c r="B55" i="5"/>
  <c r="B56" i="5"/>
  <c r="B57" i="5"/>
  <c r="B58" i="5"/>
  <c r="B59" i="5"/>
  <c r="B60" i="5"/>
  <c r="B61" i="5"/>
  <c r="A1" i="4"/>
  <c r="A2" i="4"/>
  <c r="A3" i="4"/>
  <c r="A4" i="4"/>
  <c r="A12" i="4"/>
  <c r="C12" i="4"/>
  <c r="D12" i="4"/>
  <c r="B30" i="4"/>
  <c r="E12" i="4"/>
  <c r="B31" i="4"/>
  <c r="A23" i="4"/>
  <c r="A22" i="4"/>
  <c r="A21" i="4" s="1"/>
  <c r="A20" i="4" s="1"/>
  <c r="A19" i="4" s="1"/>
  <c r="A18" i="4" s="1"/>
  <c r="A17" i="4" s="1"/>
  <c r="A16" i="4" s="1"/>
  <c r="A15" i="4" s="1"/>
  <c r="A14" i="4" s="1"/>
  <c r="A1" i="3"/>
  <c r="A2" i="3"/>
  <c r="A3" i="3"/>
  <c r="A12" i="3"/>
  <c r="C12" i="3"/>
  <c r="B30" i="3"/>
  <c r="D12" i="3"/>
  <c r="B32" i="3" s="1"/>
  <c r="B31" i="3"/>
  <c r="E12" i="3"/>
  <c r="D15" i="3"/>
  <c r="D16" i="3"/>
  <c r="D17" i="3"/>
  <c r="A22" i="3"/>
  <c r="A21" i="3"/>
  <c r="A20" i="3" s="1"/>
  <c r="A19" i="3"/>
  <c r="A18" i="3" s="1"/>
  <c r="A17" i="3"/>
  <c r="A16" i="3" s="1"/>
  <c r="A15" i="3"/>
  <c r="A14" i="3" s="1"/>
  <c r="A1" i="2"/>
  <c r="A2" i="2"/>
  <c r="A3" i="2"/>
  <c r="A12" i="2"/>
  <c r="C12" i="2"/>
  <c r="B30" i="2" s="1"/>
  <c r="D12" i="2"/>
  <c r="B31" i="2"/>
  <c r="E12" i="2"/>
  <c r="F12" i="2"/>
  <c r="B33" i="2" s="1"/>
  <c r="G12" i="2"/>
  <c r="H12" i="2"/>
  <c r="B35" i="2" s="1"/>
  <c r="A23" i="2"/>
  <c r="A22" i="2"/>
  <c r="A21" i="2" s="1"/>
  <c r="A20" i="2"/>
  <c r="A19" i="2" s="1"/>
  <c r="A18" i="2"/>
  <c r="A17" i="2" s="1"/>
  <c r="A16" i="2"/>
  <c r="A15" i="2" s="1"/>
  <c r="A14" i="2" s="1"/>
  <c r="A12" i="1"/>
  <c r="C12" i="1"/>
  <c r="B26" i="1" s="1"/>
  <c r="D12" i="1"/>
  <c r="B27" i="1" s="1"/>
  <c r="E12" i="1"/>
  <c r="B28" i="1" s="1"/>
  <c r="F12" i="1"/>
  <c r="G12" i="1"/>
  <c r="B30" i="1"/>
  <c r="H12" i="1"/>
  <c r="I12" i="1"/>
  <c r="B32" i="1" s="1"/>
  <c r="O42" i="25"/>
  <c r="O34" i="25"/>
  <c r="O35" i="24"/>
  <c r="O43" i="23"/>
  <c r="O33" i="23"/>
  <c r="O42" i="24"/>
  <c r="O38" i="24"/>
  <c r="O32" i="24"/>
  <c r="O37" i="25"/>
  <c r="O35" i="25"/>
  <c r="O31" i="25"/>
  <c r="O47" i="23"/>
  <c r="B65" i="13"/>
  <c r="D16" i="33"/>
  <c r="I15" i="32" s="1"/>
  <c r="N15" i="32" s="1"/>
  <c r="F15" i="32"/>
  <c r="L17" i="23"/>
  <c r="E22" i="37"/>
  <c r="G22" i="37" s="1"/>
  <c r="L22" i="37"/>
  <c r="C22" i="31"/>
  <c r="A27" i="31"/>
  <c r="A28" i="31" s="1"/>
  <c r="A29" i="31"/>
  <c r="A30" i="31" s="1"/>
  <c r="A31" i="31" s="1"/>
  <c r="A32" i="31" s="1"/>
  <c r="A33" i="31" s="1"/>
  <c r="A34" i="31" s="1"/>
  <c r="A35" i="31"/>
  <c r="A36" i="31" s="1"/>
  <c r="B33" i="36"/>
  <c r="A51" i="30"/>
  <c r="C49" i="20"/>
  <c r="O48" i="24"/>
  <c r="O47" i="25"/>
  <c r="O40" i="23"/>
  <c r="B56" i="22"/>
  <c r="O33" i="25"/>
  <c r="O36" i="25"/>
  <c r="O41" i="23"/>
  <c r="O41" i="24"/>
  <c r="O34" i="24"/>
  <c r="O37" i="24"/>
  <c r="O42" i="23"/>
  <c r="O41" i="25"/>
  <c r="O45" i="24"/>
  <c r="O45" i="23"/>
  <c r="O44" i="25"/>
  <c r="O39" i="24"/>
  <c r="O38" i="25"/>
  <c r="O39" i="23"/>
  <c r="O44" i="23"/>
  <c r="O44" i="24"/>
  <c r="M11" i="6"/>
  <c r="C11" i="6"/>
  <c r="A23" i="6"/>
  <c r="A22" i="6"/>
  <c r="N14" i="32"/>
  <c r="K19" i="32"/>
  <c r="B40" i="28"/>
  <c r="B40" i="26"/>
  <c r="B57" i="24"/>
  <c r="I14" i="15"/>
  <c r="A22" i="8"/>
  <c r="N22" i="8" s="1"/>
  <c r="C62" i="7"/>
  <c r="C42" i="16"/>
  <c r="H33" i="17"/>
  <c r="O36" i="24"/>
  <c r="C42" i="13"/>
  <c r="D22" i="15"/>
  <c r="B56" i="23"/>
  <c r="B36" i="29"/>
  <c r="B38" i="29"/>
  <c r="B34" i="2"/>
  <c r="B34" i="8"/>
  <c r="B40" i="8"/>
  <c r="B70" i="10"/>
  <c r="D17" i="33"/>
  <c r="F16" i="32"/>
  <c r="L19" i="32"/>
  <c r="M19" i="32"/>
  <c r="B32" i="2"/>
  <c r="B65" i="32"/>
  <c r="E38" i="19"/>
  <c r="E40" i="19" s="1"/>
  <c r="B64" i="32"/>
  <c r="B45" i="37"/>
  <c r="D18" i="33"/>
  <c r="F17" i="32"/>
  <c r="I16" i="32"/>
  <c r="L39" i="34"/>
  <c r="M39" i="34" s="1"/>
  <c r="L51" i="34"/>
  <c r="E15" i="36"/>
  <c r="G15" i="36" s="1"/>
  <c r="E19" i="36"/>
  <c r="G19" i="36" s="1"/>
  <c r="E18" i="36"/>
  <c r="G18" i="36" s="1"/>
  <c r="C24" i="31"/>
  <c r="E19" i="7"/>
  <c r="E20" i="7" s="1"/>
  <c r="B30" i="43"/>
  <c r="H32" i="17"/>
  <c r="A39" i="15"/>
  <c r="A21" i="15"/>
  <c r="A38" i="15" s="1"/>
  <c r="H34" i="15"/>
  <c r="C11" i="16"/>
  <c r="D41" i="16"/>
  <c r="E42" i="16"/>
  <c r="G42" i="16"/>
  <c r="D43" i="13" s="1"/>
  <c r="D44" i="16"/>
  <c r="D43" i="16"/>
  <c r="C44" i="17"/>
  <c r="D44" i="17"/>
  <c r="D43" i="17"/>
  <c r="A22" i="17"/>
  <c r="A21" i="17" s="1"/>
  <c r="A41" i="17"/>
  <c r="A40" i="17"/>
  <c r="A21" i="16"/>
  <c r="A22" i="16" s="1"/>
  <c r="A23" i="16" s="1"/>
  <c r="A24" i="16" s="1"/>
  <c r="A25" i="16" s="1"/>
  <c r="A26" i="16" s="1"/>
  <c r="A27" i="16" s="1"/>
  <c r="A28" i="16" s="1"/>
  <c r="A29" i="16" s="1"/>
  <c r="A30" i="16" s="1"/>
  <c r="A31" i="16" s="1"/>
  <c r="A32" i="16" s="1"/>
  <c r="A33" i="16" s="1"/>
  <c r="A34" i="16" s="1"/>
  <c r="A35" i="16" s="1"/>
  <c r="A36" i="16" s="1"/>
  <c r="A37" i="16" s="1"/>
  <c r="A38" i="16" s="1"/>
  <c r="A39" i="16" s="1"/>
  <c r="A40" i="16" s="1"/>
  <c r="A41" i="16" s="1"/>
  <c r="A42" i="16" s="1"/>
  <c r="A43" i="16" s="1"/>
  <c r="A44" i="16" s="1"/>
  <c r="A45" i="16" s="1"/>
  <c r="A46" i="16" s="1"/>
  <c r="A47" i="16" s="1"/>
  <c r="A48" i="16" s="1"/>
  <c r="A49" i="16" s="1"/>
  <c r="A50" i="16" s="1"/>
  <c r="A51" i="16" s="1"/>
  <c r="B38" i="19"/>
  <c r="N50" i="7"/>
  <c r="A51" i="7"/>
  <c r="D11" i="6"/>
  <c r="E11" i="6" s="1"/>
  <c r="B41" i="8"/>
  <c r="A21" i="8"/>
  <c r="N21" i="8" s="1"/>
  <c r="N61" i="10"/>
  <c r="A60" i="10"/>
  <c r="A51" i="9"/>
  <c r="N52" i="9"/>
  <c r="N53" i="9"/>
  <c r="A53" i="11"/>
  <c r="A52" i="11" s="1"/>
  <c r="N54" i="11"/>
  <c r="N55" i="11"/>
  <c r="G44" i="15"/>
  <c r="G43" i="15"/>
  <c r="G50" i="34"/>
  <c r="A20" i="8"/>
  <c r="N20" i="8" s="1"/>
  <c r="A50" i="9"/>
  <c r="N51" i="9"/>
  <c r="F11" i="6"/>
  <c r="F28" i="6" s="1"/>
  <c r="A19" i="8"/>
  <c r="A18" i="8" s="1"/>
  <c r="N50" i="9"/>
  <c r="A49" i="9"/>
  <c r="A48" i="9" s="1"/>
  <c r="N48" i="9" s="1"/>
  <c r="G11" i="6"/>
  <c r="H11" i="6" s="1"/>
  <c r="N19" i="8"/>
  <c r="N49" i="9"/>
  <c r="G28" i="6"/>
  <c r="A47" i="9"/>
  <c r="I11" i="6"/>
  <c r="I28" i="6" s="1"/>
  <c r="C23" i="3"/>
  <c r="C15" i="28"/>
  <c r="C21" i="3"/>
  <c r="D20" i="8"/>
  <c r="C27" i="31"/>
  <c r="F38" i="19"/>
  <c r="B48" i="19"/>
  <c r="A50" i="30"/>
  <c r="B37" i="19"/>
  <c r="G50" i="30"/>
  <c r="E37" i="19" s="1"/>
  <c r="F37" i="19" s="1"/>
  <c r="F22" i="29"/>
  <c r="D22" i="28" s="1"/>
  <c r="D22" i="8"/>
  <c r="D19" i="8"/>
  <c r="D21" i="8"/>
  <c r="D18" i="8"/>
  <c r="D16" i="8"/>
  <c r="C25" i="31"/>
  <c r="E25" i="37"/>
  <c r="G25" i="37" s="1"/>
  <c r="L25" i="37" s="1"/>
  <c r="L46" i="24"/>
  <c r="C50" i="20"/>
  <c r="I17" i="6"/>
  <c r="H34" i="6" s="1"/>
  <c r="C17" i="3"/>
  <c r="E17" i="3" s="1"/>
  <c r="C17" i="2" s="1"/>
  <c r="F18" i="27"/>
  <c r="D18" i="26" s="1"/>
  <c r="E23" i="4"/>
  <c r="C18" i="26"/>
  <c r="B58" i="22"/>
  <c r="B58" i="25"/>
  <c r="C26" i="26"/>
  <c r="F26" i="27"/>
  <c r="D26" i="26" s="1"/>
  <c r="F16" i="29"/>
  <c r="D16" i="28" s="1"/>
  <c r="C24" i="28"/>
  <c r="F24" i="29"/>
  <c r="D24" i="28" s="1"/>
  <c r="E24" i="36"/>
  <c r="G24" i="36" s="1"/>
  <c r="I15" i="6"/>
  <c r="H32" i="6" s="1"/>
  <c r="D23" i="8"/>
  <c r="D17" i="8"/>
  <c r="D15" i="8"/>
  <c r="D14" i="8"/>
  <c r="F27" i="29"/>
  <c r="D27" i="28" s="1"/>
  <c r="G21" i="8"/>
  <c r="G23" i="8"/>
  <c r="C19" i="3"/>
  <c r="G19" i="6"/>
  <c r="F36" i="6" s="1"/>
  <c r="E28" i="7"/>
  <c r="E21" i="6"/>
  <c r="D38" i="6" s="1"/>
  <c r="G22" i="8"/>
  <c r="G16" i="8"/>
  <c r="G18" i="8"/>
  <c r="G15" i="8"/>
  <c r="G14" i="8"/>
  <c r="G19" i="8"/>
  <c r="C34" i="31"/>
  <c r="C28" i="31"/>
  <c r="B58" i="24"/>
  <c r="C19" i="26"/>
  <c r="F20" i="6"/>
  <c r="E37" i="6" s="1"/>
  <c r="E42" i="6" s="1"/>
  <c r="F22" i="27"/>
  <c r="D22" i="26" s="1"/>
  <c r="E28" i="37"/>
  <c r="G28" i="37" s="1"/>
  <c r="L28" i="37" s="1"/>
  <c r="G20" i="8"/>
  <c r="D31" i="27"/>
  <c r="L48" i="25"/>
  <c r="B55" i="25" s="1"/>
  <c r="K34" i="21"/>
  <c r="I14" i="6"/>
  <c r="H31" i="6" s="1"/>
  <c r="C33" i="31"/>
  <c r="E27" i="37"/>
  <c r="G27" i="37" s="1"/>
  <c r="F16" i="27"/>
  <c r="D16" i="26" s="1"/>
  <c r="K25" i="43"/>
  <c r="F19" i="8"/>
  <c r="E28" i="8"/>
  <c r="E30" i="8" s="1"/>
  <c r="F28" i="8"/>
  <c r="F30" i="8" s="1"/>
  <c r="E17" i="8"/>
  <c r="E15" i="8"/>
  <c r="E19" i="8"/>
  <c r="E22" i="8"/>
  <c r="E20" i="8"/>
  <c r="E14" i="8"/>
  <c r="E23" i="8"/>
  <c r="E16" i="8"/>
  <c r="E18" i="8"/>
  <c r="E21" i="8"/>
  <c r="F16" i="8"/>
  <c r="F14" i="8"/>
  <c r="F15" i="8"/>
  <c r="F22" i="8"/>
  <c r="F17" i="8"/>
  <c r="F18" i="8"/>
  <c r="F21" i="8"/>
  <c r="F20" i="8"/>
  <c r="F23" i="8"/>
  <c r="E16" i="26" l="1"/>
  <c r="E24" i="28"/>
  <c r="N53" i="11"/>
  <c r="F19" i="32"/>
  <c r="F18" i="32"/>
  <c r="I17" i="32"/>
  <c r="N17" i="32" s="1"/>
  <c r="D19" i="33"/>
  <c r="I18" i="32"/>
  <c r="A21" i="6"/>
  <c r="A39" i="6"/>
  <c r="D28" i="6"/>
  <c r="N49" i="7"/>
  <c r="O50" i="7"/>
  <c r="A20" i="15"/>
  <c r="G19" i="1"/>
  <c r="A51" i="11"/>
  <c r="N52" i="11"/>
  <c r="N60" i="10"/>
  <c r="A59" i="10"/>
  <c r="C28" i="6"/>
  <c r="A39" i="17"/>
  <c r="A20" i="17"/>
  <c r="N47" i="9"/>
  <c r="A46" i="9"/>
  <c r="H28" i="6"/>
  <c r="N18" i="8"/>
  <c r="A17" i="8"/>
  <c r="E28" i="6"/>
  <c r="C51" i="14"/>
  <c r="C39" i="15"/>
  <c r="C43" i="15"/>
  <c r="C50" i="14"/>
  <c r="D38" i="15"/>
  <c r="D45" i="15" s="1"/>
  <c r="C46" i="14"/>
  <c r="E46" i="14"/>
  <c r="C46" i="13" s="1"/>
  <c r="C28" i="15"/>
  <c r="E11" i="15"/>
  <c r="E40" i="13"/>
  <c r="B58" i="16"/>
  <c r="B64" i="11"/>
  <c r="E11" i="17"/>
  <c r="C49" i="14"/>
  <c r="E37" i="15"/>
  <c r="I16" i="15"/>
  <c r="S26" i="15"/>
  <c r="G44" i="17"/>
  <c r="G20" i="17"/>
  <c r="F38" i="17" s="1"/>
  <c r="F45" i="17" s="1"/>
  <c r="C47" i="16"/>
  <c r="I16" i="17"/>
  <c r="H34" i="17" s="1"/>
  <c r="C43" i="16"/>
  <c r="E43" i="16" s="1"/>
  <c r="G43" i="16" s="1"/>
  <c r="D44" i="13" s="1"/>
  <c r="H19" i="17"/>
  <c r="G37" i="17" s="1"/>
  <c r="G43" i="17" s="1"/>
  <c r="C46" i="16"/>
  <c r="C42" i="15"/>
  <c r="N16" i="32"/>
  <c r="B29" i="1"/>
  <c r="F44" i="15"/>
  <c r="F36" i="15"/>
  <c r="C48" i="14"/>
  <c r="H32" i="15"/>
  <c r="E44" i="14"/>
  <c r="C44" i="13" s="1"/>
  <c r="B56" i="16"/>
  <c r="I18" i="17"/>
  <c r="H36" i="17" s="1"/>
  <c r="C45" i="16"/>
  <c r="E45" i="16" s="1"/>
  <c r="G45" i="16" s="1"/>
  <c r="D46" i="13" s="1"/>
  <c r="E46" i="13" s="1"/>
  <c r="E41" i="16"/>
  <c r="G41" i="16" s="1"/>
  <c r="D42" i="13" s="1"/>
  <c r="B57" i="23"/>
  <c r="B57" i="25"/>
  <c r="B59" i="22"/>
  <c r="B44" i="31"/>
  <c r="B46" i="31"/>
  <c r="B30" i="36"/>
  <c r="E43" i="14"/>
  <c r="C43" i="13" s="1"/>
  <c r="E43" i="13" s="1"/>
  <c r="H31" i="15"/>
  <c r="B31" i="1"/>
  <c r="D46" i="14"/>
  <c r="D45" i="14"/>
  <c r="E43" i="15"/>
  <c r="F43" i="15"/>
  <c r="C46" i="17"/>
  <c r="D46" i="17"/>
  <c r="F21" i="17"/>
  <c r="E39" i="17" s="1"/>
  <c r="E43" i="17" s="1"/>
  <c r="C48" i="16"/>
  <c r="I17" i="17"/>
  <c r="H35" i="17" s="1"/>
  <c r="C44" i="16"/>
  <c r="E44" i="16" s="1"/>
  <c r="G44" i="16" s="1"/>
  <c r="D45" i="13" s="1"/>
  <c r="B73" i="20"/>
  <c r="B59" i="23"/>
  <c r="B55" i="30"/>
  <c r="E12" i="30"/>
  <c r="B47" i="31"/>
  <c r="O47" i="24"/>
  <c r="O46" i="25"/>
  <c r="G45" i="15"/>
  <c r="G47" i="15" s="1"/>
  <c r="C45" i="15"/>
  <c r="F46" i="17"/>
  <c r="G46" i="17"/>
  <c r="C43" i="17"/>
  <c r="E45" i="15"/>
  <c r="G40" i="34"/>
  <c r="B57" i="34" s="1"/>
  <c r="C47" i="14"/>
  <c r="B57" i="14"/>
  <c r="C44" i="15"/>
  <c r="E44" i="15"/>
  <c r="G45" i="17"/>
  <c r="B66" i="21"/>
  <c r="B62" i="23"/>
  <c r="B59" i="24"/>
  <c r="B58" i="32"/>
  <c r="D22" i="43"/>
  <c r="E42" i="15"/>
  <c r="E47" i="15" s="1"/>
  <c r="C56" i="13"/>
  <c r="G32" i="34"/>
  <c r="B60" i="23"/>
  <c r="B60" i="24" s="1"/>
  <c r="J33" i="43"/>
  <c r="B46" i="43" s="1"/>
  <c r="D42" i="6"/>
  <c r="D47" i="6" s="1"/>
  <c r="D44" i="6"/>
  <c r="D45" i="6"/>
  <c r="D43" i="6"/>
  <c r="F47" i="6"/>
  <c r="F42" i="6"/>
  <c r="F44" i="6"/>
  <c r="F40" i="19"/>
  <c r="N48" i="7"/>
  <c r="O48" i="7" s="1"/>
  <c r="A49" i="7"/>
  <c r="O49" i="7"/>
  <c r="A50" i="7"/>
  <c r="F45" i="7"/>
  <c r="C61" i="7"/>
  <c r="C64" i="7"/>
  <c r="F35" i="7"/>
  <c r="F37" i="7"/>
  <c r="C29" i="31"/>
  <c r="F25" i="29"/>
  <c r="D25" i="28" s="1"/>
  <c r="E25" i="28" s="1"/>
  <c r="E33" i="37"/>
  <c r="G33" i="37" s="1"/>
  <c r="L33" i="37" s="1"/>
  <c r="F19" i="27"/>
  <c r="D19" i="26" s="1"/>
  <c r="A16" i="21"/>
  <c r="E22" i="36"/>
  <c r="G22" i="36" s="1"/>
  <c r="E31" i="37"/>
  <c r="G31" i="37" s="1"/>
  <c r="L31" i="37" s="1"/>
  <c r="C32" i="31"/>
  <c r="E24" i="37"/>
  <c r="G24" i="37" s="1"/>
  <c r="L24" i="37" s="1"/>
  <c r="E23" i="37"/>
  <c r="G23" i="37" s="1"/>
  <c r="L23" i="37" s="1"/>
  <c r="F17" i="27"/>
  <c r="D17" i="26" s="1"/>
  <c r="E17" i="26" s="1"/>
  <c r="F27" i="27"/>
  <c r="D27" i="26" s="1"/>
  <c r="E27" i="26" s="1"/>
  <c r="C31" i="31"/>
  <c r="C30" i="31"/>
  <c r="E30" i="37"/>
  <c r="G30" i="37" s="1"/>
  <c r="L30" i="37" s="1"/>
  <c r="E20" i="36"/>
  <c r="G20" i="36" s="1"/>
  <c r="C38" i="31"/>
  <c r="D51" i="14"/>
  <c r="C35" i="31"/>
  <c r="F17" i="29"/>
  <c r="D17" i="28" s="1"/>
  <c r="E17" i="28" s="1"/>
  <c r="F19" i="29"/>
  <c r="D19" i="28" s="1"/>
  <c r="E19" i="28" s="1"/>
  <c r="F21" i="29"/>
  <c r="D21" i="28" s="1"/>
  <c r="E21" i="28" s="1"/>
  <c r="E43" i="6"/>
  <c r="E44" i="6"/>
  <c r="E47" i="6"/>
  <c r="E45" i="6"/>
  <c r="C40" i="37"/>
  <c r="F26" i="29"/>
  <c r="D26" i="28" s="1"/>
  <c r="F21" i="27"/>
  <c r="D21" i="26" s="1"/>
  <c r="E21" i="26" s="1"/>
  <c r="E34" i="37"/>
  <c r="G34" i="37" s="1"/>
  <c r="L34" i="37" s="1"/>
  <c r="C23" i="31"/>
  <c r="E29" i="37"/>
  <c r="G29" i="37" s="1"/>
  <c r="L29" i="37" s="1"/>
  <c r="G57" i="21"/>
  <c r="E58" i="21" s="1"/>
  <c r="E20" i="4"/>
  <c r="F34" i="7"/>
  <c r="F30" i="7"/>
  <c r="F26" i="7"/>
  <c r="F20" i="27"/>
  <c r="D20" i="26" s="1"/>
  <c r="E20" i="26" s="1"/>
  <c r="F24" i="27"/>
  <c r="D24" i="26" s="1"/>
  <c r="E24" i="26" s="1"/>
  <c r="E22" i="28"/>
  <c r="B60" i="22"/>
  <c r="R40" i="22"/>
  <c r="R22" i="22"/>
  <c r="R28" i="22"/>
  <c r="R27" i="22"/>
  <c r="R29" i="22"/>
  <c r="R39" i="22"/>
  <c r="R30" i="22"/>
  <c r="R24" i="22"/>
  <c r="P46" i="22" s="1"/>
  <c r="R23" i="22"/>
  <c r="P45" i="22" s="1"/>
  <c r="R25" i="22"/>
  <c r="R38" i="22"/>
  <c r="R37" i="22"/>
  <c r="P60" i="22" s="1"/>
  <c r="R36" i="22"/>
  <c r="R35" i="22"/>
  <c r="R33" i="22"/>
  <c r="R31" i="22"/>
  <c r="P53" i="22" s="1"/>
  <c r="R32" i="22"/>
  <c r="P54" i="22" s="1"/>
  <c r="R26" i="22"/>
  <c r="P48" i="22" s="1"/>
  <c r="R34" i="22"/>
  <c r="C60" i="20"/>
  <c r="C52" i="20"/>
  <c r="C11" i="29"/>
  <c r="L11" i="28"/>
  <c r="J14" i="43"/>
  <c r="C23" i="28"/>
  <c r="E23" i="28" s="1"/>
  <c r="C31" i="29"/>
  <c r="H18" i="6"/>
  <c r="G35" i="6" s="1"/>
  <c r="G42" i="6" s="1"/>
  <c r="E18" i="4"/>
  <c r="C18" i="3"/>
  <c r="E32" i="7"/>
  <c r="F32" i="7" s="1"/>
  <c r="F31" i="7"/>
  <c r="G51" i="24"/>
  <c r="F49" i="7"/>
  <c r="E37" i="37"/>
  <c r="G37" i="37" s="1"/>
  <c r="L37" i="37" s="1"/>
  <c r="C37" i="31"/>
  <c r="C15" i="26"/>
  <c r="F15" i="27"/>
  <c r="D15" i="26" s="1"/>
  <c r="F29" i="7"/>
  <c r="B58" i="23"/>
  <c r="C57" i="20"/>
  <c r="E19" i="26"/>
  <c r="E32" i="37"/>
  <c r="G32" i="37" s="1"/>
  <c r="L32" i="37" s="1"/>
  <c r="F36" i="7"/>
  <c r="F28" i="7"/>
  <c r="G51" i="23"/>
  <c r="E17" i="36"/>
  <c r="G17" i="36" s="1"/>
  <c r="E21" i="4"/>
  <c r="F19" i="7"/>
  <c r="L27" i="37"/>
  <c r="F14" i="27"/>
  <c r="D14" i="26" s="1"/>
  <c r="C14" i="26"/>
  <c r="C31" i="27"/>
  <c r="F31" i="27" s="1"/>
  <c r="C51" i="25"/>
  <c r="E38" i="7"/>
  <c r="C15" i="3"/>
  <c r="E15" i="3" s="1"/>
  <c r="C15" i="2" s="1"/>
  <c r="E15" i="4"/>
  <c r="F27" i="7"/>
  <c r="C58" i="20"/>
  <c r="C51" i="22"/>
  <c r="C54" i="20"/>
  <c r="C51" i="24"/>
  <c r="E22" i="7"/>
  <c r="F21" i="7"/>
  <c r="F15" i="29"/>
  <c r="D15" i="28" s="1"/>
  <c r="E15" i="28" s="1"/>
  <c r="D31" i="29"/>
  <c r="C15" i="8"/>
  <c r="H15" i="8" s="1"/>
  <c r="D37" i="5" s="1"/>
  <c r="C14" i="8"/>
  <c r="H14" i="8" s="1"/>
  <c r="D36" i="5" s="1"/>
  <c r="C16" i="8"/>
  <c r="H16" i="8" s="1"/>
  <c r="D38" i="5" s="1"/>
  <c r="C19" i="8"/>
  <c r="H19" i="8" s="1"/>
  <c r="D41" i="5" s="1"/>
  <c r="D22" i="6"/>
  <c r="C39" i="6" s="1"/>
  <c r="E22" i="4"/>
  <c r="E15" i="7"/>
  <c r="E16" i="7" s="1"/>
  <c r="F14" i="7"/>
  <c r="C51" i="23"/>
  <c r="D26" i="36"/>
  <c r="F43" i="6"/>
  <c r="F45" i="6"/>
  <c r="F23" i="27"/>
  <c r="D23" i="26" s="1"/>
  <c r="C23" i="26"/>
  <c r="C14" i="28"/>
  <c r="F14" i="29"/>
  <c r="D14" i="28" s="1"/>
  <c r="E21" i="36"/>
  <c r="G21" i="36" s="1"/>
  <c r="E16" i="36"/>
  <c r="G16" i="36" s="1"/>
  <c r="C26" i="36"/>
  <c r="E16" i="28"/>
  <c r="C18" i="28"/>
  <c r="F18" i="29"/>
  <c r="D18" i="28" s="1"/>
  <c r="C20" i="28"/>
  <c r="F20" i="29"/>
  <c r="D20" i="28" s="1"/>
  <c r="C26" i="4"/>
  <c r="E14" i="4"/>
  <c r="D26" i="4"/>
  <c r="C36" i="31"/>
  <c r="E36" i="37"/>
  <c r="G36" i="37" s="1"/>
  <c r="L36" i="37" s="1"/>
  <c r="D40" i="37"/>
  <c r="F28" i="27"/>
  <c r="D28" i="26" s="1"/>
  <c r="E28" i="26" s="1"/>
  <c r="M46" i="24"/>
  <c r="B55" i="24" s="1"/>
  <c r="B55" i="22"/>
  <c r="E27" i="28"/>
  <c r="E18" i="26"/>
  <c r="F20" i="7"/>
  <c r="E35" i="37"/>
  <c r="G35" i="37" s="1"/>
  <c r="L35" i="37" s="1"/>
  <c r="E23" i="36"/>
  <c r="G23" i="36" s="1"/>
  <c r="E14" i="36"/>
  <c r="G14" i="36" s="1"/>
  <c r="F25" i="27"/>
  <c r="D25" i="26" s="1"/>
  <c r="E25" i="26" s="1"/>
  <c r="E17" i="4"/>
  <c r="F18" i="7"/>
  <c r="E26" i="37"/>
  <c r="G26" i="37" s="1"/>
  <c r="L26" i="37" s="1"/>
  <c r="E22" i="26"/>
  <c r="E26" i="28"/>
  <c r="E16" i="4"/>
  <c r="C56" i="20"/>
  <c r="G51" i="22"/>
  <c r="C53" i="20"/>
  <c r="G51" i="25"/>
  <c r="F51" i="7"/>
  <c r="G51" i="7" s="1"/>
  <c r="E52" i="7"/>
  <c r="F52" i="7" s="1"/>
  <c r="G52" i="7" s="1"/>
  <c r="B55" i="23"/>
  <c r="E26" i="26"/>
  <c r="F42" i="7"/>
  <c r="E43" i="7"/>
  <c r="C20" i="8"/>
  <c r="H20" i="8" s="1"/>
  <c r="D42" i="5" s="1"/>
  <c r="F50" i="7"/>
  <c r="G50" i="7" s="1"/>
  <c r="C21" i="8"/>
  <c r="H21" i="8" s="1"/>
  <c r="D43" i="5" s="1"/>
  <c r="C18" i="8"/>
  <c r="H18" i="8" s="1"/>
  <c r="D40" i="5" s="1"/>
  <c r="I16" i="6"/>
  <c r="H33" i="6" s="1"/>
  <c r="C16" i="3"/>
  <c r="F33" i="7"/>
  <c r="E46" i="7"/>
  <c r="C22" i="8"/>
  <c r="H22" i="8" s="1"/>
  <c r="D44" i="5" s="1"/>
  <c r="C17" i="8"/>
  <c r="H17" i="8" s="1"/>
  <c r="D39" i="5" s="1"/>
  <c r="C26" i="31"/>
  <c r="F25" i="7"/>
  <c r="F28" i="29"/>
  <c r="D28" i="28" s="1"/>
  <c r="E28" i="28" s="1"/>
  <c r="F41" i="7"/>
  <c r="C23" i="8"/>
  <c r="H23" i="8" s="1"/>
  <c r="D45" i="5" s="1"/>
  <c r="F31" i="29" l="1"/>
  <c r="D58" i="21"/>
  <c r="H45" i="6"/>
  <c r="H42" i="6"/>
  <c r="H47" i="6" s="1"/>
  <c r="H48" i="6" s="1"/>
  <c r="A48" i="7"/>
  <c r="E42" i="13"/>
  <c r="H44" i="17"/>
  <c r="H45" i="17"/>
  <c r="C45" i="14"/>
  <c r="H33" i="15"/>
  <c r="H45" i="15" s="1"/>
  <c r="E45" i="14"/>
  <c r="C45" i="13" s="1"/>
  <c r="H46" i="17"/>
  <c r="N46" i="9"/>
  <c r="A45" i="9"/>
  <c r="N51" i="11"/>
  <c r="A50" i="11"/>
  <c r="B62" i="24"/>
  <c r="B62" i="25"/>
  <c r="E45" i="13"/>
  <c r="H44" i="15"/>
  <c r="N17" i="8"/>
  <c r="A16" i="8"/>
  <c r="A58" i="10"/>
  <c r="N59" i="10"/>
  <c r="G21" i="1"/>
  <c r="G15" i="1"/>
  <c r="D20" i="33"/>
  <c r="G19" i="32"/>
  <c r="B60" i="25"/>
  <c r="N47" i="7"/>
  <c r="E46" i="17"/>
  <c r="G48" i="17"/>
  <c r="F44" i="17"/>
  <c r="F43" i="17"/>
  <c r="E45" i="17"/>
  <c r="A38" i="17"/>
  <c r="A19" i="17"/>
  <c r="F58" i="21"/>
  <c r="P57" i="22"/>
  <c r="P61" i="22"/>
  <c r="F42" i="15"/>
  <c r="F47" i="15" s="1"/>
  <c r="F45" i="15"/>
  <c r="C47" i="15"/>
  <c r="E44" i="13"/>
  <c r="E44" i="17"/>
  <c r="E48" i="17" s="1"/>
  <c r="F11" i="17"/>
  <c r="E29" i="17" s="1"/>
  <c r="D28" i="15"/>
  <c r="F11" i="15"/>
  <c r="D43" i="15"/>
  <c r="D44" i="15"/>
  <c r="D42" i="15"/>
  <c r="D47" i="15" s="1"/>
  <c r="H43" i="17"/>
  <c r="H48" i="17" s="1"/>
  <c r="H49" i="17" s="1"/>
  <c r="D46" i="16" s="1"/>
  <c r="E46" i="16" s="1"/>
  <c r="G46" i="16" s="1"/>
  <c r="D47" i="13" s="1"/>
  <c r="D29" i="17"/>
  <c r="A37" i="15"/>
  <c r="A19" i="15"/>
  <c r="A38" i="6"/>
  <c r="A20" i="6"/>
  <c r="N18" i="32"/>
  <c r="H32" i="7"/>
  <c r="C18" i="5" s="1"/>
  <c r="G29" i="7"/>
  <c r="G25" i="7"/>
  <c r="H28" i="7"/>
  <c r="C17" i="5" s="1"/>
  <c r="G14" i="7"/>
  <c r="H31" i="7"/>
  <c r="G28" i="7"/>
  <c r="G49" i="7"/>
  <c r="H52" i="7"/>
  <c r="H34" i="7"/>
  <c r="G31" i="7"/>
  <c r="G45" i="7"/>
  <c r="C42" i="6"/>
  <c r="C43" i="6"/>
  <c r="C44" i="6"/>
  <c r="C45" i="6"/>
  <c r="G21" i="7"/>
  <c r="G19" i="7"/>
  <c r="G41" i="7"/>
  <c r="G33" i="7"/>
  <c r="H36" i="7"/>
  <c r="C19" i="5" s="1"/>
  <c r="G27" i="7"/>
  <c r="H30" i="7"/>
  <c r="G36" i="7"/>
  <c r="H35" i="7"/>
  <c r="G32" i="7"/>
  <c r="C58" i="21"/>
  <c r="G26" i="7"/>
  <c r="H29" i="7"/>
  <c r="G37" i="7"/>
  <c r="G42" i="7"/>
  <c r="G18" i="7"/>
  <c r="H21" i="7"/>
  <c r="G20" i="7"/>
  <c r="G30" i="7"/>
  <c r="H33" i="7"/>
  <c r="G34" i="7"/>
  <c r="H37" i="7"/>
  <c r="G35" i="7"/>
  <c r="A47" i="7"/>
  <c r="N46" i="7"/>
  <c r="O47" i="7"/>
  <c r="F15" i="7"/>
  <c r="A17" i="21"/>
  <c r="M16" i="21"/>
  <c r="E18" i="28"/>
  <c r="B39" i="43"/>
  <c r="B40" i="43"/>
  <c r="P49" i="22"/>
  <c r="C62" i="20"/>
  <c r="P55" i="22"/>
  <c r="P56" i="22"/>
  <c r="Q56" i="22" s="1"/>
  <c r="P50" i="22"/>
  <c r="P51" i="22"/>
  <c r="P58" i="22"/>
  <c r="P47" i="22"/>
  <c r="Q47" i="22" s="1"/>
  <c r="P62" i="22"/>
  <c r="P63" i="22"/>
  <c r="Q63" i="22" s="1"/>
  <c r="P43" i="22"/>
  <c r="P44" i="22"/>
  <c r="Q44" i="22" s="1"/>
  <c r="P59" i="22"/>
  <c r="P52" i="22"/>
  <c r="Q42" i="22"/>
  <c r="L14" i="22" s="1"/>
  <c r="Q61" i="22"/>
  <c r="Q48" i="22"/>
  <c r="Q52" i="22"/>
  <c r="Q43" i="22"/>
  <c r="Q60" i="22"/>
  <c r="Q51" i="22"/>
  <c r="Q58" i="22"/>
  <c r="Q54" i="22"/>
  <c r="Q57" i="22"/>
  <c r="Q50" i="22"/>
  <c r="Q46" i="22"/>
  <c r="Q53" i="22"/>
  <c r="Q45" i="22"/>
  <c r="Q55" i="22"/>
  <c r="Q59" i="22"/>
  <c r="Q49" i="22"/>
  <c r="Q62" i="22"/>
  <c r="E26" i="4"/>
  <c r="L14" i="43"/>
  <c r="L11" i="26"/>
  <c r="C11" i="26" s="1"/>
  <c r="C11" i="28"/>
  <c r="E40" i="37"/>
  <c r="G26" i="36"/>
  <c r="C31" i="26"/>
  <c r="E15" i="26"/>
  <c r="G44" i="6"/>
  <c r="G43" i="6"/>
  <c r="G47" i="6"/>
  <c r="G45" i="6"/>
  <c r="E23" i="26"/>
  <c r="C23" i="5"/>
  <c r="C45" i="5" s="1"/>
  <c r="C40" i="31"/>
  <c r="C31" i="28"/>
  <c r="E26" i="36"/>
  <c r="E20" i="28"/>
  <c r="E14" i="28"/>
  <c r="F38" i="7"/>
  <c r="H38" i="7" s="1"/>
  <c r="E39" i="7"/>
  <c r="E14" i="26"/>
  <c r="E23" i="7"/>
  <c r="F22" i="7"/>
  <c r="H22" i="7" s="1"/>
  <c r="G40" i="37"/>
  <c r="E47" i="7"/>
  <c r="F46" i="7"/>
  <c r="E16" i="3"/>
  <c r="C26" i="3"/>
  <c r="H44" i="6"/>
  <c r="E17" i="7"/>
  <c r="F17" i="7" s="1"/>
  <c r="F16" i="7"/>
  <c r="H43" i="6"/>
  <c r="F43" i="7"/>
  <c r="E44" i="7"/>
  <c r="F44" i="7" s="1"/>
  <c r="E31" i="28" l="1"/>
  <c r="E34" i="28" s="1"/>
  <c r="C18" i="18" s="1"/>
  <c r="G58" i="21"/>
  <c r="A19" i="6"/>
  <c r="A37" i="6"/>
  <c r="N50" i="11"/>
  <c r="A49" i="11"/>
  <c r="G11" i="15"/>
  <c r="G11" i="17"/>
  <c r="F29" i="17"/>
  <c r="A18" i="17"/>
  <c r="A37" i="17"/>
  <c r="F48" i="17"/>
  <c r="F49" i="17" s="1"/>
  <c r="D48" i="16" s="1"/>
  <c r="E48" i="16" s="1"/>
  <c r="G48" i="16" s="1"/>
  <c r="D49" i="13" s="1"/>
  <c r="H42" i="15"/>
  <c r="A18" i="15"/>
  <c r="A36" i="15"/>
  <c r="H19" i="32"/>
  <c r="D21" i="33"/>
  <c r="A57" i="10"/>
  <c r="N58" i="10"/>
  <c r="A44" i="9"/>
  <c r="N45" i="9"/>
  <c r="H43" i="15"/>
  <c r="E28" i="15"/>
  <c r="G49" i="17"/>
  <c r="D47" i="16" s="1"/>
  <c r="E47" i="16" s="1"/>
  <c r="G47" i="16" s="1"/>
  <c r="D48" i="13" s="1"/>
  <c r="A15" i="8"/>
  <c r="N16" i="8"/>
  <c r="G46" i="7"/>
  <c r="H18" i="7"/>
  <c r="G15" i="7"/>
  <c r="G22" i="7"/>
  <c r="H46" i="7"/>
  <c r="G43" i="7"/>
  <c r="H19" i="7"/>
  <c r="G16" i="7"/>
  <c r="H45" i="7"/>
  <c r="H44" i="7"/>
  <c r="C21" i="5" s="1"/>
  <c r="C43" i="5" s="1"/>
  <c r="G44" i="7"/>
  <c r="G17" i="7"/>
  <c r="H20" i="7"/>
  <c r="C15" i="5" s="1"/>
  <c r="C37" i="5" s="1"/>
  <c r="C36" i="5" s="1"/>
  <c r="G38" i="7"/>
  <c r="H17" i="7"/>
  <c r="C41" i="5"/>
  <c r="A46" i="7"/>
  <c r="O46" i="7"/>
  <c r="N45" i="7"/>
  <c r="C39" i="5"/>
  <c r="A18" i="21"/>
  <c r="M17" i="21"/>
  <c r="J20" i="43"/>
  <c r="C40" i="5"/>
  <c r="E31" i="26"/>
  <c r="D31" i="26" s="1"/>
  <c r="P36" i="23"/>
  <c r="E33" i="23" s="1"/>
  <c r="F33" i="23" s="1"/>
  <c r="H33" i="23" s="1"/>
  <c r="D33" i="21" s="1"/>
  <c r="P36" i="24"/>
  <c r="E33" i="24" s="1"/>
  <c r="F33" i="24" s="1"/>
  <c r="H33" i="24" s="1"/>
  <c r="E33" i="21" s="1"/>
  <c r="E33" i="22"/>
  <c r="F33" i="22" s="1"/>
  <c r="P35" i="25"/>
  <c r="E33" i="25" s="1"/>
  <c r="F33" i="25" s="1"/>
  <c r="H33" i="25" s="1"/>
  <c r="F33" i="21" s="1"/>
  <c r="P44" i="25"/>
  <c r="E42" i="25" s="1"/>
  <c r="F42" i="25" s="1"/>
  <c r="H42" i="25" s="1"/>
  <c r="F42" i="21" s="1"/>
  <c r="P45" i="24"/>
  <c r="E42" i="24" s="1"/>
  <c r="F42" i="24" s="1"/>
  <c r="H42" i="24" s="1"/>
  <c r="E42" i="21" s="1"/>
  <c r="P45" i="23"/>
  <c r="E42" i="23" s="1"/>
  <c r="F42" i="23" s="1"/>
  <c r="H42" i="23" s="1"/>
  <c r="D42" i="21" s="1"/>
  <c r="E42" i="22"/>
  <c r="F42" i="22" s="1"/>
  <c r="P42" i="24"/>
  <c r="E39" i="24" s="1"/>
  <c r="F39" i="24" s="1"/>
  <c r="H39" i="24" s="1"/>
  <c r="E39" i="21" s="1"/>
  <c r="E39" i="22"/>
  <c r="F39" i="22" s="1"/>
  <c r="P42" i="23"/>
  <c r="E39" i="23" s="1"/>
  <c r="F39" i="23" s="1"/>
  <c r="H39" i="23" s="1"/>
  <c r="D39" i="21" s="1"/>
  <c r="P41" i="25"/>
  <c r="E39" i="25" s="1"/>
  <c r="F39" i="25" s="1"/>
  <c r="H39" i="25" s="1"/>
  <c r="F39" i="21" s="1"/>
  <c r="P43" i="23"/>
  <c r="E40" i="23" s="1"/>
  <c r="F40" i="23" s="1"/>
  <c r="H40" i="23" s="1"/>
  <c r="D40" i="21" s="1"/>
  <c r="P43" i="24"/>
  <c r="E40" i="24" s="1"/>
  <c r="F40" i="24" s="1"/>
  <c r="H40" i="24" s="1"/>
  <c r="E40" i="21" s="1"/>
  <c r="E40" i="22"/>
  <c r="F40" i="22" s="1"/>
  <c r="P42" i="25"/>
  <c r="E40" i="25" s="1"/>
  <c r="F40" i="25" s="1"/>
  <c r="H40" i="25" s="1"/>
  <c r="F40" i="21" s="1"/>
  <c r="P31" i="25"/>
  <c r="E29" i="25" s="1"/>
  <c r="F29" i="25" s="1"/>
  <c r="H29" i="25" s="1"/>
  <c r="F29" i="21" s="1"/>
  <c r="P32" i="24"/>
  <c r="E29" i="24" s="1"/>
  <c r="F29" i="24" s="1"/>
  <c r="H29" i="24" s="1"/>
  <c r="E29" i="21" s="1"/>
  <c r="P32" i="23"/>
  <c r="E29" i="23" s="1"/>
  <c r="F29" i="23" s="1"/>
  <c r="H29" i="23" s="1"/>
  <c r="D29" i="21" s="1"/>
  <c r="E29" i="22"/>
  <c r="F29" i="22" s="1"/>
  <c r="P49" i="25"/>
  <c r="E47" i="25" s="1"/>
  <c r="F47" i="25" s="1"/>
  <c r="H47" i="25" s="1"/>
  <c r="F47" i="21" s="1"/>
  <c r="P50" i="23"/>
  <c r="E47" i="23" s="1"/>
  <c r="F47" i="23" s="1"/>
  <c r="H47" i="23" s="1"/>
  <c r="D47" i="21" s="1"/>
  <c r="E47" i="22"/>
  <c r="F47" i="22" s="1"/>
  <c r="P50" i="24"/>
  <c r="E47" i="24" s="1"/>
  <c r="F47" i="24" s="1"/>
  <c r="H47" i="24" s="1"/>
  <c r="E47" i="21" s="1"/>
  <c r="P50" i="25"/>
  <c r="E48" i="25" s="1"/>
  <c r="F48" i="25" s="1"/>
  <c r="H48" i="25" s="1"/>
  <c r="F48" i="21" s="1"/>
  <c r="P51" i="23"/>
  <c r="E48" i="23" s="1"/>
  <c r="F48" i="23" s="1"/>
  <c r="H48" i="23" s="1"/>
  <c r="D48" i="21" s="1"/>
  <c r="P51" i="24"/>
  <c r="E48" i="24" s="1"/>
  <c r="F48" i="24" s="1"/>
  <c r="H48" i="24" s="1"/>
  <c r="E48" i="21" s="1"/>
  <c r="E48" i="22"/>
  <c r="F48" i="22" s="1"/>
  <c r="P47" i="25"/>
  <c r="E45" i="25" s="1"/>
  <c r="F45" i="25" s="1"/>
  <c r="H45" i="25" s="1"/>
  <c r="F45" i="21" s="1"/>
  <c r="P48" i="23"/>
  <c r="E45" i="23" s="1"/>
  <c r="F45" i="23" s="1"/>
  <c r="H45" i="23" s="1"/>
  <c r="D45" i="21" s="1"/>
  <c r="P48" i="24"/>
  <c r="E45" i="24" s="1"/>
  <c r="F45" i="24" s="1"/>
  <c r="H45" i="24" s="1"/>
  <c r="E45" i="21" s="1"/>
  <c r="E45" i="22"/>
  <c r="F45" i="22" s="1"/>
  <c r="P35" i="24"/>
  <c r="E32" i="24" s="1"/>
  <c r="F32" i="24" s="1"/>
  <c r="H32" i="24" s="1"/>
  <c r="E32" i="21" s="1"/>
  <c r="P34" i="25"/>
  <c r="E32" i="25" s="1"/>
  <c r="F32" i="25" s="1"/>
  <c r="H32" i="25" s="1"/>
  <c r="F32" i="21" s="1"/>
  <c r="P35" i="23"/>
  <c r="E32" i="23" s="1"/>
  <c r="F32" i="23" s="1"/>
  <c r="H32" i="23" s="1"/>
  <c r="D32" i="21" s="1"/>
  <c r="E32" i="22"/>
  <c r="F32" i="22" s="1"/>
  <c r="P46" i="25"/>
  <c r="E44" i="25" s="1"/>
  <c r="F44" i="25" s="1"/>
  <c r="H44" i="25" s="1"/>
  <c r="F44" i="21" s="1"/>
  <c r="P47" i="23"/>
  <c r="E44" i="23" s="1"/>
  <c r="F44" i="23" s="1"/>
  <c r="H44" i="23" s="1"/>
  <c r="D44" i="21" s="1"/>
  <c r="P47" i="24"/>
  <c r="E44" i="24" s="1"/>
  <c r="F44" i="24" s="1"/>
  <c r="H44" i="24" s="1"/>
  <c r="E44" i="21" s="1"/>
  <c r="E44" i="22"/>
  <c r="F44" i="22" s="1"/>
  <c r="P41" i="24"/>
  <c r="E38" i="24" s="1"/>
  <c r="F38" i="24" s="1"/>
  <c r="H38" i="24" s="1"/>
  <c r="E38" i="21" s="1"/>
  <c r="P40" i="25"/>
  <c r="E38" i="25" s="1"/>
  <c r="F38" i="25" s="1"/>
  <c r="H38" i="25" s="1"/>
  <c r="F38" i="21" s="1"/>
  <c r="P41" i="23"/>
  <c r="E38" i="23" s="1"/>
  <c r="F38" i="23" s="1"/>
  <c r="H38" i="23" s="1"/>
  <c r="D38" i="21" s="1"/>
  <c r="E38" i="22"/>
  <c r="F38" i="22" s="1"/>
  <c r="B71" i="20"/>
  <c r="E22" i="20"/>
  <c r="E14" i="20"/>
  <c r="G14" i="20" s="1"/>
  <c r="L14" i="25"/>
  <c r="E14" i="25" s="1"/>
  <c r="E19" i="20"/>
  <c r="G19" i="20" s="1"/>
  <c r="E18" i="20"/>
  <c r="G18" i="20" s="1"/>
  <c r="E21" i="20"/>
  <c r="G21" i="20" s="1"/>
  <c r="E25" i="20"/>
  <c r="C17" i="19" s="1"/>
  <c r="E14" i="22"/>
  <c r="E33" i="20"/>
  <c r="E15" i="20"/>
  <c r="G15" i="20" s="1"/>
  <c r="E12" i="20"/>
  <c r="E32" i="20"/>
  <c r="C20" i="19" s="1"/>
  <c r="E17" i="20"/>
  <c r="G17" i="20" s="1"/>
  <c r="E27" i="20"/>
  <c r="L14" i="24"/>
  <c r="E14" i="24" s="1"/>
  <c r="E34" i="20"/>
  <c r="E28" i="20"/>
  <c r="C18" i="19" s="1"/>
  <c r="E23" i="20"/>
  <c r="G23" i="20" s="1"/>
  <c r="E29" i="20"/>
  <c r="E24" i="20"/>
  <c r="E13" i="20"/>
  <c r="E20" i="20"/>
  <c r="G20" i="20" s="1"/>
  <c r="E26" i="20"/>
  <c r="E30" i="20"/>
  <c r="E16" i="20"/>
  <c r="G16" i="20" s="1"/>
  <c r="E31" i="20"/>
  <c r="C19" i="19" s="1"/>
  <c r="L14" i="23"/>
  <c r="E14" i="23" s="1"/>
  <c r="P33" i="23"/>
  <c r="E30" i="23" s="1"/>
  <c r="F30" i="23" s="1"/>
  <c r="H30" i="23" s="1"/>
  <c r="D30" i="21" s="1"/>
  <c r="P32" i="25"/>
  <c r="E30" i="25" s="1"/>
  <c r="F30" i="25" s="1"/>
  <c r="H30" i="25" s="1"/>
  <c r="F30" i="21" s="1"/>
  <c r="E30" i="22"/>
  <c r="F30" i="22" s="1"/>
  <c r="P33" i="24"/>
  <c r="E30" i="24" s="1"/>
  <c r="F30" i="24" s="1"/>
  <c r="H30" i="24" s="1"/>
  <c r="E30" i="21" s="1"/>
  <c r="P44" i="23"/>
  <c r="E41" i="23" s="1"/>
  <c r="F41" i="23" s="1"/>
  <c r="H41" i="23" s="1"/>
  <c r="D41" i="21" s="1"/>
  <c r="E41" i="22"/>
  <c r="F41" i="22" s="1"/>
  <c r="P44" i="24"/>
  <c r="E41" i="24" s="1"/>
  <c r="F41" i="24" s="1"/>
  <c r="H41" i="24" s="1"/>
  <c r="E41" i="21" s="1"/>
  <c r="P43" i="25"/>
  <c r="E41" i="25" s="1"/>
  <c r="F41" i="25" s="1"/>
  <c r="H41" i="25" s="1"/>
  <c r="F41" i="21" s="1"/>
  <c r="P38" i="25"/>
  <c r="E36" i="25" s="1"/>
  <c r="F36" i="25" s="1"/>
  <c r="H36" i="25" s="1"/>
  <c r="F36" i="21" s="1"/>
  <c r="P39" i="24"/>
  <c r="E36" i="24" s="1"/>
  <c r="F36" i="24" s="1"/>
  <c r="H36" i="24" s="1"/>
  <c r="E36" i="21" s="1"/>
  <c r="P39" i="23"/>
  <c r="E36" i="23" s="1"/>
  <c r="F36" i="23" s="1"/>
  <c r="H36" i="23" s="1"/>
  <c r="D36" i="21" s="1"/>
  <c r="E36" i="22"/>
  <c r="F36" i="22" s="1"/>
  <c r="P40" i="24"/>
  <c r="E37" i="24" s="1"/>
  <c r="F37" i="24" s="1"/>
  <c r="H37" i="24" s="1"/>
  <c r="E37" i="21" s="1"/>
  <c r="P40" i="23"/>
  <c r="E37" i="23" s="1"/>
  <c r="F37" i="23" s="1"/>
  <c r="H37" i="23" s="1"/>
  <c r="D37" i="21" s="1"/>
  <c r="P39" i="25"/>
  <c r="E37" i="25" s="1"/>
  <c r="F37" i="25" s="1"/>
  <c r="H37" i="25" s="1"/>
  <c r="F37" i="21" s="1"/>
  <c r="E37" i="22"/>
  <c r="F37" i="22" s="1"/>
  <c r="P51" i="25"/>
  <c r="E49" i="25" s="1"/>
  <c r="F49" i="25" s="1"/>
  <c r="H49" i="25" s="1"/>
  <c r="F49" i="21" s="1"/>
  <c r="E49" i="22"/>
  <c r="F49" i="22" s="1"/>
  <c r="P52" i="24"/>
  <c r="E49" i="24" s="1"/>
  <c r="F49" i="24" s="1"/>
  <c r="H49" i="24" s="1"/>
  <c r="E49" i="21" s="1"/>
  <c r="P52" i="23"/>
  <c r="E49" i="23" s="1"/>
  <c r="F49" i="23" s="1"/>
  <c r="H49" i="23" s="1"/>
  <c r="D49" i="21" s="1"/>
  <c r="P37" i="25"/>
  <c r="E35" i="25" s="1"/>
  <c r="F35" i="25" s="1"/>
  <c r="H35" i="25" s="1"/>
  <c r="F35" i="21" s="1"/>
  <c r="P38" i="24"/>
  <c r="E35" i="24" s="1"/>
  <c r="F35" i="24" s="1"/>
  <c r="H35" i="24" s="1"/>
  <c r="E35" i="21" s="1"/>
  <c r="P38" i="23"/>
  <c r="E35" i="23" s="1"/>
  <c r="F35" i="23" s="1"/>
  <c r="H35" i="23" s="1"/>
  <c r="D35" i="21" s="1"/>
  <c r="E35" i="22"/>
  <c r="F35" i="22" s="1"/>
  <c r="P34" i="23"/>
  <c r="E31" i="23" s="1"/>
  <c r="F31" i="23" s="1"/>
  <c r="H31" i="23" s="1"/>
  <c r="D31" i="21" s="1"/>
  <c r="P33" i="25"/>
  <c r="E31" i="25" s="1"/>
  <c r="F31" i="25" s="1"/>
  <c r="H31" i="25" s="1"/>
  <c r="F31" i="21" s="1"/>
  <c r="P34" i="24"/>
  <c r="E31" i="24" s="1"/>
  <c r="F31" i="24" s="1"/>
  <c r="H31" i="24" s="1"/>
  <c r="E31" i="21" s="1"/>
  <c r="E31" i="22"/>
  <c r="F31" i="22" s="1"/>
  <c r="E43" i="22"/>
  <c r="F43" i="22" s="1"/>
  <c r="P45" i="25"/>
  <c r="E43" i="25" s="1"/>
  <c r="F43" i="25" s="1"/>
  <c r="H43" i="25" s="1"/>
  <c r="F43" i="21" s="1"/>
  <c r="P46" i="23"/>
  <c r="E43" i="23" s="1"/>
  <c r="F43" i="23" s="1"/>
  <c r="H43" i="23" s="1"/>
  <c r="D43" i="21" s="1"/>
  <c r="P46" i="24"/>
  <c r="E43" i="24" s="1"/>
  <c r="F43" i="24" s="1"/>
  <c r="H43" i="24" s="1"/>
  <c r="E43" i="21" s="1"/>
  <c r="P48" i="25"/>
  <c r="E46" i="25" s="1"/>
  <c r="F46" i="25" s="1"/>
  <c r="H46" i="25" s="1"/>
  <c r="F46" i="21" s="1"/>
  <c r="P49" i="24"/>
  <c r="E46" i="24" s="1"/>
  <c r="F46" i="24" s="1"/>
  <c r="H46" i="24" s="1"/>
  <c r="E46" i="21" s="1"/>
  <c r="P49" i="23"/>
  <c r="E46" i="23" s="1"/>
  <c r="F46" i="23" s="1"/>
  <c r="H46" i="23" s="1"/>
  <c r="D46" i="21" s="1"/>
  <c r="E46" i="22"/>
  <c r="F46" i="22" s="1"/>
  <c r="P37" i="24"/>
  <c r="E34" i="24" s="1"/>
  <c r="F34" i="24" s="1"/>
  <c r="H34" i="24" s="1"/>
  <c r="E34" i="21" s="1"/>
  <c r="P36" i="25"/>
  <c r="E34" i="25" s="1"/>
  <c r="F34" i="25" s="1"/>
  <c r="H34" i="25" s="1"/>
  <c r="F34" i="21" s="1"/>
  <c r="P37" i="23"/>
  <c r="E34" i="23" s="1"/>
  <c r="F34" i="23" s="1"/>
  <c r="H34" i="23" s="1"/>
  <c r="D34" i="21" s="1"/>
  <c r="E34" i="22"/>
  <c r="F34" i="22" s="1"/>
  <c r="D31" i="28"/>
  <c r="F23" i="7"/>
  <c r="E24" i="7"/>
  <c r="F24" i="7" s="1"/>
  <c r="F39" i="7"/>
  <c r="E40" i="7"/>
  <c r="F40" i="7" s="1"/>
  <c r="E48" i="7"/>
  <c r="F48" i="7" s="1"/>
  <c r="F47" i="7"/>
  <c r="D18" i="3"/>
  <c r="G48" i="6"/>
  <c r="C16" i="2"/>
  <c r="H41" i="7" l="1"/>
  <c r="H49" i="7"/>
  <c r="A43" i="9"/>
  <c r="N44" i="9"/>
  <c r="A17" i="15"/>
  <c r="A35" i="15"/>
  <c r="A36" i="17"/>
  <c r="A17" i="17"/>
  <c r="G28" i="15"/>
  <c r="H11" i="15"/>
  <c r="H47" i="15"/>
  <c r="H48" i="15" s="1"/>
  <c r="N49" i="11"/>
  <c r="A48" i="11"/>
  <c r="A36" i="6"/>
  <c r="A18" i="6"/>
  <c r="N15" i="8"/>
  <c r="A14" i="8"/>
  <c r="N14" i="8" s="1"/>
  <c r="N57" i="10"/>
  <c r="A56" i="10"/>
  <c r="H11" i="17"/>
  <c r="G29" i="17" s="1"/>
  <c r="D22" i="33"/>
  <c r="F20" i="32"/>
  <c r="N20" i="32" s="1"/>
  <c r="I20" i="32"/>
  <c r="F21" i="32"/>
  <c r="I19" i="32"/>
  <c r="N19" i="32" s="1"/>
  <c r="F28" i="15"/>
  <c r="E49" i="17"/>
  <c r="H51" i="7"/>
  <c r="G48" i="7"/>
  <c r="H26" i="7"/>
  <c r="G23" i="7"/>
  <c r="H43" i="7"/>
  <c r="G40" i="7"/>
  <c r="H48" i="7"/>
  <c r="H42" i="7"/>
  <c r="G39" i="7"/>
  <c r="E34" i="26"/>
  <c r="C17" i="18" s="1"/>
  <c r="C20" i="18" s="1"/>
  <c r="H39" i="7"/>
  <c r="H23" i="7"/>
  <c r="H50" i="7"/>
  <c r="G47" i="7"/>
  <c r="H27" i="7"/>
  <c r="G24" i="7"/>
  <c r="H24" i="7"/>
  <c r="C16" i="5" s="1"/>
  <c r="C38" i="5" s="1"/>
  <c r="H47" i="7"/>
  <c r="H25" i="7"/>
  <c r="H40" i="7"/>
  <c r="O45" i="7"/>
  <c r="N44" i="7"/>
  <c r="A45" i="7"/>
  <c r="M18" i="21"/>
  <c r="A19" i="21"/>
  <c r="B43" i="43"/>
  <c r="D26" i="43"/>
  <c r="D28" i="43" s="1"/>
  <c r="H30" i="22"/>
  <c r="C30" i="21" s="1"/>
  <c r="G30" i="21" s="1"/>
  <c r="E41" i="20"/>
  <c r="C21" i="19" s="1"/>
  <c r="H47" i="22"/>
  <c r="C47" i="21" s="1"/>
  <c r="G47" i="21" s="1"/>
  <c r="E58" i="20"/>
  <c r="H40" i="22"/>
  <c r="C40" i="21" s="1"/>
  <c r="G40" i="21" s="1"/>
  <c r="H40" i="21" s="1"/>
  <c r="G51" i="20" s="1"/>
  <c r="E51" i="20"/>
  <c r="H49" i="22"/>
  <c r="C49" i="21" s="1"/>
  <c r="G49" i="21" s="1"/>
  <c r="E60" i="20"/>
  <c r="H41" i="22"/>
  <c r="C41" i="21" s="1"/>
  <c r="G41" i="21" s="1"/>
  <c r="E52" i="20"/>
  <c r="G13" i="20"/>
  <c r="E15" i="19" s="1"/>
  <c r="C15" i="19"/>
  <c r="G22" i="20"/>
  <c r="E16" i="19" s="1"/>
  <c r="C16" i="19"/>
  <c r="H39" i="22"/>
  <c r="C39" i="21" s="1"/>
  <c r="G39" i="21" s="1"/>
  <c r="E50" i="20"/>
  <c r="C25" i="19" s="1"/>
  <c r="H33" i="22"/>
  <c r="C33" i="21" s="1"/>
  <c r="G33" i="21" s="1"/>
  <c r="H33" i="21" s="1"/>
  <c r="G44" i="20" s="1"/>
  <c r="E44" i="20"/>
  <c r="H43" i="22"/>
  <c r="C43" i="21" s="1"/>
  <c r="G43" i="21" s="1"/>
  <c r="E54" i="20"/>
  <c r="E21" i="22"/>
  <c r="F21" i="22" s="1"/>
  <c r="H21" i="22" s="1"/>
  <c r="C21" i="21" s="1"/>
  <c r="E19" i="22"/>
  <c r="F19" i="22" s="1"/>
  <c r="H19" i="22" s="1"/>
  <c r="C19" i="21" s="1"/>
  <c r="E17" i="22"/>
  <c r="F17" i="22" s="1"/>
  <c r="H17" i="22" s="1"/>
  <c r="C17" i="21" s="1"/>
  <c r="E15" i="22"/>
  <c r="F15" i="22" s="1"/>
  <c r="H15" i="22" s="1"/>
  <c r="C15" i="21" s="1"/>
  <c r="E22" i="22"/>
  <c r="F22" i="22" s="1"/>
  <c r="H22" i="22" s="1"/>
  <c r="C22" i="21" s="1"/>
  <c r="E18" i="22"/>
  <c r="F18" i="22" s="1"/>
  <c r="H18" i="22" s="1"/>
  <c r="C18" i="21" s="1"/>
  <c r="E26" i="22"/>
  <c r="F26" i="22" s="1"/>
  <c r="F14" i="22"/>
  <c r="E28" i="22"/>
  <c r="F28" i="22" s="1"/>
  <c r="E16" i="22"/>
  <c r="F16" i="22" s="1"/>
  <c r="H16" i="22" s="1"/>
  <c r="C16" i="21" s="1"/>
  <c r="E23" i="22"/>
  <c r="F23" i="22" s="1"/>
  <c r="H23" i="22" s="1"/>
  <c r="C23" i="21" s="1"/>
  <c r="E24" i="22"/>
  <c r="F24" i="22" s="1"/>
  <c r="E27" i="22"/>
  <c r="F27" i="22" s="1"/>
  <c r="E20" i="22"/>
  <c r="F20" i="22" s="1"/>
  <c r="H20" i="22" s="1"/>
  <c r="C20" i="21" s="1"/>
  <c r="E25" i="22"/>
  <c r="F25" i="22" s="1"/>
  <c r="H34" i="22"/>
  <c r="C34" i="21" s="1"/>
  <c r="G34" i="21" s="1"/>
  <c r="H34" i="21" s="1"/>
  <c r="G45" i="20" s="1"/>
  <c r="E45" i="20"/>
  <c r="C22" i="19" s="1"/>
  <c r="H46" i="22"/>
  <c r="C46" i="21" s="1"/>
  <c r="G46" i="21" s="1"/>
  <c r="E57" i="20"/>
  <c r="H31" i="22"/>
  <c r="C31" i="21" s="1"/>
  <c r="G31" i="21" s="1"/>
  <c r="E42" i="20"/>
  <c r="H35" i="22"/>
  <c r="C35" i="21" s="1"/>
  <c r="G35" i="21" s="1"/>
  <c r="H35" i="21" s="1"/>
  <c r="G46" i="20" s="1"/>
  <c r="E46" i="20"/>
  <c r="H37" i="22"/>
  <c r="C37" i="21" s="1"/>
  <c r="G37" i="21" s="1"/>
  <c r="H37" i="21" s="1"/>
  <c r="G48" i="20" s="1"/>
  <c r="E48" i="20"/>
  <c r="H36" i="22"/>
  <c r="C36" i="21" s="1"/>
  <c r="G36" i="21" s="1"/>
  <c r="H36" i="21" s="1"/>
  <c r="G47" i="20" s="1"/>
  <c r="E47" i="20"/>
  <c r="C23" i="19" s="1"/>
  <c r="E20" i="23"/>
  <c r="F20" i="23" s="1"/>
  <c r="H20" i="23" s="1"/>
  <c r="D20" i="21" s="1"/>
  <c r="E18" i="23"/>
  <c r="F18" i="23" s="1"/>
  <c r="H18" i="23" s="1"/>
  <c r="D18" i="21" s="1"/>
  <c r="F14" i="23"/>
  <c r="E23" i="23"/>
  <c r="F23" i="23" s="1"/>
  <c r="H23" i="23" s="1"/>
  <c r="D23" i="21" s="1"/>
  <c r="E17" i="23"/>
  <c r="F17" i="23" s="1"/>
  <c r="H17" i="23" s="1"/>
  <c r="D17" i="21" s="1"/>
  <c r="E22" i="23"/>
  <c r="F22" i="23" s="1"/>
  <c r="H22" i="23" s="1"/>
  <c r="D22" i="21" s="1"/>
  <c r="E15" i="23"/>
  <c r="F15" i="23" s="1"/>
  <c r="H15" i="23" s="1"/>
  <c r="D15" i="21" s="1"/>
  <c r="E27" i="23"/>
  <c r="F27" i="23" s="1"/>
  <c r="H27" i="23" s="1"/>
  <c r="D27" i="21" s="1"/>
  <c r="E21" i="23"/>
  <c r="F21" i="23" s="1"/>
  <c r="H21" i="23" s="1"/>
  <c r="D21" i="21" s="1"/>
  <c r="E28" i="23"/>
  <c r="F28" i="23" s="1"/>
  <c r="H28" i="23" s="1"/>
  <c r="D28" i="21" s="1"/>
  <c r="E16" i="23"/>
  <c r="F16" i="23" s="1"/>
  <c r="H16" i="23" s="1"/>
  <c r="D16" i="21" s="1"/>
  <c r="E25" i="23"/>
  <c r="F25" i="23" s="1"/>
  <c r="H25" i="23" s="1"/>
  <c r="D25" i="21" s="1"/>
  <c r="E19" i="23"/>
  <c r="F19" i="23" s="1"/>
  <c r="H19" i="23" s="1"/>
  <c r="D19" i="21" s="1"/>
  <c r="E24" i="23"/>
  <c r="F24" i="23" s="1"/>
  <c r="H24" i="23" s="1"/>
  <c r="D24" i="21" s="1"/>
  <c r="E26" i="23"/>
  <c r="F26" i="23" s="1"/>
  <c r="H26" i="23" s="1"/>
  <c r="D26" i="21" s="1"/>
  <c r="E21" i="24"/>
  <c r="F21" i="24" s="1"/>
  <c r="H21" i="24" s="1"/>
  <c r="E21" i="21" s="1"/>
  <c r="E24" i="24"/>
  <c r="F24" i="24" s="1"/>
  <c r="H24" i="24" s="1"/>
  <c r="E24" i="21" s="1"/>
  <c r="E27" i="24"/>
  <c r="F27" i="24" s="1"/>
  <c r="H27" i="24" s="1"/>
  <c r="E27" i="21" s="1"/>
  <c r="E18" i="24"/>
  <c r="F18" i="24" s="1"/>
  <c r="H18" i="24" s="1"/>
  <c r="E18" i="21" s="1"/>
  <c r="E26" i="24"/>
  <c r="F26" i="24" s="1"/>
  <c r="H26" i="24" s="1"/>
  <c r="E26" i="21" s="1"/>
  <c r="F14" i="24"/>
  <c r="E23" i="24"/>
  <c r="F23" i="24" s="1"/>
  <c r="H23" i="24" s="1"/>
  <c r="E23" i="21" s="1"/>
  <c r="E17" i="24"/>
  <c r="F17" i="24" s="1"/>
  <c r="H17" i="24" s="1"/>
  <c r="E17" i="21" s="1"/>
  <c r="E15" i="24"/>
  <c r="F15" i="24" s="1"/>
  <c r="H15" i="24" s="1"/>
  <c r="E15" i="21" s="1"/>
  <c r="E20" i="24"/>
  <c r="F20" i="24" s="1"/>
  <c r="H20" i="24" s="1"/>
  <c r="E20" i="21" s="1"/>
  <c r="E19" i="24"/>
  <c r="F19" i="24" s="1"/>
  <c r="H19" i="24" s="1"/>
  <c r="E19" i="21" s="1"/>
  <c r="E28" i="24"/>
  <c r="F28" i="24" s="1"/>
  <c r="H28" i="24" s="1"/>
  <c r="E28" i="21" s="1"/>
  <c r="E25" i="24"/>
  <c r="F25" i="24" s="1"/>
  <c r="H25" i="24" s="1"/>
  <c r="E25" i="21" s="1"/>
  <c r="E16" i="24"/>
  <c r="F16" i="24" s="1"/>
  <c r="H16" i="24" s="1"/>
  <c r="E16" i="21" s="1"/>
  <c r="E22" i="24"/>
  <c r="F22" i="24" s="1"/>
  <c r="H22" i="24" s="1"/>
  <c r="E22" i="21" s="1"/>
  <c r="C14" i="19"/>
  <c r="G12" i="20"/>
  <c r="E14" i="19" s="1"/>
  <c r="E19" i="25"/>
  <c r="F19" i="25" s="1"/>
  <c r="H19" i="25" s="1"/>
  <c r="F19" i="21" s="1"/>
  <c r="E27" i="25"/>
  <c r="F27" i="25" s="1"/>
  <c r="H27" i="25" s="1"/>
  <c r="F27" i="21" s="1"/>
  <c r="E26" i="25"/>
  <c r="F26" i="25" s="1"/>
  <c r="H26" i="25" s="1"/>
  <c r="F26" i="21" s="1"/>
  <c r="E17" i="25"/>
  <c r="F17" i="25" s="1"/>
  <c r="H17" i="25" s="1"/>
  <c r="F17" i="21" s="1"/>
  <c r="E21" i="25"/>
  <c r="F21" i="25" s="1"/>
  <c r="H21" i="25" s="1"/>
  <c r="F21" i="21" s="1"/>
  <c r="E24" i="25"/>
  <c r="F24" i="25" s="1"/>
  <c r="H24" i="25" s="1"/>
  <c r="F24" i="21" s="1"/>
  <c r="E28" i="25"/>
  <c r="F28" i="25" s="1"/>
  <c r="H28" i="25" s="1"/>
  <c r="F28" i="21" s="1"/>
  <c r="E20" i="25"/>
  <c r="F20" i="25" s="1"/>
  <c r="H20" i="25" s="1"/>
  <c r="F20" i="21" s="1"/>
  <c r="E25" i="25"/>
  <c r="F25" i="25" s="1"/>
  <c r="H25" i="25" s="1"/>
  <c r="F25" i="21" s="1"/>
  <c r="E15" i="25"/>
  <c r="F15" i="25" s="1"/>
  <c r="H15" i="25" s="1"/>
  <c r="F15" i="21" s="1"/>
  <c r="E18" i="25"/>
  <c r="F18" i="25" s="1"/>
  <c r="H18" i="25" s="1"/>
  <c r="F18" i="21" s="1"/>
  <c r="E16" i="25"/>
  <c r="F16" i="25" s="1"/>
  <c r="H16" i="25" s="1"/>
  <c r="F16" i="21" s="1"/>
  <c r="F14" i="25"/>
  <c r="E22" i="25"/>
  <c r="F22" i="25" s="1"/>
  <c r="H22" i="25" s="1"/>
  <c r="F22" i="21" s="1"/>
  <c r="E23" i="25"/>
  <c r="F23" i="25" s="1"/>
  <c r="H23" i="25" s="1"/>
  <c r="F23" i="21" s="1"/>
  <c r="H38" i="22"/>
  <c r="C38" i="21" s="1"/>
  <c r="G38" i="21" s="1"/>
  <c r="E49" i="20"/>
  <c r="C24" i="19" s="1"/>
  <c r="H44" i="22"/>
  <c r="C44" i="21" s="1"/>
  <c r="G44" i="21" s="1"/>
  <c r="H44" i="21" s="1"/>
  <c r="G55" i="20" s="1"/>
  <c r="E55" i="20"/>
  <c r="H32" i="22"/>
  <c r="C32" i="21" s="1"/>
  <c r="G32" i="21" s="1"/>
  <c r="H32" i="21" s="1"/>
  <c r="G43" i="20" s="1"/>
  <c r="E43" i="20"/>
  <c r="H45" i="22"/>
  <c r="C45" i="21" s="1"/>
  <c r="G45" i="21" s="1"/>
  <c r="E56" i="20"/>
  <c r="H48" i="22"/>
  <c r="C48" i="21" s="1"/>
  <c r="G48" i="21" s="1"/>
  <c r="E59" i="20"/>
  <c r="C26" i="19" s="1"/>
  <c r="H29" i="22"/>
  <c r="C29" i="21" s="1"/>
  <c r="G29" i="21" s="1"/>
  <c r="H29" i="21" s="1"/>
  <c r="G40" i="20" s="1"/>
  <c r="E40" i="20"/>
  <c r="H42" i="22"/>
  <c r="C42" i="21" s="1"/>
  <c r="G42" i="21" s="1"/>
  <c r="E53" i="20"/>
  <c r="C22" i="5"/>
  <c r="C44" i="5" s="1"/>
  <c r="H30" i="21"/>
  <c r="G41" i="20" s="1"/>
  <c r="E21" i="19" s="1"/>
  <c r="E18" i="3"/>
  <c r="F48" i="6"/>
  <c r="D19" i="3"/>
  <c r="I11" i="15" l="1"/>
  <c r="I28" i="15" s="1"/>
  <c r="I11" i="17"/>
  <c r="I29" i="17" s="1"/>
  <c r="N48" i="11"/>
  <c r="A47" i="11"/>
  <c r="A16" i="15"/>
  <c r="A34" i="15"/>
  <c r="I21" i="32"/>
  <c r="N21" i="32" s="1"/>
  <c r="F22" i="32"/>
  <c r="D23" i="33"/>
  <c r="A35" i="17"/>
  <c r="A16" i="17"/>
  <c r="D49" i="16"/>
  <c r="E49" i="16" s="1"/>
  <c r="G49" i="16" s="1"/>
  <c r="D50" i="13" s="1"/>
  <c r="D49" i="17"/>
  <c r="A55" i="10"/>
  <c r="N56" i="10"/>
  <c r="A35" i="6"/>
  <c r="A17" i="6"/>
  <c r="D47" i="14"/>
  <c r="E47" i="14" s="1"/>
  <c r="C47" i="13" s="1"/>
  <c r="G48" i="15"/>
  <c r="A42" i="9"/>
  <c r="N43" i="9"/>
  <c r="C20" i="5"/>
  <c r="C42" i="5" s="1"/>
  <c r="N43" i="7"/>
  <c r="O44" i="7"/>
  <c r="A44" i="7"/>
  <c r="H48" i="21"/>
  <c r="G59" i="20" s="1"/>
  <c r="E26" i="19" s="1"/>
  <c r="M19" i="21"/>
  <c r="A20" i="21"/>
  <c r="E23" i="19"/>
  <c r="E22" i="19"/>
  <c r="H31" i="21"/>
  <c r="G42" i="20" s="1"/>
  <c r="H42" i="21"/>
  <c r="G53" i="20" s="1"/>
  <c r="H14" i="25"/>
  <c r="F14" i="21" s="1"/>
  <c r="F50" i="21" s="1"/>
  <c r="F51" i="25"/>
  <c r="H51" i="25" s="1"/>
  <c r="H14" i="24"/>
  <c r="E14" i="21" s="1"/>
  <c r="E50" i="21" s="1"/>
  <c r="F51" i="24"/>
  <c r="H51" i="24" s="1"/>
  <c r="G21" i="21"/>
  <c r="H24" i="22"/>
  <c r="C24" i="21" s="1"/>
  <c r="E35" i="20"/>
  <c r="H14" i="22"/>
  <c r="C14" i="21" s="1"/>
  <c r="F51" i="22"/>
  <c r="H51" i="22" s="1"/>
  <c r="G15" i="21"/>
  <c r="H38" i="21"/>
  <c r="G49" i="20" s="1"/>
  <c r="E24" i="19" s="1"/>
  <c r="H25" i="22"/>
  <c r="C25" i="21" s="1"/>
  <c r="G25" i="21" s="1"/>
  <c r="E36" i="20"/>
  <c r="G23" i="21"/>
  <c r="H26" i="22"/>
  <c r="C26" i="21" s="1"/>
  <c r="G26" i="21" s="1"/>
  <c r="E37" i="20"/>
  <c r="G17" i="21"/>
  <c r="H43" i="21"/>
  <c r="G54" i="20" s="1"/>
  <c r="H39" i="21"/>
  <c r="G50" i="20" s="1"/>
  <c r="E25" i="19" s="1"/>
  <c r="H14" i="23"/>
  <c r="D14" i="21" s="1"/>
  <c r="D50" i="21" s="1"/>
  <c r="F51" i="23"/>
  <c r="H51" i="23" s="1"/>
  <c r="G20" i="21"/>
  <c r="G16" i="21"/>
  <c r="G18" i="21"/>
  <c r="G19" i="21"/>
  <c r="G24" i="21"/>
  <c r="G22" i="21"/>
  <c r="H27" i="22"/>
  <c r="C27" i="21" s="1"/>
  <c r="G27" i="21" s="1"/>
  <c r="E38" i="20"/>
  <c r="H28" i="22"/>
  <c r="C28" i="21" s="1"/>
  <c r="G28" i="21" s="1"/>
  <c r="E39" i="20"/>
  <c r="H41" i="21"/>
  <c r="G52" i="20" s="1"/>
  <c r="D20" i="3"/>
  <c r="E48" i="6"/>
  <c r="E19" i="3"/>
  <c r="C19" i="2" s="1"/>
  <c r="H45" i="21"/>
  <c r="G56" i="20" s="1"/>
  <c r="C18" i="2"/>
  <c r="N42" i="9" l="1"/>
  <c r="A41" i="9"/>
  <c r="D50" i="16"/>
  <c r="E50" i="16" s="1"/>
  <c r="G50" i="16" s="1"/>
  <c r="D51" i="13" s="1"/>
  <c r="C49" i="17"/>
  <c r="D51" i="16" s="1"/>
  <c r="E51" i="16" s="1"/>
  <c r="G51" i="16" s="1"/>
  <c r="D52" i="13" s="1"/>
  <c r="A15" i="15"/>
  <c r="A33" i="15"/>
  <c r="D48" i="14"/>
  <c r="E48" i="14" s="1"/>
  <c r="C48" i="13" s="1"/>
  <c r="E48" i="13" s="1"/>
  <c r="F48" i="15"/>
  <c r="D54" i="13"/>
  <c r="A34" i="17"/>
  <c r="A15" i="17"/>
  <c r="A46" i="11"/>
  <c r="N47" i="11"/>
  <c r="E47" i="13"/>
  <c r="N55" i="10"/>
  <c r="A54" i="10"/>
  <c r="A16" i="6"/>
  <c r="A34" i="6"/>
  <c r="F24" i="32"/>
  <c r="F23" i="32"/>
  <c r="N23" i="32" s="1"/>
  <c r="I23" i="32"/>
  <c r="I22" i="32"/>
  <c r="N22" i="32" s="1"/>
  <c r="D24" i="33"/>
  <c r="H29" i="17"/>
  <c r="H28" i="15"/>
  <c r="O43" i="7"/>
  <c r="N42" i="7"/>
  <c r="A43" i="7"/>
  <c r="A21" i="21"/>
  <c r="M20" i="21"/>
  <c r="H28" i="21"/>
  <c r="G39" i="20" s="1"/>
  <c r="H26" i="21"/>
  <c r="G37" i="20" s="1"/>
  <c r="H27" i="21"/>
  <c r="G38" i="20" s="1"/>
  <c r="H15" i="21"/>
  <c r="G26" i="20" s="1"/>
  <c r="H18" i="21"/>
  <c r="G29" i="20" s="1"/>
  <c r="H16" i="21"/>
  <c r="G27" i="20" s="1"/>
  <c r="H23" i="21"/>
  <c r="G34" i="20" s="1"/>
  <c r="H25" i="21"/>
  <c r="G36" i="20" s="1"/>
  <c r="H21" i="21"/>
  <c r="G32" i="20" s="1"/>
  <c r="E20" i="19" s="1"/>
  <c r="H22" i="21"/>
  <c r="G33" i="20" s="1"/>
  <c r="H24" i="21"/>
  <c r="G35" i="20" s="1"/>
  <c r="H20" i="21"/>
  <c r="G31" i="20" s="1"/>
  <c r="E19" i="19" s="1"/>
  <c r="H17" i="21"/>
  <c r="G28" i="20" s="1"/>
  <c r="E18" i="19" s="1"/>
  <c r="C50" i="21"/>
  <c r="G14" i="21"/>
  <c r="H19" i="21"/>
  <c r="G30" i="20" s="1"/>
  <c r="E62" i="20"/>
  <c r="D21" i="3"/>
  <c r="D48" i="6"/>
  <c r="C48" i="6" s="1"/>
  <c r="E20" i="3"/>
  <c r="C20" i="2" s="1"/>
  <c r="H46" i="21"/>
  <c r="G57" i="20" s="1"/>
  <c r="F25" i="32" l="1"/>
  <c r="D25" i="33"/>
  <c r="I24" i="32"/>
  <c r="N24" i="32" s="1"/>
  <c r="A33" i="6"/>
  <c r="A15" i="6"/>
  <c r="D60" i="13"/>
  <c r="A53" i="10"/>
  <c r="N54" i="10"/>
  <c r="D56" i="13"/>
  <c r="E56" i="13" s="1"/>
  <c r="D14" i="18" s="1"/>
  <c r="E51" i="13"/>
  <c r="N46" i="11"/>
  <c r="A45" i="11"/>
  <c r="A14" i="15"/>
  <c r="A31" i="15" s="1"/>
  <c r="A32" i="15"/>
  <c r="N41" i="9"/>
  <c r="A40" i="9"/>
  <c r="A33" i="17"/>
  <c r="A14" i="17"/>
  <c r="A32" i="17" s="1"/>
  <c r="D49" i="14"/>
  <c r="E49" i="14" s="1"/>
  <c r="C49" i="13" s="1"/>
  <c r="E48" i="15"/>
  <c r="N41" i="7"/>
  <c r="O42" i="7"/>
  <c r="A42" i="7"/>
  <c r="A22" i="21"/>
  <c r="M21" i="21"/>
  <c r="H14" i="21"/>
  <c r="G25" i="20" s="1"/>
  <c r="G50" i="21"/>
  <c r="E21" i="3"/>
  <c r="C21" i="2" s="1"/>
  <c r="H47" i="21"/>
  <c r="G58" i="20" s="1"/>
  <c r="D23" i="3"/>
  <c r="D22" i="3"/>
  <c r="E22" i="3" s="1"/>
  <c r="C22" i="2" s="1"/>
  <c r="N45" i="11" l="1"/>
  <c r="A44" i="11"/>
  <c r="D20" i="18"/>
  <c r="E20" i="18" s="1"/>
  <c r="D17" i="18"/>
  <c r="E17" i="18" s="1"/>
  <c r="D18" i="18"/>
  <c r="E18" i="18" s="1"/>
  <c r="N53" i="10"/>
  <c r="A52" i="10"/>
  <c r="D50" i="14"/>
  <c r="E50" i="14" s="1"/>
  <c r="C50" i="13" s="1"/>
  <c r="E50" i="13" s="1"/>
  <c r="D48" i="15"/>
  <c r="C48" i="15" s="1"/>
  <c r="D52" i="14" s="1"/>
  <c r="E52" i="14" s="1"/>
  <c r="C52" i="13" s="1"/>
  <c r="A39" i="9"/>
  <c r="N40" i="9"/>
  <c r="E49" i="13"/>
  <c r="D59" i="13"/>
  <c r="D26" i="33"/>
  <c r="I25" i="32"/>
  <c r="A32" i="6"/>
  <c r="A14" i="6"/>
  <c r="A31" i="6" s="1"/>
  <c r="N25" i="32"/>
  <c r="A41" i="7"/>
  <c r="O41" i="7"/>
  <c r="N40" i="7"/>
  <c r="M22" i="21"/>
  <c r="A23" i="21"/>
  <c r="E17" i="19"/>
  <c r="E30" i="19" s="1"/>
  <c r="E23" i="3"/>
  <c r="C23" i="2" s="1"/>
  <c r="H49" i="21"/>
  <c r="G60" i="20" s="1"/>
  <c r="G64" i="20" s="1"/>
  <c r="I26" i="32" l="1"/>
  <c r="D27" i="33"/>
  <c r="F26" i="32"/>
  <c r="N26" i="32" s="1"/>
  <c r="F27" i="32"/>
  <c r="N39" i="9"/>
  <c r="A38" i="9"/>
  <c r="N52" i="10"/>
  <c r="A51" i="10"/>
  <c r="C21" i="1"/>
  <c r="L47" i="7"/>
  <c r="L50" i="7"/>
  <c r="L45" i="7"/>
  <c r="L42" i="7"/>
  <c r="L48" i="7"/>
  <c r="L49" i="7"/>
  <c r="L43" i="7"/>
  <c r="L51" i="7"/>
  <c r="L52" i="7"/>
  <c r="L41" i="7"/>
  <c r="L44" i="7"/>
  <c r="L46" i="7"/>
  <c r="C54" i="13"/>
  <c r="N44" i="11"/>
  <c r="A43" i="11"/>
  <c r="C60" i="13"/>
  <c r="E60" i="13" s="1"/>
  <c r="D14" i="2" s="1"/>
  <c r="E52" i="13"/>
  <c r="A40" i="7"/>
  <c r="N39" i="7"/>
  <c r="O40" i="7"/>
  <c r="L56" i="7"/>
  <c r="G65" i="20"/>
  <c r="G66" i="20" s="1"/>
  <c r="E32" i="19" s="1"/>
  <c r="E34" i="19" s="1"/>
  <c r="E42" i="19" s="1"/>
  <c r="C14" i="18" s="1"/>
  <c r="E14" i="18" s="1"/>
  <c r="C19" i="1" s="1"/>
  <c r="C15" i="1" s="1"/>
  <c r="G62" i="20"/>
  <c r="M23" i="21"/>
  <c r="A24" i="21"/>
  <c r="H50" i="21"/>
  <c r="C26" i="2"/>
  <c r="E26" i="3"/>
  <c r="L55" i="7" l="1"/>
  <c r="C59" i="13"/>
  <c r="E59" i="13" s="1"/>
  <c r="E54" i="13"/>
  <c r="N51" i="10"/>
  <c r="A50" i="10"/>
  <c r="D20" i="2"/>
  <c r="D22" i="2"/>
  <c r="D23" i="2"/>
  <c r="D16" i="2"/>
  <c r="D21" i="2"/>
  <c r="D18" i="2"/>
  <c r="D17" i="2"/>
  <c r="D15" i="2"/>
  <c r="D19" i="2"/>
  <c r="N43" i="11"/>
  <c r="A42" i="11"/>
  <c r="A37" i="9"/>
  <c r="N38" i="9"/>
  <c r="F29" i="32"/>
  <c r="N29" i="32" s="1"/>
  <c r="I27" i="32"/>
  <c r="N27" i="32" s="1"/>
  <c r="F31" i="32"/>
  <c r="I29" i="32"/>
  <c r="I28" i="32"/>
  <c r="F30" i="32"/>
  <c r="I31" i="32"/>
  <c r="F28" i="32"/>
  <c r="D28" i="33"/>
  <c r="I30" i="32"/>
  <c r="K58" i="11"/>
  <c r="K52" i="11"/>
  <c r="J50" i="11"/>
  <c r="J44" i="11"/>
  <c r="J47" i="11"/>
  <c r="K51" i="11"/>
  <c r="K53" i="11"/>
  <c r="K50" i="11"/>
  <c r="J52" i="11"/>
  <c r="J53" i="11"/>
  <c r="K55" i="11"/>
  <c r="J51" i="11"/>
  <c r="K47" i="11"/>
  <c r="K59" i="11"/>
  <c r="J49" i="11"/>
  <c r="J59" i="11"/>
  <c r="J45" i="11"/>
  <c r="J46" i="11"/>
  <c r="K54" i="11"/>
  <c r="J54" i="11"/>
  <c r="K48" i="11"/>
  <c r="K45" i="11"/>
  <c r="J48" i="11"/>
  <c r="K46" i="11"/>
  <c r="K44" i="11"/>
  <c r="K49" i="11"/>
  <c r="J55" i="11"/>
  <c r="N38" i="7"/>
  <c r="A39" i="7"/>
  <c r="O39" i="7"/>
  <c r="A25" i="21"/>
  <c r="M24" i="21"/>
  <c r="J58" i="11" l="1"/>
  <c r="N30" i="32"/>
  <c r="A41" i="11"/>
  <c r="N42" i="11"/>
  <c r="A49" i="10"/>
  <c r="N50" i="10"/>
  <c r="F33" i="32"/>
  <c r="N33" i="32" s="1"/>
  <c r="F32" i="32"/>
  <c r="D29" i="33"/>
  <c r="I33" i="32"/>
  <c r="I32" i="32"/>
  <c r="N28" i="32"/>
  <c r="N31" i="32"/>
  <c r="N37" i="9"/>
  <c r="A36" i="9"/>
  <c r="N37" i="7"/>
  <c r="A38" i="7"/>
  <c r="O38" i="7"/>
  <c r="A26" i="21"/>
  <c r="M25" i="21"/>
  <c r="I34" i="32" l="1"/>
  <c r="D30" i="33"/>
  <c r="F34" i="32"/>
  <c r="N34" i="32" s="1"/>
  <c r="N49" i="10"/>
  <c r="A48" i="10"/>
  <c r="N32" i="32"/>
  <c r="N41" i="11"/>
  <c r="A40" i="11"/>
  <c r="N36" i="9"/>
  <c r="A35" i="9"/>
  <c r="N36" i="7"/>
  <c r="A37" i="7"/>
  <c r="O37" i="7"/>
  <c r="M26" i="21"/>
  <c r="A27" i="21"/>
  <c r="N40" i="11" l="1"/>
  <c r="A39" i="11"/>
  <c r="K49" i="7"/>
  <c r="K52" i="7"/>
  <c r="K38" i="7"/>
  <c r="K46" i="7"/>
  <c r="K37" i="7"/>
  <c r="K45" i="7"/>
  <c r="K39" i="7"/>
  <c r="K47" i="7"/>
  <c r="K43" i="7"/>
  <c r="K50" i="7"/>
  <c r="K40" i="7"/>
  <c r="K42" i="7"/>
  <c r="K48" i="7"/>
  <c r="K51" i="7"/>
  <c r="K41" i="7"/>
  <c r="K44" i="7"/>
  <c r="N35" i="9"/>
  <c r="A34" i="9"/>
  <c r="F35" i="32"/>
  <c r="N35" i="32" s="1"/>
  <c r="I35" i="32"/>
  <c r="D31" i="33"/>
  <c r="N48" i="10"/>
  <c r="A47" i="10"/>
  <c r="K56" i="7"/>
  <c r="N35" i="7"/>
  <c r="O36" i="7"/>
  <c r="A36" i="7"/>
  <c r="M27" i="21"/>
  <c r="A28" i="21"/>
  <c r="K55" i="7" l="1"/>
  <c r="F36" i="32"/>
  <c r="N36" i="32" s="1"/>
  <c r="D32" i="33"/>
  <c r="I36" i="32"/>
  <c r="N39" i="11"/>
  <c r="A38" i="11"/>
  <c r="A46" i="10"/>
  <c r="N47" i="10"/>
  <c r="A33" i="9"/>
  <c r="N34" i="9"/>
  <c r="H45" i="11"/>
  <c r="H43" i="11"/>
  <c r="I49" i="11"/>
  <c r="H44" i="11"/>
  <c r="H40" i="11"/>
  <c r="H46" i="11"/>
  <c r="I42" i="11"/>
  <c r="I53" i="11"/>
  <c r="H41" i="11"/>
  <c r="I55" i="11"/>
  <c r="I50" i="11"/>
  <c r="I54" i="11"/>
  <c r="I58" i="11"/>
  <c r="I52" i="11"/>
  <c r="I40" i="11"/>
  <c r="H42" i="11"/>
  <c r="I48" i="11"/>
  <c r="I59" i="11"/>
  <c r="H52" i="11"/>
  <c r="H48" i="11"/>
  <c r="H54" i="11"/>
  <c r="I45" i="11"/>
  <c r="I47" i="11"/>
  <c r="H55" i="11"/>
  <c r="I41" i="11"/>
  <c r="I43" i="11"/>
  <c r="H53" i="11"/>
  <c r="H49" i="11"/>
  <c r="I44" i="11"/>
  <c r="H47" i="11"/>
  <c r="H50" i="11"/>
  <c r="H59" i="11"/>
  <c r="H51" i="11"/>
  <c r="I51" i="11"/>
  <c r="I46" i="11"/>
  <c r="A35" i="7"/>
  <c r="O35" i="7"/>
  <c r="N34" i="7"/>
  <c r="A29" i="21"/>
  <c r="M28" i="21"/>
  <c r="N33" i="9" l="1"/>
  <c r="A32" i="9"/>
  <c r="A45" i="10"/>
  <c r="N46" i="10"/>
  <c r="F37" i="32"/>
  <c r="D33" i="33"/>
  <c r="I37" i="32"/>
  <c r="H58" i="11"/>
  <c r="N38" i="11"/>
  <c r="A37" i="11"/>
  <c r="N33" i="7"/>
  <c r="O34" i="7"/>
  <c r="A34" i="7"/>
  <c r="A30" i="21"/>
  <c r="M29" i="21"/>
  <c r="A44" i="10" l="1"/>
  <c r="N45" i="10"/>
  <c r="N37" i="11"/>
  <c r="A36" i="11"/>
  <c r="I38" i="32"/>
  <c r="F38" i="32"/>
  <c r="D34" i="33"/>
  <c r="A31" i="9"/>
  <c r="N32" i="9"/>
  <c r="N37" i="32"/>
  <c r="N32" i="7"/>
  <c r="O33" i="7"/>
  <c r="A33" i="7"/>
  <c r="M30" i="21"/>
  <c r="A31" i="21"/>
  <c r="A35" i="11" l="1"/>
  <c r="N36" i="11"/>
  <c r="F39" i="32"/>
  <c r="I39" i="32"/>
  <c r="D35" i="33"/>
  <c r="N31" i="9"/>
  <c r="A30" i="9"/>
  <c r="N38" i="32"/>
  <c r="J56" i="7"/>
  <c r="J45" i="7"/>
  <c r="J33" i="7"/>
  <c r="J52" i="7"/>
  <c r="J42" i="7"/>
  <c r="J50" i="7"/>
  <c r="J35" i="7"/>
  <c r="J44" i="7"/>
  <c r="J38" i="7"/>
  <c r="J43" i="7"/>
  <c r="J47" i="7"/>
  <c r="J51" i="7"/>
  <c r="J39" i="7"/>
  <c r="J41" i="7"/>
  <c r="J40" i="7"/>
  <c r="J49" i="7"/>
  <c r="J48" i="7"/>
  <c r="J37" i="7"/>
  <c r="J36" i="7"/>
  <c r="J34" i="7"/>
  <c r="J46" i="7"/>
  <c r="N44" i="10"/>
  <c r="A43" i="10"/>
  <c r="A32" i="7"/>
  <c r="N31" i="7"/>
  <c r="O32" i="7"/>
  <c r="M31" i="21"/>
  <c r="A32" i="21"/>
  <c r="J55" i="7" l="1"/>
  <c r="A29" i="9"/>
  <c r="N30" i="9"/>
  <c r="N39" i="32"/>
  <c r="A42" i="10"/>
  <c r="N43" i="10"/>
  <c r="G44" i="11"/>
  <c r="F36" i="11"/>
  <c r="F48" i="11"/>
  <c r="F40" i="11"/>
  <c r="F44" i="11"/>
  <c r="G49" i="11"/>
  <c r="F38" i="11"/>
  <c r="G43" i="11"/>
  <c r="G39" i="11"/>
  <c r="G41" i="11"/>
  <c r="G47" i="11"/>
  <c r="G54" i="11"/>
  <c r="F49" i="11"/>
  <c r="F52" i="11"/>
  <c r="G38" i="11"/>
  <c r="F45" i="11"/>
  <c r="G42" i="11"/>
  <c r="G40" i="11"/>
  <c r="F41" i="11"/>
  <c r="F59" i="11"/>
  <c r="F43" i="11"/>
  <c r="G46" i="11"/>
  <c r="F54" i="11"/>
  <c r="F47" i="11"/>
  <c r="F51" i="11"/>
  <c r="G53" i="11"/>
  <c r="G59" i="11"/>
  <c r="F55" i="11"/>
  <c r="G37" i="11"/>
  <c r="F46" i="11"/>
  <c r="G36" i="11"/>
  <c r="F53" i="11"/>
  <c r="F39" i="11"/>
  <c r="G50" i="11"/>
  <c r="F42" i="11"/>
  <c r="F37" i="11"/>
  <c r="G48" i="11"/>
  <c r="G58" i="11"/>
  <c r="G28" i="8" s="1"/>
  <c r="G30" i="8" s="1"/>
  <c r="G55" i="11"/>
  <c r="F50" i="11"/>
  <c r="G52" i="11"/>
  <c r="G45" i="11"/>
  <c r="G51" i="11"/>
  <c r="D36" i="33"/>
  <c r="F40" i="32"/>
  <c r="N35" i="11"/>
  <c r="A34" i="11"/>
  <c r="L58" i="7"/>
  <c r="I18" i="5" s="1"/>
  <c r="O31" i="7"/>
  <c r="A31" i="7"/>
  <c r="N30" i="7"/>
  <c r="A33" i="21"/>
  <c r="M32" i="21"/>
  <c r="F58" i="11" l="1"/>
  <c r="N34" i="11"/>
  <c r="A33" i="11"/>
  <c r="A41" i="10"/>
  <c r="N42" i="10"/>
  <c r="I40" i="32"/>
  <c r="N40" i="32" s="1"/>
  <c r="D37" i="33"/>
  <c r="A28" i="9"/>
  <c r="N29" i="9"/>
  <c r="E37" i="5"/>
  <c r="E38" i="5"/>
  <c r="E40" i="5"/>
  <c r="E41" i="5"/>
  <c r="E45" i="5"/>
  <c r="E39" i="5"/>
  <c r="E43" i="5"/>
  <c r="E36" i="5"/>
  <c r="E42" i="5"/>
  <c r="E44" i="5"/>
  <c r="N29" i="7"/>
  <c r="A30" i="7"/>
  <c r="O30" i="7"/>
  <c r="A34" i="21"/>
  <c r="M33" i="21"/>
  <c r="N28" i="9" l="1"/>
  <c r="A27" i="9"/>
  <c r="I41" i="32"/>
  <c r="F41" i="32"/>
  <c r="F42" i="32"/>
  <c r="D38" i="33"/>
  <c r="A40" i="10"/>
  <c r="N41" i="10"/>
  <c r="A32" i="11"/>
  <c r="N33" i="11"/>
  <c r="N28" i="7"/>
  <c r="O29" i="7"/>
  <c r="A29" i="7"/>
  <c r="M34" i="21"/>
  <c r="A35" i="21"/>
  <c r="N27" i="9" l="1"/>
  <c r="A26" i="9"/>
  <c r="A39" i="10"/>
  <c r="N40" i="10"/>
  <c r="D39" i="33"/>
  <c r="F43" i="32"/>
  <c r="I42" i="32"/>
  <c r="N42" i="32" s="1"/>
  <c r="A31" i="11"/>
  <c r="N32" i="11"/>
  <c r="N41" i="32"/>
  <c r="A28" i="7"/>
  <c r="O28" i="7"/>
  <c r="N27" i="7"/>
  <c r="M35" i="21"/>
  <c r="A36" i="21"/>
  <c r="A30" i="11" l="1"/>
  <c r="N31" i="11"/>
  <c r="N39" i="10"/>
  <c r="A38" i="10"/>
  <c r="A25" i="9"/>
  <c r="N26" i="9"/>
  <c r="F44" i="32"/>
  <c r="N44" i="32" s="1"/>
  <c r="I44" i="32"/>
  <c r="I43" i="32"/>
  <c r="N43" i="32" s="1"/>
  <c r="D40" i="33"/>
  <c r="O27" i="7"/>
  <c r="A27" i="7"/>
  <c r="N26" i="7"/>
  <c r="A37" i="21"/>
  <c r="M36" i="21"/>
  <c r="N38" i="10" l="1"/>
  <c r="A37" i="10"/>
  <c r="I45" i="32"/>
  <c r="D41" i="33"/>
  <c r="F45" i="32"/>
  <c r="N45" i="32" s="1"/>
  <c r="N25" i="9"/>
  <c r="A24" i="9"/>
  <c r="A29" i="11"/>
  <c r="N30" i="11"/>
  <c r="N25" i="7"/>
  <c r="A26" i="7"/>
  <c r="O26" i="7"/>
  <c r="A38" i="21"/>
  <c r="M37" i="21"/>
  <c r="A23" i="9" l="1"/>
  <c r="N24" i="9"/>
  <c r="A36" i="10"/>
  <c r="N37" i="10"/>
  <c r="N29" i="11"/>
  <c r="A28" i="11"/>
  <c r="F46" i="32"/>
  <c r="I46" i="32"/>
  <c r="D42" i="33"/>
  <c r="O25" i="7"/>
  <c r="N24" i="7"/>
  <c r="A25" i="7"/>
  <c r="M38" i="21"/>
  <c r="A39" i="21"/>
  <c r="N46" i="32" l="1"/>
  <c r="A35" i="10"/>
  <c r="N36" i="10"/>
  <c r="A27" i="11"/>
  <c r="N28" i="11"/>
  <c r="I47" i="32"/>
  <c r="D43" i="33"/>
  <c r="F47" i="32"/>
  <c r="N47" i="32" s="1"/>
  <c r="N23" i="9"/>
  <c r="A22" i="9"/>
  <c r="A24" i="7"/>
  <c r="O24" i="7"/>
  <c r="N23" i="7"/>
  <c r="M39" i="21"/>
  <c r="A40" i="21"/>
  <c r="A26" i="11" l="1"/>
  <c r="N27" i="11"/>
  <c r="D44" i="33"/>
  <c r="F48" i="32"/>
  <c r="I48" i="32"/>
  <c r="A21" i="9"/>
  <c r="N22" i="9"/>
  <c r="A34" i="10"/>
  <c r="N35" i="10"/>
  <c r="N22" i="7"/>
  <c r="O23" i="7"/>
  <c r="A23" i="7"/>
  <c r="A41" i="21"/>
  <c r="M40" i="21"/>
  <c r="A33" i="10" l="1"/>
  <c r="N34" i="10"/>
  <c r="N48" i="32"/>
  <c r="D45" i="33"/>
  <c r="F49" i="32"/>
  <c r="A20" i="9"/>
  <c r="N21" i="9"/>
  <c r="A25" i="11"/>
  <c r="N26" i="11"/>
  <c r="O22" i="7"/>
  <c r="I56" i="7" s="1"/>
  <c r="A22" i="7"/>
  <c r="N21" i="7"/>
  <c r="A42" i="21"/>
  <c r="M41" i="21"/>
  <c r="A24" i="11" l="1"/>
  <c r="N25" i="11"/>
  <c r="D46" i="33"/>
  <c r="F50" i="32"/>
  <c r="E56" i="9"/>
  <c r="C28" i="8" s="1"/>
  <c r="E30" i="9"/>
  <c r="D30" i="9"/>
  <c r="E28" i="9"/>
  <c r="E26" i="9"/>
  <c r="D45" i="9"/>
  <c r="D41" i="9"/>
  <c r="D57" i="9"/>
  <c r="D31" i="9"/>
  <c r="E49" i="9"/>
  <c r="D28" i="9"/>
  <c r="D23" i="9"/>
  <c r="D53" i="9"/>
  <c r="D46" i="9"/>
  <c r="E31" i="9"/>
  <c r="E52" i="9"/>
  <c r="E46" i="9"/>
  <c r="E37" i="9"/>
  <c r="E57" i="9"/>
  <c r="D25" i="9"/>
  <c r="E44" i="9"/>
  <c r="E32" i="9"/>
  <c r="D32" i="9"/>
  <c r="D39" i="9"/>
  <c r="E25" i="9"/>
  <c r="D26" i="9"/>
  <c r="E41" i="9"/>
  <c r="D27" i="9"/>
  <c r="D47" i="9"/>
  <c r="E33" i="9"/>
  <c r="E29" i="9"/>
  <c r="E48" i="9"/>
  <c r="E51" i="9"/>
  <c r="D51" i="9"/>
  <c r="E21" i="9"/>
  <c r="E42" i="9"/>
  <c r="D40" i="9"/>
  <c r="D35" i="9"/>
  <c r="E22" i="9"/>
  <c r="D43" i="9"/>
  <c r="E43" i="9"/>
  <c r="E24" i="9"/>
  <c r="D33" i="9"/>
  <c r="D38" i="9"/>
  <c r="D42" i="9"/>
  <c r="E35" i="9"/>
  <c r="D22" i="9"/>
  <c r="D48" i="9"/>
  <c r="D34" i="9"/>
  <c r="D29" i="9"/>
  <c r="D50" i="9"/>
  <c r="D24" i="9"/>
  <c r="E27" i="9"/>
  <c r="D36" i="9"/>
  <c r="E36" i="9"/>
  <c r="E39" i="9"/>
  <c r="E34" i="9"/>
  <c r="D52" i="9"/>
  <c r="E50" i="9"/>
  <c r="E47" i="9"/>
  <c r="D37" i="9"/>
  <c r="E53" i="9"/>
  <c r="D49" i="9"/>
  <c r="D21" i="9"/>
  <c r="E40" i="9"/>
  <c r="E23" i="9"/>
  <c r="E38" i="9"/>
  <c r="E45" i="9"/>
  <c r="D44" i="9"/>
  <c r="N20" i="9"/>
  <c r="A19" i="9"/>
  <c r="I49" i="32"/>
  <c r="N49" i="32" s="1"/>
  <c r="N33" i="10"/>
  <c r="A32" i="10"/>
  <c r="A21" i="7"/>
  <c r="O21" i="7"/>
  <c r="N20" i="7"/>
  <c r="M42" i="21"/>
  <c r="A43" i="21"/>
  <c r="I50" i="32" l="1"/>
  <c r="N50" i="32"/>
  <c r="N32" i="10"/>
  <c r="A31" i="10"/>
  <c r="A18" i="9"/>
  <c r="N19" i="9"/>
  <c r="D47" i="33"/>
  <c r="F51" i="32"/>
  <c r="D56" i="9"/>
  <c r="C30" i="8"/>
  <c r="A23" i="11"/>
  <c r="N24" i="11"/>
  <c r="N19" i="7"/>
  <c r="O20" i="7"/>
  <c r="A20" i="7"/>
  <c r="M43" i="21"/>
  <c r="A44" i="21"/>
  <c r="N31" i="10" l="1"/>
  <c r="A30" i="10"/>
  <c r="F52" i="32"/>
  <c r="I54" i="32"/>
  <c r="N54" i="32" s="1"/>
  <c r="A22" i="11"/>
  <c r="N23" i="11"/>
  <c r="I51" i="32"/>
  <c r="N51" i="32"/>
  <c r="N18" i="9"/>
  <c r="A17" i="9"/>
  <c r="N18" i="7"/>
  <c r="O19" i="7"/>
  <c r="A19" i="7"/>
  <c r="A45" i="21"/>
  <c r="M44" i="21"/>
  <c r="O29" i="32" l="1"/>
  <c r="D15" i="31" s="1"/>
  <c r="E15" i="31" s="1"/>
  <c r="O23" i="32"/>
  <c r="O41" i="32"/>
  <c r="D27" i="31" s="1"/>
  <c r="E27" i="31" s="1"/>
  <c r="O40" i="32"/>
  <c r="D26" i="31" s="1"/>
  <c r="E26" i="31" s="1"/>
  <c r="F27" i="31" s="1"/>
  <c r="O27" i="32"/>
  <c r="O50" i="32"/>
  <c r="D36" i="31" s="1"/>
  <c r="E36" i="31" s="1"/>
  <c r="O30" i="32"/>
  <c r="D16" i="31" s="1"/>
  <c r="E16" i="31" s="1"/>
  <c r="O25" i="32"/>
  <c r="O47" i="32"/>
  <c r="D33" i="31" s="1"/>
  <c r="E33" i="31" s="1"/>
  <c r="O38" i="32"/>
  <c r="D24" i="31" s="1"/>
  <c r="E24" i="31" s="1"/>
  <c r="O36" i="32"/>
  <c r="D22" i="31" s="1"/>
  <c r="E22" i="31" s="1"/>
  <c r="O18" i="32"/>
  <c r="O39" i="32"/>
  <c r="D25" i="31" s="1"/>
  <c r="E25" i="31" s="1"/>
  <c r="O14" i="32"/>
  <c r="O22" i="32"/>
  <c r="O15" i="32"/>
  <c r="O43" i="32"/>
  <c r="D29" i="31" s="1"/>
  <c r="E29" i="31" s="1"/>
  <c r="O46" i="32"/>
  <c r="D32" i="31" s="1"/>
  <c r="E32" i="31" s="1"/>
  <c r="F33" i="31" s="1"/>
  <c r="G18" i="2" s="1"/>
  <c r="O16" i="32"/>
  <c r="O37" i="32"/>
  <c r="D23" i="31" s="1"/>
  <c r="E23" i="31" s="1"/>
  <c r="F24" i="31" s="1"/>
  <c r="O32" i="32"/>
  <c r="D18" i="31" s="1"/>
  <c r="E18" i="31" s="1"/>
  <c r="O33" i="32"/>
  <c r="D19" i="31" s="1"/>
  <c r="E19" i="31" s="1"/>
  <c r="O49" i="32"/>
  <c r="D35" i="31" s="1"/>
  <c r="E35" i="31" s="1"/>
  <c r="F36" i="31" s="1"/>
  <c r="G21" i="2" s="1"/>
  <c r="O44" i="32"/>
  <c r="D30" i="31" s="1"/>
  <c r="E30" i="31" s="1"/>
  <c r="O42" i="32"/>
  <c r="D28" i="31" s="1"/>
  <c r="E28" i="31" s="1"/>
  <c r="F29" i="31" s="1"/>
  <c r="G14" i="2" s="1"/>
  <c r="O26" i="32"/>
  <c r="O24" i="32"/>
  <c r="O20" i="32"/>
  <c r="O48" i="32"/>
  <c r="D34" i="31" s="1"/>
  <c r="E34" i="31" s="1"/>
  <c r="O31" i="32"/>
  <c r="D17" i="31" s="1"/>
  <c r="E17" i="31" s="1"/>
  <c r="F18" i="31" s="1"/>
  <c r="O19" i="32"/>
  <c r="O35" i="32"/>
  <c r="D21" i="31" s="1"/>
  <c r="E21" i="31" s="1"/>
  <c r="F22" i="31" s="1"/>
  <c r="O28" i="32"/>
  <c r="D14" i="31" s="1"/>
  <c r="E14" i="31" s="1"/>
  <c r="O21" i="32"/>
  <c r="O17" i="32"/>
  <c r="O34" i="32"/>
  <c r="D20" i="31" s="1"/>
  <c r="E20" i="31" s="1"/>
  <c r="F21" i="31" s="1"/>
  <c r="O45" i="32"/>
  <c r="D31" i="31" s="1"/>
  <c r="E31" i="31" s="1"/>
  <c r="O51" i="32"/>
  <c r="D37" i="31" s="1"/>
  <c r="E37" i="31" s="1"/>
  <c r="I52" i="32"/>
  <c r="N52" i="32" s="1"/>
  <c r="O52" i="32" s="1"/>
  <c r="D38" i="31" s="1"/>
  <c r="E38" i="31" s="1"/>
  <c r="A29" i="10"/>
  <c r="N30" i="10"/>
  <c r="A16" i="9"/>
  <c r="N17" i="9"/>
  <c r="A21" i="11"/>
  <c r="N22" i="11"/>
  <c r="N17" i="7"/>
  <c r="O18" i="7"/>
  <c r="A18" i="7"/>
  <c r="A46" i="21"/>
  <c r="M46" i="21" s="1"/>
  <c r="M45" i="21"/>
  <c r="F32" i="31" l="1"/>
  <c r="G17" i="2" s="1"/>
  <c r="F25" i="31"/>
  <c r="F35" i="31"/>
  <c r="G20" i="2" s="1"/>
  <c r="N16" i="9"/>
  <c r="A15" i="9"/>
  <c r="F38" i="31"/>
  <c r="F23" i="31"/>
  <c r="F17" i="31"/>
  <c r="F28" i="31"/>
  <c r="A20" i="11"/>
  <c r="N21" i="11"/>
  <c r="F14" i="31"/>
  <c r="F15" i="31"/>
  <c r="E40" i="31"/>
  <c r="F20" i="31"/>
  <c r="F37" i="31"/>
  <c r="G22" i="2" s="1"/>
  <c r="A28" i="10"/>
  <c r="N29" i="10"/>
  <c r="F30" i="31"/>
  <c r="G15" i="2" s="1"/>
  <c r="F31" i="31"/>
  <c r="G16" i="2" s="1"/>
  <c r="F19" i="31"/>
  <c r="F26" i="31"/>
  <c r="F34" i="31"/>
  <c r="G19" i="2" s="1"/>
  <c r="F16" i="31"/>
  <c r="O17" i="7"/>
  <c r="N16" i="7"/>
  <c r="A17" i="7"/>
  <c r="I28" i="7" l="1"/>
  <c r="I49" i="7"/>
  <c r="I19" i="7"/>
  <c r="I21" i="7"/>
  <c r="I20" i="7"/>
  <c r="I26" i="7"/>
  <c r="I34" i="7"/>
  <c r="I33" i="7"/>
  <c r="I30" i="7"/>
  <c r="I25" i="7"/>
  <c r="I42" i="7"/>
  <c r="I40" i="7"/>
  <c r="I38" i="7"/>
  <c r="I41" i="7"/>
  <c r="I52" i="7"/>
  <c r="I18" i="7"/>
  <c r="I48" i="7"/>
  <c r="I51" i="7"/>
  <c r="I44" i="7"/>
  <c r="I39" i="7"/>
  <c r="I24" i="7"/>
  <c r="I22" i="7"/>
  <c r="I17" i="7"/>
  <c r="I47" i="7"/>
  <c r="I45" i="7"/>
  <c r="I32" i="7"/>
  <c r="I35" i="7"/>
  <c r="I37" i="7"/>
  <c r="I23" i="7"/>
  <c r="I29" i="7"/>
  <c r="I27" i="7"/>
  <c r="I36" i="7"/>
  <c r="I50" i="7"/>
  <c r="I43" i="7"/>
  <c r="I46" i="7"/>
  <c r="I31" i="7"/>
  <c r="N28" i="10"/>
  <c r="A27" i="10"/>
  <c r="A19" i="11"/>
  <c r="N20" i="11"/>
  <c r="L25" i="43"/>
  <c r="D30" i="43" s="1"/>
  <c r="D32" i="43" s="1"/>
  <c r="D34" i="43" s="1"/>
  <c r="G38" i="34" s="1"/>
  <c r="G42" i="34" s="1"/>
  <c r="G23" i="2"/>
  <c r="G26" i="2" s="1"/>
  <c r="A14" i="9"/>
  <c r="N14" i="9" s="1"/>
  <c r="N15" i="9"/>
  <c r="F40" i="31"/>
  <c r="N15" i="7"/>
  <c r="A16" i="7"/>
  <c r="O16" i="7"/>
  <c r="N19" i="11" l="1"/>
  <c r="A18" i="11"/>
  <c r="I55" i="7"/>
  <c r="N27" i="10"/>
  <c r="A26" i="10"/>
  <c r="E19" i="1"/>
  <c r="A15" i="7"/>
  <c r="O15" i="7"/>
  <c r="N14" i="7"/>
  <c r="A17" i="11" l="1"/>
  <c r="N18" i="11"/>
  <c r="E15" i="1"/>
  <c r="E21" i="1"/>
  <c r="A25" i="10"/>
  <c r="N26" i="10"/>
  <c r="O14" i="7"/>
  <c r="A14" i="7"/>
  <c r="A24" i="10" l="1"/>
  <c r="N25" i="10"/>
  <c r="N17" i="11"/>
  <c r="A16" i="11"/>
  <c r="N16" i="11" l="1"/>
  <c r="A15" i="11"/>
  <c r="N24" i="10"/>
  <c r="A23" i="10"/>
  <c r="A22" i="10" l="1"/>
  <c r="N23" i="10"/>
  <c r="A14" i="11"/>
  <c r="N14" i="11" s="1"/>
  <c r="N15" i="11"/>
  <c r="D42" i="11" l="1"/>
  <c r="D39" i="11"/>
  <c r="D49" i="11"/>
  <c r="D34" i="11"/>
  <c r="D22" i="11"/>
  <c r="D19" i="11"/>
  <c r="D26" i="11"/>
  <c r="E22" i="11"/>
  <c r="D36" i="11"/>
  <c r="D18" i="11"/>
  <c r="E38" i="11"/>
  <c r="E24" i="11"/>
  <c r="E25" i="11"/>
  <c r="D54" i="11"/>
  <c r="E33" i="11"/>
  <c r="D55" i="11"/>
  <c r="E35" i="11"/>
  <c r="D44" i="11"/>
  <c r="E49" i="11"/>
  <c r="D59" i="11"/>
  <c r="E42" i="11"/>
  <c r="E41" i="11"/>
  <c r="E59" i="11"/>
  <c r="D25" i="11"/>
  <c r="E39" i="11"/>
  <c r="D38" i="11"/>
  <c r="E37" i="11"/>
  <c r="D27" i="11"/>
  <c r="E26" i="11"/>
  <c r="D50" i="11"/>
  <c r="E30" i="11"/>
  <c r="D33" i="11"/>
  <c r="E20" i="11"/>
  <c r="D14" i="11"/>
  <c r="E28" i="11"/>
  <c r="E14" i="11"/>
  <c r="D20" i="11"/>
  <c r="D15" i="11"/>
  <c r="D30" i="11"/>
  <c r="E36" i="11"/>
  <c r="E16" i="11"/>
  <c r="E23" i="11"/>
  <c r="D53" i="11"/>
  <c r="E31" i="11"/>
  <c r="E46" i="11"/>
  <c r="D37" i="11"/>
  <c r="D45" i="11"/>
  <c r="E43" i="11"/>
  <c r="D28" i="11"/>
  <c r="E55" i="11"/>
  <c r="E53" i="11"/>
  <c r="D23" i="11"/>
  <c r="E29" i="11"/>
  <c r="E34" i="11"/>
  <c r="E40" i="11"/>
  <c r="E48" i="11"/>
  <c r="E45" i="11"/>
  <c r="E52" i="11"/>
  <c r="E27" i="11"/>
  <c r="D21" i="11"/>
  <c r="D16" i="11"/>
  <c r="E51" i="11"/>
  <c r="D31" i="11"/>
  <c r="E19" i="11"/>
  <c r="E18" i="11"/>
  <c r="D32" i="11"/>
  <c r="D52" i="11"/>
  <c r="E32" i="11"/>
  <c r="E15" i="11"/>
  <c r="D17" i="11"/>
  <c r="D35" i="11"/>
  <c r="E47" i="11"/>
  <c r="D40" i="11"/>
  <c r="E50" i="11"/>
  <c r="D47" i="11"/>
  <c r="E54" i="11"/>
  <c r="D29" i="11"/>
  <c r="D24" i="11"/>
  <c r="D46" i="11"/>
  <c r="D48" i="11"/>
  <c r="D51" i="11"/>
  <c r="E58" i="11"/>
  <c r="E17" i="11"/>
  <c r="E21" i="11"/>
  <c r="E44" i="11"/>
  <c r="D43" i="11"/>
  <c r="D41" i="11"/>
  <c r="N22" i="10"/>
  <c r="A21" i="10"/>
  <c r="D58" i="11" l="1"/>
  <c r="N21" i="10"/>
  <c r="A20" i="10"/>
  <c r="N20" i="10" l="1"/>
  <c r="A19" i="10"/>
  <c r="E64" i="10"/>
  <c r="D28" i="8" s="1"/>
  <c r="E46" i="10"/>
  <c r="E65" i="10"/>
  <c r="E57" i="10"/>
  <c r="D28" i="10"/>
  <c r="E41" i="10"/>
  <c r="E50" i="10"/>
  <c r="E25" i="10"/>
  <c r="D24" i="10"/>
  <c r="D47" i="10"/>
  <c r="E54" i="10"/>
  <c r="E31" i="10"/>
  <c r="D29" i="10"/>
  <c r="E33" i="10"/>
  <c r="D34" i="10"/>
  <c r="D56" i="10"/>
  <c r="E49" i="10"/>
  <c r="E24" i="10"/>
  <c r="D35" i="10"/>
  <c r="E45" i="10"/>
  <c r="E44" i="10"/>
  <c r="D60" i="10"/>
  <c r="E22" i="10"/>
  <c r="D43" i="10"/>
  <c r="E32" i="10"/>
  <c r="D50" i="10"/>
  <c r="D49" i="10"/>
  <c r="E30" i="10"/>
  <c r="D31" i="10"/>
  <c r="E53" i="10"/>
  <c r="E36" i="10"/>
  <c r="E35" i="10"/>
  <c r="D44" i="10"/>
  <c r="E55" i="10"/>
  <c r="D45" i="10"/>
  <c r="D40" i="10"/>
  <c r="D65" i="10"/>
  <c r="D54" i="10"/>
  <c r="D42" i="10"/>
  <c r="D59" i="10"/>
  <c r="E47" i="10"/>
  <c r="E27" i="10"/>
  <c r="E60" i="10"/>
  <c r="D36" i="10"/>
  <c r="D53" i="10"/>
  <c r="E28" i="10"/>
  <c r="E58" i="10"/>
  <c r="E48" i="10"/>
  <c r="D37" i="10"/>
  <c r="E61" i="10"/>
  <c r="D22" i="10"/>
  <c r="E40" i="10"/>
  <c r="E39" i="10"/>
  <c r="E51" i="10"/>
  <c r="D61" i="10"/>
  <c r="D41" i="10"/>
  <c r="E21" i="10"/>
  <c r="E42" i="10"/>
  <c r="E52" i="10"/>
  <c r="D55" i="10"/>
  <c r="D33" i="10"/>
  <c r="D57" i="10"/>
  <c r="D27" i="10"/>
  <c r="E37" i="10"/>
  <c r="D25" i="10"/>
  <c r="E59" i="10"/>
  <c r="E38" i="10"/>
  <c r="D52" i="10"/>
  <c r="D39" i="10"/>
  <c r="D48" i="10"/>
  <c r="D46" i="10"/>
  <c r="E26" i="10"/>
  <c r="D23" i="10"/>
  <c r="E34" i="10"/>
  <c r="D26" i="10"/>
  <c r="D32" i="10"/>
  <c r="D30" i="10"/>
  <c r="D58" i="10"/>
  <c r="D51" i="10"/>
  <c r="D38" i="10"/>
  <c r="E23" i="10"/>
  <c r="E43" i="10"/>
  <c r="E29" i="10"/>
  <c r="D21" i="10"/>
  <c r="E56" i="10"/>
  <c r="D30" i="8" l="1"/>
  <c r="H28" i="8"/>
  <c r="A18" i="10"/>
  <c r="N19" i="10"/>
  <c r="D64" i="10"/>
  <c r="A17" i="10" l="1"/>
  <c r="N18" i="10"/>
  <c r="H30" i="8"/>
  <c r="I19" i="5"/>
  <c r="F43" i="5" l="1"/>
  <c r="G43" i="5" s="1"/>
  <c r="E21" i="2" s="1"/>
  <c r="F21" i="2" s="1"/>
  <c r="H21" i="2" s="1"/>
  <c r="F37" i="5"/>
  <c r="G37" i="5" s="1"/>
  <c r="E15" i="2" s="1"/>
  <c r="F15" i="2" s="1"/>
  <c r="H15" i="2" s="1"/>
  <c r="F44" i="5"/>
  <c r="G44" i="5" s="1"/>
  <c r="E22" i="2" s="1"/>
  <c r="F22" i="2" s="1"/>
  <c r="H22" i="2" s="1"/>
  <c r="F41" i="5"/>
  <c r="G41" i="5" s="1"/>
  <c r="E19" i="2" s="1"/>
  <c r="F19" i="2" s="1"/>
  <c r="H19" i="2" s="1"/>
  <c r="F38" i="5"/>
  <c r="G38" i="5" s="1"/>
  <c r="E16" i="2" s="1"/>
  <c r="F16" i="2" s="1"/>
  <c r="H16" i="2" s="1"/>
  <c r="F40" i="5"/>
  <c r="G40" i="5" s="1"/>
  <c r="E18" i="2" s="1"/>
  <c r="F18" i="2" s="1"/>
  <c r="H18" i="2" s="1"/>
  <c r="F45" i="5"/>
  <c r="G45" i="5" s="1"/>
  <c r="E23" i="2" s="1"/>
  <c r="F23" i="2" s="1"/>
  <c r="H23" i="2" s="1"/>
  <c r="F39" i="5"/>
  <c r="G39" i="5" s="1"/>
  <c r="E17" i="2" s="1"/>
  <c r="F17" i="2" s="1"/>
  <c r="H17" i="2" s="1"/>
  <c r="F42" i="5"/>
  <c r="G42" i="5" s="1"/>
  <c r="E20" i="2" s="1"/>
  <c r="F20" i="2" s="1"/>
  <c r="H20" i="2" s="1"/>
  <c r="F36" i="5"/>
  <c r="G36" i="5" s="1"/>
  <c r="E14" i="2" s="1"/>
  <c r="F14" i="2" s="1"/>
  <c r="N17" i="10"/>
  <c r="A16" i="10"/>
  <c r="N16" i="10" l="1"/>
  <c r="A15" i="10"/>
  <c r="H14" i="2"/>
  <c r="F26" i="2"/>
  <c r="H26" i="2" s="1"/>
  <c r="D19" i="1" s="1"/>
  <c r="D15" i="1" l="1"/>
  <c r="F15" i="1" s="1"/>
  <c r="H15" i="1" s="1"/>
  <c r="D21" i="1"/>
  <c r="F21" i="1" s="1"/>
  <c r="H21" i="1" s="1"/>
  <c r="F19" i="1"/>
  <c r="H19" i="1" s="1"/>
  <c r="A14" i="10"/>
  <c r="N14" i="10" s="1"/>
  <c r="N15" i="10"/>
  <c r="J2" i="43" l="1"/>
  <c r="L7" i="2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xli</author>
  </authors>
  <commentList>
    <comment ref="C47" authorId="0" shapeId="0" xr:uid="{00000000-0006-0000-0600-000001000000}">
      <text>
        <r>
          <rPr>
            <b/>
            <sz val="8"/>
            <color indexed="81"/>
            <rFont val="Tahoma"/>
            <family val="2"/>
          </rPr>
          <t>xli:</t>
        </r>
        <r>
          <rPr>
            <sz val="8"/>
            <color indexed="81"/>
            <rFont val="Tahoma"/>
            <family val="2"/>
          </rPr>
          <t xml:space="preserve">
manually picked
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Twia Admin</author>
    <author>jmurphy</author>
  </authors>
  <commentList>
    <comment ref="F11" authorId="0" shapeId="0" xr:uid="{00000000-0006-0000-2300-000001000000}">
      <text>
        <r>
          <rPr>
            <b/>
            <sz val="8"/>
            <color indexed="81"/>
            <rFont val="Tahoma"/>
            <family val="2"/>
          </rPr>
          <t>Twia Admin:</t>
        </r>
        <r>
          <rPr>
            <sz val="8"/>
            <color indexed="81"/>
            <rFont val="Tahoma"/>
            <family val="2"/>
          </rPr>
          <t xml:space="preserve">
only loss; no adjustment expenses</t>
        </r>
      </text>
    </comment>
    <comment ref="F18" authorId="1" shapeId="0" xr:uid="{00000000-0006-0000-2300-000002000000}">
      <text>
        <r>
          <rPr>
            <b/>
            <sz val="8"/>
            <color indexed="81"/>
            <rFont val="Tahoma"/>
            <family val="2"/>
          </rPr>
          <t>jmurphy:
removed accounting adjustment of $110M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xli</author>
  </authors>
  <commentList>
    <comment ref="C36" authorId="0" shapeId="0" xr:uid="{00000000-0006-0000-2400-000001000000}">
      <text>
        <r>
          <rPr>
            <b/>
            <sz val="8"/>
            <color indexed="81"/>
            <rFont val="Tahoma"/>
            <family val="2"/>
          </rPr>
          <t>xli:</t>
        </r>
        <r>
          <rPr>
            <sz val="8"/>
            <color indexed="81"/>
            <rFont val="Tahoma"/>
            <family val="2"/>
          </rPr>
          <t xml:space="preserve">
Changes due to migration to GWDW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Jim Murphy</author>
  </authors>
  <commentList>
    <comment ref="B60" authorId="0" shapeId="0" xr:uid="{00000000-0006-0000-0C00-000001000000}">
      <text>
        <r>
          <rPr>
            <b/>
            <sz val="8"/>
            <color indexed="81"/>
            <rFont val="Tahoma"/>
            <family val="2"/>
          </rPr>
          <t>Jim Murphy:
10 Non-Hurricane Years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Angela Fang</author>
  </authors>
  <commentList>
    <comment ref="O11" authorId="0" shapeId="0" xr:uid="{00000000-0006-0000-0F00-000001000000}">
      <text>
        <r>
          <rPr>
            <b/>
            <sz val="9"/>
            <color indexed="81"/>
            <rFont val="Tahoma"/>
            <family val="2"/>
          </rPr>
          <t>Angela Fang:</t>
        </r>
        <r>
          <rPr>
            <sz val="9"/>
            <color indexed="81"/>
            <rFont val="Tahoma"/>
            <family val="2"/>
          </rPr>
          <t xml:space="preserve">
Schedule P - Column 8</t>
        </r>
      </text>
    </comment>
    <comment ref="P11" authorId="0" shapeId="0" xr:uid="{00000000-0006-0000-0F00-000002000000}">
      <text>
        <r>
          <rPr>
            <b/>
            <sz val="9"/>
            <color indexed="81"/>
            <rFont val="Tahoma"/>
            <family val="2"/>
          </rPr>
          <t>Angela Fang:</t>
        </r>
        <r>
          <rPr>
            <sz val="9"/>
            <color indexed="81"/>
            <rFont val="Tahoma"/>
            <family val="2"/>
          </rPr>
          <t xml:space="preserve">
Column 21</t>
        </r>
      </text>
    </comment>
    <comment ref="N28" authorId="0" shapeId="0" xr:uid="{00000000-0006-0000-0F00-000003000000}">
      <text>
        <r>
          <rPr>
            <b/>
            <sz val="9"/>
            <color indexed="81"/>
            <rFont val="Tahoma"/>
            <family val="2"/>
          </rPr>
          <t>Angela Fang:</t>
        </r>
        <r>
          <rPr>
            <sz val="9"/>
            <color indexed="81"/>
            <rFont val="Tahoma"/>
            <family val="2"/>
          </rPr>
          <t xml:space="preserve">
2019 Q1 Rx - 1.1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Jim Murphy</author>
    <author>xli</author>
    <author>jmurphy</author>
  </authors>
  <commentList>
    <comment ref="L32" authorId="0" shapeId="0" xr:uid="{00000000-0006-0000-1500-000001000000}">
      <text>
        <r>
          <rPr>
            <b/>
            <sz val="8"/>
            <color indexed="81"/>
            <rFont val="Tahoma"/>
            <family val="2"/>
          </rPr>
          <t>Jim Murphy:
Total of actual TWIA / Industry EP from ISO data for all available years</t>
        </r>
      </text>
    </comment>
    <comment ref="G39" authorId="1" shapeId="0" xr:uid="{00000000-0006-0000-1500-000002000000}">
      <text>
        <r>
          <rPr>
            <b/>
            <sz val="8"/>
            <color indexed="81"/>
            <rFont val="Tahoma"/>
            <family val="2"/>
          </rPr>
          <t>xli:</t>
        </r>
        <r>
          <rPr>
            <sz val="8"/>
            <color indexed="81"/>
            <rFont val="Tahoma"/>
            <family val="2"/>
          </rPr>
          <t xml:space="preserve">
jmurphy:
subtract litigation related costs</t>
        </r>
      </text>
    </comment>
    <comment ref="L42" authorId="2" shapeId="0" xr:uid="{00000000-0006-0000-1500-000003000000}">
      <text>
        <r>
          <rPr>
            <b/>
            <sz val="8"/>
            <color indexed="81"/>
            <rFont val="Tahoma"/>
            <family val="2"/>
          </rPr>
          <t>jmurphy:</t>
        </r>
        <r>
          <rPr>
            <sz val="8"/>
            <color indexed="81"/>
            <rFont val="Tahoma"/>
            <family val="2"/>
          </rPr>
          <t xml:space="preserve">
from Ike Dolly Lit Reduction spreadsheet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Twia Admin</author>
  </authors>
  <commentList>
    <comment ref="C34" authorId="0" shapeId="0" xr:uid="{00000000-0006-0000-1600-000001000000}">
      <text>
        <r>
          <rPr>
            <b/>
            <sz val="8"/>
            <color indexed="81"/>
            <rFont val="Tahoma"/>
            <family val="2"/>
          </rPr>
          <t>Xiu: copied from 2010 review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34" authorId="0" shapeId="0" xr:uid="{00000000-0006-0000-1600-000002000000}">
      <text>
        <r>
          <rPr>
            <b/>
            <sz val="8"/>
            <color indexed="81"/>
            <rFont val="Tahoma"/>
            <family val="2"/>
          </rPr>
          <t>Xiu: copied from 2010 review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Twia Admin</author>
  </authors>
  <commentList>
    <comment ref="C34" authorId="0" shapeId="0" xr:uid="{00000000-0006-0000-1700-000001000000}">
      <text>
        <r>
          <rPr>
            <b/>
            <sz val="8"/>
            <color indexed="81"/>
            <rFont val="Tahoma"/>
            <family val="2"/>
          </rPr>
          <t>Xiu: copied from 2010 review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34" authorId="0" shapeId="0" xr:uid="{00000000-0006-0000-1700-000002000000}">
      <text>
        <r>
          <rPr>
            <b/>
            <sz val="8"/>
            <color indexed="81"/>
            <rFont val="Tahoma"/>
            <family val="2"/>
          </rPr>
          <t>Xiu: copied from 2010 review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Twia Admin</author>
  </authors>
  <commentList>
    <comment ref="C34" authorId="0" shapeId="0" xr:uid="{00000000-0006-0000-1800-000001000000}">
      <text>
        <r>
          <rPr>
            <b/>
            <sz val="8"/>
            <color indexed="81"/>
            <rFont val="Tahoma"/>
            <family val="2"/>
          </rPr>
          <t>Xiu: Copied from 2010 review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34" authorId="0" shapeId="0" xr:uid="{00000000-0006-0000-1800-000002000000}">
      <text>
        <r>
          <rPr>
            <b/>
            <sz val="8"/>
            <color indexed="81"/>
            <rFont val="Tahoma"/>
            <family val="2"/>
          </rPr>
          <t>Xiu: copied from 2010 review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Twia Admin</author>
    <author>xli</author>
  </authors>
  <commentList>
    <comment ref="F26" authorId="0" shapeId="0" xr:uid="{00000000-0006-0000-2100-000001000000}">
      <text>
        <r>
          <rPr>
            <b/>
            <sz val="8"/>
            <color indexed="81"/>
            <rFont val="Tahoma"/>
            <family val="2"/>
          </rPr>
          <t>Xiu: total other UW exp + Aggregate Write in + Invest Exp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L47" authorId="1" shapeId="0" xr:uid="{00000000-0006-0000-2100-000002000000}">
      <text>
        <r>
          <rPr>
            <b/>
            <sz val="9"/>
            <color indexed="81"/>
            <rFont val="Tahoma"/>
            <family val="2"/>
          </rPr>
          <t>xli:</t>
        </r>
        <r>
          <rPr>
            <sz val="9"/>
            <color indexed="81"/>
            <rFont val="Tahoma"/>
            <family val="2"/>
          </rPr>
          <t xml:space="preserve">
annual principle and interest payments for class 1 bond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Jim Murphy</author>
    <author>Xiuyu Li</author>
  </authors>
  <commentList>
    <comment ref="D10" authorId="0" shapeId="0" xr:uid="{00000000-0006-0000-2200-000001000000}">
      <text>
        <r>
          <rPr>
            <b/>
            <sz val="8"/>
            <color indexed="81"/>
            <rFont val="Tahoma"/>
            <family val="2"/>
          </rPr>
          <t xml:space="preserve">
net of commission and broker discount, depop
</t>
        </r>
      </text>
    </comment>
    <comment ref="D13" authorId="0" shapeId="0" xr:uid="{00000000-0006-0000-2200-000002000000}">
      <text>
        <r>
          <rPr>
            <b/>
            <sz val="8"/>
            <color indexed="81"/>
            <rFont val="Tahoma"/>
            <family val="2"/>
          </rPr>
          <t>from AAL by Layers</t>
        </r>
      </text>
    </comment>
    <comment ref="D18" authorId="0" shapeId="0" xr:uid="{00000000-0006-0000-2200-000003000000}">
      <text>
        <r>
          <rPr>
            <b/>
            <sz val="8"/>
            <color indexed="81"/>
            <rFont val="Tahoma"/>
            <family val="2"/>
          </rPr>
          <t>from AAL by Layers</t>
        </r>
      </text>
    </comment>
    <comment ref="J18" authorId="0" shapeId="0" xr:uid="{00000000-0006-0000-2200-000004000000}">
      <text>
        <r>
          <rPr>
            <b/>
            <sz val="8"/>
            <color indexed="81"/>
            <rFont val="Tahoma"/>
            <family val="2"/>
          </rPr>
          <t xml:space="preserve">Xiu: based on premium trend jan-May of 2018
</t>
        </r>
      </text>
    </comment>
    <comment ref="D28" authorId="1" shapeId="0" xr:uid="{00000000-0006-0000-2200-000005000000}">
      <text>
        <r>
          <rPr>
            <b/>
            <sz val="9"/>
            <color indexed="81"/>
            <rFont val="Tahoma"/>
            <family val="2"/>
          </rPr>
          <t>Xiuyu Li:</t>
        </r>
        <r>
          <rPr>
            <sz val="9"/>
            <color indexed="81"/>
            <rFont val="Tahoma"/>
            <family val="2"/>
          </rPr>
          <t xml:space="preserve">
12.5% was judgmently selected based on scare of hurricane covered by reinsurance and CAT bond
</t>
        </r>
      </text>
    </comment>
    <comment ref="J33" authorId="0" shapeId="0" xr:uid="{00000000-0006-0000-2200-000006000000}">
      <text>
        <r>
          <rPr>
            <b/>
            <sz val="8"/>
            <color indexed="81"/>
            <rFont val="Tahoma"/>
            <family val="2"/>
          </rPr>
          <t xml:space="preserve">
look at trending assumptions</t>
        </r>
      </text>
    </comment>
  </commentList>
</comments>
</file>

<file path=xl/sharedStrings.xml><?xml version="1.0" encoding="utf-8"?>
<sst xmlns="http://schemas.openxmlformats.org/spreadsheetml/2006/main" count="1432" uniqueCount="535">
  <si>
    <t>Texas Windstorm Insurance Association</t>
  </si>
  <si>
    <t>Rate Level Review</t>
  </si>
  <si>
    <t>Summary of Indicated Rate Change</t>
  </si>
  <si>
    <t>By Method for Projecting Hurricane Loss &amp; LAE</t>
  </si>
  <si>
    <t>Exhibit 1</t>
  </si>
  <si>
    <t>Hurricane</t>
  </si>
  <si>
    <t>Indicated Loss &amp; LAE Ratio</t>
  </si>
  <si>
    <t>Non-Hurricane</t>
  </si>
  <si>
    <t>Total</t>
  </si>
  <si>
    <t>Permissible</t>
  </si>
  <si>
    <t>Loss &amp; LAE</t>
  </si>
  <si>
    <t>Ratio</t>
  </si>
  <si>
    <t>Indicated</t>
  </si>
  <si>
    <t>Rate</t>
  </si>
  <si>
    <t>Change</t>
  </si>
  <si>
    <t>Using Hurricane Models</t>
  </si>
  <si>
    <t>A</t>
  </si>
  <si>
    <t>B</t>
  </si>
  <si>
    <t>Hurricane Projection Method</t>
  </si>
  <si>
    <t>Notes:</t>
  </si>
  <si>
    <t>Projected Ultimate Non-Hurricane Loss &amp; LAE Ratio</t>
  </si>
  <si>
    <t>Exhibit 2</t>
  </si>
  <si>
    <t>Sheet 1</t>
  </si>
  <si>
    <t>Tier 2</t>
  </si>
  <si>
    <t>Amount</t>
  </si>
  <si>
    <t>Loss &amp; LAE Ratio</t>
  </si>
  <si>
    <t>Total / Average</t>
  </si>
  <si>
    <t>Tier 1 -- Territory 8 (Galveston County)</t>
  </si>
  <si>
    <t>Ending</t>
  </si>
  <si>
    <t>Ultimate</t>
  </si>
  <si>
    <t>LAE</t>
  </si>
  <si>
    <t>Factor</t>
  </si>
  <si>
    <t>Net</t>
  </si>
  <si>
    <t>Trend</t>
  </si>
  <si>
    <t>Projected</t>
  </si>
  <si>
    <t>Loss</t>
  </si>
  <si>
    <t>at Current</t>
  </si>
  <si>
    <t>TWIA Rate Level</t>
  </si>
  <si>
    <t>Earned Premium</t>
  </si>
  <si>
    <t>Tier 1 -- Territory 9 (Nueces County)</t>
  </si>
  <si>
    <t>Tier 1 -- Territory 10 (Other Tier 1)</t>
  </si>
  <si>
    <t>Projected Ultimate Non-Hurricane Loss</t>
  </si>
  <si>
    <t>Accident</t>
  </si>
  <si>
    <t>Year</t>
  </si>
  <si>
    <t>Paid Loss</t>
  </si>
  <si>
    <t>Development</t>
  </si>
  <si>
    <t>Paid Loss Excluding Expense</t>
  </si>
  <si>
    <t>Paid Loss Development Factors</t>
  </si>
  <si>
    <t>Exhibit 3</t>
  </si>
  <si>
    <t>Months of Development</t>
  </si>
  <si>
    <t>Starting Accident Age</t>
  </si>
  <si>
    <t>Development Factors</t>
  </si>
  <si>
    <t>Average</t>
  </si>
  <si>
    <t>Avg 5 Year</t>
  </si>
  <si>
    <t>Selected</t>
  </si>
  <si>
    <t>Cumulative</t>
  </si>
  <si>
    <t>Exhibit 4</t>
  </si>
  <si>
    <t>Development of LAE factor Using TWIA Commercial + Residential Experience</t>
  </si>
  <si>
    <t>LAE to</t>
  </si>
  <si>
    <t>Loss Ratio</t>
  </si>
  <si>
    <t>Indicator</t>
  </si>
  <si>
    <t>H</t>
  </si>
  <si>
    <t>Hurricane Years Total</t>
  </si>
  <si>
    <t>All Years Total</t>
  </si>
  <si>
    <t>Non-Hurricane Years</t>
  </si>
  <si>
    <t>10 Year</t>
  </si>
  <si>
    <t>Sheet 2</t>
  </si>
  <si>
    <t>Ultimate Loss (TWIA All Lines)</t>
  </si>
  <si>
    <t>Incurred</t>
  </si>
  <si>
    <t>Sheet 3</t>
  </si>
  <si>
    <t>Incurred Loss Development Factors</t>
  </si>
  <si>
    <t>TWIA Schedule P Incurred Loss (Including IBNR)</t>
  </si>
  <si>
    <t>Sheet 4</t>
  </si>
  <si>
    <t>ALAE</t>
  </si>
  <si>
    <t>Sheet 5</t>
  </si>
  <si>
    <t>Incurred ALAE Development Factors</t>
  </si>
  <si>
    <t>Avg x hi / lo</t>
  </si>
  <si>
    <t>Avg 3 Year</t>
  </si>
  <si>
    <t>Summary of Indicated Hurricane Loss &amp; LAE Ratios</t>
  </si>
  <si>
    <t>Exhibit 5</t>
  </si>
  <si>
    <t>Basis for Hurricane Loss Ratio</t>
  </si>
  <si>
    <t>Hurricane Models</t>
  </si>
  <si>
    <t>AIR Model</t>
  </si>
  <si>
    <t>RMS Model</t>
  </si>
  <si>
    <t>Average of Models</t>
  </si>
  <si>
    <t>Exhibit 6</t>
  </si>
  <si>
    <t>(10)</t>
  </si>
  <si>
    <t>Start</t>
  </si>
  <si>
    <t>End</t>
  </si>
  <si>
    <t>Simple Average Loss Ratio for Hurricane Years</t>
  </si>
  <si>
    <t>Average Hurricane Loss Ratio for Hurricane Years</t>
  </si>
  <si>
    <t>Losses</t>
  </si>
  <si>
    <t>Years</t>
  </si>
  <si>
    <t>(5)</t>
  </si>
  <si>
    <t>(9)</t>
  </si>
  <si>
    <t>(8)</t>
  </si>
  <si>
    <t>(7)</t>
  </si>
  <si>
    <t>(6)</t>
  </si>
  <si>
    <t>Selected Non-Hurricane Loss Ratio</t>
  </si>
  <si>
    <t>Earned</t>
  </si>
  <si>
    <t>Premium</t>
  </si>
  <si>
    <t>Average of Non-Hurricane Years</t>
  </si>
  <si>
    <t>Average of Non-Hurricane Years Excluding 1991</t>
  </si>
  <si>
    <t>Territory 8</t>
  </si>
  <si>
    <t>Territory 9</t>
  </si>
  <si>
    <t>Territory 10</t>
  </si>
  <si>
    <t>Weighted</t>
  </si>
  <si>
    <t>Loss Ratios by Territory / Tier</t>
  </si>
  <si>
    <t>% Share</t>
  </si>
  <si>
    <t>Rate Level</t>
  </si>
  <si>
    <t>Sheet 6</t>
  </si>
  <si>
    <t>Sheet 7</t>
  </si>
  <si>
    <t>Factor to TWIA Rate Level</t>
  </si>
  <si>
    <t>(4)</t>
  </si>
  <si>
    <t>County</t>
  </si>
  <si>
    <t>TWIA Insured</t>
  </si>
  <si>
    <t>Values (000s)</t>
  </si>
  <si>
    <t>Modeled</t>
  </si>
  <si>
    <t>Loss Cost</t>
  </si>
  <si>
    <t>Hurricane Loss</t>
  </si>
  <si>
    <t>Expected Annual</t>
  </si>
  <si>
    <t>Indicated Hurricane Loss Ratio</t>
  </si>
  <si>
    <t>Aransas</t>
  </si>
  <si>
    <t>Brazoria</t>
  </si>
  <si>
    <t>Calhoun</t>
  </si>
  <si>
    <t>Cameron</t>
  </si>
  <si>
    <t>Chambers</t>
  </si>
  <si>
    <t>Galveston</t>
  </si>
  <si>
    <t>Harris</t>
  </si>
  <si>
    <t>Jefferson</t>
  </si>
  <si>
    <t>Kenedy</t>
  </si>
  <si>
    <t>Kleberg</t>
  </si>
  <si>
    <t>Matagorda</t>
  </si>
  <si>
    <t>Nueces</t>
  </si>
  <si>
    <t>Refugio</t>
  </si>
  <si>
    <t>San Patricio</t>
  </si>
  <si>
    <t>Willacy</t>
  </si>
  <si>
    <t>Insured Values as of</t>
  </si>
  <si>
    <t>Annual</t>
  </si>
  <si>
    <t>Modeled Loss</t>
  </si>
  <si>
    <t>Exhibit 8</t>
  </si>
  <si>
    <t>Hurricane Loss Ratio -- AIR Model</t>
  </si>
  <si>
    <t>AIR Simulated Hurricane Results</t>
  </si>
  <si>
    <t>Exhibit 9</t>
  </si>
  <si>
    <t>Hurricane Loss Ratio -- RMS Model</t>
  </si>
  <si>
    <t>RMS Simulated Hurricane Results</t>
  </si>
  <si>
    <t>Exhibit 10</t>
  </si>
  <si>
    <t>Date</t>
  </si>
  <si>
    <t>Name</t>
  </si>
  <si>
    <t>Audrey</t>
  </si>
  <si>
    <t>Debra</t>
  </si>
  <si>
    <t>Carla</t>
  </si>
  <si>
    <t>Cindy</t>
  </si>
  <si>
    <t>Celia</t>
  </si>
  <si>
    <t>Fern</t>
  </si>
  <si>
    <t>Allen</t>
  </si>
  <si>
    <t>Alicia</t>
  </si>
  <si>
    <t>Bonnie</t>
  </si>
  <si>
    <t>Chantal</t>
  </si>
  <si>
    <t>Jerry</t>
  </si>
  <si>
    <t>Frequency</t>
  </si>
  <si>
    <t>Date Period</t>
  </si>
  <si>
    <t>Hurricanes</t>
  </si>
  <si>
    <t>Annual Frequency</t>
  </si>
  <si>
    <t>Exhibit 11</t>
  </si>
  <si>
    <t>Exhibit 12</t>
  </si>
  <si>
    <t>Expense Category</t>
  </si>
  <si>
    <t>(1)</t>
  </si>
  <si>
    <t>(2)</t>
  </si>
  <si>
    <t>(3)</t>
  </si>
  <si>
    <t>Direct Earned Premium</t>
  </si>
  <si>
    <t>Direct Written Premium</t>
  </si>
  <si>
    <t>Commission</t>
  </si>
  <si>
    <t>$ Amount</t>
  </si>
  <si>
    <t>% of DWP</t>
  </si>
  <si>
    <t>Other Acquisition</t>
  </si>
  <si>
    <t>General Expense</t>
  </si>
  <si>
    <t>Unadjusted $ Amount</t>
  </si>
  <si>
    <t>Adjustments</t>
  </si>
  <si>
    <t>Contribution to Statutory Fund</t>
  </si>
  <si>
    <t>Adjusted $ Amount</t>
  </si>
  <si>
    <t>Taxes, Licenses &amp; Fees</t>
  </si>
  <si>
    <t>Reinsurance Expense</t>
  </si>
  <si>
    <t>(11)</t>
  </si>
  <si>
    <t>Reconciliation of Premium Data to Annual Statement</t>
  </si>
  <si>
    <t>Calendar</t>
  </si>
  <si>
    <t>TWIA Provided Written Premium</t>
  </si>
  <si>
    <t>Commercial</t>
  </si>
  <si>
    <t>Residential</t>
  </si>
  <si>
    <t>Written Premium</t>
  </si>
  <si>
    <t>Statement Gross</t>
  </si>
  <si>
    <t>Difference</t>
  </si>
  <si>
    <t>Commercial Property - Wind &amp; Hail</t>
  </si>
  <si>
    <t>Reconciliation of Paid Loss Data to Schedule P</t>
  </si>
  <si>
    <t>TWIA Provided Paid Loss</t>
  </si>
  <si>
    <t>Schedule P</t>
  </si>
  <si>
    <t>Direct &amp; Assumed</t>
  </si>
  <si>
    <t>&amp; Farm</t>
  </si>
  <si>
    <t>History of Rate Level Changes</t>
  </si>
  <si>
    <t>Effective</t>
  </si>
  <si>
    <t>Prior</t>
  </si>
  <si>
    <t>8/1/80</t>
  </si>
  <si>
    <t>9/1/81</t>
  </si>
  <si>
    <t>9/1/82</t>
  </si>
  <si>
    <t>10/10/83</t>
  </si>
  <si>
    <t>3/1/85</t>
  </si>
  <si>
    <t>3/15/85</t>
  </si>
  <si>
    <t>11/15/85</t>
  </si>
  <si>
    <t>7/1/87</t>
  </si>
  <si>
    <t>11/1/88</t>
  </si>
  <si>
    <t>3/1/90</t>
  </si>
  <si>
    <t>4/1/91</t>
  </si>
  <si>
    <t>1/1/92</t>
  </si>
  <si>
    <t>10/1/93</t>
  </si>
  <si>
    <t>1/1/98</t>
  </si>
  <si>
    <t>1/1/00</t>
  </si>
  <si>
    <t>1/1/01</t>
  </si>
  <si>
    <t>1/1/02</t>
  </si>
  <si>
    <t>Calculation of On-Level Premium Factors</t>
  </si>
  <si>
    <t>Current</t>
  </si>
  <si>
    <t>Applicable Rates</t>
  </si>
  <si>
    <t>Rate Level in Effect</t>
  </si>
  <si>
    <t>B.O.Y.</t>
  </si>
  <si>
    <t>E.O.Y.</t>
  </si>
  <si>
    <t>Cumulative Rate Level</t>
  </si>
  <si>
    <t># Months</t>
  </si>
  <si>
    <t>Level</t>
  </si>
  <si>
    <t>Factor to</t>
  </si>
  <si>
    <t>Calculation of Earned Premium at Present Rate Level</t>
  </si>
  <si>
    <t>TWIA</t>
  </si>
  <si>
    <t>Written</t>
  </si>
  <si>
    <t>Industry Experience -- Commercial Extended Coverage</t>
  </si>
  <si>
    <t>AY</t>
  </si>
  <si>
    <t>at 1992 MR</t>
  </si>
  <si>
    <t>TWIA Factor</t>
  </si>
  <si>
    <t>to Current</t>
  </si>
  <si>
    <t>Premium at</t>
  </si>
  <si>
    <t>Current Rates</t>
  </si>
  <si>
    <t>TWIA premium as % of industry</t>
  </si>
  <si>
    <t>TWIA Commercial Property Paid Loss</t>
  </si>
  <si>
    <t>CY Data Ending</t>
  </si>
  <si>
    <t>Latest Annual Statement Date</t>
  </si>
  <si>
    <t>CAY Ending</t>
  </si>
  <si>
    <t>Evaluated as of</t>
  </si>
  <si>
    <t>TDI</t>
  </si>
  <si>
    <t>ISO</t>
  </si>
  <si>
    <t>at 1992 CMR</t>
  </si>
  <si>
    <t>1/1/03</t>
  </si>
  <si>
    <t>Calculation of On-Level Factors</t>
  </si>
  <si>
    <t>Rate Change</t>
  </si>
  <si>
    <t>RC + 1</t>
  </si>
  <si>
    <t>OLF</t>
  </si>
  <si>
    <t>Average OLF</t>
  </si>
  <si>
    <t>AY Ending</t>
  </si>
  <si>
    <t>Evaluated</t>
  </si>
  <si>
    <t>Ultimate LAE (TWIA All Lines)</t>
  </si>
  <si>
    <t>Fixed</t>
  </si>
  <si>
    <t>Expenses</t>
  </si>
  <si>
    <t>LLAE Ratio</t>
  </si>
  <si>
    <t>Total Fixed Expenses</t>
  </si>
  <si>
    <t>Total Variable Expenses</t>
  </si>
  <si>
    <t>In-Force</t>
  </si>
  <si>
    <t>Trend Length</t>
  </si>
  <si>
    <t>Selected Premium Trend</t>
  </si>
  <si>
    <t>Prospective</t>
  </si>
  <si>
    <t>Premium Trend Analysis</t>
  </si>
  <si>
    <t>Year /</t>
  </si>
  <si>
    <t>Period</t>
  </si>
  <si>
    <t>Quarter</t>
  </si>
  <si>
    <t>Index</t>
  </si>
  <si>
    <t>(15)</t>
  </si>
  <si>
    <t>Sheet 3a</t>
  </si>
  <si>
    <t>Loss Trend Analysis</t>
  </si>
  <si>
    <t>Summary of Indices and Calculation of Prospective Loss Costs</t>
  </si>
  <si>
    <t>Calendar Year</t>
  </si>
  <si>
    <t>Statewide</t>
  </si>
  <si>
    <t>Coastal</t>
  </si>
  <si>
    <t>Modified</t>
  </si>
  <si>
    <t>Weights</t>
  </si>
  <si>
    <t>Boeckh</t>
  </si>
  <si>
    <t>CPI</t>
  </si>
  <si>
    <t>MCPI</t>
  </si>
  <si>
    <t>Factors to Adjust For Prospective Loss Costs</t>
  </si>
  <si>
    <t>Fitted Trend</t>
  </si>
  <si>
    <t>Average Accident Date</t>
  </si>
  <si>
    <t>Cost Factor</t>
  </si>
  <si>
    <t>Sheet 3b</t>
  </si>
  <si>
    <t>CY Ending</t>
  </si>
  <si>
    <t>Texas</t>
  </si>
  <si>
    <t>Fitted Trends</t>
  </si>
  <si>
    <t>All Years</t>
  </si>
  <si>
    <t>5 Years</t>
  </si>
  <si>
    <t>4 Years</t>
  </si>
  <si>
    <t>3 Years</t>
  </si>
  <si>
    <t>Linear</t>
  </si>
  <si>
    <t>Exponential</t>
  </si>
  <si>
    <t>Annual Trend</t>
  </si>
  <si>
    <t>R-Squared</t>
  </si>
  <si>
    <t>Sheet 3c</t>
  </si>
  <si>
    <t>Sheet 3d</t>
  </si>
  <si>
    <t>Modified Consumer Price Index - External Trend</t>
  </si>
  <si>
    <t>Payments</t>
  </si>
  <si>
    <t>IBNR</t>
  </si>
  <si>
    <t>Case Resv</t>
  </si>
  <si>
    <t>1/1/04</t>
  </si>
  <si>
    <t>Calculation of Net Trend Factors</t>
  </si>
  <si>
    <t>Current Average Earned Date</t>
  </si>
  <si>
    <t>Current Average Accident Date</t>
  </si>
  <si>
    <t>Prospective Average Earned / Accident Date</t>
  </si>
  <si>
    <t>Premium Trend Length</t>
  </si>
  <si>
    <t>Loss Trend Length</t>
  </si>
  <si>
    <t>(12)</t>
  </si>
  <si>
    <t>(13)</t>
  </si>
  <si>
    <t>(14)</t>
  </si>
  <si>
    <t>Claudette</t>
  </si>
  <si>
    <t>1/1/05</t>
  </si>
  <si>
    <t>Boeckh Commercial Construction Index Trend (Coastal)</t>
  </si>
  <si>
    <t>Boeckh Commercial Construction Index Trend (Statewide)</t>
  </si>
  <si>
    <t xml:space="preserve"> </t>
  </si>
  <si>
    <t>Selected Frequency</t>
  </si>
  <si>
    <t>Historical Hurricane Frequency</t>
  </si>
  <si>
    <t>Industry Experience</t>
  </si>
  <si>
    <t>Using Actual Industry Experience</t>
  </si>
  <si>
    <t>5-Year</t>
  </si>
  <si>
    <t>4-Year</t>
  </si>
  <si>
    <t>3-Year</t>
  </si>
  <si>
    <t>Selected Loss Trend</t>
  </si>
  <si>
    <t>1/1/06</t>
  </si>
  <si>
    <t>Rita</t>
  </si>
  <si>
    <t>2005</t>
  </si>
  <si>
    <t xml:space="preserve">              For 1985, there were two additional rate changes</t>
  </si>
  <si>
    <t>TWIA Commercial Earned Premium at Present Rates</t>
  </si>
  <si>
    <t>Present Rates</t>
  </si>
  <si>
    <t>at Present Rates</t>
  </si>
  <si>
    <t>Exponential Fitted Trends</t>
  </si>
  <si>
    <t>All-Year</t>
  </si>
  <si>
    <t>Average Annual Change</t>
  </si>
  <si>
    <t>Correlation Coefficient</t>
  </si>
  <si>
    <t>(16)</t>
  </si>
  <si>
    <t>9/1/06</t>
  </si>
  <si>
    <t>1/1/07</t>
  </si>
  <si>
    <t>C</t>
  </si>
  <si>
    <t>D</t>
  </si>
  <si>
    <t>E</t>
  </si>
  <si>
    <t>F</t>
  </si>
  <si>
    <t>G</t>
  </si>
  <si>
    <t>I</t>
  </si>
  <si>
    <t>J</t>
  </si>
  <si>
    <t>K</t>
  </si>
  <si>
    <t>Avg Cuml</t>
  </si>
  <si>
    <t>Month</t>
  </si>
  <si>
    <t>Landfall</t>
  </si>
  <si>
    <t>Jun</t>
  </si>
  <si>
    <t>Sep</t>
  </si>
  <si>
    <t>Jul</t>
  </si>
  <si>
    <t>Oct</t>
  </si>
  <si>
    <t>Aug</t>
  </si>
  <si>
    <t>“Matagorda”</t>
  </si>
  <si>
    <t>“Sabine River-Lake Calcasieu”</t>
  </si>
  <si>
    <t>“Galveston”</t>
  </si>
  <si>
    <t>“Lower Texas Coast"</t>
  </si>
  <si>
    <t>“Indianola”</t>
  </si>
  <si>
    <t>“Velasco”</t>
  </si>
  <si>
    <t>“Freeport”</t>
  </si>
  <si>
    <t>Beulah</t>
  </si>
  <si>
    <t>Bret</t>
  </si>
  <si>
    <t>On-</t>
  </si>
  <si>
    <t>Factors</t>
  </si>
  <si>
    <t>Exhibit 7</t>
  </si>
  <si>
    <t>Humberto</t>
  </si>
  <si>
    <t>2/1/08</t>
  </si>
  <si>
    <t xml:space="preserve">              For each year except 1985, 2006, and 2008 the B.O.Y. and E.O.Y. rates are the only rates applicable</t>
  </si>
  <si>
    <t xml:space="preserve">              For 2006, there was one additional rate change</t>
  </si>
  <si>
    <t xml:space="preserve">              For 2008, the rate change took effect mid-year</t>
  </si>
  <si>
    <t>Tier 2 (Territories 1 and 11)</t>
  </si>
  <si>
    <t>L</t>
  </si>
  <si>
    <t>2007</t>
  </si>
  <si>
    <t>2/1/09</t>
  </si>
  <si>
    <t>Dolly</t>
  </si>
  <si>
    <t>Ike</t>
  </si>
  <si>
    <t>M</t>
  </si>
  <si>
    <t>2008</t>
  </si>
  <si>
    <t>Using Experience and Models</t>
  </si>
  <si>
    <t>Provided by TWIA, includes commercial and farm,</t>
  </si>
  <si>
    <t>Proposed</t>
  </si>
  <si>
    <t>Development of Reinsurer Expense</t>
  </si>
  <si>
    <t>Using Average of AIR and  RMS Hurricane Models</t>
  </si>
  <si>
    <t>Reinsurance Contract</t>
  </si>
  <si>
    <t>Expiring</t>
  </si>
  <si>
    <t>Average Earned Date</t>
  </si>
  <si>
    <t>(2a)</t>
  </si>
  <si>
    <t>Average Annual Loss by Reinsurance Layer (AIR)</t>
  </si>
  <si>
    <t>Hurricane Model</t>
  </si>
  <si>
    <t>Selected Exposure Trend</t>
  </si>
  <si>
    <t>(2b)</t>
  </si>
  <si>
    <t>Average Annual Loss by Reinsurance Layer (RMS)</t>
  </si>
  <si>
    <t>12/31</t>
  </si>
  <si>
    <t>(2c)</t>
  </si>
  <si>
    <t>Selected Total Average Annual Loss</t>
  </si>
  <si>
    <t>Annual Exposure Growth</t>
  </si>
  <si>
    <t>Prospective Average Annual Loss</t>
  </si>
  <si>
    <t>Net Cost of Reinsurance</t>
  </si>
  <si>
    <t>Indicated Reinsurance Expense %</t>
  </si>
  <si>
    <t>1/1/11</t>
  </si>
  <si>
    <t>N</t>
  </si>
  <si>
    <t>2010 / 4</t>
  </si>
  <si>
    <t>Provision for</t>
  </si>
  <si>
    <t>Storm Surge</t>
  </si>
  <si>
    <t>AIR Storm Surge Increase</t>
  </si>
  <si>
    <t>RMS Storm Surge Increase</t>
  </si>
  <si>
    <t>1/1/12</t>
  </si>
  <si>
    <t>1/1/13</t>
  </si>
  <si>
    <t>direct and assumed; DCC only</t>
  </si>
  <si>
    <t>sum</t>
  </si>
  <si>
    <t>2012 / 4</t>
  </si>
  <si>
    <t>2011 / 4</t>
  </si>
  <si>
    <t>2006</t>
  </si>
  <si>
    <t>2009</t>
  </si>
  <si>
    <t>2010</t>
  </si>
  <si>
    <t>O</t>
  </si>
  <si>
    <t>P</t>
  </si>
  <si>
    <t>2011</t>
  </si>
  <si>
    <t>1/1/14</t>
  </si>
  <si>
    <t>Q</t>
  </si>
  <si>
    <t>R</t>
  </si>
  <si>
    <t>2013 / 4</t>
  </si>
  <si>
    <t>Deducted Litigation Costs</t>
  </si>
  <si>
    <t>Notes: premium trend derived above include impact from exposure change, deductible change, policy limits change, and etc.</t>
  </si>
  <si>
    <t>2014 / 4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</si>
  <si>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</si>
  <si>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</si>
  <si>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</si>
  <si>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</si>
  <si>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</si>
  <si>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</si>
  <si>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</si>
  <si>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</si>
  <si>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</si>
  <si>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</si>
  <si>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</si>
  <si>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</si>
  <si>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2012</t>
  </si>
  <si>
    <t>2013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</si>
  <si>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</si>
  <si>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</si>
  <si>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</si>
  <si>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</si>
  <si>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</si>
  <si>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</si>
  <si>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</si>
  <si>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</si>
  <si>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</si>
  <si>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</si>
  <si>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Debt Service</t>
  </si>
  <si>
    <t>1/1/15</t>
  </si>
  <si>
    <t>2015 / 4</t>
  </si>
  <si>
    <t>S</t>
  </si>
  <si>
    <t>1/1/16</t>
  </si>
  <si>
    <t>Exhibit of Preiumium and Loss</t>
  </si>
  <si>
    <t>2016 / 4</t>
  </si>
  <si>
    <t>Interest Payment</t>
  </si>
  <si>
    <t>interest</t>
  </si>
  <si>
    <t>principle</t>
  </si>
  <si>
    <t>Factor to TWIA Rate Level 1997 and prior</t>
  </si>
  <si>
    <t>Factor to TWIA Rate Level 1998 to 2016</t>
  </si>
  <si>
    <t>Overall Indication</t>
  </si>
  <si>
    <t>Net of Depop</t>
  </si>
  <si>
    <t>Fixed Expenses and Permissible Loss &amp; LAE Ratios</t>
  </si>
  <si>
    <t>Permissible Loss &amp; LAE Ratio</t>
  </si>
  <si>
    <t>Harvey</t>
  </si>
  <si>
    <t>Outstanding Class 1 Public Security Repayment</t>
  </si>
  <si>
    <t>CRTF Contribution &amp; UW Contingency &amp; Uncertainty</t>
  </si>
  <si>
    <t>s</t>
  </si>
  <si>
    <t>T</t>
  </si>
  <si>
    <t>Factor to TWIA Rate Level 1998 to 2017</t>
  </si>
  <si>
    <t>1/1/17</t>
  </si>
  <si>
    <t>1/1/18</t>
  </si>
  <si>
    <t>2014</t>
  </si>
  <si>
    <t>2015</t>
  </si>
  <si>
    <t>2016</t>
  </si>
  <si>
    <t>2017</t>
  </si>
  <si>
    <t>AAO</t>
  </si>
  <si>
    <t>DCC</t>
  </si>
  <si>
    <t>TWIA Schedule P Incurred DCC (Including IBNR)</t>
  </si>
  <si>
    <t>2017 / 4</t>
  </si>
  <si>
    <t>Writen premium</t>
  </si>
  <si>
    <t>At present rates</t>
  </si>
  <si>
    <t>excludes hurricanes Brett (1999), Claudette (2003), Rita (2005), Humberto (2007), Dolly (2008), and Ike (2008), Harvey (2017)</t>
  </si>
  <si>
    <t>Prospective WPPR</t>
  </si>
  <si>
    <t>Losses at 12/31/2018</t>
  </si>
  <si>
    <t>ALAE at 12/31/2018</t>
  </si>
  <si>
    <t>Paid</t>
  </si>
  <si>
    <t>Case</t>
  </si>
  <si>
    <t>2018</t>
  </si>
  <si>
    <t>Loss Adjustment Expense Amounts</t>
  </si>
  <si>
    <t>Unpaid</t>
  </si>
  <si>
    <t>2017(Other)</t>
  </si>
  <si>
    <t>2017(Harvey)</t>
  </si>
  <si>
    <t>2018 / 4</t>
  </si>
  <si>
    <t>Factor to TWIA Rate Level 1998 to 2018</t>
  </si>
  <si>
    <t>Col 6 -Schedule P Part I</t>
  </si>
  <si>
    <t>Col 17</t>
  </si>
  <si>
    <t>Col 19</t>
  </si>
  <si>
    <t>Devel't Wtd</t>
  </si>
  <si>
    <t>2018 EPPR</t>
  </si>
  <si>
    <t>Earned Premium From 2018 AS</t>
  </si>
  <si>
    <t>100% of $2100M XS $2100M</t>
  </si>
  <si>
    <t>(9) = (5) + (7) + (8)</t>
  </si>
  <si>
    <t>$320.396M = TWIA 2018 written premium $395,551,679*(1-10%)^2; 10% from Exhibit 11, sheet 2, (3)</t>
  </si>
  <si>
    <t>% of DEP</t>
  </si>
  <si>
    <t>(7) = (6) * loss develepment factors from Exhibit 2.2</t>
  </si>
  <si>
    <t>Exposure</t>
  </si>
  <si>
    <t>Quarterly</t>
  </si>
  <si>
    <t>Four Quarter Ending</t>
  </si>
  <si>
    <t>(6) = (5) / (2)</t>
  </si>
  <si>
    <t>(7) annualized average written premium</t>
  </si>
  <si>
    <t>Per house year</t>
  </si>
  <si>
    <t xml:space="preserve">(8) Outstanding Class 1 Public Security issued in 2014, Security depleted due to Hurricane Harvey; </t>
  </si>
  <si>
    <t>Table of Contents</t>
  </si>
  <si>
    <t>Main Heading</t>
  </si>
  <si>
    <t>Sub-heading</t>
  </si>
  <si>
    <t xml:space="preserve">Exhibit </t>
  </si>
  <si>
    <t>Sheet</t>
  </si>
  <si>
    <t>Tab label</t>
  </si>
  <si>
    <t>3.2 premium trend</t>
  </si>
  <si>
    <t>3.3a</t>
  </si>
  <si>
    <t>3.3b</t>
  </si>
  <si>
    <t>3.3c</t>
  </si>
  <si>
    <t>3.3d</t>
  </si>
  <si>
    <t>6.2 - industry</t>
  </si>
  <si>
    <t>Commerial Property - Wind &amp; Hail</t>
  </si>
  <si>
    <t>Summary of TWIA Historical Paid Loss as of 12/31/18</t>
  </si>
  <si>
    <t>Texas Hurricanes 1850 - 2018</t>
  </si>
  <si>
    <t>Calculation of TWIA Earned Premium at Present Rate Level</t>
  </si>
  <si>
    <t>2019 Rate Level Review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</si>
</sst>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43" formatCode="_(* #,##0.00_);_(* \(#,##0.00\);_(* &quot;-&quot;??_);_(@_)"/>
    <numFmt numFmtId="164" formatCode="0.0%"/>
    <numFmt numFmtId="165" formatCode="\+0%;\-0%;0%"/>
    <numFmt numFmtId="166" formatCode="0.000"/>
    <numFmt numFmtId="167" formatCode="#,##0.000"/>
    <numFmt numFmtId="168" formatCode="0.0000"/>
    <numFmt numFmtId="169" formatCode="&quot;$&quot;#,##0"/>
    <numFmt numFmtId="170" formatCode="_(* #,##0_);_(* \(#,##0\);_(* &quot;-&quot;??_);_(@_)"/>
    <numFmt numFmtId="171" formatCode="0.0"/>
    <numFmt numFmtId="172" formatCode="_(&quot;$&quot;* #,##0.00_);_(&quot;$&quot;* \(#,##0.00\);_(&quot;$&quot;* &quot;0.00&quot;_);_(@_)"/>
    <numFmt numFmtId="173" formatCode="_(* #,##0.00_);_(* \(#,##0.00\);_(* &quot;0.00&quot;_);_(@_)"/>
    <numFmt numFmtId="174" formatCode="_(* #,##0.000_);_(* \(#,##0.000\);_(* &quot;0.000&quot;_);_(@_)"/>
    <numFmt numFmtId="175" formatCode="_(&quot;$&quot;* #,##0.0_);_(&quot;$&quot;* \(#,##0.0\);_(&quot;$&quot;* &quot;0.0&quot;_);_(@_)"/>
    <numFmt numFmtId="176" formatCode="_(* #,##0.0_);_(* \(#,##0.0\);_(* &quot;0.0&quot;_);_(@_)"/>
    <numFmt numFmtId="177" formatCode="_(* #,##0.00000_);_(* \(#,##0.00000\);_(* &quot;0.00000&quot;_);_(@_)"/>
    <numFmt numFmtId="178" formatCode="0.0000000000000000%"/>
    <numFmt numFmtId="179" formatCode="\+0.0%;\-0.0%;0.0%"/>
    <numFmt numFmtId="180" formatCode="m/d/yy;@"/>
    <numFmt numFmtId="181" formatCode="_(* #,##0.0_);_(* \(#,##0.0\);_(* &quot;-&quot;??_);_(@_)"/>
  </numFmts>
  <fonts count="24" x14ac:knownFonts="1">
    <font>
      <sz val="8"/>
      <name val="Arial"/>
      <family val="2"/>
    </font>
    <font>
      <sz val="8"/>
      <name val="Arial Narrow"/>
      <family val="2"/>
    </font>
    <font>
      <b/>
      <sz val="8"/>
      <name val="Arial"/>
      <family val="2"/>
    </font>
    <font>
      <u/>
      <sz val="8"/>
      <name val="Arial"/>
      <family val="2"/>
    </font>
    <font>
      <sz val="8"/>
      <name val="Arial"/>
      <family val="2"/>
    </font>
    <font>
      <sz val="8"/>
      <color indexed="10"/>
      <name val="Arial"/>
      <family val="2"/>
    </font>
    <font>
      <sz val="8"/>
      <color indexed="12"/>
      <name val="Arial"/>
      <family val="2"/>
    </font>
    <font>
      <sz val="8"/>
      <color indexed="14"/>
      <name val="Arial"/>
      <family val="2"/>
    </font>
    <font>
      <sz val="8"/>
      <color indexed="54"/>
      <name val="Arial"/>
      <family val="2"/>
    </font>
    <font>
      <b/>
      <sz val="8"/>
      <color indexed="81"/>
      <name val="Tahoma"/>
      <family val="2"/>
    </font>
    <font>
      <sz val="12"/>
      <name val="Times New Roman"/>
      <family val="1"/>
    </font>
    <font>
      <sz val="8"/>
      <color indexed="81"/>
      <name val="Tahoma"/>
      <family val="2"/>
    </font>
    <font>
      <sz val="11"/>
      <name val="Calibri"/>
      <family val="2"/>
    </font>
    <font>
      <sz val="10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color rgb="FFFF0000"/>
      <name val="Arial"/>
      <family val="2"/>
    </font>
    <font>
      <sz val="10"/>
      <color rgb="FF1F497D"/>
      <name val="Arial"/>
      <family val="2"/>
    </font>
    <font>
      <sz val="8"/>
      <color theme="1"/>
      <name val="Arial"/>
      <family val="2"/>
    </font>
    <font>
      <sz val="11"/>
      <color rgb="FF1F3864"/>
      <name val="Calibri"/>
      <family val="2"/>
    </font>
    <font>
      <sz val="8"/>
      <color rgb="FF666699"/>
      <name val="Arial"/>
      <family val="2"/>
    </font>
    <font>
      <b/>
      <sz val="10"/>
      <color rgb="FF26282A"/>
      <name val="Arial"/>
      <family val="2"/>
    </font>
    <font>
      <sz val="8"/>
      <color rgb="FF3366FF"/>
      <name val="Arial"/>
      <family val="2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64"/>
      </bottom>
      <diagonal/>
    </border>
    <border diagonalUp="1">
      <left style="thin">
        <color indexed="64"/>
      </left>
      <right style="thin">
        <color indexed="22"/>
      </right>
      <top style="thin">
        <color indexed="22"/>
      </top>
      <bottom style="thin">
        <color indexed="64"/>
      </bottom>
      <diagonal style="thin">
        <color indexed="64"/>
      </diagonal>
    </border>
    <border diagonalUp="1">
      <left style="thin">
        <color indexed="22"/>
      </left>
      <right style="thin">
        <color indexed="64"/>
      </right>
      <top style="thin">
        <color indexed="64"/>
      </top>
      <bottom style="thin">
        <color indexed="22"/>
      </bottom>
      <diagonal style="thin">
        <color indexed="64"/>
      </diagonal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 diagonalUp="1"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 style="thin">
        <color indexed="64"/>
      </diagonal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diagonalUp="1">
      <left style="thin">
        <color indexed="64"/>
      </left>
      <right style="thin">
        <color indexed="22"/>
      </right>
      <top style="thin">
        <color indexed="22"/>
      </top>
      <bottom/>
      <diagonal style="thin">
        <color indexed="64"/>
      </diagonal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64"/>
      </right>
      <top style="thin">
        <color indexed="22"/>
      </top>
      <bottom/>
      <diagonal/>
    </border>
    <border>
      <left style="thin">
        <color indexed="64"/>
      </left>
      <right style="thin">
        <color indexed="22"/>
      </right>
      <top style="thin">
        <color indexed="22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176" fontId="10" fillId="0" borderId="0"/>
    <xf numFmtId="173" fontId="10" fillId="0" borderId="0"/>
    <xf numFmtId="174" fontId="10" fillId="0" borderId="0"/>
    <xf numFmtId="177" fontId="10" fillId="0" borderId="0"/>
    <xf numFmtId="175" fontId="10" fillId="0" borderId="0"/>
    <xf numFmtId="172" fontId="10" fillId="0" borderId="0"/>
    <xf numFmtId="0" fontId="4" fillId="0" borderId="0"/>
    <xf numFmtId="9" fontId="1" fillId="0" borderId="0" applyFont="0" applyFill="0" applyBorder="0" applyAlignment="0" applyProtection="0"/>
    <xf numFmtId="164" fontId="10" fillId="0" borderId="0"/>
  </cellStyleXfs>
  <cellXfs count="453">
    <xf numFmtId="0" fontId="0" fillId="0" borderId="0" xfId="0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0" borderId="7" xfId="0" applyBorder="1"/>
    <xf numFmtId="0" fontId="0" fillId="0" borderId="0" xfId="0" applyAlignment="1">
      <alignment horizontal="right"/>
    </xf>
    <xf numFmtId="0" fontId="2" fillId="0" borderId="0" xfId="0" applyFont="1"/>
    <xf numFmtId="0" fontId="0" fillId="0" borderId="8" xfId="0" applyBorder="1"/>
    <xf numFmtId="0" fontId="3" fillId="0" borderId="0" xfId="0" applyFont="1"/>
    <xf numFmtId="0" fontId="0" fillId="0" borderId="0" xfId="0" applyAlignment="1">
      <alignment horizontal="center"/>
    </xf>
    <xf numFmtId="0" fontId="4" fillId="0" borderId="0" xfId="0" applyFont="1"/>
    <xf numFmtId="0" fontId="0" fillId="0" borderId="0" xfId="0" applyAlignment="1">
      <alignment horizontal="centerContinuous"/>
    </xf>
    <xf numFmtId="164" fontId="5" fillId="0" borderId="0" xfId="9" applyNumberFormat="1" applyFont="1"/>
    <xf numFmtId="165" fontId="5" fillId="0" borderId="0" xfId="9" applyNumberFormat="1" applyFont="1"/>
    <xf numFmtId="165" fontId="4" fillId="0" borderId="0" xfId="9" applyNumberFormat="1" applyFont="1"/>
    <xf numFmtId="164" fontId="4" fillId="0" borderId="0" xfId="9" applyNumberFormat="1" applyFont="1"/>
    <xf numFmtId="3" fontId="0" fillId="0" borderId="0" xfId="0" applyNumberFormat="1"/>
    <xf numFmtId="164" fontId="0" fillId="0" borderId="0" xfId="0" applyNumberFormat="1"/>
    <xf numFmtId="164" fontId="0" fillId="0" borderId="8" xfId="0" applyNumberFormat="1" applyBorder="1"/>
    <xf numFmtId="0" fontId="4" fillId="0" borderId="0" xfId="0" applyFont="1" applyFill="1"/>
    <xf numFmtId="164" fontId="4" fillId="0" borderId="0" xfId="9" applyNumberFormat="1" applyFont="1" applyFill="1"/>
    <xf numFmtId="0" fontId="3" fillId="0" borderId="0" xfId="0" applyFont="1" applyFill="1"/>
    <xf numFmtId="0" fontId="0" fillId="0" borderId="0" xfId="0" applyAlignment="1">
      <alignment horizontal="left"/>
    </xf>
    <xf numFmtId="0" fontId="0" fillId="0" borderId="8" xfId="0" applyBorder="1" applyAlignment="1">
      <alignment horizontal="left"/>
    </xf>
    <xf numFmtId="0" fontId="5" fillId="0" borderId="0" xfId="0" applyFont="1" applyFill="1"/>
    <xf numFmtId="3" fontId="0" fillId="0" borderId="8" xfId="0" applyNumberFormat="1" applyBorder="1"/>
    <xf numFmtId="164" fontId="0" fillId="0" borderId="0" xfId="0" applyNumberFormat="1" applyFill="1"/>
    <xf numFmtId="3" fontId="4" fillId="0" borderId="0" xfId="0" applyNumberFormat="1" applyFont="1" applyFill="1"/>
    <xf numFmtId="3" fontId="4" fillId="0" borderId="8" xfId="0" applyNumberFormat="1" applyFont="1" applyFill="1" applyBorder="1"/>
    <xf numFmtId="3" fontId="0" fillId="0" borderId="0" xfId="0" applyNumberFormat="1" applyFill="1"/>
    <xf numFmtId="3" fontId="0" fillId="0" borderId="8" xfId="0" applyNumberFormat="1" applyFill="1" applyBorder="1"/>
    <xf numFmtId="166" fontId="4" fillId="0" borderId="0" xfId="0" applyNumberFormat="1" applyFont="1" applyFill="1"/>
    <xf numFmtId="166" fontId="0" fillId="0" borderId="0" xfId="0" applyNumberFormat="1" applyFill="1"/>
    <xf numFmtId="166" fontId="0" fillId="0" borderId="8" xfId="0" applyNumberFormat="1" applyFill="1" applyBorder="1"/>
    <xf numFmtId="3" fontId="5" fillId="0" borderId="0" xfId="0" applyNumberFormat="1" applyFont="1" applyFill="1"/>
    <xf numFmtId="167" fontId="4" fillId="0" borderId="0" xfId="0" applyNumberFormat="1" applyFont="1" applyFill="1"/>
    <xf numFmtId="167" fontId="4" fillId="0" borderId="8" xfId="0" applyNumberFormat="1" applyFont="1" applyFill="1" applyBorder="1"/>
    <xf numFmtId="167" fontId="0" fillId="0" borderId="0" xfId="0" applyNumberFormat="1"/>
    <xf numFmtId="166" fontId="0" fillId="0" borderId="0" xfId="0" applyNumberFormat="1"/>
    <xf numFmtId="166" fontId="5" fillId="0" borderId="0" xfId="0" applyNumberFormat="1" applyFont="1" applyFill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3" fontId="5" fillId="0" borderId="0" xfId="0" applyNumberFormat="1" applyFont="1" applyFill="1" applyBorder="1"/>
    <xf numFmtId="0" fontId="5" fillId="0" borderId="0" xfId="0" applyFont="1" applyFill="1" applyBorder="1"/>
    <xf numFmtId="3" fontId="0" fillId="0" borderId="0" xfId="0" applyNumberFormat="1" applyFill="1" applyBorder="1"/>
    <xf numFmtId="0" fontId="0" fillId="0" borderId="0" xfId="0" applyBorder="1"/>
    <xf numFmtId="0" fontId="0" fillId="0" borderId="0" xfId="0" applyBorder="1" applyAlignment="1">
      <alignment horizontal="left"/>
    </xf>
    <xf numFmtId="14" fontId="4" fillId="0" borderId="0" xfId="0" applyNumberFormat="1" applyFont="1" applyFill="1"/>
    <xf numFmtId="164" fontId="4" fillId="0" borderId="0" xfId="9" applyNumberFormat="1" applyFont="1" applyFill="1" applyBorder="1"/>
    <xf numFmtId="165" fontId="4" fillId="0" borderId="0" xfId="9" applyNumberFormat="1" applyFont="1" applyFill="1" applyBorder="1"/>
    <xf numFmtId="166" fontId="4" fillId="0" borderId="0" xfId="9" applyNumberFormat="1" applyFont="1" applyFill="1"/>
    <xf numFmtId="0" fontId="0" fillId="0" borderId="0" xfId="0" quotePrefix="1"/>
    <xf numFmtId="0" fontId="0" fillId="0" borderId="0" xfId="0" applyFill="1" applyAlignment="1">
      <alignment horizontal="left"/>
    </xf>
    <xf numFmtId="0" fontId="0" fillId="0" borderId="8" xfId="0" applyFill="1" applyBorder="1" applyAlignment="1">
      <alignment horizontal="left"/>
    </xf>
    <xf numFmtId="3" fontId="0" fillId="0" borderId="0" xfId="0" applyNumberFormat="1" applyBorder="1"/>
    <xf numFmtId="49" fontId="4" fillId="0" borderId="0" xfId="0" applyNumberFormat="1" applyFont="1" applyFill="1" applyBorder="1"/>
    <xf numFmtId="0" fontId="0" fillId="0" borderId="0" xfId="0" applyFill="1"/>
    <xf numFmtId="164" fontId="4" fillId="0" borderId="0" xfId="0" applyNumberFormat="1" applyFont="1" applyFill="1"/>
    <xf numFmtId="164" fontId="5" fillId="0" borderId="0" xfId="0" applyNumberFormat="1" applyFont="1" applyFill="1" applyBorder="1"/>
    <xf numFmtId="164" fontId="4" fillId="0" borderId="0" xfId="0" applyNumberFormat="1" applyFont="1" applyFill="1" applyBorder="1"/>
    <xf numFmtId="164" fontId="0" fillId="0" borderId="0" xfId="0" applyNumberFormat="1" applyFill="1" applyBorder="1"/>
    <xf numFmtId="0" fontId="0" fillId="0" borderId="0" xfId="0" quotePrefix="1" applyNumberFormat="1" applyAlignment="1">
      <alignment horizontal="center"/>
    </xf>
    <xf numFmtId="3" fontId="4" fillId="0" borderId="0" xfId="0" applyNumberFormat="1" applyFont="1"/>
    <xf numFmtId="164" fontId="6" fillId="0" borderId="0" xfId="0" applyNumberFormat="1" applyFont="1"/>
    <xf numFmtId="164" fontId="4" fillId="0" borderId="8" xfId="0" applyNumberFormat="1" applyFont="1" applyFill="1" applyBorder="1"/>
    <xf numFmtId="164" fontId="4" fillId="0" borderId="8" xfId="9" applyNumberFormat="1" applyFont="1" applyFill="1" applyBorder="1"/>
    <xf numFmtId="0" fontId="0" fillId="0" borderId="0" xfId="0" quotePrefix="1" applyFill="1"/>
    <xf numFmtId="3" fontId="4" fillId="0" borderId="0" xfId="9" applyNumberFormat="1" applyFont="1" applyFill="1"/>
    <xf numFmtId="166" fontId="4" fillId="0" borderId="8" xfId="0" applyNumberFormat="1" applyFont="1" applyFill="1" applyBorder="1"/>
    <xf numFmtId="3" fontId="5" fillId="0" borderId="8" xfId="0" applyNumberFormat="1" applyFont="1" applyFill="1" applyBorder="1"/>
    <xf numFmtId="14" fontId="0" fillId="0" borderId="0" xfId="0" applyNumberFormat="1"/>
    <xf numFmtId="49" fontId="0" fillId="0" borderId="0" xfId="0" applyNumberFormat="1"/>
    <xf numFmtId="49" fontId="4" fillId="0" borderId="8" xfId="0" applyNumberFormat="1" applyFont="1" applyBorder="1"/>
    <xf numFmtId="0" fontId="4" fillId="0" borderId="0" xfId="0" applyNumberFormat="1" applyFont="1" applyFill="1"/>
    <xf numFmtId="0" fontId="0" fillId="0" borderId="0" xfId="0" applyNumberFormat="1"/>
    <xf numFmtId="0" fontId="4" fillId="0" borderId="0" xfId="0" applyNumberFormat="1" applyFont="1"/>
    <xf numFmtId="14" fontId="0" fillId="0" borderId="0" xfId="0" applyNumberFormat="1" applyFill="1"/>
    <xf numFmtId="166" fontId="0" fillId="0" borderId="0" xfId="0" applyNumberFormat="1" applyFill="1" applyBorder="1"/>
    <xf numFmtId="164" fontId="4" fillId="0" borderId="0" xfId="0" applyNumberFormat="1" applyFont="1"/>
    <xf numFmtId="0" fontId="4" fillId="0" borderId="8" xfId="0" applyFont="1" applyBorder="1" applyAlignment="1">
      <alignment horizontal="left"/>
    </xf>
    <xf numFmtId="170" fontId="4" fillId="0" borderId="0" xfId="9" applyNumberFormat="1" applyFont="1" applyFill="1"/>
    <xf numFmtId="170" fontId="4" fillId="0" borderId="8" xfId="9" applyNumberFormat="1" applyFont="1" applyFill="1" applyBorder="1"/>
    <xf numFmtId="170" fontId="0" fillId="0" borderId="0" xfId="0" applyNumberFormat="1"/>
    <xf numFmtId="171" fontId="4" fillId="0" borderId="0" xfId="0" applyNumberFormat="1" applyFont="1" applyFill="1"/>
    <xf numFmtId="171" fontId="0" fillId="0" borderId="0" xfId="0" applyNumberFormat="1"/>
    <xf numFmtId="0" fontId="0" fillId="0" borderId="0" xfId="0" applyAlignment="1"/>
    <xf numFmtId="49" fontId="0" fillId="0" borderId="0" xfId="0" quotePrefix="1" applyNumberFormat="1"/>
    <xf numFmtId="3" fontId="8" fillId="0" borderId="8" xfId="0" applyNumberFormat="1" applyFont="1" applyFill="1" applyBorder="1"/>
    <xf numFmtId="3" fontId="8" fillId="0" borderId="0" xfId="0" applyNumberFormat="1" applyFont="1" applyFill="1" applyBorder="1"/>
    <xf numFmtId="164" fontId="5" fillId="0" borderId="0" xfId="0" applyNumberFormat="1" applyFont="1" applyFill="1"/>
    <xf numFmtId="0" fontId="5" fillId="0" borderId="0" xfId="0" applyNumberFormat="1" applyFont="1" applyFill="1" applyAlignment="1">
      <alignment horizontal="left"/>
    </xf>
    <xf numFmtId="0" fontId="0" fillId="0" borderId="0" xfId="0" applyNumberFormat="1" applyFill="1"/>
    <xf numFmtId="14" fontId="5" fillId="0" borderId="0" xfId="0" applyNumberFormat="1" applyFont="1" applyFill="1" applyAlignment="1">
      <alignment horizontal="left"/>
    </xf>
    <xf numFmtId="171" fontId="7" fillId="0" borderId="0" xfId="0" applyNumberFormat="1" applyFont="1" applyFill="1"/>
    <xf numFmtId="14" fontId="4" fillId="0" borderId="0" xfId="0" applyNumberFormat="1" applyFont="1"/>
    <xf numFmtId="14" fontId="5" fillId="0" borderId="0" xfId="0" applyNumberFormat="1" applyFont="1" applyFill="1" applyBorder="1" applyAlignment="1">
      <alignment horizontal="left"/>
    </xf>
    <xf numFmtId="3" fontId="8" fillId="0" borderId="0" xfId="0" applyNumberFormat="1" applyFont="1" applyFill="1"/>
    <xf numFmtId="14" fontId="8" fillId="0" borderId="0" xfId="0" applyNumberFormat="1" applyFont="1" applyFill="1"/>
    <xf numFmtId="14" fontId="8" fillId="0" borderId="0" xfId="0" applyNumberFormat="1" applyFont="1"/>
    <xf numFmtId="0" fontId="4" fillId="0" borderId="0" xfId="0" applyFont="1" applyFill="1" applyAlignment="1"/>
    <xf numFmtId="0" fontId="0" fillId="0" borderId="0" xfId="0" applyFill="1" applyBorder="1" applyAlignment="1">
      <alignment horizontal="left"/>
    </xf>
    <xf numFmtId="14" fontId="5" fillId="0" borderId="0" xfId="0" applyNumberFormat="1" applyFont="1" applyFill="1"/>
    <xf numFmtId="169" fontId="5" fillId="0" borderId="0" xfId="0" applyNumberFormat="1" applyFont="1" applyFill="1"/>
    <xf numFmtId="9" fontId="0" fillId="0" borderId="0" xfId="0" applyNumberFormat="1"/>
    <xf numFmtId="2" fontId="0" fillId="0" borderId="0" xfId="0" applyNumberFormat="1"/>
    <xf numFmtId="2" fontId="5" fillId="0" borderId="0" xfId="0" applyNumberFormat="1" applyFont="1"/>
    <xf numFmtId="166" fontId="7" fillId="0" borderId="0" xfId="0" applyNumberFormat="1" applyFont="1" applyFill="1"/>
    <xf numFmtId="166" fontId="7" fillId="0" borderId="8" xfId="0" applyNumberFormat="1" applyFont="1" applyFill="1" applyBorder="1"/>
    <xf numFmtId="164" fontId="6" fillId="0" borderId="0" xfId="9" applyNumberFormat="1" applyFont="1" applyFill="1"/>
    <xf numFmtId="0" fontId="5" fillId="0" borderId="0" xfId="0" applyNumberFormat="1" applyFont="1" applyFill="1"/>
    <xf numFmtId="1" fontId="4" fillId="0" borderId="0" xfId="0" applyNumberFormat="1" applyFont="1" applyFill="1"/>
    <xf numFmtId="167" fontId="6" fillId="0" borderId="0" xfId="0" applyNumberFormat="1" applyFont="1"/>
    <xf numFmtId="0" fontId="5" fillId="0" borderId="0" xfId="0" applyFont="1"/>
    <xf numFmtId="0" fontId="0" fillId="0" borderId="0" xfId="0" applyFont="1" applyFill="1"/>
    <xf numFmtId="3" fontId="5" fillId="0" borderId="0" xfId="0" applyNumberFormat="1" applyFont="1"/>
    <xf numFmtId="14" fontId="5" fillId="0" borderId="0" xfId="0" applyNumberFormat="1" applyFont="1"/>
    <xf numFmtId="167" fontId="5" fillId="0" borderId="0" xfId="0" applyNumberFormat="1" applyFont="1" applyFill="1"/>
    <xf numFmtId="167" fontId="5" fillId="0" borderId="0" xfId="0" applyNumberFormat="1" applyFont="1"/>
    <xf numFmtId="0" fontId="0" fillId="0" borderId="0" xfId="0" applyFont="1" applyFill="1" applyBorder="1"/>
    <xf numFmtId="0" fontId="4" fillId="0" borderId="0" xfId="0" applyFont="1" applyBorder="1"/>
    <xf numFmtId="166" fontId="4" fillId="0" borderId="0" xfId="0" applyNumberFormat="1" applyFont="1" applyFill="1" applyBorder="1"/>
    <xf numFmtId="166" fontId="0" fillId="0" borderId="0" xfId="0" applyNumberFormat="1" applyBorder="1"/>
    <xf numFmtId="0" fontId="4" fillId="0" borderId="0" xfId="0" quotePrefix="1" applyFont="1"/>
    <xf numFmtId="0" fontId="4" fillId="0" borderId="0" xfId="0" applyFont="1" applyFill="1" applyBorder="1"/>
    <xf numFmtId="164" fontId="6" fillId="0" borderId="0" xfId="0" applyNumberFormat="1" applyFont="1" applyFill="1" applyBorder="1"/>
    <xf numFmtId="0" fontId="4" fillId="0" borderId="0" xfId="8"/>
    <xf numFmtId="3" fontId="8" fillId="0" borderId="0" xfId="8" applyNumberFormat="1" applyFont="1" applyFill="1"/>
    <xf numFmtId="3" fontId="8" fillId="0" borderId="0" xfId="8" applyNumberFormat="1" applyFont="1" applyFill="1" applyBorder="1"/>
    <xf numFmtId="0" fontId="4" fillId="0" borderId="0" xfId="0" quotePrefix="1" applyFont="1" applyAlignment="1"/>
    <xf numFmtId="0" fontId="0" fillId="0" borderId="0" xfId="0" applyBorder="1" applyAlignment="1"/>
    <xf numFmtId="0" fontId="0" fillId="0" borderId="0" xfId="0" quotePrefix="1" applyBorder="1" applyAlignment="1"/>
    <xf numFmtId="0" fontId="0" fillId="0" borderId="0" xfId="0" quotePrefix="1" applyFill="1" applyBorder="1" applyAlignment="1"/>
    <xf numFmtId="0" fontId="0" fillId="0" borderId="0" xfId="0" applyBorder="1" applyAlignment="1">
      <alignment horizontal="center"/>
    </xf>
    <xf numFmtId="2" fontId="5" fillId="0" borderId="0" xfId="0" applyNumberFormat="1" applyFont="1" applyFill="1"/>
    <xf numFmtId="2" fontId="4" fillId="0" borderId="0" xfId="0" applyNumberFormat="1" applyFont="1" applyFill="1"/>
    <xf numFmtId="2" fontId="4" fillId="0" borderId="8" xfId="0" applyNumberFormat="1" applyFont="1" applyFill="1" applyBorder="1"/>
    <xf numFmtId="0" fontId="0" fillId="0" borderId="0" xfId="0" applyFill="1" applyBorder="1" applyAlignment="1"/>
    <xf numFmtId="0" fontId="0" fillId="0" borderId="8" xfId="0" applyFill="1" applyBorder="1"/>
    <xf numFmtId="14" fontId="0" fillId="0" borderId="8" xfId="0" applyNumberFormat="1" applyFill="1" applyBorder="1"/>
    <xf numFmtId="0" fontId="4" fillId="0" borderId="0" xfId="8" applyFill="1"/>
    <xf numFmtId="0" fontId="0" fillId="0" borderId="7" xfId="0" applyFill="1" applyBorder="1"/>
    <xf numFmtId="0" fontId="0" fillId="0" borderId="0" xfId="0" applyFill="1" applyAlignment="1">
      <alignment horizontal="centerContinuous"/>
    </xf>
    <xf numFmtId="0" fontId="0" fillId="0" borderId="0" xfId="0" applyFill="1" applyAlignment="1">
      <alignment horizontal="center"/>
    </xf>
    <xf numFmtId="10" fontId="0" fillId="0" borderId="0" xfId="0" applyNumberFormat="1" applyFill="1"/>
    <xf numFmtId="3" fontId="6" fillId="0" borderId="8" xfId="0" applyNumberFormat="1" applyFont="1" applyFill="1" applyBorder="1"/>
    <xf numFmtId="3" fontId="6" fillId="0" borderId="0" xfId="0" applyNumberFormat="1" applyFont="1" applyFill="1"/>
    <xf numFmtId="2" fontId="6" fillId="0" borderId="0" xfId="0" applyNumberFormat="1" applyFont="1" applyFill="1"/>
    <xf numFmtId="0" fontId="0" fillId="0" borderId="0" xfId="0" applyFont="1" applyProtection="1"/>
    <xf numFmtId="0" fontId="0" fillId="0" borderId="0" xfId="0" applyProtection="1"/>
    <xf numFmtId="0" fontId="0" fillId="2" borderId="2" xfId="0" applyFill="1" applyBorder="1" applyProtection="1">
      <protection locked="0"/>
    </xf>
    <xf numFmtId="0" fontId="0" fillId="0" borderId="0" xfId="0" applyProtection="1">
      <protection locked="0"/>
    </xf>
    <xf numFmtId="0" fontId="0" fillId="2" borderId="3" xfId="0" applyFill="1" applyBorder="1" applyProtection="1">
      <protection locked="0"/>
    </xf>
    <xf numFmtId="0" fontId="0" fillId="0" borderId="0" xfId="0" applyFill="1" applyProtection="1"/>
    <xf numFmtId="0" fontId="0" fillId="0" borderId="0" xfId="0" applyFont="1" applyFill="1" applyProtection="1"/>
    <xf numFmtId="0" fontId="0" fillId="0" borderId="7" xfId="0" applyBorder="1" applyProtection="1"/>
    <xf numFmtId="0" fontId="0" fillId="0" borderId="8" xfId="0" applyBorder="1" applyProtection="1"/>
    <xf numFmtId="0" fontId="0" fillId="0" borderId="0" xfId="0" applyBorder="1" applyProtection="1"/>
    <xf numFmtId="0" fontId="0" fillId="0" borderId="0" xfId="0" quotePrefix="1" applyFill="1" applyAlignment="1" applyProtection="1">
      <alignment horizontal="centerContinuous"/>
    </xf>
    <xf numFmtId="0" fontId="0" fillId="0" borderId="0" xfId="0" applyFill="1" applyAlignment="1" applyProtection="1">
      <alignment horizontal="centerContinuous"/>
    </xf>
    <xf numFmtId="0" fontId="0" fillId="0" borderId="0" xfId="0" quotePrefix="1" applyFill="1" applyAlignment="1" applyProtection="1">
      <alignment horizontal="center"/>
    </xf>
    <xf numFmtId="0" fontId="0" fillId="0" borderId="0" xfId="0" applyAlignment="1" applyProtection="1">
      <alignment horizontal="left"/>
    </xf>
    <xf numFmtId="0" fontId="0" fillId="0" borderId="0" xfId="0" quotePrefix="1" applyAlignment="1" applyProtection="1">
      <alignment horizontal="right"/>
    </xf>
    <xf numFmtId="14" fontId="6" fillId="0" borderId="0" xfId="0" applyNumberFormat="1" applyFont="1" applyProtection="1"/>
    <xf numFmtId="166" fontId="0" fillId="0" borderId="0" xfId="0" applyNumberFormat="1" applyProtection="1"/>
    <xf numFmtId="0" fontId="0" fillId="0" borderId="8" xfId="0" applyBorder="1" applyAlignment="1" applyProtection="1">
      <alignment horizontal="left"/>
    </xf>
    <xf numFmtId="168" fontId="0" fillId="0" borderId="8" xfId="0" applyNumberFormat="1" applyFont="1" applyFill="1" applyBorder="1" applyAlignment="1" applyProtection="1"/>
    <xf numFmtId="168" fontId="0" fillId="0" borderId="0" xfId="0" applyNumberFormat="1" applyFont="1" applyFill="1" applyAlignment="1" applyProtection="1"/>
    <xf numFmtId="166" fontId="0" fillId="0" borderId="0" xfId="0" applyNumberFormat="1" applyFont="1" applyFill="1" applyProtection="1"/>
    <xf numFmtId="0" fontId="0" fillId="2" borderId="5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4" xfId="0" applyFill="1" applyBorder="1" applyProtection="1">
      <protection locked="0"/>
    </xf>
    <xf numFmtId="164" fontId="4" fillId="0" borderId="0" xfId="0" applyNumberFormat="1" applyFont="1" applyFill="1" applyBorder="1" applyProtection="1"/>
    <xf numFmtId="164" fontId="5" fillId="0" borderId="0" xfId="9" applyNumberFormat="1" applyFont="1" applyFill="1"/>
    <xf numFmtId="166" fontId="6" fillId="0" borderId="0" xfId="0" applyNumberFormat="1" applyFont="1" applyFill="1" applyBorder="1"/>
    <xf numFmtId="0" fontId="0" fillId="0" borderId="0" xfId="0" applyBorder="1" applyAlignment="1">
      <alignment horizontal="centerContinuous"/>
    </xf>
    <xf numFmtId="0" fontId="0" fillId="0" borderId="0" xfId="0" applyNumberFormat="1" applyBorder="1"/>
    <xf numFmtId="4" fontId="4" fillId="0" borderId="0" xfId="0" applyNumberFormat="1" applyFont="1" applyFill="1" applyAlignment="1" applyProtection="1"/>
    <xf numFmtId="170" fontId="0" fillId="0" borderId="0" xfId="0" applyNumberFormat="1" applyBorder="1"/>
    <xf numFmtId="3" fontId="4" fillId="0" borderId="0" xfId="0" applyNumberFormat="1" applyFont="1" applyFill="1" applyBorder="1"/>
    <xf numFmtId="170" fontId="4" fillId="0" borderId="0" xfId="9" applyNumberFormat="1" applyFont="1" applyFill="1" applyBorder="1"/>
    <xf numFmtId="164" fontId="0" fillId="0" borderId="0" xfId="0" applyNumberFormat="1" applyBorder="1"/>
    <xf numFmtId="167" fontId="4" fillId="0" borderId="0" xfId="0" applyNumberFormat="1" applyFont="1" applyFill="1" applyBorder="1"/>
    <xf numFmtId="167" fontId="0" fillId="0" borderId="0" xfId="0" applyNumberFormat="1" applyBorder="1"/>
    <xf numFmtId="167" fontId="5" fillId="0" borderId="0" xfId="0" applyNumberFormat="1" applyFont="1" applyBorder="1"/>
    <xf numFmtId="167" fontId="6" fillId="0" borderId="0" xfId="0" applyNumberFormat="1" applyFont="1" applyBorder="1"/>
    <xf numFmtId="2" fontId="4" fillId="0" borderId="0" xfId="0" applyNumberFormat="1" applyFont="1" applyFill="1" applyBorder="1"/>
    <xf numFmtId="167" fontId="5" fillId="0" borderId="0" xfId="0" applyNumberFormat="1" applyFont="1" applyFill="1" applyBorder="1"/>
    <xf numFmtId="167" fontId="6" fillId="0" borderId="0" xfId="0" applyNumberFormat="1" applyFont="1" applyFill="1" applyBorder="1"/>
    <xf numFmtId="0" fontId="0" fillId="0" borderId="0" xfId="0" applyFont="1"/>
    <xf numFmtId="0" fontId="4" fillId="0" borderId="8" xfId="0" applyFont="1" applyBorder="1"/>
    <xf numFmtId="14" fontId="0" fillId="0" borderId="0" xfId="0" applyNumberFormat="1" applyFont="1"/>
    <xf numFmtId="0" fontId="0" fillId="0" borderId="0" xfId="0" applyNumberFormat="1" applyFont="1"/>
    <xf numFmtId="3" fontId="0" fillId="0" borderId="0" xfId="0" applyNumberFormat="1" applyFont="1" applyFill="1" applyAlignment="1"/>
    <xf numFmtId="4" fontId="0" fillId="0" borderId="0" xfId="0" applyNumberFormat="1" applyFont="1"/>
    <xf numFmtId="0" fontId="0" fillId="0" borderId="0" xfId="0" applyFont="1" applyBorder="1"/>
    <xf numFmtId="4" fontId="0" fillId="0" borderId="8" xfId="0" applyNumberFormat="1" applyFont="1" applyBorder="1"/>
    <xf numFmtId="166" fontId="0" fillId="0" borderId="0" xfId="0" applyNumberFormat="1" applyFont="1" applyFill="1" applyBorder="1"/>
    <xf numFmtId="178" fontId="0" fillId="0" borderId="0" xfId="0" applyNumberFormat="1"/>
    <xf numFmtId="3" fontId="8" fillId="0" borderId="0" xfId="0" applyNumberFormat="1" applyFont="1" applyFill="1" applyAlignment="1"/>
    <xf numFmtId="3" fontId="8" fillId="0" borderId="8" xfId="0" applyNumberFormat="1" applyFont="1" applyFill="1" applyBorder="1" applyAlignment="1"/>
    <xf numFmtId="4" fontId="4" fillId="0" borderId="0" xfId="0" applyNumberFormat="1" applyFont="1"/>
    <xf numFmtId="4" fontId="4" fillId="0" borderId="8" xfId="0" applyNumberFormat="1" applyFont="1" applyBorder="1"/>
    <xf numFmtId="0" fontId="0" fillId="0" borderId="8" xfId="0" applyNumberFormat="1" applyBorder="1"/>
    <xf numFmtId="166" fontId="4" fillId="0" borderId="0" xfId="0" applyNumberFormat="1" applyFont="1" applyFill="1" applyProtection="1"/>
    <xf numFmtId="14" fontId="6" fillId="0" borderId="0" xfId="0" applyNumberFormat="1" applyFont="1" applyFill="1"/>
    <xf numFmtId="166" fontId="7" fillId="0" borderId="0" xfId="0" applyNumberFormat="1" applyFont="1"/>
    <xf numFmtId="0" fontId="8" fillId="0" borderId="0" xfId="0" applyFont="1" applyFill="1"/>
    <xf numFmtId="164" fontId="6" fillId="0" borderId="0" xfId="0" applyNumberFormat="1" applyFont="1" applyFill="1"/>
    <xf numFmtId="0" fontId="0" fillId="0" borderId="9" xfId="0" applyFill="1" applyBorder="1"/>
    <xf numFmtId="0" fontId="0" fillId="0" borderId="10" xfId="0" applyFill="1" applyBorder="1"/>
    <xf numFmtId="0" fontId="0" fillId="0" borderId="11" xfId="0" applyBorder="1"/>
    <xf numFmtId="0" fontId="0" fillId="0" borderId="12" xfId="0" applyBorder="1"/>
    <xf numFmtId="0" fontId="0" fillId="0" borderId="13" xfId="0" applyFill="1" applyBorder="1"/>
    <xf numFmtId="0" fontId="0" fillId="0" borderId="14" xfId="0" applyBorder="1"/>
    <xf numFmtId="0" fontId="0" fillId="0" borderId="15" xfId="0" applyBorder="1"/>
    <xf numFmtId="0" fontId="0" fillId="0" borderId="16" xfId="0" applyFill="1" applyBorder="1"/>
    <xf numFmtId="0" fontId="6" fillId="0" borderId="1" xfId="0" applyFont="1" applyFill="1" applyBorder="1" applyAlignment="1">
      <alignment horizontal="right"/>
    </xf>
    <xf numFmtId="0" fontId="6" fillId="0" borderId="17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/>
    </xf>
    <xf numFmtId="0" fontId="6" fillId="0" borderId="18" xfId="0" applyFont="1" applyFill="1" applyBorder="1" applyAlignment="1">
      <alignment horizontal="left"/>
    </xf>
    <xf numFmtId="0" fontId="6" fillId="0" borderId="19" xfId="0" applyFont="1" applyFill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17" xfId="0" applyFont="1" applyBorder="1" applyAlignment="1">
      <alignment horizontal="right"/>
    </xf>
    <xf numFmtId="0" fontId="6" fillId="0" borderId="18" xfId="0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0" fontId="6" fillId="0" borderId="19" xfId="0" applyFont="1" applyBorder="1" applyAlignment="1">
      <alignment horizontal="right"/>
    </xf>
    <xf numFmtId="166" fontId="4" fillId="0" borderId="0" xfId="0" applyNumberFormat="1" applyFont="1" applyFill="1" applyAlignment="1">
      <alignment horizontal="left"/>
    </xf>
    <xf numFmtId="3" fontId="8" fillId="0" borderId="8" xfId="0" applyNumberFormat="1" applyFont="1" applyBorder="1"/>
    <xf numFmtId="171" fontId="7" fillId="0" borderId="0" xfId="0" applyNumberFormat="1" applyFont="1" applyFill="1" applyBorder="1"/>
    <xf numFmtId="171" fontId="4" fillId="0" borderId="0" xfId="0" applyNumberFormat="1" applyFont="1" applyFill="1" applyBorder="1"/>
    <xf numFmtId="0" fontId="5" fillId="0" borderId="0" xfId="0" applyFont="1" applyAlignment="1">
      <alignment horizontal="left"/>
    </xf>
    <xf numFmtId="0" fontId="0" fillId="0" borderId="0" xfId="0" applyNumberFormat="1" applyAlignment="1">
      <alignment horizontal="left"/>
    </xf>
    <xf numFmtId="0" fontId="6" fillId="0" borderId="0" xfId="0" applyNumberFormat="1" applyFont="1" applyFill="1"/>
    <xf numFmtId="166" fontId="8" fillId="0" borderId="8" xfId="0" applyNumberFormat="1" applyFont="1" applyFill="1" applyBorder="1"/>
    <xf numFmtId="2" fontId="8" fillId="0" borderId="0" xfId="0" applyNumberFormat="1" applyFont="1" applyFill="1"/>
    <xf numFmtId="2" fontId="8" fillId="0" borderId="8" xfId="0" applyNumberFormat="1" applyFont="1" applyFill="1" applyBorder="1"/>
    <xf numFmtId="179" fontId="6" fillId="0" borderId="0" xfId="9" applyNumberFormat="1" applyFont="1"/>
    <xf numFmtId="0" fontId="4" fillId="0" borderId="0" xfId="0" applyFont="1" applyAlignment="1">
      <alignment horizontal="right"/>
    </xf>
    <xf numFmtId="166" fontId="6" fillId="0" borderId="0" xfId="0" applyNumberFormat="1" applyFont="1" applyFill="1"/>
    <xf numFmtId="0" fontId="4" fillId="0" borderId="8" xfId="0" applyFont="1" applyFill="1" applyBorder="1"/>
    <xf numFmtId="164" fontId="0" fillId="0" borderId="0" xfId="0" applyNumberFormat="1" applyFont="1"/>
    <xf numFmtId="166" fontId="6" fillId="0" borderId="8" xfId="0" applyNumberFormat="1" applyFont="1" applyFill="1" applyBorder="1"/>
    <xf numFmtId="0" fontId="2" fillId="0" borderId="0" xfId="0" applyFont="1" applyAlignment="1">
      <alignment horizontal="center"/>
    </xf>
    <xf numFmtId="3" fontId="16" fillId="0" borderId="0" xfId="0" applyNumberFormat="1" applyFont="1" applyFill="1"/>
    <xf numFmtId="3" fontId="16" fillId="0" borderId="0" xfId="0" applyNumberFormat="1" applyFont="1"/>
    <xf numFmtId="3" fontId="16" fillId="0" borderId="8" xfId="0" applyNumberFormat="1" applyFont="1" applyFill="1" applyBorder="1"/>
    <xf numFmtId="166" fontId="7" fillId="0" borderId="0" xfId="0" applyNumberFormat="1" applyFont="1" applyFill="1" applyBorder="1"/>
    <xf numFmtId="43" fontId="0" fillId="0" borderId="0" xfId="1" applyFont="1"/>
    <xf numFmtId="43" fontId="0" fillId="0" borderId="0" xfId="1" applyFont="1" applyBorder="1"/>
    <xf numFmtId="43" fontId="0" fillId="2" borderId="3" xfId="1" applyFont="1" applyFill="1" applyBorder="1"/>
    <xf numFmtId="43" fontId="3" fillId="0" borderId="0" xfId="1" applyFont="1" applyFill="1"/>
    <xf numFmtId="43" fontId="0" fillId="0" borderId="8" xfId="1" applyFont="1" applyBorder="1"/>
    <xf numFmtId="43" fontId="0" fillId="0" borderId="0" xfId="1" applyFont="1" applyAlignment="1">
      <alignment horizontal="centerContinuous"/>
    </xf>
    <xf numFmtId="43" fontId="0" fillId="0" borderId="0" xfId="1" applyFont="1" applyAlignment="1">
      <alignment horizontal="center"/>
    </xf>
    <xf numFmtId="43" fontId="0" fillId="0" borderId="0" xfId="1" applyFont="1" applyAlignment="1">
      <alignment horizontal="left"/>
    </xf>
    <xf numFmtId="43" fontId="4" fillId="0" borderId="0" xfId="1" applyFont="1" applyFill="1"/>
    <xf numFmtId="43" fontId="0" fillId="0" borderId="8" xfId="1" applyFont="1" applyBorder="1" applyAlignment="1">
      <alignment horizontal="left"/>
    </xf>
    <xf numFmtId="43" fontId="5" fillId="0" borderId="0" xfId="1" applyFont="1"/>
    <xf numFmtId="43" fontId="0" fillId="0" borderId="7" xfId="1" applyFont="1" applyBorder="1"/>
    <xf numFmtId="37" fontId="0" fillId="0" borderId="0" xfId="1" applyNumberFormat="1" applyFont="1"/>
    <xf numFmtId="0" fontId="12" fillId="0" borderId="0" xfId="0" applyFont="1" applyBorder="1" applyAlignment="1">
      <alignment vertical="center"/>
    </xf>
    <xf numFmtId="3" fontId="12" fillId="0" borderId="0" xfId="0" applyNumberFormat="1" applyFont="1" applyBorder="1" applyAlignment="1">
      <alignment vertical="center"/>
    </xf>
    <xf numFmtId="14" fontId="0" fillId="0" borderId="0" xfId="0" applyNumberFormat="1" applyFill="1" applyBorder="1"/>
    <xf numFmtId="0" fontId="6" fillId="3" borderId="0" xfId="0" applyFont="1" applyFill="1" applyAlignment="1" applyProtection="1">
      <alignment horizontal="left"/>
    </xf>
    <xf numFmtId="0" fontId="0" fillId="3" borderId="0" xfId="0" applyFill="1" applyProtection="1"/>
    <xf numFmtId="166" fontId="0" fillId="0" borderId="7" xfId="0" applyNumberFormat="1" applyFill="1" applyBorder="1" applyProtection="1"/>
    <xf numFmtId="166" fontId="0" fillId="0" borderId="0" xfId="0" applyNumberFormat="1" applyFill="1" applyProtection="1"/>
    <xf numFmtId="3" fontId="5" fillId="3" borderId="0" xfId="0" applyNumberFormat="1" applyFont="1" applyFill="1"/>
    <xf numFmtId="3" fontId="16" fillId="0" borderId="0" xfId="0" applyNumberFormat="1" applyFont="1" applyAlignment="1">
      <alignment horizontal="right" vertical="center"/>
    </xf>
    <xf numFmtId="0" fontId="16" fillId="0" borderId="0" xfId="0" applyFont="1" applyAlignment="1">
      <alignment horizontal="right" vertical="center"/>
    </xf>
    <xf numFmtId="0" fontId="13" fillId="0" borderId="0" xfId="0" applyFont="1"/>
    <xf numFmtId="3" fontId="4" fillId="3" borderId="0" xfId="0" applyNumberFormat="1" applyFont="1" applyFill="1"/>
    <xf numFmtId="0" fontId="16" fillId="3" borderId="0" xfId="0" applyFont="1" applyFill="1"/>
    <xf numFmtId="0" fontId="0" fillId="3" borderId="0" xfId="0" applyFill="1"/>
    <xf numFmtId="3" fontId="0" fillId="0" borderId="0" xfId="0" applyNumberFormat="1" applyFont="1" applyFill="1"/>
    <xf numFmtId="3" fontId="0" fillId="0" borderId="8" xfId="0" applyNumberFormat="1" applyFont="1" applyFill="1" applyBorder="1"/>
    <xf numFmtId="3" fontId="16" fillId="0" borderId="0" xfId="0" applyNumberFormat="1" applyFont="1" applyFill="1" applyBorder="1"/>
    <xf numFmtId="2" fontId="0" fillId="0" borderId="0" xfId="0" applyNumberFormat="1" applyFill="1"/>
    <xf numFmtId="2" fontId="0" fillId="0" borderId="0" xfId="0" applyNumberFormat="1" applyFill="1" applyBorder="1"/>
    <xf numFmtId="2" fontId="5" fillId="0" borderId="0" xfId="0" applyNumberFormat="1" applyFont="1" applyFill="1" applyBorder="1"/>
    <xf numFmtId="3" fontId="16" fillId="0" borderId="0" xfId="0" applyNumberFormat="1" applyFont="1" applyBorder="1"/>
    <xf numFmtId="43" fontId="0" fillId="0" borderId="0" xfId="1" applyFont="1" applyBorder="1" applyAlignment="1">
      <alignment horizontal="left"/>
    </xf>
    <xf numFmtId="1" fontId="0" fillId="0" borderId="0" xfId="0" applyNumberFormat="1"/>
    <xf numFmtId="1" fontId="0" fillId="0" borderId="0" xfId="1" applyNumberFormat="1" applyFont="1" applyAlignment="1">
      <alignment horizontal="right"/>
    </xf>
    <xf numFmtId="3" fontId="16" fillId="0" borderId="0" xfId="0" applyNumberFormat="1" applyFont="1" applyFill="1" applyBorder="1" applyAlignment="1">
      <alignment horizontal="right"/>
    </xf>
    <xf numFmtId="167" fontId="4" fillId="0" borderId="7" xfId="0" applyNumberFormat="1" applyFont="1" applyFill="1" applyBorder="1"/>
    <xf numFmtId="3" fontId="4" fillId="0" borderId="7" xfId="0" applyNumberFormat="1" applyFont="1" applyFill="1" applyBorder="1"/>
    <xf numFmtId="0" fontId="16" fillId="0" borderId="0" xfId="0" applyFont="1"/>
    <xf numFmtId="164" fontId="0" fillId="0" borderId="0" xfId="0" applyNumberFormat="1" applyFont="1" applyFill="1"/>
    <xf numFmtId="3" fontId="4" fillId="0" borderId="0" xfId="0" applyNumberFormat="1" applyFont="1" applyAlignment="1">
      <alignment vertical="center"/>
    </xf>
    <xf numFmtId="3" fontId="13" fillId="0" borderId="0" xfId="0" applyNumberFormat="1" applyFont="1"/>
    <xf numFmtId="14" fontId="0" fillId="0" borderId="0" xfId="0" applyNumberFormat="1" applyProtection="1">
      <protection locked="0"/>
    </xf>
    <xf numFmtId="43" fontId="6" fillId="0" borderId="0" xfId="1" applyFont="1" applyFill="1"/>
    <xf numFmtId="166" fontId="0" fillId="0" borderId="7" xfId="0" applyNumberFormat="1" applyFill="1" applyBorder="1"/>
    <xf numFmtId="3" fontId="6" fillId="0" borderId="0" xfId="0" applyNumberFormat="1" applyFont="1"/>
    <xf numFmtId="0" fontId="0" fillId="0" borderId="0" xfId="0" applyFont="1" applyBorder="1" applyAlignment="1">
      <alignment vertical="center"/>
    </xf>
    <xf numFmtId="3" fontId="16" fillId="0" borderId="0" xfId="0" applyNumberFormat="1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3" fontId="0" fillId="0" borderId="0" xfId="0" applyNumberFormat="1" applyFont="1" applyBorder="1" applyAlignment="1">
      <alignment vertical="center"/>
    </xf>
    <xf numFmtId="0" fontId="0" fillId="0" borderId="0" xfId="0" applyFill="1" applyProtection="1">
      <protection locked="0"/>
    </xf>
    <xf numFmtId="14" fontId="5" fillId="0" borderId="8" xfId="0" applyNumberFormat="1" applyFont="1" applyFill="1" applyBorder="1" applyAlignment="1">
      <alignment horizontal="left"/>
    </xf>
    <xf numFmtId="171" fontId="4" fillId="0" borderId="8" xfId="0" applyNumberFormat="1" applyFont="1" applyFill="1" applyBorder="1"/>
    <xf numFmtId="2" fontId="0" fillId="0" borderId="0" xfId="0" applyNumberFormat="1" applyAlignment="1">
      <alignment horizontal="center"/>
    </xf>
    <xf numFmtId="2" fontId="0" fillId="0" borderId="8" xfId="0" applyNumberFormat="1" applyBorder="1" applyAlignment="1">
      <alignment horizontal="center"/>
    </xf>
    <xf numFmtId="2" fontId="8" fillId="0" borderId="0" xfId="0" applyNumberFormat="1" applyFont="1" applyFill="1" applyBorder="1"/>
    <xf numFmtId="180" fontId="0" fillId="0" borderId="0" xfId="0" applyNumberFormat="1"/>
    <xf numFmtId="0" fontId="0" fillId="0" borderId="0" xfId="0" applyNumberFormat="1" applyBorder="1" applyAlignment="1">
      <alignment horizontal="left"/>
    </xf>
    <xf numFmtId="3" fontId="17" fillId="0" borderId="0" xfId="0" applyNumberFormat="1" applyFont="1"/>
    <xf numFmtId="164" fontId="16" fillId="0" borderId="0" xfId="0" applyNumberFormat="1" applyFont="1" applyBorder="1"/>
    <xf numFmtId="0" fontId="4" fillId="0" borderId="0" xfId="0" applyNumberFormat="1" applyFont="1" applyFill="1" applyAlignment="1">
      <alignment horizontal="left"/>
    </xf>
    <xf numFmtId="0" fontId="0" fillId="0" borderId="0" xfId="0" applyNumberFormat="1" applyFill="1" applyAlignment="1">
      <alignment horizontal="left"/>
    </xf>
    <xf numFmtId="180" fontId="5" fillId="0" borderId="0" xfId="0" applyNumberFormat="1" applyFont="1" applyFill="1"/>
    <xf numFmtId="180" fontId="5" fillId="0" borderId="0" xfId="0" applyNumberFormat="1" applyFont="1" applyFill="1" applyBorder="1"/>
    <xf numFmtId="169" fontId="0" fillId="0" borderId="0" xfId="0" applyNumberFormat="1"/>
    <xf numFmtId="180" fontId="5" fillId="0" borderId="0" xfId="0" quotePrefix="1" applyNumberFormat="1" applyFont="1" applyFill="1" applyBorder="1" applyAlignment="1">
      <alignment horizontal="left"/>
    </xf>
    <xf numFmtId="0" fontId="5" fillId="0" borderId="0" xfId="0" applyNumberFormat="1" applyFont="1" applyFill="1" applyBorder="1" applyAlignment="1">
      <alignment horizontal="left"/>
    </xf>
    <xf numFmtId="3" fontId="18" fillId="0" borderId="0" xfId="0" applyNumberFormat="1" applyFont="1" applyFill="1" applyBorder="1" applyAlignment="1">
      <alignment horizontal="right"/>
    </xf>
    <xf numFmtId="3" fontId="18" fillId="0" borderId="0" xfId="0" applyNumberFormat="1" applyFont="1"/>
    <xf numFmtId="3" fontId="0" fillId="0" borderId="0" xfId="0" applyNumberFormat="1" applyFont="1"/>
    <xf numFmtId="3" fontId="18" fillId="3" borderId="0" xfId="0" applyNumberFormat="1" applyFont="1" applyFill="1"/>
    <xf numFmtId="167" fontId="0" fillId="0" borderId="0" xfId="0" applyNumberFormat="1" applyFont="1"/>
    <xf numFmtId="167" fontId="0" fillId="0" borderId="0" xfId="0" applyNumberFormat="1" applyFont="1" applyAlignment="1">
      <alignment horizontal="center"/>
    </xf>
    <xf numFmtId="166" fontId="0" fillId="0" borderId="0" xfId="0" applyNumberFormat="1" applyFont="1" applyAlignment="1">
      <alignment horizontal="center"/>
    </xf>
    <xf numFmtId="164" fontId="0" fillId="0" borderId="0" xfId="0" applyNumberFormat="1" applyFont="1" applyAlignment="1">
      <alignment horizontal="center"/>
    </xf>
    <xf numFmtId="0" fontId="5" fillId="0" borderId="0" xfId="0" applyFont="1" applyAlignment="1"/>
    <xf numFmtId="180" fontId="0" fillId="0" borderId="8" xfId="0" applyNumberFormat="1" applyBorder="1" applyAlignment="1">
      <alignment horizontal="left"/>
    </xf>
    <xf numFmtId="9" fontId="0" fillId="0" borderId="8" xfId="0" applyNumberFormat="1" applyBorder="1"/>
    <xf numFmtId="166" fontId="0" fillId="0" borderId="8" xfId="0" applyNumberFormat="1" applyBorder="1"/>
    <xf numFmtId="180" fontId="0" fillId="0" borderId="0" xfId="0" applyNumberFormat="1" applyAlignment="1">
      <alignment horizontal="left"/>
    </xf>
    <xf numFmtId="14" fontId="16" fillId="0" borderId="0" xfId="0" applyNumberFormat="1" applyFont="1" applyAlignment="1">
      <alignment horizontal="left"/>
    </xf>
    <xf numFmtId="180" fontId="5" fillId="0" borderId="7" xfId="0" quotePrefix="1" applyNumberFormat="1" applyFont="1" applyFill="1" applyBorder="1" applyAlignment="1">
      <alignment horizontal="left"/>
    </xf>
    <xf numFmtId="14" fontId="5" fillId="0" borderId="0" xfId="0" applyNumberFormat="1" applyFont="1" applyFill="1" applyAlignment="1">
      <alignment horizontal="center"/>
    </xf>
    <xf numFmtId="166" fontId="4" fillId="0" borderId="20" xfId="0" applyNumberFormat="1" applyFont="1" applyFill="1" applyBorder="1"/>
    <xf numFmtId="3" fontId="19" fillId="0" borderId="0" xfId="0" applyNumberFormat="1" applyFont="1" applyFill="1"/>
    <xf numFmtId="0" fontId="0" fillId="4" borderId="0" xfId="0" applyFill="1"/>
    <xf numFmtId="0" fontId="5" fillId="0" borderId="0" xfId="0" applyNumberFormat="1" applyFont="1" applyAlignment="1">
      <alignment horizontal="left"/>
    </xf>
    <xf numFmtId="166" fontId="0" fillId="4" borderId="0" xfId="0" applyNumberFormat="1" applyFill="1"/>
    <xf numFmtId="3" fontId="18" fillId="0" borderId="0" xfId="0" applyNumberFormat="1" applyFont="1" applyFill="1" applyBorder="1"/>
    <xf numFmtId="3" fontId="18" fillId="0" borderId="8" xfId="0" applyNumberFormat="1" applyFont="1" applyFill="1" applyBorder="1"/>
    <xf numFmtId="0" fontId="4" fillId="0" borderId="0" xfId="0" applyFont="1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164" fontId="0" fillId="4" borderId="23" xfId="0" applyNumberFormat="1" applyFill="1" applyBorder="1" applyAlignment="1">
      <alignment horizontal="center"/>
    </xf>
    <xf numFmtId="164" fontId="0" fillId="4" borderId="24" xfId="0" applyNumberFormat="1" applyFill="1" applyBorder="1" applyAlignment="1">
      <alignment horizontal="center"/>
    </xf>
    <xf numFmtId="0" fontId="0" fillId="0" borderId="25" xfId="0" applyBorder="1"/>
    <xf numFmtId="164" fontId="0" fillId="4" borderId="26" xfId="0" applyNumberFormat="1" applyFill="1" applyBorder="1" applyAlignment="1">
      <alignment horizontal="center"/>
    </xf>
    <xf numFmtId="2" fontId="20" fillId="0" borderId="0" xfId="0" applyNumberFormat="1" applyFont="1" applyAlignment="1">
      <alignment horizontal="center"/>
    </xf>
    <xf numFmtId="166" fontId="7" fillId="0" borderId="0" xfId="0" applyNumberFormat="1" applyFont="1" applyFill="1" applyProtection="1"/>
    <xf numFmtId="166" fontId="8" fillId="0" borderId="0" xfId="0" applyNumberFormat="1" applyFont="1" applyFill="1" applyBorder="1"/>
    <xf numFmtId="164" fontId="8" fillId="0" borderId="0" xfId="0" applyNumberFormat="1" applyFont="1" applyFill="1"/>
    <xf numFmtId="10" fontId="0" fillId="0" borderId="0" xfId="0" applyNumberFormat="1"/>
    <xf numFmtId="3" fontId="0" fillId="0" borderId="0" xfId="0" applyNumberFormat="1" applyFill="1" applyBorder="1" applyAlignment="1">
      <alignment horizontal="center"/>
    </xf>
    <xf numFmtId="3" fontId="2" fillId="0" borderId="0" xfId="0" applyNumberFormat="1" applyFon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164" fontId="4" fillId="0" borderId="0" xfId="9" applyNumberFormat="1" applyFont="1" applyFill="1" applyBorder="1" applyAlignment="1">
      <alignment horizontal="center"/>
    </xf>
    <xf numFmtId="164" fontId="16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164" fontId="16" fillId="0" borderId="8" xfId="9" applyNumberFormat="1" applyFont="1" applyFill="1" applyBorder="1"/>
    <xf numFmtId="0" fontId="0" fillId="4" borderId="0" xfId="0" applyFill="1" applyBorder="1"/>
    <xf numFmtId="164" fontId="16" fillId="0" borderId="0" xfId="0" applyNumberFormat="1" applyFont="1" applyFill="1" applyBorder="1"/>
    <xf numFmtId="164" fontId="16" fillId="0" borderId="7" xfId="0" applyNumberFormat="1" applyFont="1" applyFill="1" applyBorder="1"/>
    <xf numFmtId="164" fontId="0" fillId="0" borderId="0" xfId="0" applyNumberFormat="1" applyAlignment="1">
      <alignment horizontal="center"/>
    </xf>
    <xf numFmtId="164" fontId="0" fillId="0" borderId="0" xfId="0" applyNumberFormat="1" applyAlignment="1">
      <alignment horizontal="left"/>
    </xf>
    <xf numFmtId="164" fontId="2" fillId="0" borderId="0" xfId="0" applyNumberFormat="1" applyFont="1" applyAlignment="1">
      <alignment horizontal="center"/>
    </xf>
    <xf numFmtId="0" fontId="5" fillId="0" borderId="0" xfId="0" applyFont="1" applyFill="1" applyAlignment="1">
      <alignment horizontal="center"/>
    </xf>
    <xf numFmtId="0" fontId="0" fillId="0" borderId="23" xfId="0" applyBorder="1"/>
    <xf numFmtId="180" fontId="0" fillId="0" borderId="0" xfId="0" applyNumberFormat="1" applyBorder="1" applyAlignment="1">
      <alignment horizontal="left"/>
    </xf>
    <xf numFmtId="9" fontId="0" fillId="0" borderId="0" xfId="0" applyNumberFormat="1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6" fillId="0" borderId="29" xfId="0" applyFont="1" applyBorder="1" applyAlignment="1">
      <alignment horizontal="right"/>
    </xf>
    <xf numFmtId="0" fontId="0" fillId="0" borderId="31" xfId="0" applyBorder="1"/>
    <xf numFmtId="0" fontId="5" fillId="0" borderId="8" xfId="0" applyNumberFormat="1" applyFont="1" applyFill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0" fillId="0" borderId="0" xfId="0" applyFont="1" applyAlignment="1">
      <alignment horizontal="left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3" fontId="8" fillId="0" borderId="0" xfId="0" applyNumberFormat="1" applyFont="1" applyFill="1" applyBorder="1" applyAlignment="1">
      <alignment horizontal="center"/>
    </xf>
    <xf numFmtId="3" fontId="8" fillId="0" borderId="8" xfId="0" applyNumberFormat="1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0" fillId="2" borderId="6" xfId="0" applyFill="1" applyBorder="1" applyAlignment="1">
      <alignment horizontal="center"/>
    </xf>
    <xf numFmtId="178" fontId="0" fillId="0" borderId="0" xfId="0" applyNumberFormat="1" applyAlignment="1">
      <alignment horizontal="left"/>
    </xf>
    <xf numFmtId="0" fontId="0" fillId="0" borderId="0" xfId="0" quotePrefix="1" applyFont="1" applyAlignment="1">
      <alignment horizontal="left"/>
    </xf>
    <xf numFmtId="166" fontId="0" fillId="0" borderId="0" xfId="0" applyNumberFormat="1" applyFont="1" applyFill="1" applyBorder="1" applyAlignment="1">
      <alignment horizontal="left"/>
    </xf>
    <xf numFmtId="3" fontId="0" fillId="0" borderId="0" xfId="0" applyNumberFormat="1" applyAlignment="1">
      <alignment horizontal="left"/>
    </xf>
    <xf numFmtId="3" fontId="4" fillId="0" borderId="0" xfId="0" applyNumberFormat="1" applyFont="1" applyAlignment="1">
      <alignment horizontal="center"/>
    </xf>
    <xf numFmtId="3" fontId="4" fillId="0" borderId="8" xfId="0" applyNumberFormat="1" applyFont="1" applyBorder="1" applyAlignment="1">
      <alignment horizontal="center"/>
    </xf>
    <xf numFmtId="0" fontId="0" fillId="0" borderId="8" xfId="0" applyBorder="1" applyProtection="1">
      <protection locked="0"/>
    </xf>
    <xf numFmtId="3" fontId="8" fillId="0" borderId="0" xfId="0" applyNumberFormat="1" applyFont="1" applyFill="1" applyAlignment="1">
      <alignment horizontal="center"/>
    </xf>
    <xf numFmtId="167" fontId="4" fillId="0" borderId="0" xfId="0" applyNumberFormat="1" applyFont="1" applyFill="1" applyAlignment="1">
      <alignment horizontal="center"/>
    </xf>
    <xf numFmtId="167" fontId="4" fillId="0" borderId="8" xfId="0" applyNumberFormat="1" applyFont="1" applyFill="1" applyBorder="1" applyAlignment="1">
      <alignment horizontal="center"/>
    </xf>
    <xf numFmtId="0" fontId="0" fillId="0" borderId="7" xfId="0" applyFill="1" applyBorder="1" applyAlignment="1">
      <alignment horizontal="left"/>
    </xf>
    <xf numFmtId="3" fontId="18" fillId="0" borderId="0" xfId="0" applyNumberFormat="1" applyFont="1" applyFill="1" applyAlignment="1">
      <alignment horizontal="center"/>
    </xf>
    <xf numFmtId="3" fontId="16" fillId="0" borderId="8" xfId="0" applyNumberFormat="1" applyFont="1" applyBorder="1"/>
    <xf numFmtId="3" fontId="16" fillId="0" borderId="0" xfId="0" applyNumberFormat="1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3" fontId="16" fillId="0" borderId="0" xfId="1" applyNumberFormat="1" applyFont="1" applyAlignment="1"/>
    <xf numFmtId="3" fontId="16" fillId="0" borderId="0" xfId="1" applyNumberFormat="1" applyFont="1" applyAlignment="1">
      <alignment horizontal="right"/>
    </xf>
    <xf numFmtId="3" fontId="0" fillId="0" borderId="0" xfId="1" applyNumberFormat="1" applyFont="1"/>
    <xf numFmtId="3" fontId="16" fillId="0" borderId="0" xfId="1" applyNumberFormat="1" applyFont="1"/>
    <xf numFmtId="170" fontId="0" fillId="0" borderId="0" xfId="1" applyNumberFormat="1" applyFont="1"/>
    <xf numFmtId="170" fontId="0" fillId="0" borderId="8" xfId="1" applyNumberFormat="1" applyFont="1" applyBorder="1"/>
    <xf numFmtId="3" fontId="0" fillId="0" borderId="0" xfId="0" applyNumberFormat="1" applyFont="1" applyFill="1" applyBorder="1"/>
    <xf numFmtId="3" fontId="0" fillId="0" borderId="7" xfId="0" applyNumberFormat="1" applyFont="1" applyFill="1" applyBorder="1"/>
    <xf numFmtId="0" fontId="3" fillId="0" borderId="0" xfId="0" applyFont="1" applyBorder="1"/>
    <xf numFmtId="0" fontId="16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165" fontId="4" fillId="0" borderId="0" xfId="9" applyNumberFormat="1" applyFont="1" applyFill="1"/>
    <xf numFmtId="166" fontId="5" fillId="0" borderId="0" xfId="0" applyNumberFormat="1" applyFont="1" applyFill="1" applyAlignment="1">
      <alignment horizontal="center"/>
    </xf>
    <xf numFmtId="166" fontId="0" fillId="0" borderId="0" xfId="0" applyNumberFormat="1" applyFill="1" applyAlignment="1">
      <alignment horizontal="center"/>
    </xf>
    <xf numFmtId="3" fontId="5" fillId="0" borderId="0" xfId="0" applyNumberFormat="1" applyFont="1" applyFill="1" applyAlignment="1">
      <alignment horizontal="center"/>
    </xf>
    <xf numFmtId="3" fontId="5" fillId="0" borderId="0" xfId="0" applyNumberFormat="1" applyFont="1" applyFill="1" applyBorder="1" applyAlignment="1">
      <alignment horizontal="center"/>
    </xf>
    <xf numFmtId="3" fontId="5" fillId="0" borderId="8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16" fillId="0" borderId="8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21" fillId="0" borderId="0" xfId="0" applyFont="1"/>
    <xf numFmtId="3" fontId="22" fillId="0" borderId="0" xfId="0" applyNumberFormat="1" applyFont="1"/>
    <xf numFmtId="3" fontId="5" fillId="0" borderId="0" xfId="0" applyNumberFormat="1" applyFont="1" applyFill="1" applyAlignment="1">
      <alignment horizontal="right"/>
    </xf>
    <xf numFmtId="3" fontId="18" fillId="0" borderId="0" xfId="0" applyNumberFormat="1" applyFont="1" applyFill="1"/>
    <xf numFmtId="164" fontId="0" fillId="0" borderId="8" xfId="0" applyNumberFormat="1" applyFill="1" applyBorder="1"/>
    <xf numFmtId="164" fontId="4" fillId="0" borderId="32" xfId="9" applyNumberFormat="1" applyFont="1" applyFill="1" applyBorder="1"/>
    <xf numFmtId="0" fontId="0" fillId="0" borderId="8" xfId="0" applyFont="1" applyBorder="1"/>
    <xf numFmtId="0" fontId="0" fillId="0" borderId="0" xfId="0" quotePrefix="1" applyAlignment="1">
      <alignment horizontal="center"/>
    </xf>
    <xf numFmtId="0" fontId="0" fillId="0" borderId="0" xfId="0" applyFont="1" applyBorder="1" applyAlignment="1">
      <alignment horizontal="left"/>
    </xf>
    <xf numFmtId="0" fontId="0" fillId="0" borderId="8" xfId="0" applyFont="1" applyBorder="1" applyAlignment="1">
      <alignment horizontal="left"/>
    </xf>
    <xf numFmtId="166" fontId="0" fillId="0" borderId="0" xfId="0" applyNumberFormat="1" applyBorder="1" applyAlignment="1">
      <alignment horizontal="center"/>
    </xf>
    <xf numFmtId="37" fontId="0" fillId="0" borderId="0" xfId="1" applyNumberFormat="1" applyFont="1" applyFill="1" applyBorder="1" applyAlignment="1">
      <alignment horizontal="center" wrapText="1"/>
    </xf>
    <xf numFmtId="0" fontId="0" fillId="0" borderId="0" xfId="0" quotePrefix="1" applyFont="1"/>
    <xf numFmtId="0" fontId="2" fillId="0" borderId="8" xfId="0" applyFont="1" applyBorder="1"/>
    <xf numFmtId="0" fontId="2" fillId="0" borderId="0" xfId="0" applyFont="1" applyBorder="1"/>
    <xf numFmtId="181" fontId="0" fillId="0" borderId="0" xfId="1" applyNumberFormat="1" applyFont="1"/>
    <xf numFmtId="181" fontId="0" fillId="0" borderId="0" xfId="1" applyNumberFormat="1" applyFont="1" applyBorder="1"/>
    <xf numFmtId="0" fontId="2" fillId="0" borderId="8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/>
    <xf numFmtId="164" fontId="16" fillId="0" borderId="0" xfId="9" applyNumberFormat="1" applyFont="1" applyFill="1" applyBorder="1"/>
    <xf numFmtId="164" fontId="16" fillId="0" borderId="0" xfId="9" applyNumberFormat="1" applyFont="1" applyBorder="1"/>
    <xf numFmtId="164" fontId="5" fillId="0" borderId="0" xfId="9" applyNumberFormat="1" applyFont="1" applyBorder="1"/>
    <xf numFmtId="165" fontId="5" fillId="0" borderId="0" xfId="9" applyNumberFormat="1" applyFont="1" applyBorder="1"/>
    <xf numFmtId="165" fontId="16" fillId="0" borderId="0" xfId="9" applyNumberFormat="1" applyFont="1" applyBorder="1"/>
    <xf numFmtId="165" fontId="4" fillId="0" borderId="0" xfId="9" applyNumberFormat="1" applyFont="1" applyBorder="1"/>
    <xf numFmtId="0" fontId="5" fillId="0" borderId="0" xfId="0" applyFont="1" applyBorder="1"/>
    <xf numFmtId="0" fontId="2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Fill="1" applyAlignment="1"/>
  </cellXfs>
  <cellStyles count="11">
    <cellStyle name="Comma" xfId="1" builtinId="3"/>
    <cellStyle name="Comma [1]" xfId="2" xr:uid="{00000000-0005-0000-0000-000001000000}"/>
    <cellStyle name="Comma [2]" xfId="3" xr:uid="{00000000-0005-0000-0000-000002000000}"/>
    <cellStyle name="Comma [3]" xfId="4" xr:uid="{00000000-0005-0000-0000-000003000000}"/>
    <cellStyle name="Comma [5]" xfId="5" xr:uid="{00000000-0005-0000-0000-000004000000}"/>
    <cellStyle name="Currency [1]" xfId="6" xr:uid="{00000000-0005-0000-0000-000005000000}"/>
    <cellStyle name="Currency [2]" xfId="7" xr:uid="{00000000-0005-0000-0000-000006000000}"/>
    <cellStyle name="Normal" xfId="0" builtinId="0"/>
    <cellStyle name="Normal_2004 Residential Indications" xfId="8" xr:uid="{00000000-0005-0000-0000-000008000000}"/>
    <cellStyle name="Percent" xfId="9" builtinId="5"/>
    <cellStyle name="Percent [1]" xfId="10" xr:uid="{00000000-0005-0000-0000-00000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externalLink" Target="externalLinks/externalLink4.xml"/><Relationship Id="rId47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externalLink" Target="externalLinks/externalLink2.xml"/><Relationship Id="rId45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externalLink" Target="externalLinks/externalLink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53</xdr:col>
      <xdr:colOff>91440</xdr:colOff>
      <xdr:row>35</xdr:row>
      <xdr:rowOff>0</xdr:rowOff>
    </xdr:from>
    <xdr:to>
      <xdr:col>57</xdr:col>
      <xdr:colOff>91440</xdr:colOff>
      <xdr:row>39</xdr:row>
      <xdr:rowOff>0</xdr:rowOff>
    </xdr:to>
    <xdr:cxnSp macro="">
      <xdr:nvCxnSpPr>
        <xdr:cNvPr id="495892" name="AutoShape 4">
          <a:extLst>
            <a:ext uri="{FF2B5EF4-FFF2-40B4-BE49-F238E27FC236}">
              <a16:creationId xmlns:a16="http://schemas.microsoft.com/office/drawing/2014/main" id="{1D0EBA9A-B7E1-4475-A79D-9AD53D6B9B92}"/>
            </a:ext>
          </a:extLst>
        </xdr:cNvPr>
        <xdr:cNvCxnSpPr>
          <a:cxnSpLocks noChangeShapeType="1"/>
        </xdr:cNvCxnSpPr>
      </xdr:nvCxnSpPr>
      <xdr:spPr bwMode="auto">
        <a:xfrm flipV="1">
          <a:off x="16367760" y="4549140"/>
          <a:ext cx="518160" cy="51816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 editAs="oneCell">
    <xdr:from>
      <xdr:col>21</xdr:col>
      <xdr:colOff>38100</xdr:colOff>
      <xdr:row>28</xdr:row>
      <xdr:rowOff>0</xdr:rowOff>
    </xdr:from>
    <xdr:to>
      <xdr:col>21</xdr:col>
      <xdr:colOff>106680</xdr:colOff>
      <xdr:row>29</xdr:row>
      <xdr:rowOff>38100</xdr:rowOff>
    </xdr:to>
    <xdr:sp macro="" textlink="">
      <xdr:nvSpPr>
        <xdr:cNvPr id="495893" name="Text Box 5">
          <a:extLst>
            <a:ext uri="{FF2B5EF4-FFF2-40B4-BE49-F238E27FC236}">
              <a16:creationId xmlns:a16="http://schemas.microsoft.com/office/drawing/2014/main" id="{4FF5F8A6-8C5E-4E26-A84A-A241433C181B}"/>
            </a:ext>
          </a:extLst>
        </xdr:cNvPr>
        <xdr:cNvSpPr txBox="1">
          <a:spLocks noChangeArrowheads="1"/>
        </xdr:cNvSpPr>
      </xdr:nvSpPr>
      <xdr:spPr bwMode="auto">
        <a:xfrm>
          <a:off x="12169140" y="3642360"/>
          <a:ext cx="6858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59</xdr:col>
      <xdr:colOff>38100</xdr:colOff>
      <xdr:row>35</xdr:row>
      <xdr:rowOff>38100</xdr:rowOff>
    </xdr:from>
    <xdr:to>
      <xdr:col>63</xdr:col>
      <xdr:colOff>7620</xdr:colOff>
      <xdr:row>39</xdr:row>
      <xdr:rowOff>0</xdr:rowOff>
    </xdr:to>
    <xdr:cxnSp macro="">
      <xdr:nvCxnSpPr>
        <xdr:cNvPr id="495894" name="AutoShape 6">
          <a:extLst>
            <a:ext uri="{FF2B5EF4-FFF2-40B4-BE49-F238E27FC236}">
              <a16:creationId xmlns:a16="http://schemas.microsoft.com/office/drawing/2014/main" id="{8249F8DB-CAFD-4956-8D19-F6BA764D4769}"/>
            </a:ext>
          </a:extLst>
        </xdr:cNvPr>
        <xdr:cNvCxnSpPr>
          <a:cxnSpLocks noChangeShapeType="1"/>
        </xdr:cNvCxnSpPr>
      </xdr:nvCxnSpPr>
      <xdr:spPr bwMode="auto">
        <a:xfrm flipV="1">
          <a:off x="17091660" y="4587240"/>
          <a:ext cx="487680" cy="48006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63</xdr:col>
      <xdr:colOff>38100</xdr:colOff>
      <xdr:row>35</xdr:row>
      <xdr:rowOff>38100</xdr:rowOff>
    </xdr:from>
    <xdr:to>
      <xdr:col>67</xdr:col>
      <xdr:colOff>7620</xdr:colOff>
      <xdr:row>39</xdr:row>
      <xdr:rowOff>0</xdr:rowOff>
    </xdr:to>
    <xdr:cxnSp macro="">
      <xdr:nvCxnSpPr>
        <xdr:cNvPr id="495895" name="AutoShape 6">
          <a:extLst>
            <a:ext uri="{FF2B5EF4-FFF2-40B4-BE49-F238E27FC236}">
              <a16:creationId xmlns:a16="http://schemas.microsoft.com/office/drawing/2014/main" id="{86ADDE89-1896-451E-BA84-FFDFD95A689B}"/>
            </a:ext>
          </a:extLst>
        </xdr:cNvPr>
        <xdr:cNvCxnSpPr>
          <a:cxnSpLocks noChangeShapeType="1"/>
        </xdr:cNvCxnSpPr>
      </xdr:nvCxnSpPr>
      <xdr:spPr bwMode="auto">
        <a:xfrm flipV="1">
          <a:off x="17609820" y="4587240"/>
          <a:ext cx="487680" cy="48006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Actuarial\Tier%203%20-%20Internal%20Use%20Secured\TWIA\Reviews\2019%20Rate%20Review\Copy%20of%202019%20Residential%20Indications%20JF%20Table%20of%20Contents%20v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Actuarial\Tier%203%20-%20Internal%20Use%20Secured\TWIA\Reviews\2019%20Rate%20Review\2019%20Data%20V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Actuarial\Tier%203%20-%20Internal%20Use%20Secured\TWIA\Reviews\2019%20Rate%20Review\2019%20Residential%20Indication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Actuarial\Tier%203%20-%20Internal%20Use%20Secured\TWIA\Reviews\2019%201Q%20Rx\TWIA%20Rx%202019%20Q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Actuarial\Tier%203%20-%20Internal%20Use%20Secured\TWIA\Reviews\2019%20Rate%20Review\2017%20Residential%20Indication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Sheet1"/>
      <sheetName val="Summary"/>
      <sheetName val="1"/>
      <sheetName val="2.1"/>
      <sheetName val="2.2a"/>
      <sheetName val="2.2b"/>
      <sheetName val="2.2c"/>
      <sheetName val="2.2d"/>
      <sheetName val="2.3a"/>
      <sheetName val="2.3b"/>
      <sheetName val="2.3c"/>
      <sheetName val="2.3d"/>
      <sheetName val="2.4a"/>
      <sheetName val="2.4b"/>
      <sheetName val="2.4c"/>
      <sheetName val="2.4d"/>
      <sheetName val="trend 2.5"/>
      <sheetName val="ldf 3.1a"/>
      <sheetName val="ldf 3.1b"/>
      <sheetName val="3.2 premium trend"/>
      <sheetName val="3.3a"/>
      <sheetName val="3.3b"/>
      <sheetName val="3.3c"/>
      <sheetName val="3.3d"/>
      <sheetName val="4.1"/>
      <sheetName val="4.2"/>
      <sheetName val="4.3AS loss Dev"/>
      <sheetName val="4.4"/>
      <sheetName val="4.5AS LAE Dev"/>
      <sheetName val="5"/>
      <sheetName val="6.1"/>
      <sheetName val="6.2"/>
      <sheetName val="6.3"/>
      <sheetName val="6.4"/>
      <sheetName val="6.5"/>
      <sheetName val="6.6"/>
      <sheetName val="6.7"/>
      <sheetName val="7.1"/>
      <sheetName val="7.2"/>
      <sheetName val="8.1"/>
      <sheetName val="8.2"/>
      <sheetName val="9"/>
      <sheetName val="10.1a"/>
      <sheetName val="10.1b"/>
      <sheetName val="10.1c"/>
      <sheetName val="10.1d"/>
      <sheetName val="10.2"/>
      <sheetName val="11.1"/>
      <sheetName val="11.2"/>
      <sheetName val="1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>
        <row r="5">
          <cell r="A5" t="str">
            <v>1966 - 2018</v>
          </cell>
        </row>
      </sheetData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>
        <row r="5">
          <cell r="A5" t="str">
            <v>Tier 1 -- Territory 8 (Galveston County)</v>
          </cell>
        </row>
      </sheetData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O"/>
      <sheetName val="TICO 1"/>
      <sheetName val="TICO 2"/>
      <sheetName val="TICO 3"/>
      <sheetName val="Hurr Models"/>
      <sheetName val="EC LDF"/>
      <sheetName val="TWIA 1"/>
      <sheetName val="TWIA 3"/>
      <sheetName val="TWIA 4 Premium Trend"/>
      <sheetName val="TWIA 5"/>
      <sheetName val="CPI"/>
      <sheetName val="Boeckh (R)"/>
      <sheetName val="Boeckh (C)"/>
    </sheetNames>
    <sheetDataSet>
      <sheetData sheetId="0">
        <row r="1">
          <cell r="E1">
            <v>43465</v>
          </cell>
        </row>
        <row r="2">
          <cell r="E2">
            <v>43465</v>
          </cell>
        </row>
        <row r="54">
          <cell r="O54">
            <v>29363002</v>
          </cell>
          <cell r="P54">
            <v>29085395</v>
          </cell>
          <cell r="Q54">
            <v>64583344</v>
          </cell>
          <cell r="R54">
            <v>62172956</v>
          </cell>
          <cell r="T54">
            <v>1140669</v>
          </cell>
          <cell r="U54">
            <v>2074340</v>
          </cell>
          <cell r="V54">
            <v>1576316</v>
          </cell>
          <cell r="W54">
            <v>9127735</v>
          </cell>
        </row>
        <row r="55">
          <cell r="O55">
            <v>31702630</v>
          </cell>
          <cell r="P55">
            <v>27312652</v>
          </cell>
          <cell r="Q55">
            <v>63193636</v>
          </cell>
          <cell r="R55">
            <v>70229705</v>
          </cell>
          <cell r="T55">
            <v>669882</v>
          </cell>
          <cell r="U55">
            <v>1768194</v>
          </cell>
          <cell r="V55">
            <v>5418624</v>
          </cell>
          <cell r="W55">
            <v>3349546</v>
          </cell>
        </row>
        <row r="56">
          <cell r="O56">
            <v>31272385</v>
          </cell>
          <cell r="P56">
            <v>24704656</v>
          </cell>
          <cell r="Q56">
            <v>61496296</v>
          </cell>
          <cell r="R56">
            <v>68835250</v>
          </cell>
          <cell r="T56">
            <v>1675264</v>
          </cell>
          <cell r="U56">
            <v>10534288</v>
          </cell>
          <cell r="V56">
            <v>16245334</v>
          </cell>
          <cell r="W56">
            <v>17847819</v>
          </cell>
        </row>
        <row r="57">
          <cell r="O57">
            <v>35126663</v>
          </cell>
          <cell r="P57">
            <v>26050123</v>
          </cell>
          <cell r="Q57">
            <v>66730115</v>
          </cell>
          <cell r="R57">
            <v>76595910</v>
          </cell>
          <cell r="T57">
            <v>8709842</v>
          </cell>
          <cell r="U57">
            <v>8260210</v>
          </cell>
          <cell r="V57">
            <v>13373921</v>
          </cell>
          <cell r="W57">
            <v>10913315</v>
          </cell>
        </row>
        <row r="58">
          <cell r="O58">
            <v>37667656</v>
          </cell>
          <cell r="P58">
            <v>27637008</v>
          </cell>
          <cell r="Q58">
            <v>71999970</v>
          </cell>
          <cell r="R58">
            <v>88953062</v>
          </cell>
          <cell r="T58">
            <v>6670061</v>
          </cell>
          <cell r="U58">
            <v>1473733</v>
          </cell>
          <cell r="V58">
            <v>1108700</v>
          </cell>
          <cell r="W58">
            <v>8032548</v>
          </cell>
        </row>
        <row r="59">
          <cell r="O59">
            <v>38291181</v>
          </cell>
          <cell r="P59">
            <v>27448076</v>
          </cell>
          <cell r="Q59">
            <v>67421762</v>
          </cell>
          <cell r="R59">
            <v>103639645</v>
          </cell>
          <cell r="T59">
            <v>258179</v>
          </cell>
          <cell r="U59">
            <v>766708</v>
          </cell>
          <cell r="V59">
            <v>908975</v>
          </cell>
          <cell r="W59">
            <v>5625255</v>
          </cell>
        </row>
        <row r="60">
          <cell r="O60">
            <v>36812479</v>
          </cell>
          <cell r="P60">
            <v>26022455</v>
          </cell>
          <cell r="Q60">
            <v>61735174</v>
          </cell>
          <cell r="R60">
            <v>104805017</v>
          </cell>
          <cell r="T60">
            <v>5022267</v>
          </cell>
          <cell r="U60">
            <v>1323614</v>
          </cell>
          <cell r="V60">
            <v>15485267</v>
          </cell>
          <cell r="W60">
            <v>16825917</v>
          </cell>
        </row>
        <row r="61">
          <cell r="O61">
            <v>36198819</v>
          </cell>
          <cell r="P61">
            <v>22165422</v>
          </cell>
          <cell r="Q61">
            <v>56479197</v>
          </cell>
          <cell r="R61">
            <v>97761451</v>
          </cell>
          <cell r="T61">
            <v>334194</v>
          </cell>
          <cell r="U61">
            <v>1964437</v>
          </cell>
          <cell r="V61">
            <v>2286047</v>
          </cell>
          <cell r="W61">
            <v>32844176</v>
          </cell>
        </row>
        <row r="62">
          <cell r="O62">
            <v>33019317</v>
          </cell>
          <cell r="P62">
            <v>18980915</v>
          </cell>
          <cell r="Q62">
            <v>46087983</v>
          </cell>
          <cell r="R62">
            <v>89809431</v>
          </cell>
          <cell r="T62">
            <v>23262415</v>
          </cell>
          <cell r="U62">
            <v>220070408</v>
          </cell>
          <cell r="V62">
            <v>207827234</v>
          </cell>
          <cell r="W62">
            <v>123339558</v>
          </cell>
        </row>
        <row r="63">
          <cell r="O63">
            <v>31415090</v>
          </cell>
          <cell r="P63">
            <v>17672846</v>
          </cell>
          <cell r="Q63">
            <v>41901972</v>
          </cell>
          <cell r="R63">
            <v>92634418</v>
          </cell>
          <cell r="T63">
            <v>148796</v>
          </cell>
          <cell r="U63">
            <v>213537</v>
          </cell>
          <cell r="V63">
            <v>701124</v>
          </cell>
          <cell r="W63">
            <v>17867459</v>
          </cell>
        </row>
        <row r="65">
          <cell r="O65">
            <v>302811974</v>
          </cell>
          <cell r="P65">
            <v>220359434</v>
          </cell>
          <cell r="Q65">
            <v>448890691</v>
          </cell>
          <cell r="R65">
            <v>8645749</v>
          </cell>
        </row>
        <row r="66">
          <cell r="O66">
            <v>340869222</v>
          </cell>
          <cell r="P66">
            <v>247079548</v>
          </cell>
          <cell r="Q66">
            <v>601629449</v>
          </cell>
          <cell r="R66">
            <v>855436845</v>
          </cell>
        </row>
      </sheetData>
      <sheetData sheetId="1"/>
      <sheetData sheetId="2">
        <row r="1">
          <cell r="E1">
            <v>43373</v>
          </cell>
        </row>
      </sheetData>
      <sheetData sheetId="3">
        <row r="1">
          <cell r="E1">
            <v>43373</v>
          </cell>
        </row>
      </sheetData>
      <sheetData sheetId="4">
        <row r="1">
          <cell r="C1">
            <v>43434</v>
          </cell>
        </row>
        <row r="5">
          <cell r="E5">
            <v>277829777</v>
          </cell>
          <cell r="K5">
            <v>1051069</v>
          </cell>
        </row>
        <row r="6">
          <cell r="E6">
            <v>493585863</v>
          </cell>
          <cell r="K6">
            <v>1702302</v>
          </cell>
        </row>
        <row r="7">
          <cell r="E7">
            <v>112097455</v>
          </cell>
          <cell r="K7">
            <v>540141</v>
          </cell>
        </row>
        <row r="8">
          <cell r="E8">
            <v>999634270</v>
          </cell>
          <cell r="K8">
            <v>4985048</v>
          </cell>
        </row>
        <row r="9">
          <cell r="E9">
            <v>58987188</v>
          </cell>
          <cell r="K9">
            <v>188826</v>
          </cell>
        </row>
        <row r="10">
          <cell r="E10">
            <v>2382030230</v>
          </cell>
          <cell r="K10">
            <v>15176508</v>
          </cell>
        </row>
        <row r="11">
          <cell r="E11">
            <v>38104608</v>
          </cell>
          <cell r="K11">
            <v>191578</v>
          </cell>
        </row>
        <row r="12">
          <cell r="E12">
            <v>397140759</v>
          </cell>
          <cell r="K12">
            <v>1165361</v>
          </cell>
        </row>
        <row r="13">
          <cell r="E13">
            <v>694441</v>
          </cell>
          <cell r="K13">
            <v>1439</v>
          </cell>
        </row>
        <row r="14">
          <cell r="E14">
            <v>17254115</v>
          </cell>
          <cell r="K14">
            <v>33971</v>
          </cell>
        </row>
        <row r="15">
          <cell r="E15">
            <v>93288779</v>
          </cell>
          <cell r="K15">
            <v>389138</v>
          </cell>
        </row>
        <row r="16">
          <cell r="E16">
            <v>1584978530</v>
          </cell>
          <cell r="K16">
            <v>6261586</v>
          </cell>
        </row>
        <row r="17">
          <cell r="E17">
            <v>21240950</v>
          </cell>
          <cell r="K17">
            <v>58082</v>
          </cell>
        </row>
        <row r="18">
          <cell r="E18">
            <v>136263487</v>
          </cell>
          <cell r="K18">
            <v>431863</v>
          </cell>
        </row>
        <row r="19">
          <cell r="E19">
            <v>14647796</v>
          </cell>
          <cell r="K19">
            <v>58126</v>
          </cell>
        </row>
        <row r="30">
          <cell r="E30">
            <v>277829777</v>
          </cell>
          <cell r="K30">
            <v>961004</v>
          </cell>
        </row>
        <row r="31">
          <cell r="E31">
            <v>493585863</v>
          </cell>
          <cell r="K31">
            <v>1433581</v>
          </cell>
        </row>
        <row r="32">
          <cell r="E32">
            <v>112097455</v>
          </cell>
          <cell r="K32">
            <v>362453</v>
          </cell>
        </row>
        <row r="33">
          <cell r="E33">
            <v>999634270</v>
          </cell>
          <cell r="K33">
            <v>3388873</v>
          </cell>
        </row>
        <row r="34">
          <cell r="E34">
            <v>58987188</v>
          </cell>
          <cell r="K34">
            <v>148771</v>
          </cell>
        </row>
        <row r="35">
          <cell r="E35">
            <v>2382030230</v>
          </cell>
          <cell r="K35">
            <v>20563119</v>
          </cell>
        </row>
        <row r="36">
          <cell r="E36">
            <v>38104608</v>
          </cell>
          <cell r="K36">
            <v>223260</v>
          </cell>
        </row>
        <row r="37">
          <cell r="E37">
            <v>397140759</v>
          </cell>
          <cell r="K37">
            <v>1048149</v>
          </cell>
        </row>
        <row r="38">
          <cell r="E38">
            <v>694441</v>
          </cell>
          <cell r="K38">
            <v>825</v>
          </cell>
        </row>
        <row r="39">
          <cell r="E39">
            <v>17254115</v>
          </cell>
          <cell r="K39">
            <v>18741</v>
          </cell>
        </row>
        <row r="40">
          <cell r="E40">
            <v>93288779</v>
          </cell>
          <cell r="K40">
            <v>286002</v>
          </cell>
        </row>
        <row r="41">
          <cell r="E41">
            <v>1584978530</v>
          </cell>
          <cell r="K41">
            <v>5685529</v>
          </cell>
        </row>
        <row r="42">
          <cell r="E42">
            <v>21240950</v>
          </cell>
          <cell r="K42">
            <v>30606</v>
          </cell>
        </row>
        <row r="43">
          <cell r="E43">
            <v>136263487</v>
          </cell>
          <cell r="K43">
            <v>313443</v>
          </cell>
        </row>
        <row r="44">
          <cell r="E44">
            <v>14647796</v>
          </cell>
          <cell r="K44">
            <v>36754</v>
          </cell>
        </row>
      </sheetData>
      <sheetData sheetId="5">
        <row r="1">
          <cell r="B1">
            <v>43373</v>
          </cell>
        </row>
      </sheetData>
      <sheetData sheetId="6"/>
      <sheetData sheetId="7">
        <row r="5">
          <cell r="L5">
            <v>857250899.15999997</v>
          </cell>
          <cell r="M5">
            <v>1709067474.04</v>
          </cell>
        </row>
        <row r="6">
          <cell r="H6">
            <v>2553456.1800000002</v>
          </cell>
          <cell r="J6">
            <v>0</v>
          </cell>
          <cell r="L6">
            <v>2553456.1800000002</v>
          </cell>
          <cell r="M6">
            <v>8479584.8599999994</v>
          </cell>
        </row>
        <row r="7">
          <cell r="H7">
            <v>7478288.5800000001</v>
          </cell>
          <cell r="J7">
            <v>0</v>
          </cell>
          <cell r="L7">
            <v>7478288.5800000001</v>
          </cell>
          <cell r="M7">
            <v>10958717.68</v>
          </cell>
        </row>
        <row r="8">
          <cell r="H8">
            <v>19217586.699999999</v>
          </cell>
          <cell r="J8">
            <v>0</v>
          </cell>
          <cell r="L8">
            <v>19217586.699999999</v>
          </cell>
          <cell r="M8">
            <v>76980632.569999993</v>
          </cell>
        </row>
        <row r="9">
          <cell r="H9">
            <v>14459641.539999999</v>
          </cell>
          <cell r="J9">
            <v>0</v>
          </cell>
          <cell r="L9">
            <v>14459641.539999999</v>
          </cell>
          <cell r="M9">
            <v>52332695.060000002</v>
          </cell>
        </row>
        <row r="10">
          <cell r="H10">
            <v>7351329.1600000001</v>
          </cell>
          <cell r="J10">
            <v>0</v>
          </cell>
          <cell r="L10">
            <v>7351329.1600000001</v>
          </cell>
          <cell r="M10">
            <v>63503333.780000001</v>
          </cell>
        </row>
        <row r="11">
          <cell r="H11">
            <v>1056280.8</v>
          </cell>
          <cell r="J11">
            <v>0</v>
          </cell>
          <cell r="L11">
            <v>1056280.8</v>
          </cell>
          <cell r="M11">
            <v>6114172.0999999996</v>
          </cell>
        </row>
        <row r="12">
          <cell r="H12">
            <v>18644220.16</v>
          </cell>
          <cell r="J12">
            <v>0</v>
          </cell>
          <cell r="L12">
            <v>18644220.16</v>
          </cell>
          <cell r="M12">
            <v>119845638.09999999</v>
          </cell>
        </row>
        <row r="13">
          <cell r="H13">
            <v>2584004.75</v>
          </cell>
          <cell r="J13">
            <v>0</v>
          </cell>
          <cell r="L13">
            <v>2584004.75</v>
          </cell>
          <cell r="M13">
            <v>25883610.859999999</v>
          </cell>
        </row>
        <row r="14">
          <cell r="H14">
            <v>1963222</v>
          </cell>
          <cell r="J14">
            <v>384209206.86000001</v>
          </cell>
          <cell r="L14">
            <v>386172428.86000001</v>
          </cell>
          <cell r="M14">
            <v>855680671.66999996</v>
          </cell>
        </row>
        <row r="15">
          <cell r="H15">
            <v>164740.81</v>
          </cell>
          <cell r="J15">
            <v>0</v>
          </cell>
          <cell r="L15">
            <v>164740.81</v>
          </cell>
          <cell r="M15">
            <v>9256158.2799999993</v>
          </cell>
        </row>
      </sheetData>
      <sheetData sheetId="8">
        <row r="14">
          <cell r="B14">
            <v>31841452</v>
          </cell>
          <cell r="C14">
            <v>11220</v>
          </cell>
        </row>
        <row r="15">
          <cell r="B15">
            <v>35544214</v>
          </cell>
          <cell r="C15">
            <v>11788</v>
          </cell>
        </row>
        <row r="16">
          <cell r="B16">
            <v>24176074</v>
          </cell>
          <cell r="C16">
            <v>9742</v>
          </cell>
        </row>
        <row r="17">
          <cell r="B17">
            <v>23376688</v>
          </cell>
          <cell r="C17">
            <v>7811</v>
          </cell>
        </row>
        <row r="18">
          <cell r="B18">
            <v>34131354</v>
          </cell>
          <cell r="C18">
            <v>10820</v>
          </cell>
        </row>
        <row r="19">
          <cell r="B19">
            <v>31767550</v>
          </cell>
          <cell r="C19">
            <v>11668</v>
          </cell>
        </row>
        <row r="20">
          <cell r="B20">
            <v>20776517</v>
          </cell>
          <cell r="C20">
            <v>8548</v>
          </cell>
        </row>
        <row r="21">
          <cell r="B21">
            <v>19850492</v>
          </cell>
          <cell r="C21">
            <v>6214</v>
          </cell>
        </row>
        <row r="22">
          <cell r="B22">
            <v>29228333</v>
          </cell>
          <cell r="C22">
            <v>9658</v>
          </cell>
        </row>
        <row r="23">
          <cell r="B23">
            <v>31567447</v>
          </cell>
          <cell r="C23">
            <v>10928</v>
          </cell>
        </row>
        <row r="24">
          <cell r="B24">
            <v>23026165</v>
          </cell>
          <cell r="C24">
            <v>7912</v>
          </cell>
        </row>
        <row r="25">
          <cell r="B25">
            <v>24771378</v>
          </cell>
          <cell r="C25">
            <v>7909</v>
          </cell>
        </row>
        <row r="26">
          <cell r="B26">
            <v>32088566</v>
          </cell>
          <cell r="C26">
            <v>9232</v>
          </cell>
        </row>
        <row r="27">
          <cell r="B27">
            <v>32876434</v>
          </cell>
          <cell r="C27">
            <v>10836</v>
          </cell>
        </row>
        <row r="28">
          <cell r="B28">
            <v>24799106</v>
          </cell>
          <cell r="C28">
            <v>7698</v>
          </cell>
        </row>
        <row r="29">
          <cell r="B29">
            <v>24974712</v>
          </cell>
          <cell r="C29">
            <v>7144</v>
          </cell>
        </row>
        <row r="30">
          <cell r="B30">
            <v>32706056</v>
          </cell>
          <cell r="C30">
            <v>9194</v>
          </cell>
        </row>
        <row r="31">
          <cell r="B31">
            <v>35220808</v>
          </cell>
          <cell r="C31">
            <v>10002</v>
          </cell>
        </row>
        <row r="32">
          <cell r="B32">
            <v>24211988</v>
          </cell>
          <cell r="C32">
            <v>7133</v>
          </cell>
        </row>
        <row r="33">
          <cell r="B33">
            <v>23028882</v>
          </cell>
          <cell r="C33">
            <v>6329</v>
          </cell>
        </row>
        <row r="34">
          <cell r="B34">
            <v>35219745</v>
          </cell>
          <cell r="C34">
            <v>8964</v>
          </cell>
        </row>
        <row r="35">
          <cell r="B35">
            <v>29887118</v>
          </cell>
          <cell r="C35">
            <v>8292</v>
          </cell>
        </row>
        <row r="36">
          <cell r="B36">
            <v>21627063</v>
          </cell>
          <cell r="C36">
            <v>6088</v>
          </cell>
        </row>
        <row r="37">
          <cell r="B37">
            <v>24808373</v>
          </cell>
          <cell r="C37">
            <v>6464</v>
          </cell>
        </row>
        <row r="38">
          <cell r="B38">
            <v>33339199</v>
          </cell>
          <cell r="C38">
            <v>7870</v>
          </cell>
        </row>
        <row r="39">
          <cell r="B39">
            <v>28055666</v>
          </cell>
          <cell r="C39">
            <v>7657</v>
          </cell>
        </row>
        <row r="40">
          <cell r="B40">
            <v>17430504</v>
          </cell>
          <cell r="C40">
            <v>4802</v>
          </cell>
        </row>
        <row r="41">
          <cell r="B41">
            <v>22487925</v>
          </cell>
          <cell r="C41">
            <v>5512</v>
          </cell>
        </row>
        <row r="42">
          <cell r="B42">
            <v>28623450</v>
          </cell>
          <cell r="C42">
            <v>6522</v>
          </cell>
        </row>
        <row r="43">
          <cell r="B43">
            <v>25417054</v>
          </cell>
          <cell r="C43">
            <v>6507</v>
          </cell>
        </row>
        <row r="44">
          <cell r="B44">
            <v>14955154</v>
          </cell>
          <cell r="C44">
            <v>4047</v>
          </cell>
        </row>
        <row r="45">
          <cell r="B45">
            <v>17482209</v>
          </cell>
          <cell r="C45">
            <v>4263</v>
          </cell>
        </row>
        <row r="46">
          <cell r="B46">
            <v>25224489</v>
          </cell>
          <cell r="C46">
            <v>5717</v>
          </cell>
        </row>
        <row r="47">
          <cell r="B47">
            <v>19050031</v>
          </cell>
          <cell r="C47">
            <v>5172</v>
          </cell>
        </row>
        <row r="48">
          <cell r="B48">
            <v>13077837</v>
          </cell>
          <cell r="C48">
            <v>3489</v>
          </cell>
        </row>
        <row r="49">
          <cell r="B49">
            <v>15807970</v>
          </cell>
          <cell r="C49">
            <v>3663</v>
          </cell>
        </row>
        <row r="50">
          <cell r="B50">
            <v>22862777</v>
          </cell>
          <cell r="C50">
            <v>5108</v>
          </cell>
        </row>
        <row r="51">
          <cell r="B51">
            <v>17927115</v>
          </cell>
          <cell r="C51">
            <v>4612</v>
          </cell>
        </row>
        <row r="52">
          <cell r="B52">
            <v>12284401</v>
          </cell>
          <cell r="C52">
            <v>3109</v>
          </cell>
        </row>
      </sheetData>
      <sheetData sheetId="9">
        <row r="23">
          <cell r="X23">
            <v>25650931</v>
          </cell>
        </row>
        <row r="24">
          <cell r="X24">
            <v>15358843</v>
          </cell>
        </row>
        <row r="25">
          <cell r="X25">
            <v>27829516</v>
          </cell>
        </row>
        <row r="26">
          <cell r="X26">
            <v>526533</v>
          </cell>
        </row>
        <row r="117">
          <cell r="I117">
            <v>1.4071004226562505</v>
          </cell>
        </row>
        <row r="118">
          <cell r="I118">
            <v>1.4071004226562505</v>
          </cell>
        </row>
        <row r="137">
          <cell r="I137">
            <v>1.3400956406250004</v>
          </cell>
        </row>
        <row r="149">
          <cell r="I149">
            <v>1.2762815625000004</v>
          </cell>
        </row>
        <row r="161">
          <cell r="I161">
            <v>1.2155062500000002</v>
          </cell>
        </row>
        <row r="173">
          <cell r="I173">
            <v>1.1576250000000001</v>
          </cell>
        </row>
        <row r="185">
          <cell r="I185">
            <v>1.1025</v>
          </cell>
        </row>
        <row r="208">
          <cell r="I208">
            <v>1.05</v>
          </cell>
        </row>
        <row r="209">
          <cell r="I209">
            <v>1.05</v>
          </cell>
        </row>
        <row r="232">
          <cell r="I232">
            <v>1</v>
          </cell>
        </row>
        <row r="236">
          <cell r="C236">
            <v>29220514</v>
          </cell>
          <cell r="D236">
            <v>58573191</v>
          </cell>
        </row>
        <row r="237">
          <cell r="C237">
            <v>31009323</v>
          </cell>
          <cell r="D237">
            <v>71292702</v>
          </cell>
        </row>
        <row r="238">
          <cell r="C238">
            <v>35740174</v>
          </cell>
          <cell r="D238">
            <v>78094458</v>
          </cell>
        </row>
        <row r="239">
          <cell r="C239">
            <v>76847840</v>
          </cell>
          <cell r="D239">
            <v>119658576</v>
          </cell>
        </row>
        <row r="240">
          <cell r="C240">
            <v>110951718</v>
          </cell>
          <cell r="D240">
            <v>203561196</v>
          </cell>
        </row>
        <row r="241">
          <cell r="C241">
            <v>98036118.420000017</v>
          </cell>
          <cell r="D241">
            <v>232925989.76999998</v>
          </cell>
        </row>
        <row r="242">
          <cell r="C242">
            <v>111269572.63</v>
          </cell>
          <cell r="D242">
            <v>269535059.02999997</v>
          </cell>
        </row>
        <row r="243">
          <cell r="C243">
            <v>102174679.52999991</v>
          </cell>
          <cell r="D243">
            <v>278116922.00999999</v>
          </cell>
        </row>
        <row r="244">
          <cell r="C244">
            <v>100017021</v>
          </cell>
          <cell r="D244">
            <v>307494236.20000005</v>
          </cell>
        </row>
        <row r="245">
          <cell r="C245">
            <v>110524396.51999998</v>
          </cell>
          <cell r="D245">
            <v>335795725.19999981</v>
          </cell>
        </row>
        <row r="246">
          <cell r="C246">
            <v>112904624</v>
          </cell>
          <cell r="D246">
            <v>360838080.7099998</v>
          </cell>
        </row>
        <row r="247">
          <cell r="C247">
            <v>104642688</v>
          </cell>
          <cell r="D247">
            <v>389333918.13999987</v>
          </cell>
        </row>
        <row r="248">
          <cell r="C248">
            <v>98715934</v>
          </cell>
          <cell r="D248">
            <v>407969846.0800004</v>
          </cell>
        </row>
        <row r="249">
          <cell r="C249">
            <v>88278690</v>
          </cell>
          <cell r="D249">
            <v>399074847</v>
          </cell>
        </row>
        <row r="250">
          <cell r="C250">
            <v>70749081</v>
          </cell>
          <cell r="D250">
            <v>352368052</v>
          </cell>
        </row>
        <row r="251">
          <cell r="C251">
            <v>65696833</v>
          </cell>
          <cell r="D251">
            <v>331676957</v>
          </cell>
        </row>
      </sheetData>
      <sheetData sheetId="10">
        <row r="88">
          <cell r="H88">
            <v>181.04</v>
          </cell>
        </row>
        <row r="89">
          <cell r="H89">
            <v>181.06</v>
          </cell>
        </row>
        <row r="90">
          <cell r="H90">
            <v>180.55</v>
          </cell>
        </row>
        <row r="91">
          <cell r="H91">
            <v>180.07</v>
          </cell>
        </row>
        <row r="92">
          <cell r="H92">
            <v>179.3</v>
          </cell>
        </row>
        <row r="93">
          <cell r="H93">
            <v>178.8</v>
          </cell>
        </row>
        <row r="94">
          <cell r="H94">
            <v>178.46</v>
          </cell>
        </row>
        <row r="95">
          <cell r="H95">
            <v>178.56</v>
          </cell>
        </row>
        <row r="96">
          <cell r="H96">
            <v>178.59</v>
          </cell>
        </row>
        <row r="97">
          <cell r="H97">
            <v>178.72</v>
          </cell>
        </row>
        <row r="98">
          <cell r="H98">
            <v>178.97</v>
          </cell>
        </row>
        <row r="99">
          <cell r="H99">
            <v>179.61</v>
          </cell>
        </row>
        <row r="100">
          <cell r="H100">
            <v>180.52</v>
          </cell>
        </row>
        <row r="101">
          <cell r="H101">
            <v>181.55</v>
          </cell>
        </row>
        <row r="102">
          <cell r="H102">
            <v>182.78</v>
          </cell>
        </row>
        <row r="103">
          <cell r="H103">
            <v>183.87</v>
          </cell>
        </row>
        <row r="104">
          <cell r="H104">
            <v>184.57</v>
          </cell>
        </row>
        <row r="105">
          <cell r="H105">
            <v>185.03</v>
          </cell>
        </row>
        <row r="106">
          <cell r="H106">
            <v>185.38</v>
          </cell>
        </row>
        <row r="107">
          <cell r="H107">
            <v>185.51</v>
          </cell>
        </row>
        <row r="108">
          <cell r="H108">
            <v>185.82</v>
          </cell>
        </row>
        <row r="109">
          <cell r="H109">
            <v>186.03</v>
          </cell>
        </row>
        <row r="110">
          <cell r="H110">
            <v>186.43</v>
          </cell>
        </row>
        <row r="111">
          <cell r="H111">
            <v>186.87</v>
          </cell>
        </row>
        <row r="112">
          <cell r="H112">
            <v>187.59</v>
          </cell>
        </row>
        <row r="113">
          <cell r="H113">
            <v>188.62</v>
          </cell>
        </row>
        <row r="114">
          <cell r="H114">
            <v>189.46</v>
          </cell>
        </row>
        <row r="115">
          <cell r="H115">
            <v>189.59</v>
          </cell>
        </row>
        <row r="116">
          <cell r="H116">
            <v>190.03</v>
          </cell>
        </row>
        <row r="117">
          <cell r="H117">
            <v>190.5</v>
          </cell>
        </row>
        <row r="118">
          <cell r="H118">
            <v>190.95</v>
          </cell>
        </row>
        <row r="119">
          <cell r="H119">
            <v>192.03</v>
          </cell>
        </row>
        <row r="120">
          <cell r="H120">
            <v>192.82</v>
          </cell>
        </row>
        <row r="121">
          <cell r="H121">
            <v>193.56</v>
          </cell>
        </row>
        <row r="122">
          <cell r="H122">
            <v>193.86</v>
          </cell>
        </row>
        <row r="123">
          <cell r="H123">
            <v>194.07</v>
          </cell>
        </row>
        <row r="124">
          <cell r="H124">
            <v>194.2</v>
          </cell>
        </row>
        <row r="125">
          <cell r="H125">
            <v>194.18</v>
          </cell>
        </row>
        <row r="126">
          <cell r="H126">
            <v>194.71</v>
          </cell>
        </row>
        <row r="127">
          <cell r="H127">
            <v>195.24</v>
          </cell>
        </row>
        <row r="128">
          <cell r="H128">
            <v>195.63</v>
          </cell>
        </row>
        <row r="129">
          <cell r="H129">
            <v>196.26</v>
          </cell>
        </row>
      </sheetData>
      <sheetData sheetId="11">
        <row r="50">
          <cell r="D50">
            <v>2017.7360107812501</v>
          </cell>
        </row>
      </sheetData>
      <sheetData sheetId="12">
        <row r="21">
          <cell r="E21">
            <v>2114.7060665624999</v>
          </cell>
        </row>
        <row r="22">
          <cell r="D22">
            <v>2108.3192760156253</v>
          </cell>
          <cell r="E22">
            <v>2145.1648209374998</v>
          </cell>
        </row>
        <row r="23">
          <cell r="D23">
            <v>2140.9958835416664</v>
          </cell>
          <cell r="E23">
            <v>2180.1207299999996</v>
          </cell>
        </row>
        <row r="24">
          <cell r="D24">
            <v>2157.9682789843746</v>
          </cell>
          <cell r="E24">
            <v>2204.40007625</v>
          </cell>
        </row>
        <row r="25">
          <cell r="D25">
            <v>2155.178442942708</v>
          </cell>
          <cell r="E25">
            <v>2204.4977368750001</v>
          </cell>
        </row>
        <row r="26">
          <cell r="D26">
            <v>2141.7289494791662</v>
          </cell>
          <cell r="E26">
            <v>2186.9045406249998</v>
          </cell>
        </row>
        <row r="27">
          <cell r="D27">
            <v>2124.6761978906247</v>
          </cell>
          <cell r="E27">
            <v>2162.6412296875001</v>
          </cell>
        </row>
        <row r="28">
          <cell r="D28">
            <v>2115.3410319895829</v>
          </cell>
          <cell r="E28">
            <v>2138.1696809166665</v>
          </cell>
        </row>
        <row r="29">
          <cell r="D29">
            <v>2116.4754306488094</v>
          </cell>
          <cell r="E29">
            <v>2121.4896457261907</v>
          </cell>
        </row>
        <row r="30">
          <cell r="D30">
            <v>2127.0809546793153</v>
          </cell>
          <cell r="E30">
            <v>2123.2704643206844</v>
          </cell>
        </row>
        <row r="31">
          <cell r="D31">
            <v>2141.5001158437499</v>
          </cell>
          <cell r="E31">
            <v>2135.3117226875002</v>
          </cell>
        </row>
        <row r="32">
          <cell r="D32">
            <v>2163.6783696354169</v>
          </cell>
          <cell r="E32">
            <v>2160.0220391666671</v>
          </cell>
        </row>
        <row r="33">
          <cell r="D33">
            <v>2192.0038941011908</v>
          </cell>
          <cell r="E33">
            <v>2194.5962614404762</v>
          </cell>
        </row>
        <row r="34">
          <cell r="D34">
            <v>2217.7650029613096</v>
          </cell>
          <cell r="E34">
            <v>2222.2997065959821</v>
          </cell>
        </row>
        <row r="35">
          <cell r="D35">
            <v>2239.5516217187501</v>
          </cell>
          <cell r="E35">
            <v>2245.6402947916667</v>
          </cell>
        </row>
        <row r="36">
          <cell r="D36">
            <v>2258.4658650000001</v>
          </cell>
          <cell r="E36">
            <v>2266.9549795833332</v>
          </cell>
        </row>
        <row r="37">
          <cell r="D37">
            <v>2275.3693681250002</v>
          </cell>
          <cell r="E37">
            <v>2288.1376068749996</v>
          </cell>
        </row>
        <row r="38">
          <cell r="D38">
            <v>2288.7084286718755</v>
          </cell>
          <cell r="E38">
            <v>2305.8936262499997</v>
          </cell>
        </row>
        <row r="39">
          <cell r="D39">
            <v>2300.155174296875</v>
          </cell>
          <cell r="E39">
            <v>2318.3218178124998</v>
          </cell>
        </row>
        <row r="40">
          <cell r="D40">
            <v>2312.5462904687502</v>
          </cell>
          <cell r="E40">
            <v>2329.9858471875</v>
          </cell>
        </row>
        <row r="41">
          <cell r="D41">
            <v>2324.2923953906247</v>
          </cell>
          <cell r="E41">
            <v>2341.8888771874999</v>
          </cell>
        </row>
        <row r="42">
          <cell r="D42">
            <v>2338.661094765625</v>
          </cell>
          <cell r="E42">
            <v>2362.2834771875</v>
          </cell>
        </row>
        <row r="43">
          <cell r="D43">
            <v>2357.7397695312497</v>
          </cell>
          <cell r="E43">
            <v>2386.5111615625001</v>
          </cell>
        </row>
        <row r="44">
          <cell r="D44">
            <v>2375.5303633593749</v>
          </cell>
          <cell r="E44">
            <v>2407.3008878125002</v>
          </cell>
        </row>
        <row r="45">
          <cell r="D45">
            <v>2394.5075607812496</v>
          </cell>
          <cell r="E45">
            <v>2428.3152868749999</v>
          </cell>
        </row>
        <row r="46">
          <cell r="D46">
            <v>2413.1695407031248</v>
          </cell>
          <cell r="E46">
            <v>2443.3228474999996</v>
          </cell>
        </row>
        <row r="47">
          <cell r="D47">
            <v>2425.5835385156252</v>
          </cell>
          <cell r="E47">
            <v>2455.4360418750002</v>
          </cell>
        </row>
        <row r="48">
          <cell r="D48">
            <v>2434.161704765625</v>
          </cell>
          <cell r="E48">
            <v>2464.8918434375</v>
          </cell>
        </row>
        <row r="49">
          <cell r="D49">
            <v>2437.7848903125</v>
          </cell>
          <cell r="E49">
            <v>2470.0147103125</v>
          </cell>
        </row>
        <row r="50">
          <cell r="D50">
            <v>2435.6354542968747</v>
          </cell>
          <cell r="E50">
            <v>2469.6464534375</v>
          </cell>
        </row>
        <row r="51">
          <cell r="D51">
            <v>2430.7525919531249</v>
          </cell>
          <cell r="E51">
            <v>2465.7748303124999</v>
          </cell>
        </row>
        <row r="52">
          <cell r="D52">
            <v>2426.8497425</v>
          </cell>
          <cell r="E52">
            <v>2460.5215418750004</v>
          </cell>
        </row>
        <row r="53">
          <cell r="D53">
            <v>2426.1311415625</v>
          </cell>
          <cell r="E53">
            <v>2456.6875768750001</v>
          </cell>
        </row>
        <row r="54">
          <cell r="D54">
            <v>2432.146873046875</v>
          </cell>
          <cell r="E54">
            <v>2459.2403996875</v>
          </cell>
        </row>
        <row r="55">
          <cell r="D55">
            <v>2445.14201125</v>
          </cell>
          <cell r="E55">
            <v>2470.5023940625001</v>
          </cell>
        </row>
        <row r="56">
          <cell r="D56">
            <v>2463.0869872656249</v>
          </cell>
          <cell r="E56">
            <v>2486.0919968749999</v>
          </cell>
        </row>
        <row r="57">
          <cell r="D57">
            <v>2480.9225474218752</v>
          </cell>
          <cell r="E57">
            <v>2504.9677734375</v>
          </cell>
        </row>
        <row r="58">
          <cell r="D58">
            <v>2500.4353571874999</v>
          </cell>
          <cell r="E58">
            <v>2524.5759793750003</v>
          </cell>
        </row>
        <row r="59">
          <cell r="D59">
            <v>2524.0524125781249</v>
          </cell>
          <cell r="E59">
            <v>2547.982060625</v>
          </cell>
        </row>
        <row r="60">
          <cell r="D60">
            <v>2551.4790076562499</v>
          </cell>
          <cell r="E60">
            <v>2576.1898003124998</v>
          </cell>
        </row>
        <row r="61">
          <cell r="D61">
            <v>2582.6046392968747</v>
          </cell>
          <cell r="E61">
            <v>2610.28384375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1"/>
      <sheetName val="2.1"/>
      <sheetName val="2.2a"/>
      <sheetName val="2.2b"/>
      <sheetName val="2.2c"/>
      <sheetName val="2.2d"/>
      <sheetName val="2.3a"/>
      <sheetName val="2.3b"/>
      <sheetName val="2.3c"/>
      <sheetName val="2.3d"/>
      <sheetName val="2.4a"/>
      <sheetName val="2.4b"/>
      <sheetName val="2.4c"/>
      <sheetName val="2.4d"/>
      <sheetName val="trend 2.5"/>
      <sheetName val="ldf 3.1a"/>
      <sheetName val="ldf 3.1b"/>
      <sheetName val="3.2 premium trend"/>
      <sheetName val="3.3a"/>
      <sheetName val="3.3b"/>
      <sheetName val="3.3c"/>
      <sheetName val="3.3d"/>
      <sheetName val="4.1"/>
      <sheetName val="4.2"/>
      <sheetName val="4.3AS loss Dev"/>
      <sheetName val="4.4"/>
      <sheetName val="4.5AS LAE Dev"/>
      <sheetName val="5"/>
      <sheetName val="6.1"/>
      <sheetName val="6.2"/>
      <sheetName val="6.3"/>
      <sheetName val="6.4"/>
      <sheetName val="6.5"/>
      <sheetName val="6.6"/>
      <sheetName val="6.7"/>
      <sheetName val="7.1"/>
      <sheetName val="7.2"/>
      <sheetName val="8.1"/>
      <sheetName val="8.2"/>
      <sheetName val="9"/>
      <sheetName val="10.1a"/>
      <sheetName val="10.1b"/>
      <sheetName val="10.1c"/>
      <sheetName val="10.1d"/>
      <sheetName val="10.2"/>
      <sheetName val="11.1"/>
      <sheetName val="11.2"/>
      <sheetName val="1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L1" t="str">
            <v>Exhibit 3</v>
          </cell>
        </row>
        <row r="2">
          <cell r="L2" t="str">
            <v>Sheet 3b</v>
          </cell>
        </row>
        <row r="17">
          <cell r="C17">
            <v>2046.4801010156252</v>
          </cell>
        </row>
        <row r="21">
          <cell r="C21">
            <v>2057.859776813244</v>
          </cell>
        </row>
        <row r="25">
          <cell r="C25">
            <v>2083.0801083154765</v>
          </cell>
        </row>
        <row r="29">
          <cell r="C29">
            <v>2139.8897584374999</v>
          </cell>
        </row>
        <row r="33">
          <cell r="C33">
            <v>2202.5870287499997</v>
          </cell>
        </row>
        <row r="37">
          <cell r="C37">
            <v>2275.4896718750001</v>
          </cell>
        </row>
        <row r="41">
          <cell r="C41">
            <v>2319.8257382031252</v>
          </cell>
        </row>
        <row r="45">
          <cell r="C45">
            <v>2296.4491737499998</v>
          </cell>
        </row>
        <row r="49">
          <cell r="C49">
            <v>2343.6965754687499</v>
          </cell>
        </row>
        <row r="53">
          <cell r="C53">
            <v>2440.9961745312503</v>
          </cell>
        </row>
        <row r="56">
          <cell r="G56">
            <v>1.4026616004795711E-2</v>
          </cell>
        </row>
      </sheetData>
      <sheetData sheetId="21">
        <row r="1">
          <cell r="L1" t="str">
            <v>Exhibit 3</v>
          </cell>
        </row>
        <row r="2">
          <cell r="L2" t="str">
            <v>Sheet 3c</v>
          </cell>
        </row>
        <row r="17">
          <cell r="C17">
            <v>2075.3438589583334</v>
          </cell>
        </row>
        <row r="21">
          <cell r="C21">
            <v>2070.5411396607142</v>
          </cell>
        </row>
        <row r="25">
          <cell r="C25">
            <v>2083.4068668095238</v>
          </cell>
        </row>
        <row r="29">
          <cell r="C29">
            <v>2139.8319890624998</v>
          </cell>
        </row>
        <row r="33">
          <cell r="C33">
            <v>2203.3253506249994</v>
          </cell>
        </row>
        <row r="37">
          <cell r="C37">
            <v>2296.7249009375</v>
          </cell>
        </row>
        <row r="41">
          <cell r="C41">
            <v>2333.2109853125003</v>
          </cell>
        </row>
        <row r="45">
          <cell r="C45">
            <v>2308.1033562499997</v>
          </cell>
        </row>
        <row r="49">
          <cell r="C49">
            <v>2359.9985725000001</v>
          </cell>
        </row>
        <row r="53">
          <cell r="C53">
            <v>2467.4966821874996</v>
          </cell>
        </row>
        <row r="56">
          <cell r="G56">
            <v>1.4396456546075242E-2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>
        <row r="25">
          <cell r="K25">
            <v>350191338.40000004</v>
          </cell>
        </row>
      </sheetData>
      <sheetData sheetId="4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1"/>
      <sheetName val="1.2"/>
      <sheetName val="1.3"/>
      <sheetName val="1.4"/>
      <sheetName val="2"/>
      <sheetName val="3.1 "/>
      <sheetName val="3.2 "/>
      <sheetName val="4.1"/>
      <sheetName val="4.2"/>
      <sheetName val="Summary Sheet"/>
      <sheetName val="2005-2007 Cumulative paid"/>
      <sheetName val="5"/>
      <sheetName val="2005- 2007 Case Reserve"/>
      <sheetName val="2008 - 2019 GWDW"/>
    </sheetNames>
    <sheetDataSet>
      <sheetData sheetId="0">
        <row r="21">
          <cell r="C21">
            <v>23129830.990000002</v>
          </cell>
          <cell r="F21">
            <v>799930.69999999832</v>
          </cell>
          <cell r="G21">
            <v>10451858.453900013</v>
          </cell>
          <cell r="J21">
            <v>531412.69000000041</v>
          </cell>
        </row>
        <row r="22">
          <cell r="C22">
            <v>1245854018.3000002</v>
          </cell>
          <cell r="F22">
            <v>104787995.79253437</v>
          </cell>
          <cell r="G22">
            <v>229360935.56806254</v>
          </cell>
          <cell r="J22">
            <v>29997050.339402918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.1"/>
      <sheetName val="2.2a"/>
      <sheetName val="2.2b"/>
      <sheetName val="2.2c"/>
      <sheetName val="2.2d"/>
      <sheetName val="2.3a"/>
      <sheetName val="2.3b"/>
      <sheetName val="2.3c"/>
      <sheetName val="2.3d"/>
      <sheetName val="2.4a"/>
      <sheetName val="2.4b"/>
      <sheetName val="2.4c"/>
      <sheetName val="2.4d"/>
      <sheetName val="trend 2.5"/>
      <sheetName val="ldf 3.1"/>
      <sheetName val="3.2"/>
      <sheetName val="3.3a"/>
      <sheetName val="3.3b"/>
      <sheetName val="3.3c"/>
      <sheetName val="3.3d"/>
      <sheetName val="4.1"/>
      <sheetName val="4.2"/>
      <sheetName val="4.3AS loss Dev"/>
      <sheetName val="4.4"/>
      <sheetName val="4.5AS LAE Dev"/>
      <sheetName val="5"/>
      <sheetName val="6.1"/>
      <sheetName val="6.2"/>
      <sheetName val="6.3"/>
      <sheetName val="6.4"/>
      <sheetName val="6.5"/>
      <sheetName val="6.6"/>
      <sheetName val="6.7"/>
      <sheetName val="7.1"/>
      <sheetName val="7.2"/>
      <sheetName val="8.1"/>
      <sheetName val="8.2"/>
      <sheetName val="9"/>
      <sheetName val="10.1a"/>
      <sheetName val="10.1b"/>
      <sheetName val="10.1c"/>
      <sheetName val="10.1d"/>
      <sheetName val="10.2"/>
      <sheetName val="11.1"/>
      <sheetName val="11.2"/>
      <sheetName val="1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>
        <row r="1">
          <cell r="J1" t="str">
            <v>Exhibit 10</v>
          </cell>
        </row>
        <row r="2">
          <cell r="J2" t="str">
            <v>Sheet 2</v>
          </cell>
        </row>
      </sheetData>
      <sheetData sheetId="44" refreshError="1"/>
      <sheetData sheetId="45" refreshError="1"/>
      <sheetData sheetId="4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3.bin"/><Relationship Id="rId4" Type="http://schemas.openxmlformats.org/officeDocument/2006/relationships/comments" Target="../comments4.xml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332ACE-824B-4D4E-A233-2B14BFEE95A7}">
  <dimension ref="A15:H17"/>
  <sheetViews>
    <sheetView showGridLines="0" view="pageBreakPreview" zoomScale="60" zoomScaleNormal="100" workbookViewId="0">
      <selection activeCell="AJ17" sqref="AJ17"/>
    </sheetView>
  </sheetViews>
  <sheetFormatPr defaultRowHeight="11.25" x14ac:dyDescent="0.2"/>
  <sheetData>
    <row r="15" spans="1:8" ht="15.75" x14ac:dyDescent="0.25">
      <c r="A15" s="450" t="s">
        <v>0</v>
      </c>
      <c r="B15" s="450"/>
      <c r="C15" s="450"/>
      <c r="D15" s="450"/>
      <c r="E15" s="450"/>
      <c r="F15" s="450"/>
      <c r="G15" s="450"/>
      <c r="H15" s="450"/>
    </row>
    <row r="16" spans="1:8" ht="15.75" x14ac:dyDescent="0.25">
      <c r="A16" s="450" t="s">
        <v>192</v>
      </c>
      <c r="B16" s="450"/>
      <c r="C16" s="450"/>
      <c r="D16" s="450"/>
      <c r="E16" s="450"/>
      <c r="F16" s="450"/>
      <c r="G16" s="450"/>
      <c r="H16" s="450"/>
    </row>
    <row r="17" spans="1:8" ht="15.75" x14ac:dyDescent="0.25">
      <c r="A17" s="450" t="s">
        <v>534</v>
      </c>
      <c r="B17" s="450"/>
      <c r="C17" s="450"/>
      <c r="D17" s="450"/>
      <c r="E17" s="450"/>
      <c r="F17" s="450"/>
      <c r="G17" s="450"/>
      <c r="H17" s="450"/>
    </row>
  </sheetData>
  <mergeCells count="3">
    <mergeCell ref="A15:H15"/>
    <mergeCell ref="A16:H16"/>
    <mergeCell ref="A17:H17"/>
  </mergeCells>
  <printOptions horizontalCentered="1"/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7"/>
  <dimension ref="A1:S69"/>
  <sheetViews>
    <sheetView showGridLines="0" view="pageBreakPreview" zoomScale="60" zoomScaleNormal="100" workbookViewId="0">
      <selection activeCell="A5" sqref="A5"/>
    </sheetView>
  </sheetViews>
  <sheetFormatPr defaultColWidth="11.33203125" defaultRowHeight="11.25" x14ac:dyDescent="0.2"/>
  <cols>
    <col min="1" max="1" width="3.5" style="12" customWidth="1"/>
    <col min="2" max="2" width="10.6640625" style="12" customWidth="1"/>
    <col min="3" max="11" width="11.33203125" style="12" customWidth="1"/>
    <col min="12" max="12" width="5.1640625" style="12" customWidth="1"/>
    <col min="13" max="16384" width="11.33203125" style="12"/>
  </cols>
  <sheetData>
    <row r="1" spans="1:19" x14ac:dyDescent="0.2">
      <c r="A1" s="8" t="str">
        <f>'1'!$A$1</f>
        <v>Texas Windstorm Insurance Association</v>
      </c>
      <c r="C1"/>
      <c r="D1"/>
      <c r="E1"/>
      <c r="F1"/>
      <c r="G1"/>
      <c r="H1"/>
      <c r="I1"/>
      <c r="J1"/>
      <c r="K1"/>
      <c r="L1" s="7" t="s">
        <v>48</v>
      </c>
      <c r="M1" s="1"/>
    </row>
    <row r="2" spans="1:19" x14ac:dyDescent="0.2">
      <c r="A2" s="8" t="str">
        <f>'1'!$A$2</f>
        <v>Commercial Property - Wind &amp; Hail</v>
      </c>
      <c r="C2"/>
      <c r="D2"/>
      <c r="E2"/>
      <c r="F2"/>
      <c r="G2"/>
      <c r="H2"/>
      <c r="I2"/>
      <c r="J2"/>
      <c r="K2"/>
      <c r="L2" s="7" t="s">
        <v>271</v>
      </c>
      <c r="M2" s="2"/>
    </row>
    <row r="3" spans="1:19" x14ac:dyDescent="0.2">
      <c r="A3" s="8" t="str">
        <f>'1'!$A$3</f>
        <v>Rate Level Review</v>
      </c>
      <c r="C3"/>
      <c r="D3"/>
      <c r="E3"/>
      <c r="F3"/>
      <c r="G3"/>
      <c r="H3"/>
      <c r="I3"/>
      <c r="J3"/>
      <c r="K3"/>
      <c r="L3"/>
      <c r="M3" s="2"/>
    </row>
    <row r="4" spans="1:19" x14ac:dyDescent="0.2">
      <c r="A4" s="127" t="s">
        <v>272</v>
      </c>
      <c r="C4"/>
      <c r="D4"/>
      <c r="E4"/>
      <c r="F4"/>
      <c r="G4"/>
      <c r="H4"/>
      <c r="I4"/>
      <c r="J4"/>
      <c r="K4"/>
      <c r="L4"/>
      <c r="M4" s="2"/>
    </row>
    <row r="5" spans="1:19" x14ac:dyDescent="0.2">
      <c r="A5" s="141" t="s">
        <v>273</v>
      </c>
      <c r="B5" s="21"/>
      <c r="C5" s="58"/>
      <c r="D5" s="58"/>
      <c r="E5" s="58"/>
      <c r="F5"/>
      <c r="G5"/>
      <c r="H5"/>
      <c r="I5"/>
      <c r="J5"/>
      <c r="K5"/>
      <c r="L5"/>
      <c r="M5" s="2"/>
    </row>
    <row r="6" spans="1:19" x14ac:dyDescent="0.2">
      <c r="A6"/>
      <c r="B6"/>
      <c r="C6"/>
      <c r="D6"/>
      <c r="E6"/>
      <c r="F6"/>
      <c r="G6"/>
      <c r="H6"/>
      <c r="I6"/>
      <c r="J6"/>
      <c r="K6"/>
      <c r="L6"/>
      <c r="M6" s="2"/>
    </row>
    <row r="7" spans="1:19" ht="12" thickBot="1" x14ac:dyDescent="0.25">
      <c r="A7" s="6"/>
      <c r="B7" s="6"/>
      <c r="C7" s="6"/>
      <c r="D7" s="6"/>
      <c r="E7" s="6"/>
      <c r="F7" s="6"/>
      <c r="G7" s="6"/>
      <c r="H7" s="6"/>
      <c r="I7" s="47"/>
      <c r="J7" s="47"/>
      <c r="K7" s="47"/>
      <c r="L7" s="47"/>
      <c r="M7" s="2"/>
    </row>
    <row r="8" spans="1:19" ht="12" thickTop="1" x14ac:dyDescent="0.2">
      <c r="A8"/>
      <c r="B8"/>
      <c r="C8"/>
      <c r="D8"/>
      <c r="E8"/>
      <c r="F8"/>
      <c r="G8"/>
      <c r="H8"/>
      <c r="I8"/>
      <c r="J8" s="47"/>
      <c r="K8" s="47"/>
      <c r="L8" s="47"/>
      <c r="M8" s="2"/>
      <c r="N8" t="s">
        <v>242</v>
      </c>
    </row>
    <row r="9" spans="1:19" x14ac:dyDescent="0.2">
      <c r="A9" t="s">
        <v>274</v>
      </c>
      <c r="B9"/>
      <c r="C9" s="23" t="s">
        <v>187</v>
      </c>
      <c r="D9"/>
      <c r="E9" s="23" t="s">
        <v>188</v>
      </c>
      <c r="F9"/>
      <c r="G9"/>
      <c r="H9"/>
      <c r="I9"/>
      <c r="J9"/>
      <c r="K9"/>
      <c r="L9"/>
      <c r="M9" s="2"/>
      <c r="N9" s="94">
        <v>43465</v>
      </c>
      <c r="O9" t="s">
        <v>278</v>
      </c>
    </row>
    <row r="10" spans="1:19" x14ac:dyDescent="0.2">
      <c r="A10" t="s">
        <v>28</v>
      </c>
      <c r="B10"/>
      <c r="C10" t="s">
        <v>275</v>
      </c>
      <c r="D10" t="s">
        <v>276</v>
      </c>
      <c r="E10" t="s">
        <v>275</v>
      </c>
      <c r="F10" t="s">
        <v>276</v>
      </c>
      <c r="G10" t="s">
        <v>277</v>
      </c>
      <c r="H10" t="s">
        <v>106</v>
      </c>
      <c r="I10"/>
      <c r="J10"/>
      <c r="K10"/>
      <c r="L10"/>
      <c r="M10" s="2"/>
      <c r="O10" s="10" t="s">
        <v>187</v>
      </c>
      <c r="Q10" s="10" t="s">
        <v>188</v>
      </c>
      <c r="S10"/>
    </row>
    <row r="11" spans="1:19" x14ac:dyDescent="0.2">
      <c r="A11" s="9" t="str">
        <f>TEXT($N$9,"m/d/xx")</f>
        <v>12/31/xx</v>
      </c>
      <c r="B11" s="9"/>
      <c r="C11" s="9" t="s">
        <v>279</v>
      </c>
      <c r="D11" s="9" t="s">
        <v>279</v>
      </c>
      <c r="E11" s="9" t="s">
        <v>279</v>
      </c>
      <c r="F11" s="9" t="s">
        <v>279</v>
      </c>
      <c r="G11" s="9" t="s">
        <v>280</v>
      </c>
      <c r="H11" s="9" t="s">
        <v>52</v>
      </c>
      <c r="I11" s="47"/>
      <c r="J11"/>
      <c r="K11"/>
      <c r="L11"/>
      <c r="M11" s="2"/>
      <c r="N11" s="9" t="s">
        <v>269</v>
      </c>
      <c r="O11" s="9" t="s">
        <v>275</v>
      </c>
      <c r="P11" s="9" t="s">
        <v>276</v>
      </c>
      <c r="Q11" s="9" t="s">
        <v>275</v>
      </c>
      <c r="R11" s="9" t="s">
        <v>276</v>
      </c>
      <c r="S11" s="9" t="s">
        <v>281</v>
      </c>
    </row>
    <row r="12" spans="1:19" x14ac:dyDescent="0.2">
      <c r="A12" s="13" t="str">
        <f>TEXT(COLUMN(),"(#)")</f>
        <v>(1)</v>
      </c>
      <c r="B12" s="13"/>
      <c r="C12" s="11" t="str">
        <f t="shared" ref="C12:H12" si="0">TEXT(COLUMN()-1,"(#)")</f>
        <v>(2)</v>
      </c>
      <c r="D12" s="11" t="str">
        <f t="shared" si="0"/>
        <v>(3)</v>
      </c>
      <c r="E12" s="11" t="str">
        <f t="shared" si="0"/>
        <v>(4)</v>
      </c>
      <c r="F12" s="11" t="str">
        <f t="shared" si="0"/>
        <v>(5)</v>
      </c>
      <c r="G12" s="11" t="str">
        <f t="shared" si="0"/>
        <v>(6)</v>
      </c>
      <c r="H12" s="11" t="str">
        <f t="shared" si="0"/>
        <v>(7)</v>
      </c>
      <c r="I12" s="11"/>
      <c r="J12"/>
      <c r="K12"/>
      <c r="L12"/>
      <c r="M12" s="2"/>
    </row>
    <row r="13" spans="1:19" x14ac:dyDescent="0.2">
      <c r="A13"/>
      <c r="B13"/>
      <c r="C13"/>
      <c r="D13"/>
      <c r="E13"/>
      <c r="F13"/>
      <c r="G13"/>
      <c r="H13"/>
      <c r="I13"/>
      <c r="J13"/>
      <c r="K13"/>
      <c r="L13"/>
      <c r="M13" s="2"/>
    </row>
    <row r="14" spans="1:19" x14ac:dyDescent="0.2">
      <c r="A14" s="58" t="str">
        <f t="shared" ref="A14:A22" si="1">TEXT(A15-1,"#")</f>
        <v>2009</v>
      </c>
      <c r="B14" s="54"/>
      <c r="C14" s="34">
        <f>ROUND('3.3b'!$C$53/'3.3b'!$C$17,3)</f>
        <v>1.198</v>
      </c>
      <c r="D14" s="34">
        <f>ROUND('3.3c'!$C$61/'3.3c'!$C$25,3)</f>
        <v>1.1839999999999999</v>
      </c>
      <c r="E14" s="351">
        <f>ROUND('[3]3.3b'!$C$53/'[3]3.3b'!$C$17,3)</f>
        <v>1.1930000000000001</v>
      </c>
      <c r="F14" s="351">
        <f>ROUND('[3]3.3c'!$C$53/'[3]3.3c'!$C$17,3)</f>
        <v>1.1890000000000001</v>
      </c>
      <c r="G14" s="34">
        <f>ROUND('3.3d'!$C$55/'3.3d'!$C$19,3)</f>
        <v>1.0980000000000001</v>
      </c>
      <c r="H14" s="34">
        <f>ROUND(SUMPRODUCT(C14:G14,$O14:$S14)/SUMIF(C14:G14,"&gt;0",$O14:$S14),3)</f>
        <v>1.163</v>
      </c>
      <c r="I14" s="34"/>
      <c r="J14"/>
      <c r="K14" s="34"/>
      <c r="M14" s="2"/>
      <c r="N14" s="341">
        <f t="shared" ref="N14:N23" si="2">VALUE(A14)-1900</f>
        <v>109</v>
      </c>
      <c r="O14" s="148">
        <v>0</v>
      </c>
      <c r="P14" s="148">
        <v>0.75</v>
      </c>
      <c r="Q14" s="148">
        <v>0</v>
      </c>
      <c r="R14" s="148">
        <v>0</v>
      </c>
      <c r="S14" s="148">
        <v>0.25</v>
      </c>
    </row>
    <row r="15" spans="1:19" x14ac:dyDescent="0.2">
      <c r="A15" s="58" t="str">
        <f t="shared" si="1"/>
        <v>2010</v>
      </c>
      <c r="B15" s="54"/>
      <c r="C15" s="34">
        <f>ROUND('3.3b'!$C$53/'3.3b'!$C$21,3)</f>
        <v>1.22</v>
      </c>
      <c r="D15" s="34">
        <f>ROUND('3.3c'!$C$61/'3.3c'!$C$29,3)</f>
        <v>1.23</v>
      </c>
      <c r="E15" s="351">
        <f>ROUND('[3]3.3b'!$C$53/'[3]3.3b'!$C$21,3)</f>
        <v>1.1859999999999999</v>
      </c>
      <c r="F15" s="351">
        <f>ROUND('[3]3.3c'!$C$53/'[3]3.3c'!$C$21,3)</f>
        <v>1.1919999999999999</v>
      </c>
      <c r="G15" s="34">
        <f>ROUND('3.3d'!$C$55/'3.3d'!$C$23,3)</f>
        <v>1.0980000000000001</v>
      </c>
      <c r="H15" s="34">
        <f t="shared" ref="H15:H23" si="3">ROUND(SUMPRODUCT(C15:G15,$O15:$S15)/SUMIF(C15:G15,"&gt;0",$O15:$S15),3)</f>
        <v>1.1970000000000001</v>
      </c>
      <c r="I15" s="34"/>
      <c r="J15"/>
      <c r="K15" s="34"/>
      <c r="L15"/>
      <c r="M15" s="2"/>
      <c r="N15" s="341">
        <f t="shared" si="2"/>
        <v>110</v>
      </c>
      <c r="O15" s="148">
        <v>0</v>
      </c>
      <c r="P15" s="148">
        <v>0.75</v>
      </c>
      <c r="Q15" s="148">
        <v>0</v>
      </c>
      <c r="R15" s="148">
        <v>0</v>
      </c>
      <c r="S15" s="148">
        <v>0.25</v>
      </c>
    </row>
    <row r="16" spans="1:19" x14ac:dyDescent="0.2">
      <c r="A16" s="58" t="str">
        <f t="shared" si="1"/>
        <v>2011</v>
      </c>
      <c r="B16" s="54"/>
      <c r="C16" s="34">
        <f>ROUND('3.3b'!$C$53/'3.3b'!$C$25,3)</f>
        <v>1.1779999999999999</v>
      </c>
      <c r="D16" s="34">
        <f>ROUND('3.3c'!$C$61/'3.3c'!$C$33,3)</f>
        <v>1.1890000000000001</v>
      </c>
      <c r="E16" s="351">
        <f>ROUND('[3]3.3b'!$C$53/'[3]3.3b'!$C$25,3)</f>
        <v>1.1719999999999999</v>
      </c>
      <c r="F16" s="351">
        <f>ROUND('[3]3.3c'!$C$53/'[3]3.3c'!$C$25,3)</f>
        <v>1.1839999999999999</v>
      </c>
      <c r="G16" s="34">
        <f>ROUND('3.3d'!$C$55/'3.3d'!$C$27,3)</f>
        <v>1.081</v>
      </c>
      <c r="H16" s="34">
        <f t="shared" si="3"/>
        <v>1.1619999999999999</v>
      </c>
      <c r="I16" s="34"/>
      <c r="J16"/>
      <c r="K16" s="34"/>
      <c r="L16"/>
      <c r="M16" s="2"/>
      <c r="N16" s="341">
        <f t="shared" si="2"/>
        <v>111</v>
      </c>
      <c r="O16" s="148">
        <v>0</v>
      </c>
      <c r="P16" s="148">
        <v>0.75</v>
      </c>
      <c r="Q16" s="148">
        <v>0</v>
      </c>
      <c r="R16" s="148">
        <v>0</v>
      </c>
      <c r="S16" s="148">
        <v>0.25</v>
      </c>
    </row>
    <row r="17" spans="1:19" x14ac:dyDescent="0.2">
      <c r="A17" s="58" t="str">
        <f t="shared" si="1"/>
        <v>2012</v>
      </c>
      <c r="B17" s="54"/>
      <c r="C17" s="34">
        <f>ROUND('3.3b'!$C$53/'3.3b'!$C$29,3)</f>
        <v>1.135</v>
      </c>
      <c r="D17" s="34">
        <f>ROUND('3.3c'!$C$61/'3.3c'!$C$37,3)</f>
        <v>1.141</v>
      </c>
      <c r="E17" s="351">
        <f>ROUND('[3]3.3b'!$C$53/'[3]3.3b'!$C$29,3)</f>
        <v>1.141</v>
      </c>
      <c r="F17" s="351">
        <f>ROUND('[3]3.3c'!$C$53/'[3]3.3c'!$C$29,3)</f>
        <v>1.153</v>
      </c>
      <c r="G17" s="34">
        <f>ROUND('3.3d'!$C$55/'3.3d'!$C$31,3)</f>
        <v>1.0609999999999999</v>
      </c>
      <c r="H17" s="34">
        <f t="shared" si="3"/>
        <v>1.121</v>
      </c>
      <c r="I17" s="34"/>
      <c r="J17"/>
      <c r="K17" s="34"/>
      <c r="L17"/>
      <c r="M17" s="2"/>
      <c r="N17" s="341">
        <f t="shared" si="2"/>
        <v>112</v>
      </c>
      <c r="O17" s="148">
        <v>0</v>
      </c>
      <c r="P17" s="148">
        <v>0.75</v>
      </c>
      <c r="Q17" s="148">
        <v>0</v>
      </c>
      <c r="R17" s="148">
        <v>0</v>
      </c>
      <c r="S17" s="148">
        <v>0.25</v>
      </c>
    </row>
    <row r="18" spans="1:19" x14ac:dyDescent="0.2">
      <c r="A18" s="58" t="str">
        <f t="shared" si="1"/>
        <v>2013</v>
      </c>
      <c r="B18" s="54"/>
      <c r="C18" s="34">
        <f>ROUND('3.3b'!$C$53/'3.3b'!$C$33,3)</f>
        <v>1.111</v>
      </c>
      <c r="D18" s="34">
        <f>ROUND('3.3c'!$C$61/'3.3c'!$C$41,3)</f>
        <v>1.115</v>
      </c>
      <c r="E18" s="351">
        <f>ROUND('[3]3.3b'!$C$53/'[3]3.3b'!$C$33,3)</f>
        <v>1.1080000000000001</v>
      </c>
      <c r="F18" s="351">
        <f>ROUND('[3]3.3c'!$C$53/'[3]3.3c'!$C$33,3)</f>
        <v>1.1200000000000001</v>
      </c>
      <c r="G18" s="34">
        <f>ROUND('3.3d'!$C$55/'3.3d'!$C$35,3)</f>
        <v>1.0549999999999999</v>
      </c>
      <c r="H18" s="34">
        <f t="shared" si="3"/>
        <v>1.1000000000000001</v>
      </c>
      <c r="I18" s="34"/>
      <c r="J18"/>
      <c r="K18" s="34"/>
      <c r="L18"/>
      <c r="M18" s="2"/>
      <c r="N18" s="341">
        <f t="shared" si="2"/>
        <v>113</v>
      </c>
      <c r="O18" s="148">
        <v>0</v>
      </c>
      <c r="P18" s="148">
        <v>0.75</v>
      </c>
      <c r="Q18" s="148">
        <v>0</v>
      </c>
      <c r="R18" s="148">
        <v>0</v>
      </c>
      <c r="S18" s="148">
        <v>0.25</v>
      </c>
    </row>
    <row r="19" spans="1:19" x14ac:dyDescent="0.2">
      <c r="A19" s="58" t="str">
        <f t="shared" si="1"/>
        <v>2014</v>
      </c>
      <c r="B19" s="54"/>
      <c r="C19" s="34">
        <f>ROUND('3.3b'!$C$53/'3.3b'!$C$37,3)</f>
        <v>1.079</v>
      </c>
      <c r="D19" s="34">
        <f>ROUND('3.3c'!$C$61/'3.3c'!$C$45,3)</f>
        <v>1.075</v>
      </c>
      <c r="E19" s="351">
        <f>ROUND('[3]3.3b'!$C$53/'[3]3.3b'!$C$37,3)</f>
        <v>1.073</v>
      </c>
      <c r="F19" s="351">
        <f>ROUND('[3]3.3c'!$C$53/'[3]3.3c'!$C$37,3)</f>
        <v>1.0740000000000001</v>
      </c>
      <c r="G19" s="34">
        <f>ROUND('3.3d'!$C$55/'3.3d'!$C$39,3)</f>
        <v>1.0409999999999999</v>
      </c>
      <c r="H19" s="34">
        <f t="shared" si="3"/>
        <v>1.0669999999999999</v>
      </c>
      <c r="I19" s="34"/>
      <c r="J19"/>
      <c r="K19" s="34"/>
      <c r="L19"/>
      <c r="M19" s="2"/>
      <c r="N19" s="341">
        <f t="shared" si="2"/>
        <v>114</v>
      </c>
      <c r="O19" s="148">
        <v>0</v>
      </c>
      <c r="P19" s="148">
        <v>0.75</v>
      </c>
      <c r="Q19" s="148">
        <v>0</v>
      </c>
      <c r="R19" s="148">
        <v>0</v>
      </c>
      <c r="S19" s="148">
        <v>0.25</v>
      </c>
    </row>
    <row r="20" spans="1:19" x14ac:dyDescent="0.2">
      <c r="A20" s="58" t="str">
        <f t="shared" si="1"/>
        <v>2015</v>
      </c>
      <c r="B20" s="54"/>
      <c r="C20" s="34">
        <f>ROUND('3.3b'!$C$53/'3.3b'!$C$41,3)</f>
        <v>1.0589999999999999</v>
      </c>
      <c r="D20" s="34">
        <f>ROUND('3.3c'!$C$61/'3.3c'!$C$49,3)</f>
        <v>1.0569999999999999</v>
      </c>
      <c r="E20" s="351">
        <f>ROUND('[3]3.3b'!$C$53/'[3]3.3b'!$C$41,3)</f>
        <v>1.052</v>
      </c>
      <c r="F20" s="351">
        <f>ROUND('[3]3.3c'!$C$53/'[3]3.3c'!$C$41,3)</f>
        <v>1.0580000000000001</v>
      </c>
      <c r="G20" s="34">
        <f>ROUND('3.3d'!$C$55/'3.3d'!$C$43,3)</f>
        <v>1.03</v>
      </c>
      <c r="H20" s="34">
        <f>ROUND(SUMPRODUCT(C20:G20,$O20:$S20)/SUMIF(C20:G20,"&gt;0",$O20:$S20),3)</f>
        <v>1.05</v>
      </c>
      <c r="I20" s="34"/>
      <c r="J20"/>
      <c r="K20" s="34"/>
      <c r="L20"/>
      <c r="M20" s="2"/>
      <c r="N20" s="341">
        <f t="shared" si="2"/>
        <v>115</v>
      </c>
      <c r="O20" s="148">
        <v>0</v>
      </c>
      <c r="P20" s="148">
        <v>0.75</v>
      </c>
      <c r="Q20" s="148">
        <v>0</v>
      </c>
      <c r="R20" s="148">
        <v>0</v>
      </c>
      <c r="S20" s="148">
        <v>0.25</v>
      </c>
    </row>
    <row r="21" spans="1:19" x14ac:dyDescent="0.2">
      <c r="A21" s="58" t="str">
        <f t="shared" si="1"/>
        <v>2016</v>
      </c>
      <c r="B21" s="54"/>
      <c r="C21" s="34">
        <f>ROUND('3.3b'!$C$53/'3.3b'!$C$45,3)</f>
        <v>1.0640000000000001</v>
      </c>
      <c r="D21" s="34">
        <f>ROUND('3.3c'!$C$61/'3.3c'!$C$53,3)</f>
        <v>1.0629999999999999</v>
      </c>
      <c r="E21" s="351">
        <f>ROUND('[3]3.3b'!$C$53/'[3]3.3b'!$C$45,3)</f>
        <v>1.0629999999999999</v>
      </c>
      <c r="F21" s="351">
        <f>ROUND('[3]3.3c'!$C$53/'[3]3.3c'!$C$45,3)</f>
        <v>1.069</v>
      </c>
      <c r="G21" s="34">
        <f>ROUND('3.3d'!$C$55/'3.3d'!$C$47,3)</f>
        <v>1.014</v>
      </c>
      <c r="H21" s="34">
        <f t="shared" si="3"/>
        <v>1.0509999999999999</v>
      </c>
      <c r="I21" s="34"/>
      <c r="J21"/>
      <c r="K21" s="34"/>
      <c r="L21"/>
      <c r="M21" s="2"/>
      <c r="N21" s="341">
        <f t="shared" si="2"/>
        <v>116</v>
      </c>
      <c r="O21" s="148">
        <v>0</v>
      </c>
      <c r="P21" s="148">
        <v>0.75</v>
      </c>
      <c r="Q21" s="148">
        <v>0</v>
      </c>
      <c r="R21" s="148">
        <v>0</v>
      </c>
      <c r="S21" s="148">
        <v>0.25</v>
      </c>
    </row>
    <row r="22" spans="1:19" x14ac:dyDescent="0.2">
      <c r="A22" s="58" t="str">
        <f t="shared" si="1"/>
        <v>2017</v>
      </c>
      <c r="B22" s="54"/>
      <c r="C22" s="34">
        <f>ROUND('3.3b'!$C$53/'3.3b'!$C$49,3)</f>
        <v>1.0409999999999999</v>
      </c>
      <c r="D22" s="34">
        <f>ROUND('3.3c'!$C$61/'3.3c'!$C$57,3)</f>
        <v>1.042</v>
      </c>
      <c r="E22" s="351">
        <f>ROUND('[3]3.3b'!$C$53/'[3]3.3b'!$C$49,3)</f>
        <v>1.042</v>
      </c>
      <c r="F22" s="351">
        <f>ROUND('[3]3.3c'!$C$53/'[3]3.3c'!$C$49,3)</f>
        <v>1.046</v>
      </c>
      <c r="G22" s="34">
        <f>ROUND('3.3d'!$C$55/'3.3d'!$C$51,3)</f>
        <v>1.0109999999999999</v>
      </c>
      <c r="H22" s="34">
        <f>ROUND(SUMPRODUCT(C22:G22,$O22:$S22)/SUMIF(C22:G22,"&gt;0",$O22:$S22),3)</f>
        <v>1.034</v>
      </c>
      <c r="I22" s="34"/>
      <c r="J22"/>
      <c r="K22" s="34"/>
      <c r="L22"/>
      <c r="M22" s="2"/>
      <c r="N22" s="341">
        <f t="shared" si="2"/>
        <v>117</v>
      </c>
      <c r="O22" s="148">
        <v>0</v>
      </c>
      <c r="P22" s="148">
        <v>0.75</v>
      </c>
      <c r="Q22" s="148">
        <v>0</v>
      </c>
      <c r="R22" s="148">
        <v>0</v>
      </c>
      <c r="S22" s="148">
        <v>0.25</v>
      </c>
    </row>
    <row r="23" spans="1:19" x14ac:dyDescent="0.2">
      <c r="A23" s="58" t="str">
        <f>TEXT(YEAR($N$9),"#")</f>
        <v>2018</v>
      </c>
      <c r="B23" s="54"/>
      <c r="C23" s="34">
        <f>ROUND('3.3b'!$C$53/'3.3b'!$C$53,3)</f>
        <v>1</v>
      </c>
      <c r="D23" s="34">
        <f>ROUND('3.3c'!$C$61/'3.3c'!$C$61,3)</f>
        <v>1</v>
      </c>
      <c r="E23" s="351">
        <f>ROUND('[3]3.3b'!$C$53/'[3]3.3b'!$C$53,3)</f>
        <v>1</v>
      </c>
      <c r="F23" s="351">
        <f>ROUND('[3]3.3c'!$C$53/'[3]3.3c'!$C$53,3)</f>
        <v>1</v>
      </c>
      <c r="G23" s="34">
        <f>ROUND('3.3d'!$C$55/'3.3d'!$C$55,3)</f>
        <v>1</v>
      </c>
      <c r="H23" s="34">
        <f t="shared" si="3"/>
        <v>1</v>
      </c>
      <c r="I23" s="34"/>
      <c r="J23"/>
      <c r="K23" s="34"/>
      <c r="L23"/>
      <c r="M23" s="2"/>
      <c r="N23" s="341">
        <f t="shared" si="2"/>
        <v>118</v>
      </c>
      <c r="O23" s="148">
        <v>0</v>
      </c>
      <c r="P23" s="148">
        <v>0.75</v>
      </c>
      <c r="Q23" s="148">
        <v>0</v>
      </c>
      <c r="R23" s="148">
        <v>0</v>
      </c>
      <c r="S23" s="148">
        <v>0.25</v>
      </c>
    </row>
    <row r="24" spans="1:19" x14ac:dyDescent="0.2">
      <c r="A24" s="139"/>
      <c r="B24" s="55"/>
      <c r="C24" s="35"/>
      <c r="D24" s="35"/>
      <c r="E24" s="235"/>
      <c r="F24" s="235"/>
      <c r="G24" s="35"/>
      <c r="H24" s="35"/>
      <c r="I24"/>
      <c r="J24"/>
      <c r="K24"/>
      <c r="L24"/>
      <c r="M24" s="2"/>
      <c r="S24"/>
    </row>
    <row r="25" spans="1:19" x14ac:dyDescent="0.2">
      <c r="A25" s="47"/>
      <c r="B25" s="47"/>
      <c r="C25" s="56"/>
      <c r="D25" s="47"/>
      <c r="E25" s="56"/>
      <c r="F25" s="47"/>
      <c r="G25" s="47"/>
      <c r="H25" s="47"/>
      <c r="I25" s="47"/>
      <c r="J25"/>
      <c r="K25"/>
      <c r="L25"/>
      <c r="M25" s="2"/>
      <c r="S25"/>
    </row>
    <row r="26" spans="1:19" x14ac:dyDescent="0.2">
      <c r="A26" s="12" t="s">
        <v>282</v>
      </c>
      <c r="J26"/>
      <c r="K26"/>
      <c r="L26"/>
      <c r="M26" s="2"/>
    </row>
    <row r="27" spans="1:19" x14ac:dyDescent="0.2">
      <c r="B27"/>
      <c r="C27" s="128"/>
      <c r="D27" s="128"/>
      <c r="E27" s="128"/>
      <c r="F27" s="128"/>
      <c r="G27" s="128"/>
      <c r="H27" s="129"/>
      <c r="I27" s="129"/>
      <c r="J27"/>
      <c r="K27"/>
      <c r="L27"/>
      <c r="M27" s="2"/>
    </row>
    <row r="28" spans="1:19" x14ac:dyDescent="0.2">
      <c r="A28" s="124" t="s">
        <v>95</v>
      </c>
      <c r="B28" t="s">
        <v>283</v>
      </c>
      <c r="C28" s="80">
        <f>'3.3b'!$E$56</f>
        <v>2.186309916766338E-2</v>
      </c>
      <c r="D28" s="80">
        <f>'3.3c'!$E$64</f>
        <v>2.0769010441231472E-2</v>
      </c>
      <c r="E28" s="352">
        <f>'[3]3.3b'!$G$56</f>
        <v>1.4026616004795711E-2</v>
      </c>
      <c r="F28" s="352">
        <f>'[3]3.3c'!$G$56</f>
        <v>1.4396456546075242E-2</v>
      </c>
      <c r="G28" s="80">
        <f>'3.3d'!$G$58</f>
        <v>1.0685828383198537E-2</v>
      </c>
      <c r="H28" s="80">
        <f>ROUND(SUMPRODUCT(C28:G28,$O28:$S28)/SUMIF(C28:G28,"&gt;0",$O28:$S28),3)</f>
        <v>1.7999999999999999E-2</v>
      </c>
      <c r="I28" s="80"/>
      <c r="J28"/>
      <c r="K28"/>
      <c r="L28"/>
      <c r="M28" s="2"/>
      <c r="O28" s="148">
        <v>0</v>
      </c>
      <c r="P28" s="148">
        <v>0.75</v>
      </c>
      <c r="Q28" s="148">
        <v>0</v>
      </c>
      <c r="R28" s="148">
        <v>0</v>
      </c>
      <c r="S28" s="148">
        <v>0.25</v>
      </c>
    </row>
    <row r="29" spans="1:19" x14ac:dyDescent="0.2">
      <c r="A29" s="130"/>
      <c r="B29" s="131"/>
      <c r="C29" s="47"/>
      <c r="D29" s="47"/>
      <c r="E29" s="47"/>
      <c r="F29" s="47"/>
      <c r="G29" s="47"/>
      <c r="H29" s="28"/>
      <c r="I29" s="28"/>
      <c r="J29" s="47"/>
      <c r="K29" s="47"/>
      <c r="L29" s="47"/>
      <c r="M29" s="2"/>
    </row>
    <row r="30" spans="1:19" x14ac:dyDescent="0.2">
      <c r="A30" s="124" t="s">
        <v>94</v>
      </c>
      <c r="B30" s="131" t="s">
        <v>285</v>
      </c>
      <c r="C30" s="123">
        <f t="shared" ref="C30:H30" si="4">ROUND((1+C28)^$N$32,3)</f>
        <v>1.056</v>
      </c>
      <c r="D30" s="123">
        <f t="shared" si="4"/>
        <v>1.0529999999999999</v>
      </c>
      <c r="E30" s="123">
        <f t="shared" si="4"/>
        <v>1.0349999999999999</v>
      </c>
      <c r="F30" s="123">
        <f t="shared" si="4"/>
        <v>1.036</v>
      </c>
      <c r="G30" s="123">
        <f t="shared" si="4"/>
        <v>1.0269999999999999</v>
      </c>
      <c r="H30" s="123">
        <f t="shared" si="4"/>
        <v>1.046</v>
      </c>
      <c r="I30" s="123"/>
      <c r="J30" s="47"/>
      <c r="K30" s="47"/>
      <c r="L30" s="47"/>
      <c r="M30" s="2"/>
      <c r="O30" s="12" t="s">
        <v>284</v>
      </c>
    </row>
    <row r="31" spans="1:19" ht="12" thickBot="1" x14ac:dyDescent="0.25">
      <c r="A31" s="6"/>
      <c r="B31" s="6"/>
      <c r="C31" s="6"/>
      <c r="D31" s="6"/>
      <c r="E31" s="6"/>
      <c r="F31" s="6"/>
      <c r="G31" s="6"/>
      <c r="H31" s="6"/>
      <c r="I31" s="47"/>
      <c r="J31" s="47"/>
      <c r="K31" s="47"/>
      <c r="L31" s="47"/>
      <c r="M31" s="2"/>
      <c r="N31" s="12" t="s">
        <v>262</v>
      </c>
      <c r="O31" s="12" t="s">
        <v>219</v>
      </c>
      <c r="P31" s="12" t="s">
        <v>264</v>
      </c>
    </row>
    <row r="32" spans="1:19" ht="12" thickTop="1" x14ac:dyDescent="0.2">
      <c r="A32"/>
      <c r="B32"/>
      <c r="C32"/>
      <c r="D32"/>
      <c r="E32"/>
      <c r="F32"/>
      <c r="G32"/>
      <c r="H32"/>
      <c r="I32"/>
      <c r="J32" s="47"/>
      <c r="K32" s="47"/>
      <c r="L32" s="47"/>
      <c r="M32" s="2"/>
      <c r="N32" s="234">
        <f>YEAR(P32)-YEAR(O32)+(MONTH(P32)-MONTH(O32))/12</f>
        <v>2.5</v>
      </c>
      <c r="O32" s="96">
        <f>DATE(YEAR(N9+1),MONTH(N9+1)-6,1)</f>
        <v>43282</v>
      </c>
      <c r="P32" s="96">
        <f>'2.4'!I15</f>
        <v>44197</v>
      </c>
      <c r="Q32" s="96"/>
      <c r="R32" s="96"/>
    </row>
    <row r="33" spans="1:19" x14ac:dyDescent="0.2">
      <c r="A33" t="s">
        <v>19</v>
      </c>
      <c r="B33"/>
      <c r="C33"/>
      <c r="D33"/>
      <c r="E33"/>
      <c r="F33"/>
      <c r="G33"/>
      <c r="H33"/>
      <c r="I33"/>
      <c r="J33"/>
      <c r="K33"/>
      <c r="L33"/>
      <c r="M33" s="2"/>
    </row>
    <row r="34" spans="1:19" x14ac:dyDescent="0.2">
      <c r="A34"/>
      <c r="B34" s="21" t="str">
        <f>C12&amp;" = "&amp;'3.3b'!$L$1&amp;", "&amp;'3.3b'!$L$2&amp;" trended forward to "&amp;TEXT($N$9,"m/d/yyyy")</f>
        <v>(2) = Exhibit 3, Sheet 3b trended forward to 12/31/2018</v>
      </c>
      <c r="F34"/>
      <c r="G34"/>
      <c r="K34"/>
      <c r="L34"/>
      <c r="M34" s="2"/>
    </row>
    <row r="35" spans="1:19" x14ac:dyDescent="0.2">
      <c r="A35"/>
      <c r="B35" s="21" t="str">
        <f>D12&amp;" = "&amp;'3.3c'!$L$1&amp;", "&amp;'3.3c'!$L$2&amp;" trended forward to "&amp;TEXT($N$9,"m/d/yyyy")</f>
        <v>(3) = Exhibit 3, Sheet 3c trended forward to 12/31/2018</v>
      </c>
      <c r="C35"/>
      <c r="E35"/>
      <c r="F35"/>
      <c r="H35"/>
      <c r="I35"/>
      <c r="J35"/>
      <c r="K35"/>
      <c r="L35"/>
      <c r="M35" s="2"/>
    </row>
    <row r="36" spans="1:19" x14ac:dyDescent="0.2">
      <c r="A36"/>
      <c r="B36" s="208" t="str">
        <f>E12&amp;" = Residential "&amp;'[3]3.3b'!$L$1&amp;", "&amp;'[3]3.3b'!$L$2&amp;" trended forward to "&amp;TEXT($N$9,"m/d/yyyy")</f>
        <v>(4) = Residential Exhibit 3, Sheet 3b trended forward to 12/31/2018</v>
      </c>
      <c r="C36" s="21"/>
      <c r="D36" s="58"/>
      <c r="E36" s="58"/>
      <c r="F36" s="58"/>
      <c r="H36"/>
      <c r="I36"/>
      <c r="J36"/>
      <c r="K36"/>
      <c r="L36"/>
      <c r="M36" s="2"/>
    </row>
    <row r="37" spans="1:19" x14ac:dyDescent="0.2">
      <c r="A37"/>
      <c r="B37" s="208" t="str">
        <f>F12&amp;" = Residential "&amp;'[3]3.3c'!$L$1&amp;", "&amp;'[3]3.3c'!$L$2&amp;" trended forward to "&amp;TEXT($N$9,"m/d/yyyy")</f>
        <v>(5) = Residential Exhibit 3, Sheet 3c trended forward to 12/31/2018</v>
      </c>
      <c r="C37" s="58"/>
      <c r="D37" s="58"/>
      <c r="E37" s="58"/>
      <c r="F37" s="58"/>
      <c r="H37"/>
      <c r="I37"/>
      <c r="J37"/>
      <c r="K37"/>
      <c r="L37"/>
      <c r="M37" s="2"/>
    </row>
    <row r="38" spans="1:19" x14ac:dyDescent="0.2">
      <c r="B38" s="21" t="str">
        <f>G12&amp;" = "&amp;'3.3d'!$L$1&amp;", "&amp;'3.3d'!$L$2</f>
        <v>(6) = Exhibit 3, Sheet 3d</v>
      </c>
      <c r="L38"/>
      <c r="M38" s="2"/>
    </row>
    <row r="39" spans="1:19" x14ac:dyDescent="0.2">
      <c r="A39" s="132"/>
      <c r="B39" s="21" t="str">
        <f>H12&amp;" = 25% "&amp;G11&amp;" and 75% "&amp;D11&amp;" (most appropriate available by year)"</f>
        <v>(7) = 25% CPI and 75% Boeckh (most appropriate available by year)</v>
      </c>
      <c r="C39" s="90"/>
      <c r="D39" s="122"/>
      <c r="E39" s="122"/>
      <c r="F39" s="34"/>
      <c r="G39" s="123"/>
      <c r="H39" s="46"/>
      <c r="I39" s="46"/>
      <c r="J39" s="46"/>
      <c r="K39" s="62"/>
      <c r="L39" s="62"/>
      <c r="M39" s="2"/>
    </row>
    <row r="40" spans="1:19" x14ac:dyDescent="0.2">
      <c r="A40" s="132"/>
      <c r="B40" s="12" t="str">
        <f>A28&amp;" = "&amp;C12&amp;" - "&amp;H12&amp;" fitted to an exponential curve using 5 years' data (where available)"</f>
        <v>(8) = (2) - (7) fitted to an exponential curve using 5 years' data (where available)</v>
      </c>
      <c r="C40" s="90"/>
      <c r="D40" s="122"/>
      <c r="E40" s="122"/>
      <c r="F40" s="28"/>
      <c r="G40" s="123"/>
      <c r="H40" s="46"/>
      <c r="I40" s="46"/>
      <c r="J40" s="46"/>
      <c r="K40" s="62"/>
      <c r="L40" s="62"/>
      <c r="M40" s="2"/>
    </row>
    <row r="41" spans="1:19" x14ac:dyDescent="0.2">
      <c r="A41" s="133"/>
      <c r="B41" s="131" t="str">
        <f>A30&amp;" = [1 + "&amp;A28&amp;"] ^ "&amp;$N$32&amp;" (trended from "&amp;TEXT($O$32,"m/d/yyyy")&amp;" to "&amp;TEXT($P$32,"m/d/yyyy")&amp;")"</f>
        <v>(9) = [1 + (8)] ^ 2.5 (trended from 7/1/2018 to 1/1/2021)</v>
      </c>
      <c r="C41" s="90"/>
      <c r="D41" s="122"/>
      <c r="E41" s="122"/>
      <c r="F41" s="28"/>
      <c r="G41" s="123"/>
      <c r="H41" s="46"/>
      <c r="I41" s="46"/>
      <c r="J41" s="46"/>
      <c r="K41" s="62"/>
      <c r="L41" s="62"/>
      <c r="M41" s="2"/>
    </row>
    <row r="42" spans="1:19" x14ac:dyDescent="0.2">
      <c r="A42" s="133"/>
      <c r="B42" s="131"/>
      <c r="C42" s="90"/>
      <c r="D42" s="122"/>
      <c r="E42" s="122"/>
      <c r="F42" s="28"/>
      <c r="G42" s="123"/>
      <c r="H42" s="46"/>
      <c r="I42" s="46"/>
      <c r="J42" s="46"/>
      <c r="K42" s="62"/>
      <c r="L42" s="62"/>
      <c r="M42" s="2"/>
    </row>
    <row r="43" spans="1:19" x14ac:dyDescent="0.2">
      <c r="A43" s="47"/>
      <c r="B43" s="47"/>
      <c r="C43" s="62"/>
      <c r="D43" s="62"/>
      <c r="E43" s="62"/>
      <c r="F43" s="62"/>
      <c r="G43"/>
      <c r="H43"/>
      <c r="I43"/>
      <c r="J43"/>
      <c r="K43"/>
      <c r="L43"/>
      <c r="M43" s="2"/>
      <c r="S43"/>
    </row>
    <row r="44" spans="1:19" x14ac:dyDescent="0.2">
      <c r="A44" s="133"/>
      <c r="B44" s="131"/>
      <c r="C44" s="90"/>
      <c r="D44" s="122"/>
      <c r="E44" s="122"/>
      <c r="F44" s="28"/>
      <c r="G44" s="123"/>
      <c r="H44" s="46"/>
      <c r="I44" s="46"/>
      <c r="J44" s="46"/>
      <c r="K44" s="62"/>
      <c r="L44" s="62"/>
      <c r="M44" s="2"/>
    </row>
    <row r="45" spans="1:19" x14ac:dyDescent="0.2">
      <c r="A45" s="47"/>
      <c r="B45" s="48"/>
      <c r="C45" s="90"/>
      <c r="D45" s="122"/>
      <c r="E45" s="122"/>
      <c r="F45" s="28"/>
      <c r="G45" s="123"/>
      <c r="H45" s="46"/>
      <c r="I45" s="46"/>
      <c r="J45" s="46"/>
      <c r="K45" s="62"/>
      <c r="L45" s="62"/>
      <c r="M45" s="2"/>
    </row>
    <row r="46" spans="1:19" x14ac:dyDescent="0.2">
      <c r="A46"/>
      <c r="B46" s="21"/>
      <c r="C46"/>
      <c r="D46"/>
      <c r="E46"/>
      <c r="F46"/>
      <c r="G46"/>
      <c r="H46"/>
      <c r="I46"/>
      <c r="J46"/>
      <c r="L46"/>
      <c r="M46" s="2"/>
    </row>
    <row r="47" spans="1:19" x14ac:dyDescent="0.2">
      <c r="A47"/>
      <c r="B47" s="21"/>
      <c r="C47"/>
      <c r="D47"/>
      <c r="E47"/>
      <c r="F47"/>
      <c r="H47"/>
      <c r="I47"/>
      <c r="J47"/>
      <c r="K47"/>
      <c r="L47"/>
      <c r="M47" s="2"/>
    </row>
    <row r="48" spans="1:19" x14ac:dyDescent="0.2">
      <c r="A48" s="47"/>
      <c r="B48" s="21"/>
      <c r="C48" s="90"/>
      <c r="D48" s="122"/>
      <c r="E48" s="122"/>
      <c r="F48" s="123"/>
      <c r="G48" s="123"/>
      <c r="H48" s="46"/>
      <c r="I48" s="46"/>
      <c r="J48" s="46"/>
      <c r="K48" s="62"/>
      <c r="L48" s="62"/>
      <c r="M48" s="2"/>
    </row>
    <row r="49" spans="1:13" x14ac:dyDescent="0.2">
      <c r="A49" s="47"/>
      <c r="B49" s="21"/>
      <c r="C49" s="90"/>
      <c r="D49" s="122"/>
      <c r="E49" s="122"/>
      <c r="F49" s="123"/>
      <c r="G49" s="123"/>
      <c r="H49" s="46"/>
      <c r="I49" s="46"/>
      <c r="J49" s="46"/>
      <c r="K49" s="62"/>
      <c r="L49" s="62"/>
      <c r="M49" s="2"/>
    </row>
    <row r="50" spans="1:13" x14ac:dyDescent="0.2">
      <c r="A50" s="47"/>
      <c r="B50" s="21"/>
      <c r="C50" s="90"/>
      <c r="D50" s="122"/>
      <c r="E50" s="122"/>
      <c r="F50" s="123"/>
      <c r="G50" s="123"/>
      <c r="H50" s="46"/>
      <c r="I50" s="46"/>
      <c r="J50" s="46"/>
      <c r="K50" s="62"/>
      <c r="L50" s="62"/>
      <c r="M50" s="2"/>
    </row>
    <row r="51" spans="1:13" x14ac:dyDescent="0.2">
      <c r="A51" s="47"/>
      <c r="B51" s="21"/>
      <c r="C51" s="56"/>
      <c r="D51" s="47"/>
      <c r="E51" s="47"/>
      <c r="F51" s="47"/>
      <c r="G51" s="56"/>
      <c r="H51" s="56"/>
      <c r="I51" s="56"/>
      <c r="J51" s="56"/>
      <c r="K51" s="56"/>
      <c r="L51" s="47"/>
      <c r="M51" s="2"/>
    </row>
    <row r="52" spans="1:13" x14ac:dyDescent="0.2">
      <c r="A52" s="47"/>
      <c r="C52" s="56"/>
      <c r="D52" s="56"/>
      <c r="E52" s="47"/>
      <c r="F52" s="56"/>
      <c r="G52" s="56"/>
      <c r="H52" s="56"/>
      <c r="I52" s="56"/>
      <c r="J52" s="56"/>
      <c r="K52" s="62"/>
      <c r="L52"/>
      <c r="M52" s="2"/>
    </row>
    <row r="53" spans="1:13" x14ac:dyDescent="0.2">
      <c r="A53" s="132"/>
      <c r="B53" s="131"/>
      <c r="C53" s="134"/>
      <c r="D53" s="134"/>
      <c r="E53" s="134"/>
      <c r="F53" s="134"/>
      <c r="G53" s="134"/>
      <c r="H53" s="134"/>
      <c r="I53" s="134"/>
      <c r="J53" s="134"/>
      <c r="K53" s="134"/>
      <c r="L53" s="134"/>
      <c r="M53" s="2"/>
    </row>
    <row r="54" spans="1:13" x14ac:dyDescent="0.2">
      <c r="F54"/>
      <c r="M54" s="2"/>
    </row>
    <row r="55" spans="1:13" x14ac:dyDescent="0.2">
      <c r="F55"/>
      <c r="M55" s="2"/>
    </row>
    <row r="56" spans="1:13" x14ac:dyDescent="0.2">
      <c r="F56"/>
      <c r="M56" s="2"/>
    </row>
    <row r="57" spans="1:13" x14ac:dyDescent="0.2">
      <c r="F57"/>
      <c r="M57" s="2"/>
    </row>
    <row r="58" spans="1:13" x14ac:dyDescent="0.2">
      <c r="F58"/>
      <c r="M58" s="2"/>
    </row>
    <row r="59" spans="1:13" x14ac:dyDescent="0.2">
      <c r="F59"/>
      <c r="M59" s="2"/>
    </row>
    <row r="60" spans="1:13" x14ac:dyDescent="0.2">
      <c r="F60"/>
      <c r="M60" s="2"/>
    </row>
    <row r="61" spans="1:13" x14ac:dyDescent="0.2">
      <c r="F61"/>
      <c r="M61" s="2"/>
    </row>
    <row r="62" spans="1:13" x14ac:dyDescent="0.2">
      <c r="F62"/>
      <c r="M62" s="2"/>
    </row>
    <row r="63" spans="1:13" x14ac:dyDescent="0.2">
      <c r="F63"/>
      <c r="M63" s="2"/>
    </row>
    <row r="64" spans="1:13" x14ac:dyDescent="0.2">
      <c r="F64"/>
      <c r="M64" s="2"/>
    </row>
    <row r="65" spans="1:13" x14ac:dyDescent="0.2">
      <c r="M65" s="2"/>
    </row>
    <row r="66" spans="1:13" x14ac:dyDescent="0.2">
      <c r="M66" s="2"/>
    </row>
    <row r="67" spans="1:13" x14ac:dyDescent="0.2">
      <c r="M67" s="2"/>
    </row>
    <row r="68" spans="1:13" ht="12" thickBot="1" x14ac:dyDescent="0.25">
      <c r="M68" s="2"/>
    </row>
    <row r="69" spans="1:13" ht="12" thickBot="1" x14ac:dyDescent="0.25">
      <c r="A69" s="4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3"/>
    </row>
  </sheetData>
  <phoneticPr fontId="4" type="noConversion"/>
  <pageMargins left="0.5" right="0.5" top="0.5" bottom="0.5" header="0.5" footer="0.5"/>
  <pageSetup orientation="portrait" blackAndWhite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8"/>
  <dimension ref="A1:N69"/>
  <sheetViews>
    <sheetView showGridLines="0" view="pageBreakPreview" zoomScale="60" zoomScaleNormal="100" workbookViewId="0">
      <selection activeCell="G29" sqref="G29"/>
    </sheetView>
  </sheetViews>
  <sheetFormatPr defaultColWidth="11.33203125" defaultRowHeight="11.25" x14ac:dyDescent="0.2"/>
  <cols>
    <col min="1" max="1" width="3.5" style="12" customWidth="1"/>
    <col min="2" max="2" width="10.6640625" style="12" customWidth="1"/>
    <col min="3" max="11" width="11.33203125" style="12" customWidth="1"/>
    <col min="12" max="12" width="5.1640625" style="12" customWidth="1"/>
    <col min="13" max="16384" width="11.33203125" style="12"/>
  </cols>
  <sheetData>
    <row r="1" spans="1:14" x14ac:dyDescent="0.2">
      <c r="A1" s="8" t="str">
        <f>'1'!$A$1</f>
        <v>Texas Windstorm Insurance Association</v>
      </c>
      <c r="C1"/>
      <c r="D1"/>
      <c r="E1"/>
      <c r="F1"/>
      <c r="G1"/>
      <c r="H1"/>
      <c r="I1"/>
      <c r="J1"/>
      <c r="K1"/>
      <c r="L1" s="7" t="s">
        <v>48</v>
      </c>
      <c r="M1" s="1"/>
    </row>
    <row r="2" spans="1:14" x14ac:dyDescent="0.2">
      <c r="A2" s="8" t="str">
        <f>'1'!$A$2</f>
        <v>Commercial Property - Wind &amp; Hail</v>
      </c>
      <c r="C2"/>
      <c r="D2"/>
      <c r="E2"/>
      <c r="F2"/>
      <c r="G2"/>
      <c r="H2"/>
      <c r="I2"/>
      <c r="J2"/>
      <c r="K2"/>
      <c r="L2" s="7" t="s">
        <v>286</v>
      </c>
      <c r="M2" s="2"/>
    </row>
    <row r="3" spans="1:14" x14ac:dyDescent="0.2">
      <c r="A3" s="8" t="str">
        <f>'1'!$A$3</f>
        <v>Rate Level Review</v>
      </c>
      <c r="C3"/>
      <c r="D3"/>
      <c r="E3"/>
      <c r="F3"/>
      <c r="G3"/>
      <c r="H3"/>
      <c r="I3"/>
      <c r="J3"/>
      <c r="K3"/>
      <c r="L3"/>
      <c r="M3" s="2"/>
    </row>
    <row r="4" spans="1:14" x14ac:dyDescent="0.2">
      <c r="A4" s="127" t="s">
        <v>272</v>
      </c>
      <c r="C4"/>
      <c r="D4"/>
      <c r="E4"/>
      <c r="F4"/>
      <c r="G4"/>
      <c r="H4"/>
      <c r="I4"/>
      <c r="J4"/>
      <c r="K4"/>
      <c r="L4"/>
      <c r="M4" s="2"/>
    </row>
    <row r="5" spans="1:14" x14ac:dyDescent="0.2">
      <c r="A5" s="141" t="s">
        <v>317</v>
      </c>
      <c r="B5" s="21"/>
      <c r="C5" s="58"/>
      <c r="D5" s="58"/>
      <c r="E5" s="58"/>
      <c r="F5"/>
      <c r="G5"/>
      <c r="H5"/>
      <c r="I5"/>
      <c r="J5"/>
      <c r="K5"/>
      <c r="L5"/>
      <c r="M5" s="2"/>
    </row>
    <row r="6" spans="1:14" x14ac:dyDescent="0.2">
      <c r="A6" s="21"/>
      <c r="B6" s="58"/>
      <c r="C6" s="58"/>
      <c r="D6" s="58"/>
      <c r="E6" s="58"/>
      <c r="F6"/>
      <c r="G6"/>
      <c r="H6"/>
      <c r="I6"/>
      <c r="J6"/>
      <c r="K6"/>
      <c r="L6"/>
      <c r="M6" s="2"/>
    </row>
    <row r="7" spans="1:14" ht="12" thickBot="1" x14ac:dyDescent="0.25">
      <c r="A7" s="142"/>
      <c r="B7" s="142"/>
      <c r="C7" s="142"/>
      <c r="D7" s="142"/>
      <c r="E7" s="142"/>
      <c r="F7"/>
      <c r="G7"/>
      <c r="H7"/>
      <c r="I7"/>
      <c r="J7"/>
      <c r="K7"/>
      <c r="L7"/>
      <c r="M7" s="2"/>
    </row>
    <row r="8" spans="1:14" ht="12" thickTop="1" x14ac:dyDescent="0.2">
      <c r="A8" s="58"/>
      <c r="B8" s="58"/>
      <c r="C8" s="58"/>
      <c r="D8" s="58"/>
      <c r="E8" s="58"/>
      <c r="F8"/>
      <c r="G8"/>
      <c r="H8"/>
      <c r="I8"/>
      <c r="J8"/>
      <c r="K8"/>
      <c r="L8"/>
      <c r="M8" s="2"/>
      <c r="N8" t="s">
        <v>287</v>
      </c>
    </row>
    <row r="9" spans="1:14" x14ac:dyDescent="0.2">
      <c r="A9" s="58"/>
      <c r="B9" s="58"/>
      <c r="C9" s="21" t="s">
        <v>288</v>
      </c>
      <c r="D9" s="23" t="s">
        <v>289</v>
      </c>
      <c r="E9" s="58"/>
      <c r="F9"/>
      <c r="G9"/>
      <c r="H9"/>
      <c r="I9"/>
      <c r="J9"/>
      <c r="K9"/>
      <c r="L9"/>
      <c r="M9" s="2"/>
      <c r="N9" s="103">
        <v>43465</v>
      </c>
    </row>
    <row r="10" spans="1:14" x14ac:dyDescent="0.2">
      <c r="A10" s="58" t="s">
        <v>274</v>
      </c>
      <c r="B10" s="58"/>
      <c r="C10" s="58" t="s">
        <v>275</v>
      </c>
      <c r="D10" s="58" t="s">
        <v>290</v>
      </c>
      <c r="E10" s="58"/>
      <c r="F10"/>
      <c r="G10"/>
      <c r="H10"/>
      <c r="I10"/>
      <c r="J10"/>
      <c r="K10"/>
      <c r="L10"/>
      <c r="M10" s="2"/>
    </row>
    <row r="11" spans="1:14" x14ac:dyDescent="0.2">
      <c r="A11" s="139" t="s">
        <v>28</v>
      </c>
      <c r="B11" s="139"/>
      <c r="C11" s="139" t="s">
        <v>269</v>
      </c>
      <c r="D11" s="139" t="s">
        <v>294</v>
      </c>
      <c r="E11" s="139" t="s">
        <v>295</v>
      </c>
      <c r="F11"/>
      <c r="G11"/>
      <c r="H11"/>
      <c r="I11"/>
      <c r="J11"/>
      <c r="K11"/>
      <c r="L11"/>
      <c r="M11" s="2"/>
      <c r="N11" s="9" t="s">
        <v>269</v>
      </c>
    </row>
    <row r="12" spans="1:14" x14ac:dyDescent="0.2">
      <c r="A12" s="143" t="str">
        <f>TEXT(COLUMN(),"(#)")</f>
        <v>(1)</v>
      </c>
      <c r="B12" s="143"/>
      <c r="C12" s="144" t="str">
        <f>TEXT(COLUMN()-1,"(#)")</f>
        <v>(2)</v>
      </c>
      <c r="D12" s="144" t="str">
        <f>TEXT(COLUMN()-1,"(#)")</f>
        <v>(3)</v>
      </c>
      <c r="E12" s="144" t="str">
        <f>TEXT(COLUMN()-1,"(#)")</f>
        <v>(4)</v>
      </c>
      <c r="F12"/>
      <c r="G12"/>
      <c r="H12"/>
      <c r="I12"/>
      <c r="J12"/>
      <c r="K12"/>
      <c r="L12"/>
      <c r="M12" s="2"/>
    </row>
    <row r="13" spans="1:14" x14ac:dyDescent="0.2">
      <c r="A13" s="58"/>
      <c r="B13" s="58"/>
      <c r="C13" s="58"/>
      <c r="D13" s="58"/>
      <c r="E13" s="58"/>
      <c r="F13"/>
      <c r="G13"/>
      <c r="H13"/>
      <c r="I13"/>
      <c r="J13"/>
      <c r="K13"/>
      <c r="L13"/>
      <c r="M13" s="2"/>
    </row>
    <row r="14" spans="1:14" x14ac:dyDescent="0.2">
      <c r="A14" s="21" t="str">
        <f t="shared" ref="A14:A52" si="0">TEXT(DATE(YEAR(A15+1),MONTH(A15+1)-3,1)-1,"m/d/yyyy")</f>
        <v>3/31/2009</v>
      </c>
      <c r="B14" s="54"/>
      <c r="C14" s="349">
        <f>'[2]Boeckh (C)'!$D22</f>
        <v>2108.3192760156253</v>
      </c>
      <c r="D14" s="136"/>
      <c r="E14" s="136"/>
      <c r="F14"/>
      <c r="G14"/>
      <c r="H14"/>
      <c r="I14"/>
      <c r="J14"/>
      <c r="K14"/>
      <c r="L14"/>
      <c r="M14" s="2"/>
      <c r="N14" s="12">
        <f t="shared" ref="N14:N53" si="1">YEAR(A14)+MONTH(A14)/12</f>
        <v>2009.25</v>
      </c>
    </row>
    <row r="15" spans="1:14" x14ac:dyDescent="0.2">
      <c r="A15" s="21" t="str">
        <f t="shared" si="0"/>
        <v>6/30/2009</v>
      </c>
      <c r="B15" s="54"/>
      <c r="C15" s="349">
        <f>'[2]Boeckh (C)'!$D23</f>
        <v>2140.9958835416664</v>
      </c>
      <c r="D15" s="136"/>
      <c r="E15" s="136"/>
      <c r="F15"/>
      <c r="G15"/>
      <c r="H15"/>
      <c r="I15"/>
      <c r="J15"/>
      <c r="K15"/>
      <c r="L15"/>
      <c r="M15" s="2"/>
      <c r="N15" s="12">
        <f t="shared" si="1"/>
        <v>2009.5</v>
      </c>
    </row>
    <row r="16" spans="1:14" x14ac:dyDescent="0.2">
      <c r="A16" s="21" t="str">
        <f t="shared" si="0"/>
        <v>9/30/2009</v>
      </c>
      <c r="B16" s="54"/>
      <c r="C16" s="349">
        <f>'[2]Boeckh (C)'!$D24</f>
        <v>2157.9682789843746</v>
      </c>
      <c r="D16" s="136"/>
      <c r="E16" s="136"/>
      <c r="F16"/>
      <c r="G16"/>
      <c r="H16"/>
      <c r="I16"/>
      <c r="J16"/>
      <c r="K16"/>
      <c r="L16"/>
      <c r="M16" s="2"/>
      <c r="N16" s="12">
        <f t="shared" si="1"/>
        <v>2009.75</v>
      </c>
    </row>
    <row r="17" spans="1:14" x14ac:dyDescent="0.2">
      <c r="A17" s="21" t="str">
        <f t="shared" si="0"/>
        <v>12/31/2009</v>
      </c>
      <c r="B17" s="54"/>
      <c r="C17" s="349">
        <f>'[2]Boeckh (C)'!$D25</f>
        <v>2155.178442942708</v>
      </c>
      <c r="D17" s="136"/>
      <c r="E17" s="136"/>
      <c r="F17"/>
      <c r="G17"/>
      <c r="H17"/>
      <c r="I17"/>
      <c r="J17"/>
      <c r="K17"/>
      <c r="L17"/>
      <c r="M17" s="2"/>
      <c r="N17" s="12">
        <f t="shared" si="1"/>
        <v>2010</v>
      </c>
    </row>
    <row r="18" spans="1:14" x14ac:dyDescent="0.2">
      <c r="A18" s="21" t="str">
        <f t="shared" si="0"/>
        <v>3/31/2010</v>
      </c>
      <c r="B18" s="54"/>
      <c r="C18" s="349">
        <f>'[2]Boeckh (C)'!$D26</f>
        <v>2141.7289494791662</v>
      </c>
      <c r="D18" s="136"/>
      <c r="E18" s="136"/>
      <c r="F18"/>
      <c r="G18"/>
      <c r="H18"/>
      <c r="I18"/>
      <c r="J18"/>
      <c r="K18"/>
      <c r="L18"/>
      <c r="M18" s="2"/>
      <c r="N18" s="12">
        <f t="shared" si="1"/>
        <v>2010.25</v>
      </c>
    </row>
    <row r="19" spans="1:14" x14ac:dyDescent="0.2">
      <c r="A19" s="21" t="str">
        <f t="shared" si="0"/>
        <v>6/30/2010</v>
      </c>
      <c r="B19" s="54"/>
      <c r="C19" s="349">
        <f>'[2]Boeckh (C)'!$D27</f>
        <v>2124.6761978906247</v>
      </c>
      <c r="D19" s="136"/>
      <c r="E19" s="136"/>
      <c r="F19"/>
      <c r="G19"/>
      <c r="H19"/>
      <c r="I19"/>
      <c r="J19"/>
      <c r="K19"/>
      <c r="L19"/>
      <c r="M19" s="2"/>
      <c r="N19" s="12">
        <f t="shared" si="1"/>
        <v>2010.5</v>
      </c>
    </row>
    <row r="20" spans="1:14" x14ac:dyDescent="0.2">
      <c r="A20" s="21" t="str">
        <f t="shared" si="0"/>
        <v>9/30/2010</v>
      </c>
      <c r="B20" s="54"/>
      <c r="C20" s="349">
        <f>'[2]Boeckh (C)'!$D28</f>
        <v>2115.3410319895829</v>
      </c>
      <c r="D20" s="136"/>
      <c r="E20" s="136"/>
      <c r="F20"/>
      <c r="G20"/>
      <c r="H20"/>
      <c r="I20"/>
      <c r="J20"/>
      <c r="K20"/>
      <c r="L20"/>
      <c r="M20" s="2"/>
      <c r="N20" s="12">
        <f t="shared" si="1"/>
        <v>2010.75</v>
      </c>
    </row>
    <row r="21" spans="1:14" x14ac:dyDescent="0.2">
      <c r="A21" s="21" t="str">
        <f t="shared" si="0"/>
        <v>12/31/2010</v>
      </c>
      <c r="B21" s="54"/>
      <c r="C21" s="349">
        <f>'[2]Boeckh (C)'!$D29</f>
        <v>2116.4754306488094</v>
      </c>
      <c r="D21" s="136">
        <f>TREND($C$21:$C$53,$N$21:$N$53,$N21,TRUE)</f>
        <v>2156.3157333344134</v>
      </c>
      <c r="E21" s="136">
        <f>GROWTH($C$21:$C$53,$N$21:$N$53,$N21,TRUE)</f>
        <v>2160.1292665518331</v>
      </c>
      <c r="F21"/>
      <c r="G21"/>
      <c r="H21"/>
      <c r="I21"/>
      <c r="J21"/>
      <c r="K21"/>
      <c r="L21"/>
      <c r="M21" s="2"/>
      <c r="N21" s="12">
        <f t="shared" si="1"/>
        <v>2011</v>
      </c>
    </row>
    <row r="22" spans="1:14" x14ac:dyDescent="0.2">
      <c r="A22" s="21" t="str">
        <f t="shared" si="0"/>
        <v>3/31/2011</v>
      </c>
      <c r="B22" s="54"/>
      <c r="C22" s="349">
        <f>'[2]Boeckh (C)'!$D30</f>
        <v>2127.0809546793153</v>
      </c>
      <c r="D22" s="136">
        <f t="shared" ref="D22:D52" si="2">TREND($C$21:$C$53,$N$21:$N$53,$N22,TRUE)</f>
        <v>2168.9588222364109</v>
      </c>
      <c r="E22" s="136">
        <f t="shared" ref="E22:E53" si="3">GROWTH($C$21:$C$53,$N$21:$N$53,$N22,TRUE)</f>
        <v>2171.8404631194944</v>
      </c>
      <c r="F22"/>
      <c r="G22"/>
      <c r="H22"/>
      <c r="I22"/>
      <c r="J22"/>
      <c r="K22"/>
      <c r="L22"/>
      <c r="M22" s="2"/>
      <c r="N22" s="12">
        <f t="shared" si="1"/>
        <v>2011.25</v>
      </c>
    </row>
    <row r="23" spans="1:14" x14ac:dyDescent="0.2">
      <c r="A23" s="21" t="str">
        <f t="shared" si="0"/>
        <v>6/30/2011</v>
      </c>
      <c r="B23" s="102"/>
      <c r="C23" s="349">
        <f>'[2]Boeckh (C)'!$D31</f>
        <v>2141.5001158437499</v>
      </c>
      <c r="D23" s="136">
        <f t="shared" si="2"/>
        <v>2181.6019111384085</v>
      </c>
      <c r="E23" s="136">
        <f t="shared" si="3"/>
        <v>2183.6151522415926</v>
      </c>
      <c r="F23"/>
      <c r="G23"/>
      <c r="H23"/>
      <c r="I23"/>
      <c r="J23"/>
      <c r="K23"/>
      <c r="L23"/>
      <c r="M23" s="2"/>
      <c r="N23" s="12">
        <f t="shared" si="1"/>
        <v>2011.5</v>
      </c>
    </row>
    <row r="24" spans="1:14" x14ac:dyDescent="0.2">
      <c r="A24" s="21" t="str">
        <f t="shared" si="0"/>
        <v>9/30/2011</v>
      </c>
      <c r="B24" s="58"/>
      <c r="C24" s="349">
        <f>'[2]Boeckh (C)'!$D32</f>
        <v>2163.6783696354169</v>
      </c>
      <c r="D24" s="136">
        <f t="shared" si="2"/>
        <v>2194.245000040406</v>
      </c>
      <c r="E24" s="136">
        <f t="shared" si="3"/>
        <v>2195.4536781446495</v>
      </c>
      <c r="F24"/>
      <c r="G24"/>
      <c r="H24"/>
      <c r="I24"/>
      <c r="J24"/>
      <c r="K24"/>
      <c r="L24"/>
      <c r="M24" s="2"/>
      <c r="N24" s="12">
        <f t="shared" si="1"/>
        <v>2011.75</v>
      </c>
    </row>
    <row r="25" spans="1:14" x14ac:dyDescent="0.2">
      <c r="A25" s="21" t="str">
        <f t="shared" si="0"/>
        <v>12/31/2011</v>
      </c>
      <c r="B25" s="58"/>
      <c r="C25" s="349">
        <f>'[2]Boeckh (C)'!$D33</f>
        <v>2192.0038941011908</v>
      </c>
      <c r="D25" s="136">
        <f t="shared" si="2"/>
        <v>2206.8880889424181</v>
      </c>
      <c r="E25" s="136">
        <f t="shared" si="3"/>
        <v>2207.3563869214208</v>
      </c>
      <c r="F25"/>
      <c r="G25"/>
      <c r="H25"/>
      <c r="I25"/>
      <c r="J25"/>
      <c r="K25"/>
      <c r="L25"/>
      <c r="M25" s="2"/>
      <c r="N25" s="12">
        <f t="shared" si="1"/>
        <v>2012</v>
      </c>
    </row>
    <row r="26" spans="1:14" x14ac:dyDescent="0.2">
      <c r="A26" s="21" t="str">
        <f t="shared" si="0"/>
        <v>3/31/2012</v>
      </c>
      <c r="B26" s="58"/>
      <c r="C26" s="349">
        <f>'[2]Boeckh (C)'!$D34</f>
        <v>2217.7650029613096</v>
      </c>
      <c r="D26" s="136">
        <f t="shared" si="2"/>
        <v>2219.5311778444157</v>
      </c>
      <c r="E26" s="136">
        <f t="shared" si="3"/>
        <v>2219.3236265410133</v>
      </c>
      <c r="F26"/>
      <c r="G26"/>
      <c r="H26"/>
      <c r="I26"/>
      <c r="J26"/>
      <c r="K26"/>
      <c r="L26"/>
      <c r="M26" s="2"/>
      <c r="N26" s="12">
        <f t="shared" si="1"/>
        <v>2012.25</v>
      </c>
    </row>
    <row r="27" spans="1:14" x14ac:dyDescent="0.2">
      <c r="A27" s="21" t="str">
        <f t="shared" si="0"/>
        <v>6/30/2012</v>
      </c>
      <c r="B27" s="58"/>
      <c r="C27" s="349">
        <f>'[2]Boeckh (C)'!$D35</f>
        <v>2239.5516217187501</v>
      </c>
      <c r="D27" s="136">
        <f t="shared" si="2"/>
        <v>2232.1742667464132</v>
      </c>
      <c r="E27" s="136">
        <f t="shared" si="3"/>
        <v>2231.3557468590561</v>
      </c>
      <c r="F27"/>
      <c r="G27"/>
      <c r="H27"/>
      <c r="I27"/>
      <c r="J27"/>
      <c r="K27"/>
      <c r="L27"/>
      <c r="M27" s="2"/>
      <c r="N27" s="12">
        <f t="shared" si="1"/>
        <v>2012.5</v>
      </c>
    </row>
    <row r="28" spans="1:14" x14ac:dyDescent="0.2">
      <c r="A28" s="21" t="str">
        <f t="shared" si="0"/>
        <v>9/30/2012</v>
      </c>
      <c r="B28" s="58"/>
      <c r="C28" s="349">
        <f>'[2]Boeckh (C)'!$D36</f>
        <v>2258.4658650000001</v>
      </c>
      <c r="D28" s="136">
        <f t="shared" si="2"/>
        <v>2244.8173556484107</v>
      </c>
      <c r="E28" s="136">
        <f t="shared" si="3"/>
        <v>2243.4530996279304</v>
      </c>
      <c r="F28"/>
      <c r="G28"/>
      <c r="H28"/>
      <c r="I28"/>
      <c r="J28"/>
      <c r="K28"/>
      <c r="L28"/>
      <c r="M28" s="2"/>
      <c r="N28" s="12">
        <f t="shared" si="1"/>
        <v>2012.75</v>
      </c>
    </row>
    <row r="29" spans="1:14" x14ac:dyDescent="0.2">
      <c r="A29" s="21" t="str">
        <f t="shared" si="0"/>
        <v>12/31/2012</v>
      </c>
      <c r="B29" s="58"/>
      <c r="C29" s="349">
        <f>'[2]Boeckh (C)'!$D37</f>
        <v>2275.3693681250002</v>
      </c>
      <c r="D29" s="136">
        <f t="shared" si="2"/>
        <v>2257.4604445504228</v>
      </c>
      <c r="E29" s="136">
        <f t="shared" si="3"/>
        <v>2255.6160385070525</v>
      </c>
      <c r="F29"/>
      <c r="G29"/>
      <c r="H29"/>
      <c r="I29"/>
      <c r="J29"/>
      <c r="K29"/>
      <c r="L29"/>
      <c r="M29" s="2"/>
      <c r="N29" s="12">
        <f t="shared" si="1"/>
        <v>2013</v>
      </c>
    </row>
    <row r="30" spans="1:14" x14ac:dyDescent="0.2">
      <c r="A30" s="21" t="str">
        <f t="shared" si="0"/>
        <v>3/31/2013</v>
      </c>
      <c r="B30" s="58"/>
      <c r="C30" s="349">
        <f>'[2]Boeckh (C)'!$D38</f>
        <v>2288.7084286718755</v>
      </c>
      <c r="D30" s="136">
        <f t="shared" si="2"/>
        <v>2270.1035334524204</v>
      </c>
      <c r="E30" s="136">
        <f t="shared" si="3"/>
        <v>2267.8449190732272</v>
      </c>
      <c r="F30"/>
      <c r="G30"/>
      <c r="H30"/>
      <c r="I30"/>
      <c r="J30"/>
      <c r="K30"/>
      <c r="L30"/>
      <c r="M30" s="2"/>
      <c r="N30" s="12">
        <f t="shared" si="1"/>
        <v>2013.25</v>
      </c>
    </row>
    <row r="31" spans="1:14" x14ac:dyDescent="0.2">
      <c r="A31" s="21" t="str">
        <f t="shared" si="0"/>
        <v>6/30/2013</v>
      </c>
      <c r="B31" s="138"/>
      <c r="C31" s="349">
        <f>'[2]Boeckh (C)'!$D39</f>
        <v>2300.155174296875</v>
      </c>
      <c r="D31" s="136">
        <f t="shared" si="2"/>
        <v>2282.7466223544179</v>
      </c>
      <c r="E31" s="136">
        <f t="shared" si="3"/>
        <v>2280.1400988309806</v>
      </c>
      <c r="F31"/>
      <c r="G31"/>
      <c r="H31"/>
      <c r="I31"/>
      <c r="J31"/>
      <c r="K31"/>
      <c r="L31"/>
      <c r="M31" s="2"/>
      <c r="N31" s="12">
        <f t="shared" si="1"/>
        <v>2013.5</v>
      </c>
    </row>
    <row r="32" spans="1:14" x14ac:dyDescent="0.2">
      <c r="A32" s="21" t="str">
        <f t="shared" si="0"/>
        <v>9/30/2013</v>
      </c>
      <c r="B32" s="138"/>
      <c r="C32" s="349">
        <f>'[2]Boeckh (C)'!$D40</f>
        <v>2312.5462904687502</v>
      </c>
      <c r="D32" s="136">
        <f t="shared" si="2"/>
        <v>2295.3897112564155</v>
      </c>
      <c r="E32" s="136">
        <f t="shared" si="3"/>
        <v>2292.5019372231072</v>
      </c>
      <c r="F32"/>
      <c r="G32"/>
      <c r="H32"/>
      <c r="I32"/>
      <c r="J32"/>
      <c r="K32"/>
      <c r="L32"/>
      <c r="M32" s="2"/>
      <c r="N32" s="12">
        <f t="shared" si="1"/>
        <v>2013.75</v>
      </c>
    </row>
    <row r="33" spans="1:14" x14ac:dyDescent="0.2">
      <c r="A33" s="21" t="str">
        <f t="shared" si="0"/>
        <v>12/31/2013</v>
      </c>
      <c r="B33" s="102"/>
      <c r="C33" s="349">
        <f>'[2]Boeckh (C)'!$D41</f>
        <v>2324.2923953906247</v>
      </c>
      <c r="D33" s="136">
        <f t="shared" si="2"/>
        <v>2308.032800158413</v>
      </c>
      <c r="E33" s="136">
        <f t="shared" si="3"/>
        <v>2304.9307956411135</v>
      </c>
      <c r="F33"/>
      <c r="G33"/>
      <c r="H33"/>
      <c r="I33"/>
      <c r="J33"/>
      <c r="K33"/>
      <c r="L33"/>
      <c r="M33" s="2"/>
      <c r="N33" s="12">
        <f t="shared" si="1"/>
        <v>2014</v>
      </c>
    </row>
    <row r="34" spans="1:14" x14ac:dyDescent="0.2">
      <c r="A34" s="21" t="str">
        <f t="shared" si="0"/>
        <v>3/31/2014</v>
      </c>
      <c r="B34" s="102"/>
      <c r="C34" s="349">
        <f>'[2]Boeckh (C)'!$D42</f>
        <v>2338.661094765625</v>
      </c>
      <c r="D34" s="136">
        <f t="shared" si="2"/>
        <v>2320.6758890604251</v>
      </c>
      <c r="E34" s="136">
        <f t="shared" si="3"/>
        <v>2317.4270374357993</v>
      </c>
      <c r="F34"/>
      <c r="G34"/>
      <c r="H34"/>
      <c r="I34"/>
      <c r="J34"/>
      <c r="K34"/>
      <c r="L34"/>
      <c r="M34" s="2"/>
      <c r="N34" s="12">
        <f t="shared" si="1"/>
        <v>2014.25</v>
      </c>
    </row>
    <row r="35" spans="1:14" x14ac:dyDescent="0.2">
      <c r="A35" s="21" t="str">
        <f t="shared" si="0"/>
        <v>6/30/2014</v>
      </c>
      <c r="B35" s="138"/>
      <c r="C35" s="349">
        <f>'[2]Boeckh (C)'!$D43</f>
        <v>2357.7397695312497</v>
      </c>
      <c r="D35" s="136">
        <f t="shared" si="2"/>
        <v>2333.3189779624227</v>
      </c>
      <c r="E35" s="136">
        <f t="shared" si="3"/>
        <v>2329.9910279278811</v>
      </c>
      <c r="F35"/>
      <c r="G35"/>
      <c r="H35"/>
      <c r="I35"/>
      <c r="J35"/>
      <c r="K35"/>
      <c r="L35"/>
      <c r="M35" s="2"/>
      <c r="N35" s="12">
        <f t="shared" si="1"/>
        <v>2014.5</v>
      </c>
    </row>
    <row r="36" spans="1:14" x14ac:dyDescent="0.2">
      <c r="A36" s="21" t="str">
        <f t="shared" si="0"/>
        <v>9/30/2014</v>
      </c>
      <c r="B36" s="21"/>
      <c r="C36" s="349">
        <f>'[2]Boeckh (C)'!$D44</f>
        <v>2375.5303633593749</v>
      </c>
      <c r="D36" s="136">
        <f>TREND($C$21:$C$53,$N$21:$N$53,$N36,TRUE)</f>
        <v>2345.9620668644202</v>
      </c>
      <c r="E36" s="136">
        <f t="shared" si="3"/>
        <v>2342.6231344186695</v>
      </c>
      <c r="F36"/>
      <c r="G36"/>
      <c r="H36"/>
      <c r="I36"/>
      <c r="J36"/>
      <c r="K36"/>
      <c r="L36"/>
      <c r="M36" s="2"/>
      <c r="N36" s="12">
        <f t="shared" si="1"/>
        <v>2014.75</v>
      </c>
    </row>
    <row r="37" spans="1:14" x14ac:dyDescent="0.2">
      <c r="A37" s="21" t="str">
        <f t="shared" si="0"/>
        <v>12/31/2014</v>
      </c>
      <c r="B37" s="21"/>
      <c r="C37" s="349">
        <f>'[2]Boeckh (C)'!$D45</f>
        <v>2394.5075607812496</v>
      </c>
      <c r="D37" s="136">
        <f t="shared" si="2"/>
        <v>2358.6051557664177</v>
      </c>
      <c r="E37" s="136">
        <f t="shared" si="3"/>
        <v>2355.3237262008092</v>
      </c>
      <c r="F37"/>
      <c r="G37"/>
      <c r="H37"/>
      <c r="I37"/>
      <c r="J37"/>
      <c r="K37"/>
      <c r="L37"/>
      <c r="M37" s="2"/>
      <c r="N37" s="12">
        <f t="shared" si="1"/>
        <v>2015</v>
      </c>
    </row>
    <row r="38" spans="1:14" x14ac:dyDescent="0.2">
      <c r="A38" s="21" t="str">
        <f t="shared" si="0"/>
        <v>3/31/2015</v>
      </c>
      <c r="B38" s="21"/>
      <c r="C38" s="349">
        <f>'[2]Boeckh (C)'!$D46</f>
        <v>2413.1695407031248</v>
      </c>
      <c r="D38" s="136">
        <f t="shared" si="2"/>
        <v>2371.2482446684298</v>
      </c>
      <c r="E38" s="136">
        <f t="shared" si="3"/>
        <v>2368.0931745690755</v>
      </c>
      <c r="F38"/>
      <c r="G38"/>
      <c r="H38"/>
      <c r="I38"/>
      <c r="J38"/>
      <c r="K38"/>
      <c r="L38"/>
      <c r="M38" s="2"/>
      <c r="N38" s="12">
        <f t="shared" si="1"/>
        <v>2015.25</v>
      </c>
    </row>
    <row r="39" spans="1:14" x14ac:dyDescent="0.2">
      <c r="A39" s="21" t="str">
        <f t="shared" si="0"/>
        <v>6/30/2015</v>
      </c>
      <c r="B39" s="21"/>
      <c r="C39" s="349">
        <f>'[2]Boeckh (C)'!$D47</f>
        <v>2425.5835385156252</v>
      </c>
      <c r="D39" s="136">
        <f t="shared" si="2"/>
        <v>2383.8913335704274</v>
      </c>
      <c r="E39" s="136">
        <f t="shared" si="3"/>
        <v>2380.9318528312269</v>
      </c>
      <c r="F39"/>
      <c r="G39"/>
      <c r="H39"/>
      <c r="I39"/>
      <c r="J39"/>
      <c r="K39"/>
      <c r="L39"/>
      <c r="M39" s="2"/>
      <c r="N39" s="12">
        <f t="shared" si="1"/>
        <v>2015.5</v>
      </c>
    </row>
    <row r="40" spans="1:14" x14ac:dyDescent="0.2">
      <c r="A40" s="21" t="str">
        <f t="shared" si="0"/>
        <v>9/30/2015</v>
      </c>
      <c r="B40" s="21"/>
      <c r="C40" s="349">
        <f>'[2]Boeckh (C)'!$D48</f>
        <v>2434.161704765625</v>
      </c>
      <c r="D40" s="136">
        <f t="shared" si="2"/>
        <v>2396.5344224724249</v>
      </c>
      <c r="E40" s="136">
        <f t="shared" si="3"/>
        <v>2393.8401363189369</v>
      </c>
      <c r="F40"/>
      <c r="G40"/>
      <c r="H40"/>
      <c r="I40"/>
      <c r="J40"/>
      <c r="K40"/>
      <c r="L40"/>
      <c r="M40" s="2"/>
      <c r="N40" s="12">
        <f t="shared" si="1"/>
        <v>2015.75</v>
      </c>
    </row>
    <row r="41" spans="1:14" x14ac:dyDescent="0.2">
      <c r="A41" s="21" t="str">
        <f t="shared" si="0"/>
        <v>12/31/2015</v>
      </c>
      <c r="B41" s="21"/>
      <c r="C41" s="349">
        <f>'[2]Boeckh (C)'!$D49</f>
        <v>2437.7848903125</v>
      </c>
      <c r="D41" s="136">
        <f t="shared" si="2"/>
        <v>2409.1775113744225</v>
      </c>
      <c r="E41" s="136">
        <f t="shared" si="3"/>
        <v>2406.8184023986978</v>
      </c>
      <c r="F41"/>
      <c r="G41"/>
      <c r="H41"/>
      <c r="I41"/>
      <c r="J41"/>
      <c r="K41"/>
      <c r="L41"/>
      <c r="M41" s="2"/>
      <c r="N41" s="12">
        <f t="shared" si="1"/>
        <v>2016</v>
      </c>
    </row>
    <row r="42" spans="1:14" x14ac:dyDescent="0.2">
      <c r="A42" s="21" t="str">
        <f t="shared" si="0"/>
        <v>3/31/2016</v>
      </c>
      <c r="B42" s="21"/>
      <c r="C42" s="349">
        <f>'[2]Boeckh (C)'!$D50</f>
        <v>2435.6354542968747</v>
      </c>
      <c r="D42" s="136">
        <f>TREND($C$21:$C$53,$N$21:$N$53,$N42,TRUE)</f>
        <v>2421.82060027642</v>
      </c>
      <c r="E42" s="136">
        <f t="shared" si="3"/>
        <v>2419.8670304829557</v>
      </c>
      <c r="F42"/>
      <c r="G42"/>
      <c r="H42"/>
      <c r="I42"/>
      <c r="J42"/>
      <c r="K42"/>
      <c r="L42"/>
      <c r="M42" s="2"/>
      <c r="N42" s="12">
        <f t="shared" si="1"/>
        <v>2016.25</v>
      </c>
    </row>
    <row r="43" spans="1:14" x14ac:dyDescent="0.2">
      <c r="A43" s="21" t="str">
        <f t="shared" si="0"/>
        <v>6/30/2016</v>
      </c>
      <c r="B43" s="138"/>
      <c r="C43" s="349">
        <f>'[2]Boeckh (C)'!$D51</f>
        <v>2430.7525919531249</v>
      </c>
      <c r="D43" s="136">
        <f t="shared" si="2"/>
        <v>2434.4636891784321</v>
      </c>
      <c r="E43" s="136">
        <f t="shared" si="3"/>
        <v>2432.9864020411346</v>
      </c>
      <c r="F43"/>
      <c r="G43"/>
      <c r="H43"/>
      <c r="I43"/>
      <c r="J43"/>
      <c r="K43"/>
      <c r="L43"/>
      <c r="M43" s="2"/>
      <c r="N43" s="12">
        <f t="shared" si="1"/>
        <v>2016.5</v>
      </c>
    </row>
    <row r="44" spans="1:14" x14ac:dyDescent="0.2">
      <c r="A44" s="21" t="str">
        <f t="shared" si="0"/>
        <v>9/30/2016</v>
      </c>
      <c r="B44" s="21"/>
      <c r="C44" s="349">
        <f>'[2]Boeckh (C)'!$D52</f>
        <v>2426.8497425</v>
      </c>
      <c r="D44" s="136">
        <f t="shared" si="2"/>
        <v>2447.1067780804296</v>
      </c>
      <c r="E44" s="136">
        <f>GROWTH($C$21:$C$53,$N$21:$N$53,$N44,TRUE)</f>
        <v>2446.1769006108034</v>
      </c>
      <c r="F44"/>
      <c r="G44"/>
      <c r="H44"/>
      <c r="I44"/>
      <c r="J44"/>
      <c r="K44"/>
      <c r="L44"/>
      <c r="M44" s="2"/>
      <c r="N44" s="12">
        <f t="shared" si="1"/>
        <v>2016.75</v>
      </c>
    </row>
    <row r="45" spans="1:14" x14ac:dyDescent="0.2">
      <c r="A45" s="21" t="str">
        <f t="shared" si="0"/>
        <v>12/31/2016</v>
      </c>
      <c r="B45" s="21"/>
      <c r="C45" s="349">
        <f>'[2]Boeckh (C)'!$D53</f>
        <v>2426.1311415625</v>
      </c>
      <c r="D45" s="136">
        <f t="shared" si="2"/>
        <v>2459.7498669824272</v>
      </c>
      <c r="E45" s="136">
        <f t="shared" si="3"/>
        <v>2459.4389118088902</v>
      </c>
      <c r="F45"/>
      <c r="G45"/>
      <c r="H45"/>
      <c r="I45"/>
      <c r="J45"/>
      <c r="K45"/>
      <c r="L45"/>
      <c r="M45" s="2"/>
      <c r="N45" s="12">
        <f t="shared" si="1"/>
        <v>2017</v>
      </c>
    </row>
    <row r="46" spans="1:14" x14ac:dyDescent="0.2">
      <c r="A46" s="21" t="str">
        <f t="shared" si="0"/>
        <v>3/31/2017</v>
      </c>
      <c r="B46" s="21"/>
      <c r="C46" s="349">
        <f>'[2]Boeckh (C)'!$D54</f>
        <v>2432.146873046875</v>
      </c>
      <c r="D46" s="136">
        <f t="shared" si="2"/>
        <v>2472.3929558844247</v>
      </c>
      <c r="E46" s="136">
        <f t="shared" si="3"/>
        <v>2472.7728233429566</v>
      </c>
      <c r="F46"/>
      <c r="G46"/>
      <c r="H46"/>
      <c r="I46"/>
      <c r="J46"/>
      <c r="K46"/>
      <c r="L46"/>
      <c r="M46" s="2"/>
      <c r="N46" s="12">
        <f t="shared" si="1"/>
        <v>2017.25</v>
      </c>
    </row>
    <row r="47" spans="1:14" x14ac:dyDescent="0.2">
      <c r="A47" s="21" t="str">
        <f t="shared" si="0"/>
        <v>6/30/2017</v>
      </c>
      <c r="B47" s="21"/>
      <c r="C47" s="349">
        <f>'[2]Boeckh (C)'!$D55</f>
        <v>2445.14201125</v>
      </c>
      <c r="D47" s="136">
        <f t="shared" si="2"/>
        <v>2485.0360447864368</v>
      </c>
      <c r="E47" s="136">
        <f t="shared" si="3"/>
        <v>2486.179025022529</v>
      </c>
      <c r="F47"/>
      <c r="G47"/>
      <c r="H47"/>
      <c r="I47"/>
      <c r="J47"/>
      <c r="K47"/>
      <c r="L47"/>
      <c r="M47" s="2"/>
      <c r="N47" s="12">
        <f t="shared" si="1"/>
        <v>2017.5</v>
      </c>
    </row>
    <row r="48" spans="1:14" x14ac:dyDescent="0.2">
      <c r="A48" s="21" t="str">
        <f t="shared" si="0"/>
        <v>9/30/2017</v>
      </c>
      <c r="B48" s="138"/>
      <c r="C48" s="349">
        <f>'[2]Boeckh (C)'!$D56</f>
        <v>2463.0869872656249</v>
      </c>
      <c r="D48" s="136">
        <f t="shared" si="2"/>
        <v>2497.6791336884344</v>
      </c>
      <c r="E48" s="136">
        <f t="shared" si="3"/>
        <v>2499.6579087704968</v>
      </c>
      <c r="F48"/>
      <c r="G48"/>
      <c r="H48"/>
      <c r="I48"/>
      <c r="J48"/>
      <c r="K48"/>
      <c r="L48"/>
      <c r="M48" s="2"/>
      <c r="N48" s="12">
        <f t="shared" si="1"/>
        <v>2017.75</v>
      </c>
    </row>
    <row r="49" spans="1:14" x14ac:dyDescent="0.2">
      <c r="A49" s="21" t="str">
        <f t="shared" si="0"/>
        <v>12/31/2017</v>
      </c>
      <c r="B49" s="21"/>
      <c r="C49" s="349">
        <f>'[2]Boeckh (C)'!$D57</f>
        <v>2480.9225474218752</v>
      </c>
      <c r="D49" s="136">
        <f t="shared" si="2"/>
        <v>2510.3222225904319</v>
      </c>
      <c r="E49" s="136">
        <f t="shared" si="3"/>
        <v>2513.2098686345885</v>
      </c>
      <c r="F49"/>
      <c r="G49"/>
      <c r="H49"/>
      <c r="I49"/>
      <c r="J49"/>
      <c r="K49"/>
      <c r="L49"/>
      <c r="M49" s="2"/>
      <c r="N49" s="12">
        <f t="shared" si="1"/>
        <v>2018</v>
      </c>
    </row>
    <row r="50" spans="1:14" x14ac:dyDescent="0.2">
      <c r="A50" s="21" t="str">
        <f t="shared" si="0"/>
        <v>3/31/2018</v>
      </c>
      <c r="B50" s="21"/>
      <c r="C50" s="349">
        <f>'[2]Boeckh (C)'!$D58</f>
        <v>2500.4353571874999</v>
      </c>
      <c r="D50" s="136">
        <f t="shared" si="2"/>
        <v>2522.9653114924295</v>
      </c>
      <c r="E50" s="136">
        <f t="shared" si="3"/>
        <v>2526.8353007988167</v>
      </c>
      <c r="F50"/>
      <c r="G50"/>
      <c r="H50"/>
      <c r="I50"/>
      <c r="J50"/>
      <c r="K50"/>
      <c r="L50"/>
      <c r="M50" s="2"/>
      <c r="N50" s="12">
        <f t="shared" si="1"/>
        <v>2018.25</v>
      </c>
    </row>
    <row r="51" spans="1:14" x14ac:dyDescent="0.2">
      <c r="A51" s="21" t="str">
        <f t="shared" si="0"/>
        <v>6/30/2018</v>
      </c>
      <c r="B51" s="21"/>
      <c r="C51" s="349">
        <f>'[2]Boeckh (C)'!$D59</f>
        <v>2524.0524125781249</v>
      </c>
      <c r="D51" s="136">
        <f t="shared" si="2"/>
        <v>2535.608400394427</v>
      </c>
      <c r="E51" s="136">
        <f t="shared" si="3"/>
        <v>2540.5346035951716</v>
      </c>
      <c r="F51"/>
      <c r="G51"/>
      <c r="H51"/>
      <c r="I51"/>
      <c r="J51"/>
      <c r="K51"/>
      <c r="L51"/>
      <c r="M51" s="2"/>
      <c r="N51" s="12">
        <f t="shared" si="1"/>
        <v>2018.5</v>
      </c>
    </row>
    <row r="52" spans="1:14" x14ac:dyDescent="0.2">
      <c r="A52" s="21" t="str">
        <f t="shared" si="0"/>
        <v>9/30/2018</v>
      </c>
      <c r="B52" s="21"/>
      <c r="C52" s="349">
        <f>'[2]Boeckh (C)'!$D60</f>
        <v>2551.4790076562499</v>
      </c>
      <c r="D52" s="136">
        <f t="shared" si="2"/>
        <v>2548.2514892964391</v>
      </c>
      <c r="E52" s="136">
        <f t="shared" si="3"/>
        <v>2554.3081775151909</v>
      </c>
      <c r="F52"/>
      <c r="G52"/>
      <c r="H52"/>
      <c r="I52"/>
      <c r="J52"/>
      <c r="K52"/>
      <c r="L52"/>
      <c r="M52" s="2"/>
      <c r="N52" s="12">
        <f t="shared" si="1"/>
        <v>2018.75</v>
      </c>
    </row>
    <row r="53" spans="1:14" x14ac:dyDescent="0.2">
      <c r="A53" s="21" t="str">
        <f>TEXT(N9,"m/d/yyyy")</f>
        <v>12/31/2018</v>
      </c>
      <c r="B53" s="21"/>
      <c r="C53" s="349">
        <f>'[2]Boeckh (C)'!$D61</f>
        <v>2582.6046392968747</v>
      </c>
      <c r="D53" s="136">
        <f>TREND($C$21:$C$53,$N$21:$N$53,$N53,TRUE)</f>
        <v>2560.8945781984366</v>
      </c>
      <c r="E53" s="136">
        <f t="shared" si="3"/>
        <v>2568.156425221689</v>
      </c>
      <c r="F53"/>
      <c r="G53"/>
      <c r="H53"/>
      <c r="I53"/>
      <c r="J53"/>
      <c r="K53"/>
      <c r="L53"/>
      <c r="M53" s="2"/>
      <c r="N53" s="12">
        <f t="shared" si="1"/>
        <v>2019</v>
      </c>
    </row>
    <row r="54" spans="1:14" x14ac:dyDescent="0.2">
      <c r="A54" s="140"/>
      <c r="B54" s="139"/>
      <c r="C54" s="305"/>
      <c r="D54" s="137"/>
      <c r="E54" s="137"/>
      <c r="F54" s="121"/>
      <c r="G54" s="121"/>
      <c r="H54" s="121"/>
      <c r="I54" s="121"/>
      <c r="J54" s="121"/>
      <c r="K54" s="121"/>
      <c r="L54"/>
      <c r="M54" s="2"/>
    </row>
    <row r="55" spans="1:14" x14ac:dyDescent="0.2">
      <c r="A55" s="42"/>
      <c r="B55" s="125"/>
      <c r="C55" s="42"/>
      <c r="D55" s="42"/>
      <c r="E55" s="42"/>
      <c r="F55"/>
      <c r="G55"/>
      <c r="H55"/>
      <c r="I55"/>
      <c r="J55"/>
      <c r="K55"/>
      <c r="L55"/>
      <c r="M55" s="2"/>
    </row>
    <row r="56" spans="1:14" x14ac:dyDescent="0.2">
      <c r="A56" s="21" t="s">
        <v>296</v>
      </c>
      <c r="B56" s="21"/>
      <c r="C56" s="58"/>
      <c r="D56" s="28">
        <f>(D53-D49)/D53</f>
        <v>1.9747925603240516E-2</v>
      </c>
      <c r="E56" s="28">
        <f>LOGEST($C$21:$C$53,$N$21:$N$53,TRUE,TRUE)-1</f>
        <v>2.186309916766338E-2</v>
      </c>
      <c r="F56"/>
      <c r="G56"/>
      <c r="H56"/>
      <c r="I56"/>
      <c r="J56"/>
      <c r="K56"/>
      <c r="L56"/>
      <c r="M56" s="2"/>
    </row>
    <row r="57" spans="1:14" x14ac:dyDescent="0.2">
      <c r="A57" s="138" t="s">
        <v>297</v>
      </c>
      <c r="B57" s="138"/>
      <c r="C57" s="90"/>
      <c r="D57" s="122">
        <f>INDEX(LINEST($C$21:$C$53,$N$21:$N$53,TRUE,TRUE),3,1)</f>
        <v>0.95064402736888687</v>
      </c>
      <c r="E57" s="122">
        <f>INDEX(LOGEST($C$21:$C$53,$N$21:$N$53,TRUE,TRUE),3,1)</f>
        <v>0.94411113196432006</v>
      </c>
      <c r="F57"/>
      <c r="G57"/>
      <c r="H57"/>
      <c r="I57"/>
      <c r="J57"/>
      <c r="K57"/>
      <c r="L57"/>
      <c r="M57" s="2"/>
    </row>
    <row r="58" spans="1:14" ht="12" thickBot="1" x14ac:dyDescent="0.25">
      <c r="A58" s="142"/>
      <c r="B58" s="142"/>
      <c r="C58" s="142"/>
      <c r="D58" s="142"/>
      <c r="E58" s="142"/>
      <c r="F58"/>
      <c r="G58"/>
      <c r="H58"/>
      <c r="I58"/>
      <c r="J58"/>
      <c r="K58"/>
      <c r="L58"/>
      <c r="M58" s="2"/>
    </row>
    <row r="59" spans="1:14" ht="12" thickTop="1" x14ac:dyDescent="0.2">
      <c r="A59" s="58"/>
      <c r="B59" s="58"/>
      <c r="C59" s="58"/>
      <c r="D59" s="58"/>
      <c r="E59" s="58"/>
      <c r="F59"/>
      <c r="G59"/>
      <c r="H59"/>
      <c r="I59"/>
      <c r="J59"/>
      <c r="K59"/>
      <c r="L59"/>
      <c r="M59" s="2"/>
    </row>
    <row r="60" spans="1:14" x14ac:dyDescent="0.2">
      <c r="A60" s="58" t="s">
        <v>19</v>
      </c>
      <c r="B60" s="58"/>
      <c r="C60" s="21"/>
      <c r="D60" s="21"/>
      <c r="E60" s="21"/>
      <c r="F60"/>
      <c r="G60"/>
      <c r="H60"/>
      <c r="I60"/>
      <c r="J60"/>
      <c r="K60"/>
      <c r="L60"/>
      <c r="M60" s="2"/>
    </row>
    <row r="61" spans="1:14" x14ac:dyDescent="0.2">
      <c r="A61" s="58"/>
      <c r="B61" s="21" t="str">
        <f>C12&amp;" = Average Index for Austin, Corpus Christi, Dallas, El Paso, Fort Worth, Houston, Odessa, and San Antonio"</f>
        <v>(2) = Average Index for Austin, Corpus Christi, Dallas, El Paso, Fort Worth, Houston, Odessa, and San Antonio</v>
      </c>
      <c r="C61" s="58"/>
      <c r="D61" s="58"/>
      <c r="E61" s="58"/>
      <c r="F61"/>
      <c r="H61"/>
      <c r="J61"/>
      <c r="K61"/>
      <c r="L61"/>
      <c r="M61" s="2"/>
    </row>
    <row r="62" spans="1:14" x14ac:dyDescent="0.2">
      <c r="A62" s="125"/>
      <c r="B62" s="21" t="str">
        <f>D12&amp;" - "&amp;E12&amp;" = "&amp;C12&amp;" fitted to linear and exponential distributions"</f>
        <v>(3) - (4) = (2) fitted to linear and exponential distributions</v>
      </c>
      <c r="C62" s="125"/>
      <c r="D62" s="125"/>
      <c r="E62" s="125"/>
      <c r="F62" s="121"/>
      <c r="G62" s="121"/>
      <c r="H62" s="121"/>
      <c r="I62" s="121"/>
      <c r="J62" s="121"/>
      <c r="K62" s="121"/>
      <c r="L62"/>
      <c r="M62" s="2"/>
    </row>
    <row r="63" spans="1:14" x14ac:dyDescent="0.2">
      <c r="A63" s="125"/>
      <c r="B63" s="21"/>
      <c r="C63" s="125"/>
      <c r="D63" s="125"/>
      <c r="E63" s="125"/>
      <c r="F63" s="121"/>
      <c r="G63" s="121"/>
      <c r="H63" s="121"/>
      <c r="I63" s="121"/>
      <c r="J63" s="121"/>
      <c r="K63" s="121"/>
      <c r="L63"/>
      <c r="M63" s="2"/>
    </row>
    <row r="64" spans="1:14" x14ac:dyDescent="0.2">
      <c r="A64" s="125"/>
      <c r="B64" s="21"/>
      <c r="C64" s="125"/>
      <c r="D64" s="125"/>
      <c r="E64" s="125"/>
      <c r="F64" s="121"/>
      <c r="G64" s="121"/>
      <c r="H64" s="121"/>
      <c r="I64" s="121"/>
      <c r="J64" s="121"/>
      <c r="K64" s="121"/>
      <c r="L64"/>
      <c r="M64" s="2"/>
    </row>
    <row r="65" spans="1:13" x14ac:dyDescent="0.2">
      <c r="A65" s="125"/>
      <c r="B65" s="21"/>
      <c r="C65" s="125"/>
      <c r="D65" s="125"/>
      <c r="E65" s="125"/>
      <c r="F65" s="121"/>
      <c r="G65" s="121"/>
      <c r="H65" s="121"/>
      <c r="I65" s="121"/>
      <c r="J65" s="121"/>
      <c r="K65" s="121"/>
      <c r="L65"/>
      <c r="M65" s="2"/>
    </row>
    <row r="66" spans="1:13" x14ac:dyDescent="0.2">
      <c r="A66" s="125"/>
      <c r="B66" s="21"/>
      <c r="C66" s="125"/>
      <c r="D66" s="125"/>
      <c r="E66" s="125"/>
      <c r="F66" s="121"/>
      <c r="G66" s="121"/>
      <c r="H66" s="121"/>
      <c r="I66" s="121"/>
      <c r="J66" s="121"/>
      <c r="K66" s="121"/>
      <c r="L66"/>
      <c r="M66" s="2"/>
    </row>
    <row r="67" spans="1:13" x14ac:dyDescent="0.2">
      <c r="A67" s="125"/>
      <c r="B67" s="21"/>
      <c r="C67" s="125"/>
      <c r="D67" s="125"/>
      <c r="E67" s="125"/>
      <c r="F67" s="121"/>
      <c r="G67" s="121"/>
      <c r="H67" s="121"/>
      <c r="I67" s="121"/>
      <c r="J67" s="121"/>
      <c r="K67" s="121"/>
      <c r="L67"/>
      <c r="M67" s="2"/>
    </row>
    <row r="68" spans="1:13" ht="12" thickBot="1" x14ac:dyDescent="0.25">
      <c r="A68"/>
      <c r="D68"/>
      <c r="E68"/>
      <c r="F68"/>
      <c r="H68"/>
      <c r="J68"/>
      <c r="K68"/>
      <c r="L68"/>
      <c r="M68" s="2"/>
    </row>
    <row r="69" spans="1:13" ht="12" thickBot="1" x14ac:dyDescent="0.25">
      <c r="A69" s="4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3"/>
    </row>
  </sheetData>
  <phoneticPr fontId="4" type="noConversion"/>
  <pageMargins left="0.5" right="0.5" top="0.5" bottom="0.5" header="0.5" footer="0.5"/>
  <pageSetup orientation="portrait" blackAndWhite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9"/>
  <dimension ref="A1:N71"/>
  <sheetViews>
    <sheetView showGridLines="0" view="pageBreakPreview" zoomScale="60" zoomScaleNormal="100" workbookViewId="0">
      <selection activeCell="G10" sqref="G10"/>
    </sheetView>
  </sheetViews>
  <sheetFormatPr defaultColWidth="11.33203125" defaultRowHeight="11.25" x14ac:dyDescent="0.2"/>
  <cols>
    <col min="1" max="1" width="3.5" style="12" customWidth="1"/>
    <col min="2" max="2" width="10.6640625" style="12" customWidth="1"/>
    <col min="3" max="11" width="11.33203125" style="12" customWidth="1"/>
    <col min="12" max="12" width="5.1640625" style="12" customWidth="1"/>
    <col min="13" max="16384" width="11.33203125" style="12"/>
  </cols>
  <sheetData>
    <row r="1" spans="1:14" x14ac:dyDescent="0.2">
      <c r="A1" s="8" t="str">
        <f>'1'!$A$1</f>
        <v>Texas Windstorm Insurance Association</v>
      </c>
      <c r="C1"/>
      <c r="D1"/>
      <c r="E1"/>
      <c r="F1"/>
      <c r="G1"/>
      <c r="H1"/>
      <c r="I1"/>
      <c r="J1"/>
      <c r="K1"/>
      <c r="L1" s="7" t="s">
        <v>48</v>
      </c>
      <c r="M1" s="1"/>
    </row>
    <row r="2" spans="1:14" x14ac:dyDescent="0.2">
      <c r="A2" s="8" t="str">
        <f>'1'!$A$2</f>
        <v>Commercial Property - Wind &amp; Hail</v>
      </c>
      <c r="C2"/>
      <c r="D2"/>
      <c r="E2"/>
      <c r="F2"/>
      <c r="G2"/>
      <c r="H2"/>
      <c r="I2"/>
      <c r="J2"/>
      <c r="K2"/>
      <c r="L2" s="7" t="s">
        <v>298</v>
      </c>
      <c r="M2" s="2"/>
    </row>
    <row r="3" spans="1:14" x14ac:dyDescent="0.2">
      <c r="A3" s="8" t="str">
        <f>'1'!$A$3</f>
        <v>Rate Level Review</v>
      </c>
      <c r="C3"/>
      <c r="D3"/>
      <c r="E3"/>
      <c r="F3"/>
      <c r="G3"/>
      <c r="H3"/>
      <c r="I3"/>
      <c r="J3"/>
      <c r="K3"/>
      <c r="L3"/>
      <c r="M3" s="2"/>
    </row>
    <row r="4" spans="1:14" x14ac:dyDescent="0.2">
      <c r="A4" s="141" t="s">
        <v>272</v>
      </c>
      <c r="B4" s="21"/>
      <c r="C4" s="58"/>
      <c r="D4" s="58"/>
      <c r="E4" s="58"/>
      <c r="F4" s="58"/>
      <c r="G4"/>
      <c r="H4"/>
      <c r="I4"/>
      <c r="J4"/>
      <c r="K4"/>
      <c r="L4"/>
      <c r="M4" s="2"/>
    </row>
    <row r="5" spans="1:14" x14ac:dyDescent="0.2">
      <c r="A5" s="141" t="s">
        <v>316</v>
      </c>
      <c r="B5" s="21"/>
      <c r="C5" s="58"/>
      <c r="D5" s="58"/>
      <c r="E5" s="58"/>
      <c r="F5" s="58"/>
      <c r="G5"/>
      <c r="H5"/>
      <c r="I5"/>
      <c r="J5"/>
      <c r="K5"/>
      <c r="L5"/>
      <c r="M5" s="2"/>
    </row>
    <row r="6" spans="1:14" x14ac:dyDescent="0.2">
      <c r="A6" s="21"/>
      <c r="B6" s="58"/>
      <c r="C6" s="58"/>
      <c r="D6" s="58"/>
      <c r="E6" s="58"/>
      <c r="F6" s="58"/>
      <c r="G6"/>
      <c r="H6"/>
      <c r="I6"/>
      <c r="J6"/>
      <c r="K6"/>
      <c r="L6"/>
      <c r="M6" s="2"/>
    </row>
    <row r="7" spans="1:14" ht="12" thickBot="1" x14ac:dyDescent="0.25">
      <c r="A7" s="142"/>
      <c r="B7" s="142"/>
      <c r="C7" s="142"/>
      <c r="D7" s="142"/>
      <c r="E7" s="142"/>
      <c r="F7"/>
      <c r="G7"/>
      <c r="H7"/>
      <c r="I7"/>
      <c r="J7" s="47"/>
      <c r="K7" s="47"/>
      <c r="L7" s="47"/>
      <c r="M7" s="2"/>
    </row>
    <row r="8" spans="1:14" ht="12" thickTop="1" x14ac:dyDescent="0.2">
      <c r="A8" s="58"/>
      <c r="B8" s="58"/>
      <c r="C8" s="58"/>
      <c r="D8" s="58"/>
      <c r="E8" s="58"/>
      <c r="F8"/>
      <c r="G8"/>
      <c r="H8"/>
      <c r="I8"/>
      <c r="J8" s="47"/>
      <c r="K8" s="47"/>
      <c r="L8" s="47"/>
      <c r="M8" s="2"/>
      <c r="N8" t="s">
        <v>287</v>
      </c>
    </row>
    <row r="9" spans="1:14" x14ac:dyDescent="0.2">
      <c r="A9" s="58"/>
      <c r="B9" s="58"/>
      <c r="C9" s="21" t="s">
        <v>288</v>
      </c>
      <c r="D9" s="23" t="s">
        <v>289</v>
      </c>
      <c r="E9" s="58"/>
      <c r="F9"/>
      <c r="G9"/>
      <c r="H9"/>
      <c r="I9"/>
      <c r="J9"/>
      <c r="K9"/>
      <c r="L9"/>
      <c r="M9" s="2"/>
      <c r="N9" s="96">
        <f>'3.3b'!$N$9</f>
        <v>43465</v>
      </c>
    </row>
    <row r="10" spans="1:14" x14ac:dyDescent="0.2">
      <c r="A10" s="58" t="s">
        <v>274</v>
      </c>
      <c r="B10" s="58"/>
      <c r="C10" s="58" t="s">
        <v>276</v>
      </c>
      <c r="D10" s="58" t="s">
        <v>290</v>
      </c>
      <c r="E10" s="58"/>
      <c r="F10"/>
      <c r="G10"/>
      <c r="H10"/>
      <c r="I10"/>
      <c r="M10" s="2"/>
    </row>
    <row r="11" spans="1:14" x14ac:dyDescent="0.2">
      <c r="A11" s="139" t="s">
        <v>28</v>
      </c>
      <c r="B11" s="139"/>
      <c r="C11" s="139" t="s">
        <v>269</v>
      </c>
      <c r="D11" s="139" t="s">
        <v>294</v>
      </c>
      <c r="E11" s="139" t="s">
        <v>295</v>
      </c>
      <c r="F11"/>
      <c r="G11"/>
      <c r="H11"/>
      <c r="I11"/>
      <c r="M11" s="2"/>
      <c r="N11" s="9" t="s">
        <v>269</v>
      </c>
    </row>
    <row r="12" spans="1:14" x14ac:dyDescent="0.2">
      <c r="A12" s="143" t="str">
        <f>TEXT(COLUMN(),"(#)")</f>
        <v>(1)</v>
      </c>
      <c r="B12" s="143"/>
      <c r="C12" s="144" t="str">
        <f>TEXT(COLUMN()-1,"(#)")</f>
        <v>(2)</v>
      </c>
      <c r="D12" s="144" t="str">
        <f>TEXT(COLUMN()-1,"(#)")</f>
        <v>(3)</v>
      </c>
      <c r="E12" s="144" t="str">
        <f>TEXT(COLUMN()-1,"(#)")</f>
        <v>(4)</v>
      </c>
      <c r="F12"/>
      <c r="G12"/>
      <c r="H12"/>
      <c r="I12"/>
      <c r="M12" s="2"/>
    </row>
    <row r="13" spans="1:14" x14ac:dyDescent="0.2">
      <c r="A13" s="58"/>
      <c r="B13" s="58"/>
      <c r="C13" s="58"/>
      <c r="D13" s="58"/>
      <c r="E13" s="58"/>
      <c r="F13"/>
      <c r="G13"/>
      <c r="H13"/>
      <c r="I13"/>
      <c r="M13" s="2"/>
    </row>
    <row r="14" spans="1:14" x14ac:dyDescent="0.2">
      <c r="A14" s="125" t="str">
        <f t="shared" ref="A14:A60" si="0">TEXT(DATE(YEAR(A15+1),MONTH(A15+1)-3,1)-1,"m/d/yyyy")</f>
        <v>3/31/2007</v>
      </c>
      <c r="B14" s="54"/>
      <c r="C14" s="135"/>
      <c r="D14" s="136"/>
      <c r="E14" s="136"/>
      <c r="F14"/>
      <c r="G14"/>
      <c r="H14"/>
      <c r="I14"/>
      <c r="M14" s="2"/>
      <c r="N14" s="12">
        <f>YEAR(A14)+MONTH(A14)/12</f>
        <v>2007.25</v>
      </c>
    </row>
    <row r="15" spans="1:14" x14ac:dyDescent="0.2">
      <c r="A15" s="125" t="str">
        <f t="shared" si="0"/>
        <v>6/30/2007</v>
      </c>
      <c r="B15" s="54"/>
      <c r="C15" s="135"/>
      <c r="D15" s="136"/>
      <c r="E15" s="136"/>
      <c r="F15"/>
      <c r="G15"/>
      <c r="H15"/>
      <c r="I15"/>
      <c r="M15" s="2"/>
      <c r="N15" s="12">
        <f t="shared" ref="N15:N53" si="1">YEAR(A15)+MONTH(A15)/12</f>
        <v>2007.5</v>
      </c>
    </row>
    <row r="16" spans="1:14" x14ac:dyDescent="0.2">
      <c r="A16" s="125" t="str">
        <f t="shared" si="0"/>
        <v>9/30/2007</v>
      </c>
      <c r="B16" s="54"/>
      <c r="C16" s="135"/>
      <c r="D16" s="136"/>
      <c r="E16" s="136"/>
      <c r="F16"/>
      <c r="G16"/>
      <c r="H16"/>
      <c r="I16"/>
      <c r="M16" s="2"/>
      <c r="N16" s="12">
        <f t="shared" si="1"/>
        <v>2007.75</v>
      </c>
    </row>
    <row r="17" spans="1:14" x14ac:dyDescent="0.2">
      <c r="A17" s="125" t="str">
        <f t="shared" si="0"/>
        <v>12/31/2007</v>
      </c>
      <c r="B17" s="54"/>
      <c r="C17" s="135"/>
      <c r="D17" s="136"/>
      <c r="E17" s="136"/>
      <c r="F17"/>
      <c r="G17"/>
      <c r="H17"/>
      <c r="I17"/>
      <c r="M17" s="2"/>
      <c r="N17" s="12">
        <f t="shared" si="1"/>
        <v>2008</v>
      </c>
    </row>
    <row r="18" spans="1:14" x14ac:dyDescent="0.2">
      <c r="A18" s="125" t="str">
        <f t="shared" si="0"/>
        <v>3/31/2008</v>
      </c>
      <c r="B18" s="54"/>
      <c r="C18" s="135"/>
      <c r="D18" s="136"/>
      <c r="E18" s="136"/>
      <c r="F18"/>
      <c r="G18"/>
      <c r="H18"/>
      <c r="I18"/>
      <c r="M18" s="2"/>
      <c r="N18" s="12">
        <f t="shared" si="1"/>
        <v>2008.25</v>
      </c>
    </row>
    <row r="19" spans="1:14" x14ac:dyDescent="0.2">
      <c r="A19" s="125" t="str">
        <f t="shared" si="0"/>
        <v>6/30/2008</v>
      </c>
      <c r="B19" s="54"/>
      <c r="C19" s="135"/>
      <c r="D19" s="136"/>
      <c r="E19" s="136"/>
      <c r="F19"/>
      <c r="G19"/>
      <c r="H19"/>
      <c r="I19"/>
      <c r="M19" s="2"/>
      <c r="N19" s="12">
        <f t="shared" si="1"/>
        <v>2008.5</v>
      </c>
    </row>
    <row r="20" spans="1:14" x14ac:dyDescent="0.2">
      <c r="A20" s="125" t="str">
        <f t="shared" si="0"/>
        <v>9/30/2008</v>
      </c>
      <c r="B20" s="54"/>
      <c r="C20" s="135"/>
      <c r="D20" s="136"/>
      <c r="E20" s="136"/>
      <c r="F20"/>
      <c r="G20"/>
      <c r="H20"/>
      <c r="I20"/>
      <c r="M20" s="2"/>
      <c r="N20" s="12">
        <f t="shared" si="1"/>
        <v>2008.75</v>
      </c>
    </row>
    <row r="21" spans="1:14" x14ac:dyDescent="0.2">
      <c r="A21" s="125" t="str">
        <f t="shared" si="0"/>
        <v>12/31/2008</v>
      </c>
      <c r="B21" s="54"/>
      <c r="C21" s="236">
        <f>ROUND('[2]Boeckh (C)'!E21,2)</f>
        <v>2114.71</v>
      </c>
      <c r="D21" s="136">
        <f>TREND($C$21:$C$61,$N$21:$N$61,$N21,TRUE)</f>
        <v>2097.7095818815287</v>
      </c>
      <c r="E21" s="136">
        <f>GROWTH($C$21:$C$61,$N$21:$N$61,$N21,TRUE)</f>
        <v>2105.065650634856</v>
      </c>
      <c r="F21" s="106"/>
      <c r="G21"/>
      <c r="H21"/>
      <c r="I21"/>
      <c r="M21" s="2"/>
      <c r="N21" s="12">
        <f t="shared" si="1"/>
        <v>2009</v>
      </c>
    </row>
    <row r="22" spans="1:14" x14ac:dyDescent="0.2">
      <c r="A22" s="125" t="str">
        <f t="shared" si="0"/>
        <v>3/31/2009</v>
      </c>
      <c r="B22" s="54"/>
      <c r="C22" s="236">
        <f>ROUND('[2]Boeckh (C)'!E22,2)</f>
        <v>2145.16</v>
      </c>
      <c r="D22" s="136">
        <f t="shared" ref="D22:D58" si="2">TREND($C$21:$C$61,$N$21:$N$61,$N22,TRUE)</f>
        <v>2109.7032979094074</v>
      </c>
      <c r="E22" s="136">
        <f t="shared" ref="E22:E60" si="3">GROWTH($C$21:$C$61,$N$21:$N$61,$N22,TRUE)</f>
        <v>2115.9115728564161</v>
      </c>
      <c r="F22" s="106"/>
      <c r="G22"/>
      <c r="H22"/>
      <c r="I22"/>
      <c r="M22" s="2"/>
      <c r="N22" s="12">
        <f t="shared" si="1"/>
        <v>2009.25</v>
      </c>
    </row>
    <row r="23" spans="1:14" x14ac:dyDescent="0.2">
      <c r="A23" s="125" t="str">
        <f t="shared" si="0"/>
        <v>6/30/2009</v>
      </c>
      <c r="B23" s="102"/>
      <c r="C23" s="236">
        <f>ROUND('[2]Boeckh (C)'!E23,2)</f>
        <v>2180.12</v>
      </c>
      <c r="D23" s="136">
        <f t="shared" si="2"/>
        <v>2121.6970139372861</v>
      </c>
      <c r="E23" s="136">
        <f t="shared" si="3"/>
        <v>2126.813376484226</v>
      </c>
      <c r="F23" s="106"/>
      <c r="G23"/>
      <c r="H23"/>
      <c r="I23"/>
      <c r="M23" s="2"/>
      <c r="N23" s="12">
        <f t="shared" si="1"/>
        <v>2009.5</v>
      </c>
    </row>
    <row r="24" spans="1:14" x14ac:dyDescent="0.2">
      <c r="A24" s="125" t="str">
        <f t="shared" si="0"/>
        <v>9/30/2009</v>
      </c>
      <c r="B24" s="58"/>
      <c r="C24" s="236">
        <f>ROUND('[2]Boeckh (C)'!E24,2)</f>
        <v>2204.4</v>
      </c>
      <c r="D24" s="136">
        <f t="shared" si="2"/>
        <v>2133.6907299651502</v>
      </c>
      <c r="E24" s="136">
        <f t="shared" si="3"/>
        <v>2137.7713494358845</v>
      </c>
      <c r="F24" s="106"/>
      <c r="G24"/>
      <c r="H24"/>
      <c r="I24"/>
      <c r="M24" s="2"/>
      <c r="N24" s="12">
        <f t="shared" si="1"/>
        <v>2009.75</v>
      </c>
    </row>
    <row r="25" spans="1:14" x14ac:dyDescent="0.2">
      <c r="A25" s="125" t="str">
        <f t="shared" si="0"/>
        <v>12/31/2009</v>
      </c>
      <c r="B25" s="58"/>
      <c r="C25" s="236">
        <f>ROUND('[2]Boeckh (C)'!E25,2)</f>
        <v>2204.5</v>
      </c>
      <c r="D25" s="136">
        <f t="shared" si="2"/>
        <v>2145.6844459930289</v>
      </c>
      <c r="E25" s="136">
        <f t="shared" si="3"/>
        <v>2148.7857811123681</v>
      </c>
      <c r="F25" s="106"/>
      <c r="G25"/>
      <c r="H25"/>
      <c r="I25"/>
      <c r="M25" s="2"/>
      <c r="N25" s="12">
        <f t="shared" si="1"/>
        <v>2010</v>
      </c>
    </row>
    <row r="26" spans="1:14" x14ac:dyDescent="0.2">
      <c r="A26" s="125" t="str">
        <f t="shared" si="0"/>
        <v>3/31/2010</v>
      </c>
      <c r="B26" s="58"/>
      <c r="C26" s="236">
        <f>ROUND('[2]Boeckh (C)'!E26,2)</f>
        <v>2186.9</v>
      </c>
      <c r="D26" s="136">
        <f t="shared" si="2"/>
        <v>2157.6781620209076</v>
      </c>
      <c r="E26" s="136">
        <f t="shared" si="3"/>
        <v>2159.8569624057927</v>
      </c>
      <c r="F26" s="106"/>
      <c r="G26"/>
      <c r="H26"/>
      <c r="I26"/>
      <c r="M26" s="2"/>
      <c r="N26" s="12">
        <f t="shared" si="1"/>
        <v>2010.25</v>
      </c>
    </row>
    <row r="27" spans="1:14" x14ac:dyDescent="0.2">
      <c r="A27" s="125" t="str">
        <f t="shared" si="0"/>
        <v>6/30/2010</v>
      </c>
      <c r="B27" s="58"/>
      <c r="C27" s="236">
        <f>ROUND('[2]Boeckh (C)'!E27,2)</f>
        <v>2162.64</v>
      </c>
      <c r="D27" s="136">
        <f t="shared" si="2"/>
        <v>2169.6718780487718</v>
      </c>
      <c r="E27" s="136">
        <f t="shared" si="3"/>
        <v>2170.9851857069766</v>
      </c>
      <c r="F27" s="106"/>
      <c r="G27"/>
      <c r="H27"/>
      <c r="I27"/>
      <c r="M27" s="2"/>
      <c r="N27" s="12">
        <f t="shared" si="1"/>
        <v>2010.5</v>
      </c>
    </row>
    <row r="28" spans="1:14" x14ac:dyDescent="0.2">
      <c r="A28" s="125" t="str">
        <f t="shared" si="0"/>
        <v>9/30/2010</v>
      </c>
      <c r="B28" s="58"/>
      <c r="C28" s="236">
        <f>ROUND('[2]Boeckh (C)'!E28,2)</f>
        <v>2138.17</v>
      </c>
      <c r="D28" s="136">
        <f t="shared" si="2"/>
        <v>2181.6655940766505</v>
      </c>
      <c r="E28" s="136">
        <f t="shared" si="3"/>
        <v>2182.1707449132828</v>
      </c>
      <c r="F28" s="106"/>
      <c r="G28"/>
      <c r="H28"/>
      <c r="I28"/>
      <c r="M28" s="2"/>
      <c r="N28" s="12">
        <f t="shared" si="1"/>
        <v>2010.75</v>
      </c>
    </row>
    <row r="29" spans="1:14" x14ac:dyDescent="0.2">
      <c r="A29" s="125" t="str">
        <f t="shared" si="0"/>
        <v>12/31/2010</v>
      </c>
      <c r="B29" s="58"/>
      <c r="C29" s="236">
        <f>ROUND('[2]Boeckh (C)'!E29,2)</f>
        <v>2121.4899999999998</v>
      </c>
      <c r="D29" s="136">
        <f t="shared" si="2"/>
        <v>2193.6593101045291</v>
      </c>
      <c r="E29" s="136">
        <f t="shared" si="3"/>
        <v>2193.4139354362596</v>
      </c>
      <c r="F29" s="106"/>
      <c r="G29"/>
      <c r="H29"/>
      <c r="I29"/>
      <c r="M29" s="2"/>
      <c r="N29" s="12">
        <f t="shared" si="1"/>
        <v>2011</v>
      </c>
    </row>
    <row r="30" spans="1:14" x14ac:dyDescent="0.2">
      <c r="A30" s="125" t="str">
        <f t="shared" si="0"/>
        <v>3/31/2011</v>
      </c>
      <c r="B30" s="58"/>
      <c r="C30" s="236">
        <f>ROUND('[2]Boeckh (C)'!E30,2)</f>
        <v>2123.27</v>
      </c>
      <c r="D30" s="136">
        <f t="shared" si="2"/>
        <v>2205.6530261324078</v>
      </c>
      <c r="E30" s="136">
        <f t="shared" si="3"/>
        <v>2204.7150542095646</v>
      </c>
      <c r="F30" s="106"/>
      <c r="G30"/>
      <c r="H30"/>
      <c r="I30"/>
      <c r="M30" s="2"/>
      <c r="N30" s="12">
        <f t="shared" si="1"/>
        <v>2011.25</v>
      </c>
    </row>
    <row r="31" spans="1:14" x14ac:dyDescent="0.2">
      <c r="A31" s="125" t="str">
        <f t="shared" si="0"/>
        <v>6/30/2011</v>
      </c>
      <c r="B31" s="138"/>
      <c r="C31" s="236">
        <f>ROUND('[2]Boeckh (C)'!E31,2)</f>
        <v>2135.31</v>
      </c>
      <c r="D31" s="136">
        <f t="shared" si="2"/>
        <v>2217.646742160272</v>
      </c>
      <c r="E31" s="136">
        <f t="shared" si="3"/>
        <v>2216.0743996966826</v>
      </c>
      <c r="F31" s="106"/>
      <c r="G31"/>
      <c r="H31"/>
      <c r="I31"/>
      <c r="M31" s="2"/>
      <c r="N31" s="12">
        <f t="shared" si="1"/>
        <v>2011.5</v>
      </c>
    </row>
    <row r="32" spans="1:14" x14ac:dyDescent="0.2">
      <c r="A32" s="125" t="str">
        <f t="shared" si="0"/>
        <v>9/30/2011</v>
      </c>
      <c r="B32" s="138"/>
      <c r="C32" s="236">
        <f>ROUND('[2]Boeckh (C)'!E32,2)</f>
        <v>2160.02</v>
      </c>
      <c r="D32" s="136">
        <f t="shared" si="2"/>
        <v>2229.6404581881507</v>
      </c>
      <c r="E32" s="136">
        <f t="shared" si="3"/>
        <v>2227.492271898936</v>
      </c>
      <c r="F32" s="106"/>
      <c r="G32"/>
      <c r="H32"/>
      <c r="I32"/>
      <c r="M32" s="2"/>
      <c r="N32" s="12">
        <f t="shared" si="1"/>
        <v>2011.75</v>
      </c>
    </row>
    <row r="33" spans="1:14" x14ac:dyDescent="0.2">
      <c r="A33" s="125" t="str">
        <f t="shared" si="0"/>
        <v>12/31/2011</v>
      </c>
      <c r="B33" s="102"/>
      <c r="C33" s="236">
        <f>ROUND('[2]Boeckh (C)'!E33,2)</f>
        <v>2194.6</v>
      </c>
      <c r="D33" s="136">
        <f t="shared" si="2"/>
        <v>2241.6341742160294</v>
      </c>
      <c r="E33" s="136">
        <f t="shared" si="3"/>
        <v>2238.9689723632769</v>
      </c>
      <c r="F33" s="106"/>
      <c r="G33"/>
      <c r="H33"/>
      <c r="I33"/>
      <c r="M33" s="2"/>
      <c r="N33" s="12">
        <f t="shared" si="1"/>
        <v>2012</v>
      </c>
    </row>
    <row r="34" spans="1:14" x14ac:dyDescent="0.2">
      <c r="A34" s="125" t="str">
        <f t="shared" si="0"/>
        <v>3/31/2012</v>
      </c>
      <c r="B34" s="102"/>
      <c r="C34" s="236">
        <f>ROUND('[2]Boeckh (C)'!E34,2)</f>
        <v>2222.3000000000002</v>
      </c>
      <c r="D34" s="136">
        <f t="shared" si="2"/>
        <v>2253.627890243908</v>
      </c>
      <c r="E34" s="136">
        <f t="shared" si="3"/>
        <v>2250.5048041903819</v>
      </c>
      <c r="F34" s="106"/>
      <c r="G34"/>
      <c r="H34"/>
      <c r="I34"/>
      <c r="M34" s="2"/>
      <c r="N34" s="12">
        <f t="shared" si="1"/>
        <v>2012.25</v>
      </c>
    </row>
    <row r="35" spans="1:14" x14ac:dyDescent="0.2">
      <c r="A35" s="125" t="str">
        <f t="shared" si="0"/>
        <v>6/30/2012</v>
      </c>
      <c r="B35" s="138"/>
      <c r="C35" s="236">
        <f>ROUND('[2]Boeckh (C)'!E35,2)</f>
        <v>2245.64</v>
      </c>
      <c r="D35" s="136">
        <f t="shared" si="2"/>
        <v>2265.6216062717722</v>
      </c>
      <c r="E35" s="136">
        <f t="shared" si="3"/>
        <v>2262.1000720425282</v>
      </c>
      <c r="F35" s="106"/>
      <c r="G35"/>
      <c r="H35"/>
      <c r="I35"/>
      <c r="M35" s="2"/>
      <c r="N35" s="12">
        <f t="shared" si="1"/>
        <v>2012.5</v>
      </c>
    </row>
    <row r="36" spans="1:14" x14ac:dyDescent="0.2">
      <c r="A36" s="125" t="str">
        <f t="shared" si="0"/>
        <v>9/30/2012</v>
      </c>
      <c r="B36" s="21"/>
      <c r="C36" s="236">
        <f>ROUND('[2]Boeckh (C)'!E36,2)</f>
        <v>2266.9499999999998</v>
      </c>
      <c r="D36" s="136">
        <f t="shared" si="2"/>
        <v>2277.6153222996509</v>
      </c>
      <c r="E36" s="136">
        <f t="shared" si="3"/>
        <v>2273.7550821517666</v>
      </c>
      <c r="F36" s="106"/>
      <c r="G36"/>
      <c r="H36"/>
      <c r="I36"/>
      <c r="M36" s="2"/>
      <c r="N36" s="12">
        <f t="shared" si="1"/>
        <v>2012.75</v>
      </c>
    </row>
    <row r="37" spans="1:14" x14ac:dyDescent="0.2">
      <c r="A37" s="125" t="str">
        <f t="shared" si="0"/>
        <v>12/31/2012</v>
      </c>
      <c r="B37" s="21"/>
      <c r="C37" s="236">
        <f>ROUND('[2]Boeckh (C)'!E37,2)</f>
        <v>2288.14</v>
      </c>
      <c r="D37" s="136">
        <f t="shared" si="2"/>
        <v>2289.6090383275296</v>
      </c>
      <c r="E37" s="136">
        <f t="shared" si="3"/>
        <v>2285.4701423278825</v>
      </c>
      <c r="F37" s="106"/>
      <c r="G37"/>
      <c r="H37"/>
      <c r="I37"/>
      <c r="M37" s="2"/>
      <c r="N37" s="12">
        <f t="shared" si="1"/>
        <v>2013</v>
      </c>
    </row>
    <row r="38" spans="1:14" x14ac:dyDescent="0.2">
      <c r="A38" s="125" t="str">
        <f t="shared" si="0"/>
        <v>3/31/2013</v>
      </c>
      <c r="B38" s="21"/>
      <c r="C38" s="236">
        <f>ROUND('[2]Boeckh (C)'!E38,2)</f>
        <v>2305.89</v>
      </c>
      <c r="D38" s="136">
        <f>TREND($C$21:$C$61,$N$21:$N$61,$N38,TRUE)</f>
        <v>2301.6027543553937</v>
      </c>
      <c r="E38" s="136">
        <f t="shared" si="3"/>
        <v>2297.245561966653</v>
      </c>
      <c r="F38" s="106"/>
      <c r="G38"/>
      <c r="H38"/>
      <c r="I38"/>
      <c r="M38" s="2"/>
      <c r="N38" s="12">
        <f t="shared" si="1"/>
        <v>2013.25</v>
      </c>
    </row>
    <row r="39" spans="1:14" x14ac:dyDescent="0.2">
      <c r="A39" s="125" t="str">
        <f t="shared" si="0"/>
        <v>6/30/2013</v>
      </c>
      <c r="B39" s="21"/>
      <c r="C39" s="236">
        <f>ROUND('[2]Boeckh (C)'!E39,2)</f>
        <v>2318.3200000000002</v>
      </c>
      <c r="D39" s="136">
        <f t="shared" si="2"/>
        <v>2313.5964703832724</v>
      </c>
      <c r="E39" s="136">
        <f t="shared" si="3"/>
        <v>2309.0816520578887</v>
      </c>
      <c r="F39" s="106"/>
      <c r="G39"/>
      <c r="H39"/>
      <c r="I39"/>
      <c r="M39" s="2"/>
      <c r="N39" s="12">
        <f t="shared" si="1"/>
        <v>2013.5</v>
      </c>
    </row>
    <row r="40" spans="1:14" x14ac:dyDescent="0.2">
      <c r="A40" s="125" t="str">
        <f t="shared" si="0"/>
        <v>9/30/2013</v>
      </c>
      <c r="B40" s="21"/>
      <c r="C40" s="236">
        <f>ROUND('[2]Boeckh (C)'!E40,2)</f>
        <v>2329.9899999999998</v>
      </c>
      <c r="D40" s="136">
        <f t="shared" si="2"/>
        <v>2325.5901864111511</v>
      </c>
      <c r="E40" s="136">
        <f t="shared" si="3"/>
        <v>2320.9787251937787</v>
      </c>
      <c r="F40" s="106"/>
      <c r="G40"/>
      <c r="H40"/>
      <c r="I40"/>
      <c r="M40" s="2"/>
      <c r="N40" s="12">
        <f t="shared" si="1"/>
        <v>2013.75</v>
      </c>
    </row>
    <row r="41" spans="1:14" x14ac:dyDescent="0.2">
      <c r="A41" s="125" t="str">
        <f t="shared" si="0"/>
        <v>12/31/2013</v>
      </c>
      <c r="B41" s="21"/>
      <c r="C41" s="236">
        <f>ROUND('[2]Boeckh (C)'!E41,2)</f>
        <v>2341.89</v>
      </c>
      <c r="D41" s="136">
        <f t="shared" si="2"/>
        <v>2337.5839024390298</v>
      </c>
      <c r="E41" s="136">
        <f t="shared" si="3"/>
        <v>2332.9370955770119</v>
      </c>
      <c r="F41" s="106"/>
      <c r="G41"/>
      <c r="H41"/>
      <c r="I41"/>
      <c r="M41" s="2"/>
      <c r="N41" s="12">
        <f t="shared" si="1"/>
        <v>2014</v>
      </c>
    </row>
    <row r="42" spans="1:14" x14ac:dyDescent="0.2">
      <c r="A42" s="125" t="str">
        <f t="shared" si="0"/>
        <v>3/31/2014</v>
      </c>
      <c r="B42" s="21"/>
      <c r="C42" s="236">
        <f>ROUND('[2]Boeckh (C)'!E42,2)</f>
        <v>2362.2800000000002</v>
      </c>
      <c r="D42" s="136">
        <f t="shared" si="2"/>
        <v>2349.5776184668939</v>
      </c>
      <c r="E42" s="136">
        <f t="shared" si="3"/>
        <v>2344.95707902921</v>
      </c>
      <c r="F42" s="106"/>
      <c r="G42"/>
      <c r="H42"/>
      <c r="I42"/>
      <c r="M42" s="2"/>
      <c r="N42" s="12">
        <f t="shared" si="1"/>
        <v>2014.25</v>
      </c>
    </row>
    <row r="43" spans="1:14" x14ac:dyDescent="0.2">
      <c r="A43" s="125" t="str">
        <f t="shared" si="0"/>
        <v>6/30/2014</v>
      </c>
      <c r="B43" s="138"/>
      <c r="C43" s="236">
        <f>ROUND('[2]Boeckh (C)'!E43,2)</f>
        <v>2386.5100000000002</v>
      </c>
      <c r="D43" s="136">
        <f t="shared" si="2"/>
        <v>2361.5713344947726</v>
      </c>
      <c r="E43" s="136">
        <f t="shared" si="3"/>
        <v>2357.0389929991343</v>
      </c>
      <c r="F43" s="106"/>
      <c r="G43"/>
      <c r="H43"/>
      <c r="I43"/>
      <c r="M43" s="2"/>
      <c r="N43" s="12">
        <f t="shared" si="1"/>
        <v>2014.5</v>
      </c>
    </row>
    <row r="44" spans="1:14" x14ac:dyDescent="0.2">
      <c r="A44" s="125" t="str">
        <f t="shared" si="0"/>
        <v>9/30/2014</v>
      </c>
      <c r="B44" s="21"/>
      <c r="C44" s="236">
        <f>ROUND('[2]Boeckh (C)'!E44,2)</f>
        <v>2407.3000000000002</v>
      </c>
      <c r="D44" s="136">
        <f t="shared" si="2"/>
        <v>2373.5650505226513</v>
      </c>
      <c r="E44" s="136">
        <f t="shared" si="3"/>
        <v>2369.1831565712032</v>
      </c>
      <c r="F44" s="106"/>
      <c r="G44"/>
      <c r="H44"/>
      <c r="I44"/>
      <c r="M44" s="2"/>
      <c r="N44" s="12">
        <f t="shared" si="1"/>
        <v>2014.75</v>
      </c>
    </row>
    <row r="45" spans="1:14" x14ac:dyDescent="0.2">
      <c r="A45" s="125" t="str">
        <f t="shared" si="0"/>
        <v>12/31/2014</v>
      </c>
      <c r="B45" s="21"/>
      <c r="C45" s="236">
        <f>ROUND('[2]Boeckh (C)'!E45,2)</f>
        <v>2428.3200000000002</v>
      </c>
      <c r="D45" s="136">
        <f t="shared" si="2"/>
        <v>2385.5587665505154</v>
      </c>
      <c r="E45" s="136">
        <f t="shared" si="3"/>
        <v>2381.3898904737862</v>
      </c>
      <c r="F45" s="106"/>
      <c r="G45"/>
      <c r="H45"/>
      <c r="I45"/>
      <c r="M45" s="2"/>
      <c r="N45" s="12">
        <f t="shared" si="1"/>
        <v>2015</v>
      </c>
    </row>
    <row r="46" spans="1:14" x14ac:dyDescent="0.2">
      <c r="A46" s="125" t="str">
        <f t="shared" si="0"/>
        <v>3/31/2015</v>
      </c>
      <c r="B46" s="21"/>
      <c r="C46" s="236">
        <f>ROUND('[2]Boeckh (C)'!E46,2)</f>
        <v>2443.3200000000002</v>
      </c>
      <c r="D46" s="136">
        <f t="shared" si="2"/>
        <v>2397.5524825783941</v>
      </c>
      <c r="E46" s="136">
        <f t="shared" si="3"/>
        <v>2393.6595170878063</v>
      </c>
      <c r="F46" s="106"/>
      <c r="G46"/>
      <c r="H46"/>
      <c r="I46"/>
      <c r="M46" s="2"/>
      <c r="N46" s="12">
        <f t="shared" si="1"/>
        <v>2015.25</v>
      </c>
    </row>
    <row r="47" spans="1:14" x14ac:dyDescent="0.2">
      <c r="A47" s="125" t="str">
        <f t="shared" si="0"/>
        <v>6/30/2015</v>
      </c>
      <c r="B47" s="21"/>
      <c r="C47" s="236">
        <f>ROUND('[2]Boeckh (C)'!E47,2)</f>
        <v>2455.44</v>
      </c>
      <c r="D47" s="136">
        <f t="shared" si="2"/>
        <v>2409.5461986062728</v>
      </c>
      <c r="E47" s="136">
        <f t="shared" si="3"/>
        <v>2405.9923604551223</v>
      </c>
      <c r="F47" s="106"/>
      <c r="G47"/>
      <c r="H47"/>
      <c r="I47"/>
      <c r="M47" s="2"/>
      <c r="N47" s="12">
        <f t="shared" si="1"/>
        <v>2015.5</v>
      </c>
    </row>
    <row r="48" spans="1:14" x14ac:dyDescent="0.2">
      <c r="A48" s="125" t="str">
        <f t="shared" si="0"/>
        <v>9/30/2015</v>
      </c>
      <c r="B48" s="138"/>
      <c r="C48" s="236">
        <f>ROUND('[2]Boeckh (C)'!E48,2)</f>
        <v>2464.89</v>
      </c>
      <c r="D48" s="136">
        <f t="shared" si="2"/>
        <v>2421.5399146341515</v>
      </c>
      <c r="E48" s="136">
        <f t="shared" si="3"/>
        <v>2418.3887462872199</v>
      </c>
      <c r="F48" s="106"/>
      <c r="G48"/>
      <c r="H48"/>
      <c r="I48"/>
      <c r="M48" s="2"/>
      <c r="N48" s="12">
        <f t="shared" si="1"/>
        <v>2015.75</v>
      </c>
    </row>
    <row r="49" spans="1:14" x14ac:dyDescent="0.2">
      <c r="A49" s="125" t="str">
        <f t="shared" si="0"/>
        <v>12/31/2015</v>
      </c>
      <c r="B49" s="21"/>
      <c r="C49" s="236">
        <f>ROUND('[2]Boeckh (C)'!E49,2)</f>
        <v>2470.0100000000002</v>
      </c>
      <c r="D49" s="136">
        <f t="shared" si="2"/>
        <v>2433.5336306620156</v>
      </c>
      <c r="E49" s="136">
        <f t="shared" si="3"/>
        <v>2430.8490019736782</v>
      </c>
      <c r="F49" s="106"/>
      <c r="G49"/>
      <c r="H49"/>
      <c r="I49"/>
      <c r="M49" s="2"/>
      <c r="N49" s="12">
        <f t="shared" si="1"/>
        <v>2016</v>
      </c>
    </row>
    <row r="50" spans="1:14" x14ac:dyDescent="0.2">
      <c r="A50" s="125" t="str">
        <f t="shared" si="0"/>
        <v>3/31/2016</v>
      </c>
      <c r="B50" s="21"/>
      <c r="C50" s="236">
        <f>ROUND('[2]Boeckh (C)'!E50,2)</f>
        <v>2469.65</v>
      </c>
      <c r="D50" s="136">
        <f t="shared" si="2"/>
        <v>2445.5273466898943</v>
      </c>
      <c r="E50" s="136">
        <f t="shared" si="3"/>
        <v>2443.3734565909554</v>
      </c>
      <c r="F50" s="106"/>
      <c r="G50"/>
      <c r="H50"/>
      <c r="I50"/>
      <c r="M50" s="2"/>
      <c r="N50" s="12">
        <f t="shared" si="1"/>
        <v>2016.25</v>
      </c>
    </row>
    <row r="51" spans="1:14" x14ac:dyDescent="0.2">
      <c r="A51" s="125" t="str">
        <f t="shared" si="0"/>
        <v>6/30/2016</v>
      </c>
      <c r="B51" s="21"/>
      <c r="C51" s="236">
        <f>ROUND('[2]Boeckh (C)'!E51,2)</f>
        <v>2465.77</v>
      </c>
      <c r="D51" s="136">
        <f>TREND($C$21:$C$61,$N$21:$N$61,$N51,TRUE)</f>
        <v>2457.521062717773</v>
      </c>
      <c r="E51" s="136">
        <f t="shared" si="3"/>
        <v>2455.9624409109365</v>
      </c>
      <c r="F51" s="106"/>
      <c r="G51"/>
      <c r="H51"/>
      <c r="I51"/>
      <c r="M51" s="2"/>
      <c r="N51" s="12">
        <f t="shared" si="1"/>
        <v>2016.5</v>
      </c>
    </row>
    <row r="52" spans="1:14" x14ac:dyDescent="0.2">
      <c r="A52" s="125" t="str">
        <f t="shared" si="0"/>
        <v>9/30/2016</v>
      </c>
      <c r="B52" s="125"/>
      <c r="C52" s="236">
        <f>ROUND('[2]Boeckh (C)'!E52,2)</f>
        <v>2460.52</v>
      </c>
      <c r="D52" s="136">
        <f t="shared" si="2"/>
        <v>2469.5147787456372</v>
      </c>
      <c r="E52" s="136">
        <f t="shared" si="3"/>
        <v>2468.6162874098145</v>
      </c>
      <c r="F52" s="106"/>
      <c r="G52"/>
      <c r="H52"/>
      <c r="I52"/>
      <c r="M52" s="2"/>
      <c r="N52" s="12">
        <f t="shared" si="1"/>
        <v>2016.75</v>
      </c>
    </row>
    <row r="53" spans="1:14" x14ac:dyDescent="0.2">
      <c r="A53" s="125" t="str">
        <f t="shared" si="0"/>
        <v>12/31/2016</v>
      </c>
      <c r="B53" s="42"/>
      <c r="C53" s="236">
        <f>ROUND('[2]Boeckh (C)'!E53,2)</f>
        <v>2456.69</v>
      </c>
      <c r="D53" s="136">
        <f t="shared" si="2"/>
        <v>2481.5084947735158</v>
      </c>
      <c r="E53" s="136">
        <f t="shared" si="3"/>
        <v>2481.3353302767259</v>
      </c>
      <c r="F53" s="106"/>
      <c r="G53"/>
      <c r="H53"/>
      <c r="I53"/>
      <c r="M53" s="2"/>
      <c r="N53" s="12">
        <f t="shared" si="1"/>
        <v>2017</v>
      </c>
    </row>
    <row r="54" spans="1:14" x14ac:dyDescent="0.2">
      <c r="A54" s="125" t="str">
        <f t="shared" si="0"/>
        <v>3/31/2017</v>
      </c>
      <c r="B54" s="125"/>
      <c r="C54" s="236">
        <f>ROUND('[2]Boeckh (C)'!E54,2)</f>
        <v>2459.2399999999998</v>
      </c>
      <c r="D54" s="136">
        <f t="shared" si="2"/>
        <v>2493.5022108013945</v>
      </c>
      <c r="E54" s="136">
        <f t="shared" si="3"/>
        <v>2494.1199054227195</v>
      </c>
      <c r="F54" s="106"/>
      <c r="G54"/>
      <c r="H54"/>
      <c r="I54"/>
      <c r="M54" s="2"/>
      <c r="N54" s="12">
        <f t="shared" ref="N54:N60" si="4">YEAR(A54)+MONTH(A54)/12</f>
        <v>2017.25</v>
      </c>
    </row>
    <row r="55" spans="1:14" x14ac:dyDescent="0.2">
      <c r="A55" s="125" t="str">
        <f t="shared" si="0"/>
        <v>6/30/2017</v>
      </c>
      <c r="B55" s="125"/>
      <c r="C55" s="236">
        <f>ROUND('[2]Boeckh (C)'!E55,2)</f>
        <v>2470.5</v>
      </c>
      <c r="D55" s="136">
        <f t="shared" si="2"/>
        <v>2505.4959268292732</v>
      </c>
      <c r="E55" s="136">
        <f t="shared" si="3"/>
        <v>2506.9703504894874</v>
      </c>
      <c r="F55" s="106"/>
      <c r="G55"/>
      <c r="H55"/>
      <c r="I55"/>
      <c r="M55" s="2"/>
      <c r="N55" s="12">
        <f t="shared" si="4"/>
        <v>2017.5</v>
      </c>
    </row>
    <row r="56" spans="1:14" x14ac:dyDescent="0.2">
      <c r="A56" s="125" t="str">
        <f t="shared" si="0"/>
        <v>9/30/2017</v>
      </c>
      <c r="B56" s="125"/>
      <c r="C56" s="236">
        <f>ROUND('[2]Boeckh (C)'!E56,2)</f>
        <v>2486.09</v>
      </c>
      <c r="D56" s="136">
        <f t="shared" si="2"/>
        <v>2517.4896428571374</v>
      </c>
      <c r="E56" s="136">
        <f t="shared" si="3"/>
        <v>2519.8870048584222</v>
      </c>
      <c r="F56" s="106"/>
      <c r="G56"/>
      <c r="H56"/>
      <c r="I56"/>
      <c r="M56" s="2"/>
      <c r="N56" s="12">
        <f t="shared" si="4"/>
        <v>2017.75</v>
      </c>
    </row>
    <row r="57" spans="1:14" x14ac:dyDescent="0.2">
      <c r="A57" s="125" t="str">
        <f t="shared" si="0"/>
        <v>12/31/2017</v>
      </c>
      <c r="B57" s="42"/>
      <c r="C57" s="236">
        <f>ROUND('[2]Boeckh (C)'!E57,2)</f>
        <v>2504.9699999999998</v>
      </c>
      <c r="D57" s="136">
        <f t="shared" si="2"/>
        <v>2529.4833588850161</v>
      </c>
      <c r="E57" s="136">
        <f t="shared" si="3"/>
        <v>2532.8702096594388</v>
      </c>
      <c r="F57" s="106"/>
      <c r="G57"/>
      <c r="H57"/>
      <c r="I57"/>
      <c r="M57" s="2"/>
      <c r="N57" s="12">
        <f t="shared" si="4"/>
        <v>2018</v>
      </c>
    </row>
    <row r="58" spans="1:14" x14ac:dyDescent="0.2">
      <c r="A58" s="125" t="str">
        <f t="shared" si="0"/>
        <v>3/31/2018</v>
      </c>
      <c r="B58" s="125"/>
      <c r="C58" s="236">
        <f>ROUND('[2]Boeckh (C)'!E58,2)</f>
        <v>2524.58</v>
      </c>
      <c r="D58" s="136">
        <f t="shared" si="2"/>
        <v>2541.4770749128948</v>
      </c>
      <c r="E58" s="136">
        <f>GROWTH($C$21:$C$61,$N$21:$N$61,$N58,TRUE)</f>
        <v>2545.9203077801262</v>
      </c>
      <c r="F58" s="106"/>
      <c r="G58"/>
      <c r="H58"/>
      <c r="I58"/>
      <c r="M58" s="2"/>
      <c r="N58" s="12">
        <f t="shared" si="4"/>
        <v>2018.25</v>
      </c>
    </row>
    <row r="59" spans="1:14" x14ac:dyDescent="0.2">
      <c r="A59" s="125" t="str">
        <f t="shared" si="0"/>
        <v>6/30/2018</v>
      </c>
      <c r="B59" s="125"/>
      <c r="C59" s="236">
        <f>ROUND('[2]Boeckh (C)'!E59,2)</f>
        <v>2547.98</v>
      </c>
      <c r="D59" s="136">
        <f>TREND($C$21:$C$61,$N$21:$N$61,$N59,TRUE)</f>
        <v>2553.4707909407589</v>
      </c>
      <c r="E59" s="136">
        <f t="shared" si="3"/>
        <v>2559.0376438746785</v>
      </c>
      <c r="F59" s="106"/>
      <c r="G59"/>
      <c r="H59"/>
      <c r="I59"/>
      <c r="M59" s="2"/>
      <c r="N59" s="12">
        <f t="shared" si="4"/>
        <v>2018.5</v>
      </c>
    </row>
    <row r="60" spans="1:14" x14ac:dyDescent="0.2">
      <c r="A60" s="125" t="str">
        <f t="shared" si="0"/>
        <v>9/30/2018</v>
      </c>
      <c r="B60" s="125"/>
      <c r="C60" s="236">
        <f>ROUND('[2]Boeckh (C)'!E60,2)</f>
        <v>2576.19</v>
      </c>
      <c r="D60" s="136">
        <f>TREND($C$21:$C$61,$N$21:$N$61,$N60,TRUE)</f>
        <v>2565.4645069686376</v>
      </c>
      <c r="E60" s="136">
        <f t="shared" si="3"/>
        <v>2572.222564373049</v>
      </c>
      <c r="F60" s="106"/>
      <c r="G60"/>
      <c r="H60"/>
      <c r="I60"/>
      <c r="M60" s="2"/>
      <c r="N60" s="12">
        <f t="shared" si="4"/>
        <v>2018.75</v>
      </c>
    </row>
    <row r="61" spans="1:14" x14ac:dyDescent="0.2">
      <c r="A61" s="264" t="str">
        <f>TEXT(N9,"m/d/yyyy")</f>
        <v>12/31/2018</v>
      </c>
      <c r="B61" s="42"/>
      <c r="C61" s="236">
        <f>ROUND('[2]Boeckh (C)'!E61,2)</f>
        <v>2610.2800000000002</v>
      </c>
      <c r="D61" s="136">
        <f>TREND($C$21:$C$61,$N$21:$N$61,$N61,TRUE)</f>
        <v>2577.4582229965163</v>
      </c>
      <c r="E61" s="136">
        <f>GROWTH($C$21:$C$61,$N$21:$N$61,$N61,TRUE)</f>
        <v>2585.4754174901573</v>
      </c>
      <c r="F61" s="106"/>
      <c r="G61"/>
      <c r="H61"/>
      <c r="I61"/>
      <c r="M61" s="2"/>
      <c r="N61" s="12">
        <f>YEAR(A61)+MONTH(A61)/12</f>
        <v>2019</v>
      </c>
    </row>
    <row r="62" spans="1:14" x14ac:dyDescent="0.2">
      <c r="A62" s="191"/>
      <c r="B62" s="241"/>
      <c r="C62" s="191"/>
      <c r="D62" s="191"/>
      <c r="E62" s="191"/>
      <c r="F62"/>
      <c r="G62"/>
      <c r="H62"/>
      <c r="I62"/>
      <c r="M62" s="2"/>
    </row>
    <row r="63" spans="1:14" x14ac:dyDescent="0.2">
      <c r="A63" s="47"/>
      <c r="B63" s="125"/>
      <c r="C63" s="236"/>
      <c r="D63" s="47"/>
      <c r="E63" s="47"/>
      <c r="F63"/>
      <c r="G63"/>
      <c r="H63"/>
      <c r="I63"/>
      <c r="M63" s="2"/>
    </row>
    <row r="64" spans="1:14" x14ac:dyDescent="0.2">
      <c r="A64" s="12" t="s">
        <v>296</v>
      </c>
      <c r="C64"/>
      <c r="D64" s="19">
        <f>(D61-D57)/D57</f>
        <v>1.8966269907641258E-2</v>
      </c>
      <c r="E64" s="19">
        <f>LOGEST($C$21:$C$61,$N$21:$N$61,TRUE,TRUE)-1</f>
        <v>2.0769010441231472E-2</v>
      </c>
      <c r="F64"/>
      <c r="G64"/>
      <c r="H64"/>
      <c r="I64"/>
      <c r="M64" s="2"/>
    </row>
    <row r="65" spans="1:13" x14ac:dyDescent="0.2">
      <c r="A65" s="138" t="s">
        <v>297</v>
      </c>
      <c r="B65" s="131"/>
      <c r="C65" s="90"/>
      <c r="D65" s="122">
        <f>INDEX(LINEST($C$21:$C$61,$N$21:$N$61,TRUE,TRUE),3,1)</f>
        <v>0.93055070194396028</v>
      </c>
      <c r="E65" s="122">
        <f>INDEX(LOGEST($C$21:$C$61,$N$21:$N$61,TRUE,TRUE),3,1)</f>
        <v>0.92676210658816305</v>
      </c>
      <c r="F65"/>
      <c r="G65"/>
      <c r="H65"/>
      <c r="I65"/>
      <c r="M65" s="2"/>
    </row>
    <row r="66" spans="1:13" ht="12" thickBot="1" x14ac:dyDescent="0.25">
      <c r="A66" s="6"/>
      <c r="B66" s="6"/>
      <c r="C66" s="6"/>
      <c r="D66" s="6"/>
      <c r="E66" s="6"/>
      <c r="F66"/>
      <c r="G66"/>
      <c r="H66"/>
      <c r="I66"/>
      <c r="M66" s="2"/>
    </row>
    <row r="67" spans="1:13" ht="12" thickTop="1" x14ac:dyDescent="0.2">
      <c r="A67"/>
      <c r="B67"/>
      <c r="C67"/>
      <c r="D67"/>
      <c r="E67"/>
      <c r="F67"/>
      <c r="G67"/>
      <c r="H67"/>
      <c r="I67"/>
      <c r="M67" s="2"/>
    </row>
    <row r="68" spans="1:13" x14ac:dyDescent="0.2">
      <c r="A68" t="s">
        <v>19</v>
      </c>
      <c r="B68"/>
      <c r="F68"/>
      <c r="G68"/>
      <c r="H68"/>
      <c r="I68"/>
      <c r="J68"/>
      <c r="K68"/>
      <c r="L68"/>
      <c r="M68" s="2"/>
    </row>
    <row r="69" spans="1:13" x14ac:dyDescent="0.2">
      <c r="A69"/>
      <c r="B69" s="21" t="str">
        <f>C12&amp;" = Average Index for Corpus Christi and Houston"</f>
        <v>(2) = Average Index for Corpus Christi and Houston</v>
      </c>
      <c r="C69"/>
      <c r="D69"/>
      <c r="E69"/>
      <c r="F69"/>
      <c r="G69"/>
      <c r="H69"/>
      <c r="I69"/>
      <c r="J69"/>
      <c r="K69"/>
      <c r="L69"/>
      <c r="M69" s="2"/>
    </row>
    <row r="70" spans="1:13" ht="12" thickBot="1" x14ac:dyDescent="0.25">
      <c r="A70" s="121"/>
      <c r="B70" s="21" t="str">
        <f>D12&amp;" - "&amp;E12&amp;" = "&amp;C12&amp;" fitted to linear and exponential distributions"</f>
        <v>(3) - (4) = (2) fitted to linear and exponential distributions</v>
      </c>
      <c r="C70" s="121"/>
      <c r="D70" s="121"/>
      <c r="E70" s="121"/>
      <c r="F70"/>
      <c r="G70"/>
      <c r="H70"/>
      <c r="I70"/>
      <c r="M70" s="2"/>
    </row>
    <row r="71" spans="1:13" ht="12" thickBot="1" x14ac:dyDescent="0.25">
      <c r="A71" s="4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3"/>
    </row>
  </sheetData>
  <phoneticPr fontId="4" type="noConversion"/>
  <pageMargins left="0.5" right="0.5" top="0.5" bottom="0.5" header="0.5" footer="0.5"/>
  <pageSetup orientation="portrait" blackAndWhite="1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20"/>
  <dimension ref="A1:N69"/>
  <sheetViews>
    <sheetView showGridLines="0" view="pageBreakPreview" zoomScale="60" zoomScaleNormal="100" workbookViewId="0">
      <selection activeCell="K59" sqref="K59"/>
    </sheetView>
  </sheetViews>
  <sheetFormatPr defaultColWidth="11.33203125" defaultRowHeight="11.25" x14ac:dyDescent="0.2"/>
  <cols>
    <col min="1" max="1" width="3.5" style="12" customWidth="1"/>
    <col min="2" max="2" width="10.6640625" style="12" customWidth="1"/>
    <col min="3" max="11" width="11.5" style="12" customWidth="1"/>
    <col min="12" max="12" width="3.5" style="12" customWidth="1"/>
    <col min="13" max="16384" width="11.33203125" style="12"/>
  </cols>
  <sheetData>
    <row r="1" spans="1:14" x14ac:dyDescent="0.2">
      <c r="A1" s="8" t="str">
        <f>'1'!$A$1</f>
        <v>Texas Windstorm Insurance Association</v>
      </c>
      <c r="C1"/>
      <c r="D1"/>
      <c r="E1"/>
      <c r="F1"/>
      <c r="G1"/>
      <c r="H1"/>
      <c r="I1"/>
      <c r="J1"/>
      <c r="L1" s="7" t="s">
        <v>48</v>
      </c>
      <c r="M1" s="1"/>
    </row>
    <row r="2" spans="1:14" x14ac:dyDescent="0.2">
      <c r="A2" s="8" t="str">
        <f>'1'!$A$2</f>
        <v>Commercial Property - Wind &amp; Hail</v>
      </c>
      <c r="C2"/>
      <c r="D2"/>
      <c r="E2"/>
      <c r="F2"/>
      <c r="G2"/>
      <c r="H2"/>
      <c r="I2"/>
      <c r="J2"/>
      <c r="L2" s="7" t="s">
        <v>299</v>
      </c>
      <c r="M2" s="2"/>
    </row>
    <row r="3" spans="1:14" x14ac:dyDescent="0.2">
      <c r="A3" s="8" t="str">
        <f>'1'!$A$3</f>
        <v>Rate Level Review</v>
      </c>
      <c r="C3"/>
      <c r="D3"/>
      <c r="E3"/>
      <c r="F3"/>
      <c r="G3"/>
      <c r="H3"/>
      <c r="I3"/>
      <c r="J3"/>
      <c r="K3"/>
      <c r="L3"/>
      <c r="M3" s="2"/>
    </row>
    <row r="4" spans="1:14" x14ac:dyDescent="0.2">
      <c r="A4" s="127" t="s">
        <v>272</v>
      </c>
      <c r="C4"/>
      <c r="D4"/>
      <c r="E4"/>
      <c r="F4"/>
      <c r="G4"/>
      <c r="H4"/>
      <c r="I4"/>
      <c r="J4"/>
      <c r="K4"/>
      <c r="L4"/>
      <c r="M4" s="2"/>
    </row>
    <row r="5" spans="1:14" x14ac:dyDescent="0.2">
      <c r="A5" s="141" t="s">
        <v>300</v>
      </c>
      <c r="B5" s="21"/>
      <c r="C5" s="58"/>
      <c r="D5" s="58"/>
      <c r="E5" s="58"/>
      <c r="F5"/>
      <c r="G5"/>
      <c r="H5"/>
      <c r="I5"/>
      <c r="J5"/>
      <c r="K5"/>
      <c r="L5"/>
      <c r="M5" s="2"/>
    </row>
    <row r="6" spans="1:14" x14ac:dyDescent="0.2">
      <c r="B6"/>
      <c r="C6"/>
      <c r="D6"/>
      <c r="E6"/>
      <c r="F6"/>
      <c r="G6"/>
      <c r="H6"/>
      <c r="I6"/>
      <c r="J6"/>
      <c r="K6"/>
      <c r="L6"/>
      <c r="M6" s="2"/>
    </row>
    <row r="7" spans="1:14" ht="12" thickBot="1" x14ac:dyDescent="0.2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47"/>
      <c r="M7" s="2"/>
    </row>
    <row r="8" spans="1:14" ht="12" thickTop="1" x14ac:dyDescent="0.2">
      <c r="A8"/>
      <c r="B8"/>
      <c r="C8"/>
      <c r="D8"/>
      <c r="E8"/>
      <c r="F8"/>
      <c r="G8"/>
      <c r="H8"/>
      <c r="I8" s="47"/>
      <c r="J8"/>
      <c r="K8" s="47"/>
      <c r="L8" s="47"/>
      <c r="M8" s="2"/>
      <c r="N8" t="s">
        <v>287</v>
      </c>
    </row>
    <row r="9" spans="1:14" x14ac:dyDescent="0.2">
      <c r="A9"/>
      <c r="B9"/>
      <c r="C9" s="21"/>
      <c r="D9" s="10" t="s">
        <v>289</v>
      </c>
      <c r="E9"/>
      <c r="F9" s="10"/>
      <c r="G9"/>
      <c r="H9"/>
      <c r="I9"/>
      <c r="J9"/>
      <c r="K9"/>
      <c r="L9"/>
      <c r="M9" s="2"/>
      <c r="N9" s="103">
        <v>43465</v>
      </c>
    </row>
    <row r="10" spans="1:14" x14ac:dyDescent="0.2">
      <c r="A10" t="s">
        <v>274</v>
      </c>
      <c r="B10"/>
      <c r="C10" t="s">
        <v>277</v>
      </c>
      <c r="D10" t="s">
        <v>290</v>
      </c>
      <c r="E10"/>
      <c r="F10" t="s">
        <v>291</v>
      </c>
      <c r="G10"/>
      <c r="H10" t="s">
        <v>292</v>
      </c>
      <c r="I10"/>
      <c r="J10" t="s">
        <v>293</v>
      </c>
      <c r="K10"/>
      <c r="L10"/>
      <c r="M10" s="2"/>
    </row>
    <row r="11" spans="1:14" x14ac:dyDescent="0.2">
      <c r="A11" s="9" t="s">
        <v>28</v>
      </c>
      <c r="B11" s="9"/>
      <c r="C11" s="9" t="s">
        <v>280</v>
      </c>
      <c r="D11" s="9" t="s">
        <v>294</v>
      </c>
      <c r="E11" s="9" t="s">
        <v>295</v>
      </c>
      <c r="F11" s="9" t="s">
        <v>294</v>
      </c>
      <c r="G11" s="9" t="s">
        <v>295</v>
      </c>
      <c r="H11" s="9" t="s">
        <v>294</v>
      </c>
      <c r="I11" s="9" t="s">
        <v>295</v>
      </c>
      <c r="J11" s="9" t="s">
        <v>294</v>
      </c>
      <c r="K11" s="9" t="s">
        <v>295</v>
      </c>
      <c r="L11" s="47"/>
      <c r="M11" s="2"/>
      <c r="N11" s="9" t="s">
        <v>269</v>
      </c>
    </row>
    <row r="12" spans="1:14" x14ac:dyDescent="0.2">
      <c r="A12" s="13" t="str">
        <f>TEXT(COLUMN(),"(#)")</f>
        <v>(1)</v>
      </c>
      <c r="B12" s="13"/>
      <c r="C12" s="11" t="str">
        <f t="shared" ref="C12:K12" si="0">TEXT(COLUMN()-1,"(#)")</f>
        <v>(2)</v>
      </c>
      <c r="D12" s="11" t="str">
        <f t="shared" si="0"/>
        <v>(3)</v>
      </c>
      <c r="E12" s="11" t="str">
        <f t="shared" si="0"/>
        <v>(4)</v>
      </c>
      <c r="F12" s="11" t="str">
        <f t="shared" si="0"/>
        <v>(5)</v>
      </c>
      <c r="G12" s="11" t="str">
        <f t="shared" si="0"/>
        <v>(6)</v>
      </c>
      <c r="H12" s="11" t="str">
        <f t="shared" si="0"/>
        <v>(7)</v>
      </c>
      <c r="I12" s="11" t="str">
        <f t="shared" si="0"/>
        <v>(8)</v>
      </c>
      <c r="J12" s="11" t="str">
        <f t="shared" si="0"/>
        <v>(9)</v>
      </c>
      <c r="K12" s="11" t="str">
        <f t="shared" si="0"/>
        <v>(10)</v>
      </c>
      <c r="L12" s="11"/>
      <c r="M12" s="2"/>
    </row>
    <row r="13" spans="1:14" x14ac:dyDescent="0.2">
      <c r="A13"/>
      <c r="B13"/>
      <c r="C13"/>
      <c r="D13"/>
      <c r="E13"/>
      <c r="F13"/>
      <c r="G13"/>
      <c r="H13"/>
      <c r="I13"/>
      <c r="J13"/>
      <c r="K13"/>
      <c r="L13"/>
      <c r="M13" s="2"/>
    </row>
    <row r="14" spans="1:14" x14ac:dyDescent="0.2">
      <c r="A14" s="21" t="str">
        <f>TEXT(DATE(YEAR(A15+1),MONTH(A15+1)-3,1)-1,"m/d/yyyy")</f>
        <v>9/30/2008</v>
      </c>
      <c r="B14" s="54"/>
      <c r="C14" s="306">
        <f>ROUND([2]CPI!H88,2)</f>
        <v>181.04</v>
      </c>
      <c r="D14" s="136">
        <f>TREND($C$14:$C$55,$N$14:$N$55,$N14,TRUE)</f>
        <v>176.85643410852708</v>
      </c>
      <c r="E14" s="136">
        <f>GROWTH($C$14:$C$55,$N$14:$N$55,$N14,TRUE)</f>
        <v>177.02910879813285</v>
      </c>
      <c r="F14" s="136"/>
      <c r="G14" s="136"/>
      <c r="H14" s="34"/>
      <c r="I14" s="58"/>
      <c r="J14" s="34"/>
      <c r="K14" s="58"/>
      <c r="L14" s="58"/>
      <c r="M14" s="2"/>
      <c r="N14" s="12">
        <f>YEAR(A14)+MONTH(A14)/12</f>
        <v>2008.75</v>
      </c>
    </row>
    <row r="15" spans="1:14" x14ac:dyDescent="0.2">
      <c r="A15" s="21" t="str">
        <f t="shared" ref="A15:A53" si="1">TEXT(DATE(YEAR(A16+1),MONTH(A16+1)-3,1)-1,"m/d/yyyy")</f>
        <v>12/31/2008</v>
      </c>
      <c r="B15" s="54"/>
      <c r="C15" s="306">
        <f>ROUND([2]CPI!H89,2)</f>
        <v>181.06</v>
      </c>
      <c r="D15" s="136">
        <f t="shared" ref="D15:D54" si="2">TREND($C$14:$C$55,$N$14:$N$55,$N15,TRUE)</f>
        <v>177.3249820381925</v>
      </c>
      <c r="E15" s="136">
        <f t="shared" ref="E15:E54" si="3">GROWTH($C$14:$C$55,$N$14:$N$55,$N15,TRUE)</f>
        <v>177.47371050305256</v>
      </c>
      <c r="F15" s="136"/>
      <c r="G15" s="136"/>
      <c r="H15" s="34"/>
      <c r="I15" s="58"/>
      <c r="J15" s="34"/>
      <c r="K15" s="58"/>
      <c r="L15" s="58"/>
      <c r="M15" s="2"/>
      <c r="N15" s="12">
        <f>YEAR(A15)+MONTH(A15)/12</f>
        <v>2009</v>
      </c>
    </row>
    <row r="16" spans="1:14" x14ac:dyDescent="0.2">
      <c r="A16" s="21" t="str">
        <f t="shared" si="1"/>
        <v>3/31/2009</v>
      </c>
      <c r="B16" s="54"/>
      <c r="C16" s="306">
        <f>ROUND([2]CPI!H90,2)</f>
        <v>180.55</v>
      </c>
      <c r="D16" s="136">
        <f t="shared" si="2"/>
        <v>177.79352996785792</v>
      </c>
      <c r="E16" s="136">
        <f t="shared" si="3"/>
        <v>177.91942880781986</v>
      </c>
      <c r="F16" s="136"/>
      <c r="G16" s="136"/>
      <c r="H16" s="34"/>
      <c r="I16" s="58"/>
      <c r="J16" s="34"/>
      <c r="K16" s="58"/>
      <c r="L16" s="58"/>
      <c r="M16" s="2"/>
      <c r="N16" s="12">
        <f t="shared" ref="N16:N54" si="4">YEAR(A16)+MONTH(A16)/12</f>
        <v>2009.25</v>
      </c>
    </row>
    <row r="17" spans="1:14" x14ac:dyDescent="0.2">
      <c r="A17" s="21" t="str">
        <f t="shared" si="1"/>
        <v>6/30/2009</v>
      </c>
      <c r="B17" s="54"/>
      <c r="C17" s="306">
        <f>ROUND([2]CPI!H91,2)</f>
        <v>180.07</v>
      </c>
      <c r="D17" s="136">
        <f t="shared" si="2"/>
        <v>178.26207789752334</v>
      </c>
      <c r="E17" s="136">
        <f t="shared" si="3"/>
        <v>178.36626651673305</v>
      </c>
      <c r="F17" s="136"/>
      <c r="G17" s="136"/>
      <c r="H17" s="34"/>
      <c r="I17" s="58"/>
      <c r="J17" s="34"/>
      <c r="K17" s="58"/>
      <c r="L17" s="58"/>
      <c r="M17" s="2"/>
      <c r="N17" s="12">
        <f t="shared" si="4"/>
        <v>2009.5</v>
      </c>
    </row>
    <row r="18" spans="1:14" x14ac:dyDescent="0.2">
      <c r="A18" s="21" t="str">
        <f t="shared" si="1"/>
        <v>9/30/2009</v>
      </c>
      <c r="B18" s="54"/>
      <c r="C18" s="306">
        <f>ROUND([2]CPI!H92,2)</f>
        <v>179.3</v>
      </c>
      <c r="D18" s="136">
        <f t="shared" si="2"/>
        <v>178.73062582718876</v>
      </c>
      <c r="E18" s="136">
        <f t="shared" si="3"/>
        <v>178.81422644113127</v>
      </c>
      <c r="F18" s="136"/>
      <c r="G18" s="136"/>
      <c r="H18" s="34"/>
      <c r="I18" s="58"/>
      <c r="J18" s="34"/>
      <c r="K18" s="58"/>
      <c r="L18" s="58"/>
      <c r="M18" s="2"/>
      <c r="N18" s="12">
        <f t="shared" si="4"/>
        <v>2009.75</v>
      </c>
    </row>
    <row r="19" spans="1:14" x14ac:dyDescent="0.2">
      <c r="A19" s="21" t="str">
        <f t="shared" si="1"/>
        <v>12/31/2009</v>
      </c>
      <c r="B19" s="54"/>
      <c r="C19" s="306">
        <f>ROUND([2]CPI!H93,2)</f>
        <v>178.8</v>
      </c>
      <c r="D19" s="136">
        <f t="shared" si="2"/>
        <v>179.19917375685418</v>
      </c>
      <c r="E19" s="136">
        <f t="shared" si="3"/>
        <v>179.26331139941507</v>
      </c>
      <c r="F19" s="136"/>
      <c r="G19" s="136"/>
      <c r="H19" s="34"/>
      <c r="I19" s="58"/>
      <c r="J19" s="34"/>
      <c r="K19" s="58"/>
      <c r="L19" s="58"/>
      <c r="M19" s="2"/>
      <c r="N19" s="12">
        <f t="shared" si="4"/>
        <v>2010</v>
      </c>
    </row>
    <row r="20" spans="1:14" x14ac:dyDescent="0.2">
      <c r="A20" s="21" t="str">
        <f t="shared" si="1"/>
        <v>3/31/2010</v>
      </c>
      <c r="B20" s="54"/>
      <c r="C20" s="306">
        <f>ROUND([2]CPI!H94,2)</f>
        <v>178.46</v>
      </c>
      <c r="D20" s="136">
        <f t="shared" si="2"/>
        <v>179.66772168651914</v>
      </c>
      <c r="E20" s="136">
        <f t="shared" si="3"/>
        <v>179.71352421706314</v>
      </c>
      <c r="F20" s="136"/>
      <c r="G20" s="136"/>
      <c r="H20" s="34"/>
      <c r="I20" s="58"/>
      <c r="J20" s="34"/>
      <c r="K20" s="58"/>
      <c r="L20" s="58"/>
      <c r="M20" s="2"/>
      <c r="N20" s="12">
        <f t="shared" si="4"/>
        <v>2010.25</v>
      </c>
    </row>
    <row r="21" spans="1:14" x14ac:dyDescent="0.2">
      <c r="A21" s="21" t="str">
        <f t="shared" si="1"/>
        <v>6/30/2010</v>
      </c>
      <c r="B21" s="54"/>
      <c r="C21" s="306">
        <f>ROUND([2]CPI!H95,2)</f>
        <v>178.56</v>
      </c>
      <c r="D21" s="136">
        <f t="shared" si="2"/>
        <v>180.13626961618456</v>
      </c>
      <c r="E21" s="136">
        <f t="shared" si="3"/>
        <v>180.1648677266503</v>
      </c>
      <c r="F21" s="136"/>
      <c r="G21" s="136"/>
      <c r="H21" s="34"/>
      <c r="I21" s="58"/>
      <c r="J21" s="34"/>
      <c r="K21" s="58"/>
      <c r="L21" s="58"/>
      <c r="M21" s="2"/>
      <c r="N21" s="12">
        <f t="shared" si="4"/>
        <v>2010.5</v>
      </c>
    </row>
    <row r="22" spans="1:14" x14ac:dyDescent="0.2">
      <c r="A22" s="21" t="str">
        <f t="shared" si="1"/>
        <v>9/30/2010</v>
      </c>
      <c r="B22" s="102"/>
      <c r="C22" s="306">
        <f>ROUND([2]CPI!H96,2)</f>
        <v>178.59</v>
      </c>
      <c r="D22" s="136">
        <f t="shared" si="2"/>
        <v>180.60481754584998</v>
      </c>
      <c r="E22" s="136">
        <f t="shared" si="3"/>
        <v>180.61734476786529</v>
      </c>
      <c r="F22" s="136"/>
      <c r="G22" s="136"/>
      <c r="H22" s="34"/>
      <c r="I22" s="58"/>
      <c r="J22" s="34"/>
      <c r="K22" s="58"/>
      <c r="L22" s="58"/>
      <c r="M22" s="2"/>
      <c r="N22" s="12">
        <f t="shared" si="4"/>
        <v>2010.75</v>
      </c>
    </row>
    <row r="23" spans="1:14" x14ac:dyDescent="0.2">
      <c r="A23" s="21" t="str">
        <f t="shared" si="1"/>
        <v>12/31/2010</v>
      </c>
      <c r="B23" s="58"/>
      <c r="C23" s="306">
        <f>ROUND([2]CPI!H97,2)</f>
        <v>178.72</v>
      </c>
      <c r="D23" s="136">
        <f t="shared" si="2"/>
        <v>181.0733654755154</v>
      </c>
      <c r="E23" s="136">
        <f t="shared" si="3"/>
        <v>181.07095818752791</v>
      </c>
      <c r="F23" s="136"/>
      <c r="G23" s="136"/>
      <c r="H23" s="58"/>
      <c r="I23" s="58"/>
      <c r="J23" s="58"/>
      <c r="K23" s="58"/>
      <c r="L23" s="58"/>
      <c r="M23" s="2"/>
      <c r="N23" s="12">
        <f t="shared" si="4"/>
        <v>2011</v>
      </c>
    </row>
    <row r="24" spans="1:14" x14ac:dyDescent="0.2">
      <c r="A24" s="21" t="str">
        <f t="shared" si="1"/>
        <v>3/31/2011</v>
      </c>
      <c r="B24" s="58"/>
      <c r="C24" s="306">
        <f>ROUND([2]CPI!H98,2)</f>
        <v>178.97</v>
      </c>
      <c r="D24" s="136">
        <f t="shared" si="2"/>
        <v>181.54191340518082</v>
      </c>
      <c r="E24" s="136">
        <f t="shared" si="3"/>
        <v>181.52571083960964</v>
      </c>
      <c r="F24" s="136"/>
      <c r="G24" s="136"/>
      <c r="H24" s="58"/>
      <c r="I24" s="58"/>
      <c r="J24" s="58"/>
      <c r="K24" s="58"/>
      <c r="L24" s="58"/>
      <c r="M24" s="2"/>
      <c r="N24" s="12">
        <f t="shared" si="4"/>
        <v>2011.25</v>
      </c>
    </row>
    <row r="25" spans="1:14" x14ac:dyDescent="0.2">
      <c r="A25" s="21" t="str">
        <f t="shared" si="1"/>
        <v>6/30/2011</v>
      </c>
      <c r="B25" s="58"/>
      <c r="C25" s="306">
        <f>ROUND([2]CPI!H99,2)</f>
        <v>179.61</v>
      </c>
      <c r="D25" s="136">
        <f t="shared" si="2"/>
        <v>182.01046133484624</v>
      </c>
      <c r="E25" s="136">
        <f t="shared" si="3"/>
        <v>181.98160558524771</v>
      </c>
      <c r="F25" s="136"/>
      <c r="G25" s="136"/>
      <c r="H25" s="58"/>
      <c r="I25" s="58"/>
      <c r="J25" s="58"/>
      <c r="K25" s="58"/>
      <c r="L25" s="58"/>
      <c r="M25" s="2"/>
      <c r="N25" s="12">
        <f t="shared" si="4"/>
        <v>2011.5</v>
      </c>
    </row>
    <row r="26" spans="1:14" x14ac:dyDescent="0.2">
      <c r="A26" s="21" t="str">
        <f t="shared" si="1"/>
        <v>9/30/2011</v>
      </c>
      <c r="B26" s="58"/>
      <c r="C26" s="306">
        <f>ROUND([2]CPI!H100,2)</f>
        <v>180.52</v>
      </c>
      <c r="D26" s="136">
        <f t="shared" si="2"/>
        <v>182.47900926451121</v>
      </c>
      <c r="E26" s="136">
        <f t="shared" si="3"/>
        <v>182.43864529276547</v>
      </c>
      <c r="F26" s="136"/>
      <c r="G26" s="136"/>
      <c r="H26" s="58"/>
      <c r="I26" s="58"/>
      <c r="J26" s="58"/>
      <c r="K26" s="58"/>
      <c r="L26" s="58"/>
      <c r="M26" s="2"/>
      <c r="N26" s="12">
        <f t="shared" si="4"/>
        <v>2011.75</v>
      </c>
    </row>
    <row r="27" spans="1:14" x14ac:dyDescent="0.2">
      <c r="A27" s="21" t="str">
        <f t="shared" si="1"/>
        <v>12/31/2011</v>
      </c>
      <c r="B27" s="58"/>
      <c r="C27" s="306">
        <f>ROUND([2]CPI!H101,2)</f>
        <v>181.55</v>
      </c>
      <c r="D27" s="136">
        <f t="shared" si="2"/>
        <v>182.94755719417662</v>
      </c>
      <c r="E27" s="136">
        <f t="shared" si="3"/>
        <v>182.89683283769006</v>
      </c>
      <c r="F27" s="136"/>
      <c r="G27" s="136"/>
      <c r="H27" s="58"/>
      <c r="I27" s="58"/>
      <c r="J27" s="58"/>
      <c r="K27" s="58"/>
      <c r="L27" s="58"/>
      <c r="M27" s="2"/>
      <c r="N27" s="12">
        <f t="shared" si="4"/>
        <v>2012</v>
      </c>
    </row>
    <row r="28" spans="1:14" x14ac:dyDescent="0.2">
      <c r="A28" s="21" t="str">
        <f t="shared" si="1"/>
        <v>3/31/2012</v>
      </c>
      <c r="B28" s="58"/>
      <c r="C28" s="306">
        <f>ROUND([2]CPI!H102,2)</f>
        <v>182.78</v>
      </c>
      <c r="D28" s="136">
        <f t="shared" si="2"/>
        <v>183.41610512384204</v>
      </c>
      <c r="E28" s="136">
        <f t="shared" si="3"/>
        <v>183.35617110277039</v>
      </c>
      <c r="F28" s="136"/>
      <c r="G28" s="136"/>
      <c r="H28" s="58"/>
      <c r="I28" s="58"/>
      <c r="J28" s="58"/>
      <c r="K28" s="58"/>
      <c r="L28" s="58"/>
      <c r="M28" s="2"/>
      <c r="N28" s="12">
        <f t="shared" si="4"/>
        <v>2012.25</v>
      </c>
    </row>
    <row r="29" spans="1:14" x14ac:dyDescent="0.2">
      <c r="A29" s="21" t="str">
        <f t="shared" si="1"/>
        <v>6/30/2012</v>
      </c>
      <c r="B29" s="58"/>
      <c r="C29" s="306">
        <f>ROUND([2]CPI!H103,2)</f>
        <v>183.87</v>
      </c>
      <c r="D29" s="136">
        <f t="shared" si="2"/>
        <v>183.88465305350746</v>
      </c>
      <c r="E29" s="136">
        <f t="shared" si="3"/>
        <v>183.81666297799461</v>
      </c>
      <c r="F29" s="136"/>
      <c r="G29" s="136"/>
      <c r="H29" s="58"/>
      <c r="I29" s="58"/>
      <c r="J29" s="58"/>
      <c r="K29" s="58"/>
      <c r="L29" s="58"/>
      <c r="M29" s="2"/>
      <c r="N29" s="12">
        <f t="shared" si="4"/>
        <v>2012.5</v>
      </c>
    </row>
    <row r="30" spans="1:14" x14ac:dyDescent="0.2">
      <c r="A30" s="21" t="str">
        <f t="shared" si="1"/>
        <v>9/30/2012</v>
      </c>
      <c r="B30" s="138"/>
      <c r="C30" s="306">
        <f>ROUND([2]CPI!H104,2)</f>
        <v>184.57</v>
      </c>
      <c r="D30" s="136">
        <f t="shared" si="2"/>
        <v>184.35320098317288</v>
      </c>
      <c r="E30" s="136">
        <f t="shared" si="3"/>
        <v>184.27831136061096</v>
      </c>
      <c r="F30" s="136"/>
      <c r="G30" s="136"/>
      <c r="H30" s="28"/>
      <c r="I30" s="79"/>
      <c r="J30" s="28"/>
      <c r="K30" s="79"/>
      <c r="L30" s="79"/>
      <c r="M30" s="2"/>
      <c r="N30" s="12">
        <f t="shared" si="4"/>
        <v>2012.75</v>
      </c>
    </row>
    <row r="31" spans="1:14" x14ac:dyDescent="0.2">
      <c r="A31" s="21" t="str">
        <f t="shared" si="1"/>
        <v>12/31/2012</v>
      </c>
      <c r="B31" s="138"/>
      <c r="C31" s="306">
        <f>ROUND([2]CPI!H105,2)</f>
        <v>185.03</v>
      </c>
      <c r="D31" s="136">
        <f t="shared" si="2"/>
        <v>184.82174891283785</v>
      </c>
      <c r="E31" s="136">
        <f t="shared" si="3"/>
        <v>184.74111915514194</v>
      </c>
      <c r="F31" s="136"/>
      <c r="G31" s="136"/>
      <c r="H31" s="28"/>
      <c r="I31" s="79"/>
      <c r="J31" s="28"/>
      <c r="K31" s="79"/>
      <c r="L31" s="79"/>
      <c r="M31" s="2"/>
      <c r="N31" s="12">
        <f t="shared" si="4"/>
        <v>2013</v>
      </c>
    </row>
    <row r="32" spans="1:14" x14ac:dyDescent="0.2">
      <c r="A32" s="21" t="str">
        <f t="shared" si="1"/>
        <v>3/31/2013</v>
      </c>
      <c r="B32" s="102"/>
      <c r="C32" s="306">
        <f>ROUND([2]CPI!H106,2)</f>
        <v>185.38</v>
      </c>
      <c r="D32" s="136">
        <f t="shared" si="2"/>
        <v>185.29029684250327</v>
      </c>
      <c r="E32" s="136">
        <f t="shared" si="3"/>
        <v>185.20508927340546</v>
      </c>
      <c r="F32" s="136"/>
      <c r="G32" s="136"/>
      <c r="H32" s="28"/>
      <c r="I32" s="79"/>
      <c r="J32" s="28"/>
      <c r="K32" s="79"/>
      <c r="L32" s="79"/>
      <c r="M32" s="2"/>
      <c r="N32" s="12">
        <f t="shared" si="4"/>
        <v>2013.25</v>
      </c>
    </row>
    <row r="33" spans="1:14" x14ac:dyDescent="0.2">
      <c r="A33" s="21" t="str">
        <f t="shared" si="1"/>
        <v>6/30/2013</v>
      </c>
      <c r="B33" s="102"/>
      <c r="C33" s="306">
        <f>ROUND([2]CPI!H107,2)</f>
        <v>185.51</v>
      </c>
      <c r="D33" s="136">
        <f t="shared" si="2"/>
        <v>185.75884477216869</v>
      </c>
      <c r="E33" s="136">
        <f t="shared" si="3"/>
        <v>185.67022463453219</v>
      </c>
      <c r="F33" s="136"/>
      <c r="G33" s="136"/>
      <c r="H33" s="28"/>
      <c r="I33" s="79"/>
      <c r="J33" s="28"/>
      <c r="K33" s="79"/>
      <c r="L33" s="79"/>
      <c r="M33" s="2"/>
      <c r="N33" s="12">
        <f t="shared" si="4"/>
        <v>2013.5</v>
      </c>
    </row>
    <row r="34" spans="1:14" x14ac:dyDescent="0.2">
      <c r="A34" s="21" t="str">
        <f t="shared" si="1"/>
        <v>9/30/2013</v>
      </c>
      <c r="B34" s="138"/>
      <c r="C34" s="306">
        <f>ROUND([2]CPI!H108,2)</f>
        <v>185.82</v>
      </c>
      <c r="D34" s="136">
        <f t="shared" si="2"/>
        <v>186.22739270183411</v>
      </c>
      <c r="E34" s="136">
        <f t="shared" si="3"/>
        <v>186.13652816498418</v>
      </c>
      <c r="F34" s="136"/>
      <c r="G34" s="136"/>
      <c r="H34" s="34"/>
      <c r="I34" s="79"/>
      <c r="J34" s="34"/>
      <c r="K34" s="79"/>
      <c r="L34" s="79"/>
      <c r="M34" s="2"/>
      <c r="N34" s="12">
        <f t="shared" si="4"/>
        <v>2013.75</v>
      </c>
    </row>
    <row r="35" spans="1:14" x14ac:dyDescent="0.2">
      <c r="A35" s="21" t="str">
        <f t="shared" si="1"/>
        <v>12/31/2013</v>
      </c>
      <c r="B35" s="21"/>
      <c r="C35" s="306">
        <f>ROUND([2]CPI!H109,2)</f>
        <v>186.03</v>
      </c>
      <c r="D35" s="136">
        <f t="shared" si="2"/>
        <v>186.69594063149952</v>
      </c>
      <c r="E35" s="136">
        <f t="shared" si="3"/>
        <v>186.60400279857248</v>
      </c>
      <c r="F35" s="136"/>
      <c r="G35" s="136"/>
      <c r="H35" s="58"/>
      <c r="I35" s="58"/>
      <c r="J35" s="58"/>
      <c r="K35" s="58"/>
      <c r="L35" s="58"/>
      <c r="M35" s="2"/>
      <c r="N35" s="12">
        <f t="shared" si="4"/>
        <v>2014</v>
      </c>
    </row>
    <row r="36" spans="1:14" x14ac:dyDescent="0.2">
      <c r="A36" s="21" t="str">
        <f t="shared" si="1"/>
        <v>3/31/2014</v>
      </c>
      <c r="B36" s="21"/>
      <c r="C36" s="306">
        <f>ROUND([2]CPI!H110,2)</f>
        <v>186.43</v>
      </c>
      <c r="D36" s="136">
        <f t="shared" si="2"/>
        <v>187.16448856116494</v>
      </c>
      <c r="E36" s="136">
        <f t="shared" si="3"/>
        <v>187.07265147647831</v>
      </c>
      <c r="F36" s="136">
        <f>TREND($C$36:$C$55,$N$36:$N$55,$N36,TRUE)</f>
        <v>186.99628571428639</v>
      </c>
      <c r="G36" s="136">
        <f>GROWTH($C$36:$C$55,$N$36:$N$55,$N36,TRUE)</f>
        <v>187.02548144463805</v>
      </c>
      <c r="H36" s="58"/>
      <c r="I36" s="21"/>
      <c r="J36" s="58"/>
      <c r="K36" s="21"/>
      <c r="L36" s="21"/>
      <c r="M36" s="2"/>
      <c r="N36" s="12">
        <f t="shared" si="4"/>
        <v>2014.25</v>
      </c>
    </row>
    <row r="37" spans="1:14" x14ac:dyDescent="0.2">
      <c r="A37" s="21" t="str">
        <f t="shared" si="1"/>
        <v>6/30/2014</v>
      </c>
      <c r="B37" s="21"/>
      <c r="C37" s="306">
        <f>ROUND([2]CPI!H111,2)</f>
        <v>186.87</v>
      </c>
      <c r="D37" s="136">
        <f t="shared" si="2"/>
        <v>187.63303649082991</v>
      </c>
      <c r="E37" s="136">
        <f t="shared" si="3"/>
        <v>187.54247714726748</v>
      </c>
      <c r="F37" s="136">
        <f t="shared" ref="F37:F55" si="5">TREND($C$36:$C$55,$N$36:$N$55,$N37,TRUE)</f>
        <v>187.50509774436159</v>
      </c>
      <c r="G37" s="136">
        <f t="shared" ref="G37:G55" si="6">GROWTH($C$36:$C$55,$N$36:$N$55,$N37,TRUE)</f>
        <v>187.52312227078508</v>
      </c>
      <c r="H37" s="136"/>
      <c r="I37" s="136"/>
      <c r="J37" s="79"/>
      <c r="K37" s="79"/>
      <c r="L37" s="79"/>
      <c r="M37" s="2"/>
      <c r="N37" s="12">
        <f t="shared" si="4"/>
        <v>2014.5</v>
      </c>
    </row>
    <row r="38" spans="1:14" x14ac:dyDescent="0.2">
      <c r="A38" s="21" t="str">
        <f t="shared" si="1"/>
        <v>9/30/2014</v>
      </c>
      <c r="B38" s="21"/>
      <c r="C38" s="306">
        <f>ROUND([2]CPI!H112,2)</f>
        <v>187.59</v>
      </c>
      <c r="D38" s="136">
        <f t="shared" si="2"/>
        <v>188.10158442049533</v>
      </c>
      <c r="E38" s="136">
        <f t="shared" si="3"/>
        <v>188.01348276691175</v>
      </c>
      <c r="F38" s="136">
        <f t="shared" si="5"/>
        <v>188.0139097744368</v>
      </c>
      <c r="G38" s="136">
        <f t="shared" si="6"/>
        <v>188.02208722875594</v>
      </c>
      <c r="H38" s="136"/>
      <c r="I38" s="136"/>
      <c r="J38" s="79"/>
      <c r="K38" s="79"/>
      <c r="L38" s="79"/>
      <c r="M38" s="2"/>
      <c r="N38" s="12">
        <f t="shared" si="4"/>
        <v>2014.75</v>
      </c>
    </row>
    <row r="39" spans="1:14" x14ac:dyDescent="0.2">
      <c r="A39" s="21" t="str">
        <f t="shared" si="1"/>
        <v>12/31/2014</v>
      </c>
      <c r="B39" s="21"/>
      <c r="C39" s="306">
        <f>ROUND([2]CPI!H113,2)</f>
        <v>188.62</v>
      </c>
      <c r="D39" s="136">
        <f t="shared" si="2"/>
        <v>188.57013235016075</v>
      </c>
      <c r="E39" s="136">
        <f t="shared" si="3"/>
        <v>188.48567129880672</v>
      </c>
      <c r="F39" s="136">
        <f t="shared" si="5"/>
        <v>188.522721804512</v>
      </c>
      <c r="G39" s="136">
        <f t="shared" si="6"/>
        <v>188.52237984182483</v>
      </c>
      <c r="H39" s="136"/>
      <c r="I39" s="136"/>
      <c r="J39" s="79"/>
      <c r="K39" s="79"/>
      <c r="L39" s="79"/>
      <c r="M39" s="2"/>
      <c r="N39" s="12">
        <f t="shared" si="4"/>
        <v>2015</v>
      </c>
    </row>
    <row r="40" spans="1:14" x14ac:dyDescent="0.2">
      <c r="A40" s="21" t="str">
        <f t="shared" si="1"/>
        <v>3/31/2015</v>
      </c>
      <c r="B40" s="21"/>
      <c r="C40" s="306">
        <f>ROUND([2]CPI!H114,2)</f>
        <v>189.46</v>
      </c>
      <c r="D40" s="136">
        <f t="shared" si="2"/>
        <v>189.03868027982617</v>
      </c>
      <c r="E40" s="136">
        <f t="shared" si="3"/>
        <v>188.95904571379032</v>
      </c>
      <c r="F40" s="136">
        <f t="shared" si="5"/>
        <v>189.03153383458721</v>
      </c>
      <c r="G40" s="136">
        <f t="shared" si="6"/>
        <v>189.02400364264076</v>
      </c>
      <c r="H40" s="136">
        <f>TREND($C$40:$C$55,$N$40:$N$55,$N40,TRUE)</f>
        <v>189.4883823529417</v>
      </c>
      <c r="I40" s="136">
        <f>GROWTH($C$40:$C$55,$N$40:$N$55,$N40,TRUE)</f>
        <v>189.5030244315455</v>
      </c>
      <c r="J40" s="42"/>
      <c r="K40" s="46"/>
      <c r="L40" s="46"/>
      <c r="M40" s="2"/>
      <c r="N40" s="12">
        <f t="shared" si="4"/>
        <v>2015.25</v>
      </c>
    </row>
    <row r="41" spans="1:14" x14ac:dyDescent="0.2">
      <c r="A41" s="21" t="str">
        <f t="shared" si="1"/>
        <v>6/30/2015</v>
      </c>
      <c r="B41" s="21"/>
      <c r="C41" s="306">
        <f>ROUND([2]CPI!H115,2)</f>
        <v>189.59</v>
      </c>
      <c r="D41" s="136">
        <f t="shared" si="2"/>
        <v>189.50722820949159</v>
      </c>
      <c r="E41" s="136">
        <f t="shared" si="3"/>
        <v>189.43360899016173</v>
      </c>
      <c r="F41" s="136">
        <f t="shared" si="5"/>
        <v>189.54034586466241</v>
      </c>
      <c r="G41" s="136">
        <f t="shared" si="6"/>
        <v>189.52696217325249</v>
      </c>
      <c r="H41" s="136">
        <f t="shared" ref="H41:H55" si="7">TREND($C$40:$C$55,$N$40:$N$55,$N41,TRUE)</f>
        <v>189.94901470588275</v>
      </c>
      <c r="I41" s="136">
        <f t="shared" ref="I41:I55" si="8">GROWTH($C$40:$C$55,$N$40:$N$55,$N41,TRUE)</f>
        <v>189.95654101062695</v>
      </c>
      <c r="J41" s="136"/>
      <c r="K41" s="136"/>
      <c r="L41" s="136"/>
      <c r="M41" s="2"/>
      <c r="N41" s="12">
        <f t="shared" si="4"/>
        <v>2015.5</v>
      </c>
    </row>
    <row r="42" spans="1:14" x14ac:dyDescent="0.2">
      <c r="A42" s="21" t="str">
        <f t="shared" si="1"/>
        <v>9/30/2015</v>
      </c>
      <c r="B42" s="138"/>
      <c r="C42" s="306">
        <f>ROUND([2]CPI!H116,2)</f>
        <v>190.03</v>
      </c>
      <c r="D42" s="136">
        <f t="shared" si="2"/>
        <v>189.97577613915701</v>
      </c>
      <c r="E42" s="136">
        <f t="shared" si="3"/>
        <v>189.90936411369927</v>
      </c>
      <c r="F42" s="136">
        <f t="shared" si="5"/>
        <v>190.04915789473762</v>
      </c>
      <c r="G42" s="136">
        <f t="shared" si="6"/>
        <v>190.03125898513343</v>
      </c>
      <c r="H42" s="136">
        <f t="shared" si="7"/>
        <v>190.40964705882379</v>
      </c>
      <c r="I42" s="136">
        <f t="shared" si="8"/>
        <v>190.41114294065724</v>
      </c>
      <c r="J42" s="136"/>
      <c r="K42" s="136"/>
      <c r="L42" s="136"/>
      <c r="M42" s="2"/>
      <c r="N42" s="12">
        <f t="shared" si="4"/>
        <v>2015.75</v>
      </c>
    </row>
    <row r="43" spans="1:14" x14ac:dyDescent="0.2">
      <c r="A43" s="21" t="str">
        <f t="shared" si="1"/>
        <v>12/31/2015</v>
      </c>
      <c r="B43" s="21"/>
      <c r="C43" s="306">
        <f>ROUND([2]CPI!H117,2)</f>
        <v>190.5</v>
      </c>
      <c r="D43" s="136">
        <f>TREND($C$14:$C$55,$N$14:$N$55,$N43,TRUE)</f>
        <v>190.44432406882197</v>
      </c>
      <c r="E43" s="136">
        <f t="shared" si="3"/>
        <v>190.38631407768204</v>
      </c>
      <c r="F43" s="136">
        <f t="shared" si="5"/>
        <v>190.55796992481191</v>
      </c>
      <c r="G43" s="136">
        <f t="shared" si="6"/>
        <v>190.5368976392063</v>
      </c>
      <c r="H43" s="136">
        <f t="shared" si="7"/>
        <v>190.8702794117653</v>
      </c>
      <c r="I43" s="136">
        <f t="shared" si="8"/>
        <v>190.86683281908782</v>
      </c>
      <c r="J43" s="136"/>
      <c r="K43" s="136"/>
      <c r="L43" s="136"/>
      <c r="M43" s="2"/>
      <c r="N43" s="12">
        <f t="shared" si="4"/>
        <v>2016</v>
      </c>
    </row>
    <row r="44" spans="1:14" x14ac:dyDescent="0.2">
      <c r="A44" s="21" t="str">
        <f t="shared" si="1"/>
        <v>3/31/2016</v>
      </c>
      <c r="B44" s="21"/>
      <c r="C44" s="306">
        <f>ROUND([2]CPI!H118,2)</f>
        <v>190.95</v>
      </c>
      <c r="D44" s="136">
        <f t="shared" si="2"/>
        <v>190.91287199848739</v>
      </c>
      <c r="E44" s="136">
        <f t="shared" si="3"/>
        <v>190.86446188290452</v>
      </c>
      <c r="F44" s="136">
        <f t="shared" si="5"/>
        <v>191.06678195488712</v>
      </c>
      <c r="G44" s="136">
        <f t="shared" si="6"/>
        <v>191.04388170587066</v>
      </c>
      <c r="H44" s="136">
        <f t="shared" si="7"/>
        <v>191.33091176470634</v>
      </c>
      <c r="I44" s="136">
        <f t="shared" si="8"/>
        <v>191.32361324958362</v>
      </c>
      <c r="J44" s="136">
        <f>TREND($C$44:$C$55,$N$44:$N$55,$N44,TRUE)</f>
        <v>191.75551282051265</v>
      </c>
      <c r="K44" s="136">
        <f>GROWTH($C$44:$C$55,$N$44:$N$55,$N44,TRUE)</f>
        <v>191.76042593185255</v>
      </c>
      <c r="L44" s="136"/>
      <c r="M44" s="2"/>
      <c r="N44" s="12">
        <f t="shared" si="4"/>
        <v>2016.25</v>
      </c>
    </row>
    <row r="45" spans="1:14" x14ac:dyDescent="0.2">
      <c r="A45" s="21" t="str">
        <f t="shared" si="1"/>
        <v>6/30/2016</v>
      </c>
      <c r="B45" s="21"/>
      <c r="C45" s="306">
        <f>ROUND([2]CPI!H119,2)</f>
        <v>192.03</v>
      </c>
      <c r="D45" s="136">
        <f t="shared" si="2"/>
        <v>191.38141992815281</v>
      </c>
      <c r="E45" s="136">
        <f t="shared" si="3"/>
        <v>191.34381053769829</v>
      </c>
      <c r="F45" s="136">
        <f t="shared" si="5"/>
        <v>191.57559398496232</v>
      </c>
      <c r="G45" s="136">
        <f t="shared" si="6"/>
        <v>191.55221476502436</v>
      </c>
      <c r="H45" s="136">
        <f t="shared" si="7"/>
        <v>191.79154411764739</v>
      </c>
      <c r="I45" s="136">
        <f t="shared" si="8"/>
        <v>191.78148684204334</v>
      </c>
      <c r="J45" s="136">
        <f t="shared" ref="J45:J55" si="9">TREND($C$44:$C$55,$N$44:$N$55,$N45,TRUE)</f>
        <v>192.15617715617691</v>
      </c>
      <c r="K45" s="136">
        <f t="shared" ref="K45:K54" si="10">GROWTH($C$44:$C$55,$N$44:$N$55,$N45,TRUE)</f>
        <v>192.15737848466216</v>
      </c>
      <c r="L45" s="136"/>
      <c r="M45" s="2"/>
      <c r="N45" s="12">
        <f t="shared" si="4"/>
        <v>2016.5</v>
      </c>
    </row>
    <row r="46" spans="1:14" x14ac:dyDescent="0.2">
      <c r="A46" s="21" t="str">
        <f t="shared" si="1"/>
        <v>9/30/2016</v>
      </c>
      <c r="B46" s="21"/>
      <c r="C46" s="306">
        <f>ROUND([2]CPI!H120,2)</f>
        <v>192.82</v>
      </c>
      <c r="D46" s="136">
        <f t="shared" si="2"/>
        <v>191.84996785781823</v>
      </c>
      <c r="E46" s="136">
        <f t="shared" si="3"/>
        <v>191.82436305795019</v>
      </c>
      <c r="F46" s="136">
        <f t="shared" si="5"/>
        <v>192.08440601503753</v>
      </c>
      <c r="G46" s="136">
        <f t="shared" si="6"/>
        <v>192.0619004060913</v>
      </c>
      <c r="H46" s="136">
        <f t="shared" si="7"/>
        <v>192.25217647058889</v>
      </c>
      <c r="I46" s="136">
        <f t="shared" si="8"/>
        <v>192.24045621260896</v>
      </c>
      <c r="J46" s="136">
        <f t="shared" si="9"/>
        <v>192.55684149184117</v>
      </c>
      <c r="K46" s="136">
        <f t="shared" si="10"/>
        <v>192.55515274679243</v>
      </c>
      <c r="L46" s="136"/>
      <c r="M46" s="2"/>
      <c r="N46" s="12">
        <f t="shared" si="4"/>
        <v>2016.75</v>
      </c>
    </row>
    <row r="47" spans="1:14" x14ac:dyDescent="0.2">
      <c r="A47" s="21" t="str">
        <f t="shared" si="1"/>
        <v>12/31/2016</v>
      </c>
      <c r="B47" s="138"/>
      <c r="C47" s="306">
        <f>ROUND([2]CPI!H121,2)</f>
        <v>193.56</v>
      </c>
      <c r="D47" s="136">
        <f t="shared" si="2"/>
        <v>192.31851578748365</v>
      </c>
      <c r="E47" s="136">
        <f t="shared" si="3"/>
        <v>192.30612246712144</v>
      </c>
      <c r="F47" s="136">
        <f t="shared" si="5"/>
        <v>192.59321804511274</v>
      </c>
      <c r="G47" s="136">
        <f t="shared" si="6"/>
        <v>192.57294222804614</v>
      </c>
      <c r="H47" s="136">
        <f t="shared" si="7"/>
        <v>192.71280882352994</v>
      </c>
      <c r="I47" s="136">
        <f t="shared" si="8"/>
        <v>192.70052398368611</v>
      </c>
      <c r="J47" s="136">
        <f t="shared" si="9"/>
        <v>192.95750582750543</v>
      </c>
      <c r="K47" s="136">
        <f t="shared" si="10"/>
        <v>192.9537504192165</v>
      </c>
      <c r="L47" s="136"/>
      <c r="M47" s="2"/>
      <c r="N47" s="12">
        <f t="shared" si="4"/>
        <v>2017</v>
      </c>
    </row>
    <row r="48" spans="1:14" x14ac:dyDescent="0.2">
      <c r="A48" s="21" t="str">
        <f t="shared" si="1"/>
        <v>3/31/2017</v>
      </c>
      <c r="B48" s="21"/>
      <c r="C48" s="306">
        <f>ROUND([2]CPI!H122,2)</f>
        <v>193.86</v>
      </c>
      <c r="D48" s="136">
        <f t="shared" si="2"/>
        <v>192.78706371714907</v>
      </c>
      <c r="E48" s="136">
        <f t="shared" si="3"/>
        <v>192.78909179626584</v>
      </c>
      <c r="F48" s="136">
        <f t="shared" si="5"/>
        <v>193.10203007518794</v>
      </c>
      <c r="G48" s="136">
        <f t="shared" si="6"/>
        <v>193.08534383943993</v>
      </c>
      <c r="H48" s="136">
        <f t="shared" si="7"/>
        <v>193.17344117647099</v>
      </c>
      <c r="I48" s="136">
        <f t="shared" si="8"/>
        <v>193.16169278395361</v>
      </c>
      <c r="J48" s="136">
        <f t="shared" si="9"/>
        <v>193.35817016316969</v>
      </c>
      <c r="K48" s="136">
        <f t="shared" si="10"/>
        <v>193.3531732064308</v>
      </c>
      <c r="L48" s="136"/>
      <c r="M48" s="2"/>
      <c r="N48" s="12">
        <f t="shared" si="4"/>
        <v>2017.25</v>
      </c>
    </row>
    <row r="49" spans="1:14" x14ac:dyDescent="0.2">
      <c r="A49" s="21" t="str">
        <f t="shared" si="1"/>
        <v>6/30/2017</v>
      </c>
      <c r="B49" s="21"/>
      <c r="C49" s="306">
        <f>ROUND([2]CPI!H123,2)</f>
        <v>194.07</v>
      </c>
      <c r="D49" s="136">
        <f t="shared" si="2"/>
        <v>193.25561164681403</v>
      </c>
      <c r="E49" s="136">
        <f t="shared" si="3"/>
        <v>193.27327408405151</v>
      </c>
      <c r="F49" s="136">
        <f>TREND($C$36:$C$55,$N$36:$N$55,$N49,TRUE)</f>
        <v>193.61084210526315</v>
      </c>
      <c r="G49" s="136">
        <f t="shared" si="6"/>
        <v>193.59910885842524</v>
      </c>
      <c r="H49" s="136">
        <f t="shared" si="7"/>
        <v>193.63407352941203</v>
      </c>
      <c r="I49" s="136">
        <f t="shared" si="8"/>
        <v>193.62396524838391</v>
      </c>
      <c r="J49" s="136">
        <f t="shared" si="9"/>
        <v>193.7588344988344</v>
      </c>
      <c r="K49" s="136">
        <f t="shared" si="10"/>
        <v>193.75342281646002</v>
      </c>
      <c r="L49" s="136"/>
      <c r="M49" s="2"/>
      <c r="N49" s="12">
        <f t="shared" si="4"/>
        <v>2017.5</v>
      </c>
    </row>
    <row r="50" spans="1:14" x14ac:dyDescent="0.2">
      <c r="A50" s="21" t="str">
        <f t="shared" si="1"/>
        <v>9/30/2017</v>
      </c>
      <c r="B50" s="21"/>
      <c r="C50" s="306">
        <f>ROUND([2]CPI!H124,2)</f>
        <v>194.2</v>
      </c>
      <c r="D50" s="136">
        <f t="shared" si="2"/>
        <v>193.72415957647945</v>
      </c>
      <c r="E50" s="136">
        <f>GROWTH($C$14:$C$55,$N$14:$N$55,$N50,TRUE)</f>
        <v>193.75867237677619</v>
      </c>
      <c r="F50" s="136">
        <f t="shared" si="5"/>
        <v>194.11965413533835</v>
      </c>
      <c r="G50" s="136">
        <f t="shared" si="6"/>
        <v>194.11424091278198</v>
      </c>
      <c r="H50" s="136">
        <f t="shared" si="7"/>
        <v>194.09470588235354</v>
      </c>
      <c r="I50" s="136">
        <f t="shared" si="8"/>
        <v>194.08734401825268</v>
      </c>
      <c r="J50" s="136">
        <f t="shared" si="9"/>
        <v>194.15949883449866</v>
      </c>
      <c r="K50" s="136">
        <f t="shared" si="10"/>
        <v>194.15450096086258</v>
      </c>
      <c r="L50" s="136"/>
      <c r="M50" s="2"/>
      <c r="N50" s="12">
        <f t="shared" si="4"/>
        <v>2017.75</v>
      </c>
    </row>
    <row r="51" spans="1:14" x14ac:dyDescent="0.2">
      <c r="A51" s="21" t="str">
        <f t="shared" si="1"/>
        <v>12/31/2017</v>
      </c>
      <c r="B51" s="21"/>
      <c r="C51" s="306">
        <f>ROUND([2]CPI!H125,2)</f>
        <v>194.18</v>
      </c>
      <c r="D51" s="136">
        <f t="shared" si="2"/>
        <v>194.19270750614487</v>
      </c>
      <c r="E51" s="136">
        <f t="shared" si="3"/>
        <v>194.24528972838883</v>
      </c>
      <c r="F51" s="136">
        <f t="shared" si="5"/>
        <v>194.62846616541356</v>
      </c>
      <c r="G51" s="136">
        <f t="shared" si="6"/>
        <v>194.63074363994289</v>
      </c>
      <c r="H51" s="136">
        <f t="shared" si="7"/>
        <v>194.55533823529458</v>
      </c>
      <c r="I51" s="136">
        <f t="shared" si="8"/>
        <v>194.55183174115882</v>
      </c>
      <c r="J51" s="136">
        <f t="shared" si="9"/>
        <v>194.56016317016292</v>
      </c>
      <c r="K51" s="136">
        <f t="shared" si="10"/>
        <v>194.55640935474264</v>
      </c>
      <c r="L51" s="136"/>
      <c r="M51" s="2"/>
      <c r="N51" s="12">
        <f t="shared" si="4"/>
        <v>2018</v>
      </c>
    </row>
    <row r="52" spans="1:14" x14ac:dyDescent="0.2">
      <c r="A52" s="21" t="str">
        <f t="shared" si="1"/>
        <v>3/31/2018</v>
      </c>
      <c r="B52" s="121"/>
      <c r="C52" s="306">
        <f>ROUND([2]CPI!H126,2)</f>
        <v>194.71</v>
      </c>
      <c r="D52" s="136">
        <f t="shared" si="2"/>
        <v>194.66125543581029</v>
      </c>
      <c r="E52" s="136">
        <f t="shared" si="3"/>
        <v>194.73312920050833</v>
      </c>
      <c r="F52" s="136">
        <f t="shared" si="5"/>
        <v>195.13727819548876</v>
      </c>
      <c r="G52" s="136">
        <f t="shared" si="6"/>
        <v>195.1486206870193</v>
      </c>
      <c r="H52" s="136">
        <f t="shared" si="7"/>
        <v>195.01597058823563</v>
      </c>
      <c r="I52" s="136">
        <f t="shared" si="8"/>
        <v>195.01743107103732</v>
      </c>
      <c r="J52" s="136">
        <f t="shared" si="9"/>
        <v>194.96082750582718</v>
      </c>
      <c r="K52" s="136">
        <f t="shared" si="10"/>
        <v>194.95914971675188</v>
      </c>
      <c r="L52" s="136"/>
      <c r="M52" s="2"/>
      <c r="N52" s="12">
        <f t="shared" si="4"/>
        <v>2018.25</v>
      </c>
    </row>
    <row r="53" spans="1:14" x14ac:dyDescent="0.2">
      <c r="A53" s="21" t="str">
        <f t="shared" si="1"/>
        <v>6/30/2018</v>
      </c>
      <c r="B53" s="21"/>
      <c r="C53" s="306">
        <f>ROUND([2]CPI!H127,2)</f>
        <v>195.24</v>
      </c>
      <c r="D53" s="136">
        <f t="shared" si="2"/>
        <v>195.12980336547571</v>
      </c>
      <c r="E53" s="136">
        <f t="shared" si="3"/>
        <v>195.22219386244265</v>
      </c>
      <c r="F53" s="136">
        <f t="shared" si="5"/>
        <v>195.64609022556397</v>
      </c>
      <c r="G53" s="136">
        <f t="shared" si="6"/>
        <v>195.66787571082679</v>
      </c>
      <c r="H53" s="136">
        <f t="shared" si="7"/>
        <v>195.47660294117713</v>
      </c>
      <c r="I53" s="136">
        <f t="shared" si="8"/>
        <v>195.4841446681726</v>
      </c>
      <c r="J53" s="136">
        <f t="shared" si="9"/>
        <v>195.36149184149144</v>
      </c>
      <c r="K53" s="136">
        <f t="shared" si="10"/>
        <v>195.36272376910176</v>
      </c>
      <c r="L53"/>
      <c r="M53" s="2"/>
      <c r="N53" s="12">
        <f t="shared" si="4"/>
        <v>2018.5</v>
      </c>
    </row>
    <row r="54" spans="1:14" x14ac:dyDescent="0.2">
      <c r="A54" s="21" t="str">
        <f>TEXT(DATE(YEAR(A55+1),MONTH(A55+1)-3,1)-1,"m/d/yyyy")</f>
        <v>9/30/2018</v>
      </c>
      <c r="B54" s="21"/>
      <c r="C54" s="306">
        <f>ROUND([2]CPI!H128,2)</f>
        <v>195.63</v>
      </c>
      <c r="D54" s="136">
        <f t="shared" si="2"/>
        <v>195.59835129514113</v>
      </c>
      <c r="E54" s="136">
        <f t="shared" si="3"/>
        <v>195.71248679120762</v>
      </c>
      <c r="F54" s="136">
        <f t="shared" si="5"/>
        <v>196.15490225563917</v>
      </c>
      <c r="G54" s="136">
        <f t="shared" si="6"/>
        <v>196.18851237791037</v>
      </c>
      <c r="H54" s="136">
        <f t="shared" si="7"/>
        <v>195.93723529411818</v>
      </c>
      <c r="I54" s="136">
        <f t="shared" si="8"/>
        <v>195.95197519921828</v>
      </c>
      <c r="J54" s="136">
        <f t="shared" si="9"/>
        <v>195.7621561771557</v>
      </c>
      <c r="K54" s="136">
        <f t="shared" si="10"/>
        <v>195.76713323756883</v>
      </c>
      <c r="L54"/>
      <c r="M54" s="2"/>
      <c r="N54" s="12">
        <f t="shared" si="4"/>
        <v>2018.75</v>
      </c>
    </row>
    <row r="55" spans="1:14" x14ac:dyDescent="0.2">
      <c r="A55" s="21" t="str">
        <f>TEXT(N9,"m/d/yyyy")</f>
        <v>12/31/2018</v>
      </c>
      <c r="B55" s="21"/>
      <c r="C55" s="306">
        <f>ROUND([2]CPI!H129,2)</f>
        <v>196.26</v>
      </c>
      <c r="D55" s="136">
        <f>TREND($C$14:$C$55,$N$14:$N$55,$N55,TRUE)</f>
        <v>196.06689922480609</v>
      </c>
      <c r="E55" s="136">
        <f>GROWTH($C$14:$C$55,$N$14:$N$55,$N55,TRUE)</f>
        <v>196.20401107154885</v>
      </c>
      <c r="F55" s="136">
        <f t="shared" si="5"/>
        <v>196.66371428571438</v>
      </c>
      <c r="G55" s="136">
        <f t="shared" si="6"/>
        <v>196.71053436457316</v>
      </c>
      <c r="H55" s="136">
        <f t="shared" si="7"/>
        <v>196.39786764705923</v>
      </c>
      <c r="I55" s="136">
        <f t="shared" si="8"/>
        <v>196.42092533720714</v>
      </c>
      <c r="J55" s="136">
        <f t="shared" si="9"/>
        <v>196.16282051282042</v>
      </c>
      <c r="K55" s="136">
        <f>GROWTH($C$44:$C$55,$N$44:$N$55,$N55,TRUE)</f>
        <v>196.17237985149995</v>
      </c>
      <c r="L55" s="187"/>
      <c r="M55" s="2"/>
      <c r="N55" s="12">
        <f>YEAR(A55)+MONTH(A55)/12</f>
        <v>2019</v>
      </c>
    </row>
    <row r="56" spans="1:14" x14ac:dyDescent="0.2">
      <c r="A56" s="140"/>
      <c r="B56" s="139"/>
      <c r="C56" s="237"/>
      <c r="D56" s="137"/>
      <c r="E56" s="137"/>
      <c r="F56" s="137"/>
      <c r="G56" s="137"/>
      <c r="H56" s="137"/>
      <c r="I56" s="137"/>
      <c r="J56" s="137"/>
      <c r="K56" s="137"/>
      <c r="L56"/>
      <c r="M56" s="2"/>
    </row>
    <row r="57" spans="1:14" x14ac:dyDescent="0.2">
      <c r="A57" s="47"/>
      <c r="B57" s="125"/>
      <c r="C57" s="47"/>
      <c r="D57" s="47"/>
      <c r="E57" s="47"/>
      <c r="F57" s="47"/>
      <c r="G57" s="47"/>
      <c r="H57" s="47"/>
      <c r="I57" s="121"/>
      <c r="J57" s="47"/>
      <c r="K57" s="47"/>
      <c r="L57" s="47"/>
      <c r="M57" s="2"/>
    </row>
    <row r="58" spans="1:14" x14ac:dyDescent="0.2">
      <c r="A58" s="12" t="s">
        <v>296</v>
      </c>
      <c r="C58"/>
      <c r="D58" s="19">
        <f>(D55-D51)/D55</f>
        <v>9.5589399642226954E-3</v>
      </c>
      <c r="E58" s="19">
        <f>LOGEST($C$14:$C$55,$N$14:$N$55,TRUE,TRUE)-1</f>
        <v>1.008375207398382E-2</v>
      </c>
      <c r="F58" s="19">
        <f>(F55-F51)/F55</f>
        <v>1.0348874614175134E-2</v>
      </c>
      <c r="G58" s="19">
        <f>LOGEST($C$36:$C$55,$N$36:$N$55,TRUE,TRUE)-1</f>
        <v>1.0685828383198537E-2</v>
      </c>
      <c r="H58" s="19">
        <f>(H55-H51)/H55</f>
        <v>9.3816161745493044E-3</v>
      </c>
      <c r="I58" s="19">
        <f>LOGEST($C$40:$C$55,$N$40:$N$55,TRUE,TRUE)-1</f>
        <v>9.6071755239750534E-3</v>
      </c>
      <c r="J58" s="19">
        <f>(J55-J51)/J55</f>
        <v>8.1700361896700543E-3</v>
      </c>
      <c r="K58" s="19">
        <f>LOGEST($C$44:$C$55,$N$44:$N$55,TRUE,TRUE)-1</f>
        <v>8.3059226993198454E-3</v>
      </c>
      <c r="L58" s="19"/>
      <c r="M58" s="2"/>
    </row>
    <row r="59" spans="1:14" x14ac:dyDescent="0.2">
      <c r="A59" s="138" t="s">
        <v>297</v>
      </c>
      <c r="B59" s="131"/>
      <c r="C59" s="90"/>
      <c r="D59" s="122">
        <f>INDEX(LINEST($C$14:$C$55,$N$14:$N$55,TRUE,TRUE),3,1)</f>
        <v>0.9427518432287908</v>
      </c>
      <c r="E59" s="122">
        <f>INDEX(LOGEST($C$14:$C$55,$N$14:$N$55,TRUE,TRUE),3,1)</f>
        <v>0.94196712374844127</v>
      </c>
      <c r="F59" s="122">
        <f>INDEX(LINEST($C$36:$C$55,$N$36:$N$55,TRUE,TRUE),3,1)</f>
        <v>0.97409880590428954</v>
      </c>
      <c r="G59" s="122">
        <f>INDEX(LOGEST($C$36:$C$55,$N$36:$N$55,TRUE,TRUE),3,1)</f>
        <v>0.97261536897266887</v>
      </c>
      <c r="H59" s="122">
        <f>INDEX(LINEST($C$40:$C$55,$N$40:$N$55,TRUE,TRUE),3,1)</f>
        <v>0.96354536118342804</v>
      </c>
      <c r="I59" s="122">
        <f>INDEX(LOGEST($C$40:$C$55,$N$40:$N$55,TRUE,TRUE),3,1)</f>
        <v>0.96254119256212634</v>
      </c>
      <c r="J59" s="122">
        <f>INDEX(LINEST($C$44:$C$55,$N$44:$N$55,TRUE,TRUE),3,1)</f>
        <v>0.9311863247854838</v>
      </c>
      <c r="K59" s="122">
        <f>INDEX(LOGEST($C$44:$C$55,$N$44:$N$55,TRUE,TRUE),3,1)</f>
        <v>0.92982480296551229</v>
      </c>
      <c r="L59" s="122"/>
      <c r="M59" s="2"/>
    </row>
    <row r="60" spans="1:14" ht="12" thickBot="1" x14ac:dyDescent="0.25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47"/>
      <c r="M60" s="2"/>
    </row>
    <row r="61" spans="1:14" ht="12" thickTop="1" x14ac:dyDescent="0.2">
      <c r="A61"/>
      <c r="B61"/>
      <c r="C61"/>
      <c r="D61"/>
      <c r="E61"/>
      <c r="F61"/>
      <c r="G61"/>
      <c r="H61"/>
      <c r="I61" s="47"/>
      <c r="J61"/>
      <c r="K61" s="47"/>
      <c r="L61" s="47"/>
      <c r="M61" s="2"/>
    </row>
    <row r="62" spans="1:14" x14ac:dyDescent="0.2">
      <c r="A62" t="s">
        <v>19</v>
      </c>
      <c r="B62"/>
      <c r="F62"/>
      <c r="G62"/>
      <c r="H62"/>
      <c r="I62"/>
      <c r="J62"/>
      <c r="K62"/>
      <c r="L62"/>
      <c r="M62" s="2"/>
    </row>
    <row r="63" spans="1:14" x14ac:dyDescent="0.2">
      <c r="A63"/>
      <c r="B63" s="21" t="str">
        <f>C12&amp;" = Weighted average of CPI for Lodging, Apparel, Furnishings, and Medical Care"</f>
        <v>(2) = Weighted average of CPI for Lodging, Apparel, Furnishings, and Medical Care</v>
      </c>
      <c r="C63"/>
      <c r="D63"/>
      <c r="E63"/>
      <c r="F63"/>
      <c r="H63"/>
      <c r="J63"/>
      <c r="K63"/>
      <c r="L63"/>
      <c r="M63" s="2"/>
    </row>
    <row r="64" spans="1:14" x14ac:dyDescent="0.2">
      <c r="A64"/>
      <c r="B64" s="21" t="str">
        <f>D12&amp;" - "&amp;K12&amp;" = "&amp;C12&amp;" fitted to linear and exponential distributions"</f>
        <v>(3) - (10) = (2) fitted to linear and exponential distributions</v>
      </c>
      <c r="D64"/>
      <c r="E64"/>
      <c r="F64"/>
      <c r="H64"/>
      <c r="J64"/>
      <c r="K64"/>
      <c r="L64"/>
      <c r="M64" s="2"/>
    </row>
    <row r="65" spans="1:13" x14ac:dyDescent="0.2">
      <c r="A65"/>
      <c r="B65" s="21"/>
      <c r="D65"/>
      <c r="E65"/>
      <c r="F65"/>
      <c r="H65"/>
      <c r="J65"/>
      <c r="K65"/>
      <c r="L65"/>
      <c r="M65" s="2"/>
    </row>
    <row r="66" spans="1:13" x14ac:dyDescent="0.2">
      <c r="A66"/>
      <c r="B66" s="21"/>
      <c r="D66"/>
      <c r="E66"/>
      <c r="F66"/>
      <c r="H66"/>
      <c r="J66"/>
      <c r="K66"/>
      <c r="L66"/>
      <c r="M66" s="2"/>
    </row>
    <row r="67" spans="1:13" x14ac:dyDescent="0.2">
      <c r="A67"/>
      <c r="B67" s="21"/>
      <c r="D67"/>
      <c r="E67"/>
      <c r="F67"/>
      <c r="H67"/>
      <c r="J67"/>
      <c r="K67"/>
      <c r="L67"/>
      <c r="M67" s="2"/>
    </row>
    <row r="68" spans="1:13" ht="12" thickBot="1" x14ac:dyDescent="0.25">
      <c r="A68" s="138"/>
      <c r="B68" s="131"/>
      <c r="C68" s="90"/>
      <c r="D68" s="122"/>
      <c r="E68" s="122"/>
      <c r="F68" s="122"/>
      <c r="G68" s="122"/>
      <c r="H68" s="122"/>
      <c r="I68" s="122"/>
      <c r="J68" s="122"/>
      <c r="K68" s="122"/>
      <c r="L68" s="122"/>
      <c r="M68" s="2"/>
    </row>
    <row r="69" spans="1:13" ht="12" thickBot="1" x14ac:dyDescent="0.25">
      <c r="A69" s="4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3"/>
    </row>
  </sheetData>
  <phoneticPr fontId="4" type="noConversion"/>
  <pageMargins left="0.5" right="0.5" top="0.5" bottom="0.5" header="0.5" footer="0.5"/>
  <pageSetup orientation="portrait" blackAndWhite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8"/>
  <dimension ref="A1:K71"/>
  <sheetViews>
    <sheetView showGridLines="0" view="pageBreakPreview" zoomScale="60" zoomScaleNormal="100" workbookViewId="0">
      <selection activeCell="A4" sqref="A4"/>
    </sheetView>
  </sheetViews>
  <sheetFormatPr defaultColWidth="11.33203125" defaultRowHeight="11.25" x14ac:dyDescent="0.2"/>
  <cols>
    <col min="1" max="1" width="5.1640625" bestFit="1" customWidth="1"/>
    <col min="2" max="2" width="16.6640625" customWidth="1"/>
    <col min="3" max="6" width="15.33203125" customWidth="1"/>
    <col min="7" max="9" width="11.33203125" customWidth="1"/>
    <col min="10" max="10" width="4" customWidth="1"/>
  </cols>
  <sheetData>
    <row r="1" spans="1:11" x14ac:dyDescent="0.2">
      <c r="A1" s="8" t="str">
        <f>'1'!$A$1</f>
        <v>Texas Windstorm Insurance Association</v>
      </c>
      <c r="B1" s="12"/>
      <c r="J1" s="7" t="s">
        <v>56</v>
      </c>
      <c r="K1" s="1"/>
    </row>
    <row r="2" spans="1:11" x14ac:dyDescent="0.2">
      <c r="A2" s="8" t="str">
        <f>'1'!$A$2</f>
        <v>Commercial Property - Wind &amp; Hail</v>
      </c>
      <c r="B2" s="12"/>
      <c r="J2" s="7" t="s">
        <v>22</v>
      </c>
      <c r="K2" s="2"/>
    </row>
    <row r="3" spans="1:11" x14ac:dyDescent="0.2">
      <c r="A3" s="8" t="str">
        <f>'1'!$A$3</f>
        <v>Rate Level Review</v>
      </c>
      <c r="B3" s="12"/>
      <c r="K3" s="2"/>
    </row>
    <row r="4" spans="1:11" x14ac:dyDescent="0.2">
      <c r="A4" t="s">
        <v>57</v>
      </c>
      <c r="B4" s="12"/>
      <c r="K4" s="2"/>
    </row>
    <row r="5" spans="1:11" x14ac:dyDescent="0.2">
      <c r="A5" s="58"/>
      <c r="B5" s="21"/>
      <c r="C5" s="58"/>
      <c r="D5" s="58"/>
      <c r="E5" s="58"/>
      <c r="K5" s="2"/>
    </row>
    <row r="6" spans="1:11" x14ac:dyDescent="0.2">
      <c r="K6" s="2"/>
    </row>
    <row r="7" spans="1:11" ht="12" thickBot="1" x14ac:dyDescent="0.25">
      <c r="A7" s="6"/>
      <c r="B7" s="6"/>
      <c r="C7" s="6"/>
      <c r="D7" s="6"/>
      <c r="E7" s="6"/>
      <c r="F7" s="6"/>
      <c r="K7" s="2"/>
    </row>
    <row r="8" spans="1:11" ht="12" thickTop="1" x14ac:dyDescent="0.2">
      <c r="K8" s="2"/>
    </row>
    <row r="9" spans="1:11" x14ac:dyDescent="0.2">
      <c r="C9" s="21" t="s">
        <v>34</v>
      </c>
      <c r="D9" t="s">
        <v>34</v>
      </c>
      <c r="E9" t="s">
        <v>29</v>
      </c>
      <c r="K9" s="2"/>
    </row>
    <row r="10" spans="1:11" x14ac:dyDescent="0.2">
      <c r="A10" t="s">
        <v>42</v>
      </c>
      <c r="C10" t="s">
        <v>29</v>
      </c>
      <c r="D10" t="s">
        <v>29</v>
      </c>
      <c r="E10" t="s">
        <v>58</v>
      </c>
      <c r="F10" t="s">
        <v>5</v>
      </c>
      <c r="K10" s="2"/>
    </row>
    <row r="11" spans="1:11" x14ac:dyDescent="0.2">
      <c r="A11" s="9" t="s">
        <v>43</v>
      </c>
      <c r="B11" s="9"/>
      <c r="C11" s="9" t="s">
        <v>35</v>
      </c>
      <c r="D11" s="9" t="s">
        <v>30</v>
      </c>
      <c r="E11" s="9" t="s">
        <v>59</v>
      </c>
      <c r="F11" s="9" t="s">
        <v>60</v>
      </c>
      <c r="K11" s="2"/>
    </row>
    <row r="12" spans="1:11" x14ac:dyDescent="0.2">
      <c r="A12" s="13" t="str">
        <f>TEXT(COLUMN(),"(#)")</f>
        <v>(1)</v>
      </c>
      <c r="B12" s="13"/>
      <c r="C12" s="11" t="str">
        <f>TEXT(COLUMN()-1,"(#)")</f>
        <v>(2)</v>
      </c>
      <c r="D12" s="11" t="str">
        <f>TEXT(COLUMN()-1,"(#)")</f>
        <v>(3)</v>
      </c>
      <c r="E12" s="11" t="str">
        <f>TEXT(COLUMN()-1,"(#)")</f>
        <v>(4)</v>
      </c>
      <c r="F12" s="11" t="str">
        <f>TEXT(COLUMN()-1,"(#)")</f>
        <v>(5)</v>
      </c>
      <c r="K12" s="2"/>
    </row>
    <row r="13" spans="1:11" x14ac:dyDescent="0.2">
      <c r="K13" s="2"/>
    </row>
    <row r="14" spans="1:11" x14ac:dyDescent="0.2">
      <c r="A14" s="232">
        <v>1980</v>
      </c>
      <c r="B14" s="24"/>
      <c r="C14" s="29">
        <f>'4.2'!E14</f>
        <v>12911</v>
      </c>
      <c r="D14" s="29">
        <f>'4.4'!G13</f>
        <v>1318</v>
      </c>
      <c r="E14" s="37">
        <f>ROUND(D14/C14,3)</f>
        <v>0.10199999999999999</v>
      </c>
      <c r="F14" s="36" t="s">
        <v>61</v>
      </c>
      <c r="K14" s="2"/>
    </row>
    <row r="15" spans="1:11" x14ac:dyDescent="0.2">
      <c r="A15" t="str">
        <f>TEXT(A14+1,"#")</f>
        <v>1981</v>
      </c>
      <c r="B15" s="24"/>
      <c r="C15" s="29">
        <f>'4.2'!E15</f>
        <v>2512</v>
      </c>
      <c r="D15" s="29">
        <f>'4.4'!G14</f>
        <v>543</v>
      </c>
      <c r="E15" s="37">
        <f t="shared" ref="E15:E51" si="0">ROUND(D15/C15,3)</f>
        <v>0.216</v>
      </c>
      <c r="F15" s="36"/>
      <c r="K15" s="2"/>
    </row>
    <row r="16" spans="1:11" x14ac:dyDescent="0.2">
      <c r="A16" t="str">
        <f t="shared" ref="A16:A46" si="1">TEXT(A15+1,"#")</f>
        <v>1982</v>
      </c>
      <c r="B16" s="24"/>
      <c r="C16" s="29">
        <f>'4.2'!E16</f>
        <v>796</v>
      </c>
      <c r="D16" s="29">
        <f>'4.4'!G15</f>
        <v>565</v>
      </c>
      <c r="E16" s="37">
        <f t="shared" si="0"/>
        <v>0.71</v>
      </c>
      <c r="F16" s="36"/>
      <c r="K16" s="2"/>
    </row>
    <row r="17" spans="1:11" x14ac:dyDescent="0.2">
      <c r="A17" t="str">
        <f t="shared" si="1"/>
        <v>1983</v>
      </c>
      <c r="B17" s="24"/>
      <c r="C17" s="29">
        <f>'4.2'!E17</f>
        <v>148999</v>
      </c>
      <c r="D17" s="29">
        <f>'4.4'!G16</f>
        <v>9127</v>
      </c>
      <c r="E17" s="37">
        <f t="shared" si="0"/>
        <v>6.0999999999999999E-2</v>
      </c>
      <c r="F17" s="36" t="s">
        <v>61</v>
      </c>
      <c r="K17" s="2"/>
    </row>
    <row r="18" spans="1:11" x14ac:dyDescent="0.2">
      <c r="A18" t="str">
        <f t="shared" si="1"/>
        <v>1984</v>
      </c>
      <c r="B18" s="24"/>
      <c r="C18" s="29">
        <f>'4.2'!E18</f>
        <v>999</v>
      </c>
      <c r="D18" s="29">
        <f>'4.4'!G17</f>
        <v>324</v>
      </c>
      <c r="E18" s="37">
        <f t="shared" si="0"/>
        <v>0.32400000000000001</v>
      </c>
      <c r="F18" s="36"/>
      <c r="K18" s="2"/>
    </row>
    <row r="19" spans="1:11" x14ac:dyDescent="0.2">
      <c r="A19" t="str">
        <f t="shared" si="1"/>
        <v>1985</v>
      </c>
      <c r="B19" s="24"/>
      <c r="C19" s="29">
        <f>'4.2'!E19</f>
        <v>512</v>
      </c>
      <c r="D19" s="29">
        <f>'4.4'!G18</f>
        <v>297</v>
      </c>
      <c r="E19" s="37">
        <f t="shared" si="0"/>
        <v>0.57999999999999996</v>
      </c>
      <c r="F19" s="36"/>
      <c r="K19" s="2"/>
    </row>
    <row r="20" spans="1:11" x14ac:dyDescent="0.2">
      <c r="A20" t="str">
        <f t="shared" si="1"/>
        <v>1986</v>
      </c>
      <c r="B20" s="24"/>
      <c r="C20" s="29">
        <f>'4.2'!E20</f>
        <v>881</v>
      </c>
      <c r="D20" s="29">
        <f>'4.4'!G19</f>
        <v>505</v>
      </c>
      <c r="E20" s="37">
        <f t="shared" si="0"/>
        <v>0.57299999999999995</v>
      </c>
      <c r="F20" s="36" t="s">
        <v>61</v>
      </c>
      <c r="K20" s="2"/>
    </row>
    <row r="21" spans="1:11" x14ac:dyDescent="0.2">
      <c r="A21" t="str">
        <f t="shared" si="1"/>
        <v>1987</v>
      </c>
      <c r="B21" s="24"/>
      <c r="C21" s="29">
        <f>'4.2'!E21</f>
        <v>1897</v>
      </c>
      <c r="D21" s="29">
        <f>'4.4'!G20</f>
        <v>1056</v>
      </c>
      <c r="E21" s="37">
        <f t="shared" si="0"/>
        <v>0.55700000000000005</v>
      </c>
      <c r="F21" s="36"/>
      <c r="K21" s="2"/>
    </row>
    <row r="22" spans="1:11" x14ac:dyDescent="0.2">
      <c r="A22" t="str">
        <f t="shared" si="1"/>
        <v>1988</v>
      </c>
      <c r="B22" s="24"/>
      <c r="C22" s="29">
        <f>'4.2'!E22</f>
        <v>1160</v>
      </c>
      <c r="D22" s="29">
        <f>'4.4'!G21</f>
        <v>357</v>
      </c>
      <c r="E22" s="37">
        <f t="shared" si="0"/>
        <v>0.308</v>
      </c>
      <c r="F22" s="36"/>
      <c r="K22" s="2"/>
    </row>
    <row r="23" spans="1:11" x14ac:dyDescent="0.2">
      <c r="A23" t="str">
        <f t="shared" si="1"/>
        <v>1989</v>
      </c>
      <c r="C23" s="29">
        <f>'4.2'!E23</f>
        <v>12296</v>
      </c>
      <c r="D23" s="29">
        <f>'4.4'!G22</f>
        <v>3528</v>
      </c>
      <c r="E23" s="37">
        <f t="shared" si="0"/>
        <v>0.28699999999999998</v>
      </c>
      <c r="F23" s="26" t="s">
        <v>61</v>
      </c>
      <c r="K23" s="2"/>
    </row>
    <row r="24" spans="1:11" x14ac:dyDescent="0.2">
      <c r="A24" t="str">
        <f t="shared" si="1"/>
        <v>1990</v>
      </c>
      <c r="C24" s="29">
        <f>'4.2'!E24</f>
        <v>335</v>
      </c>
      <c r="D24" s="29">
        <f>'4.4'!G23</f>
        <v>225</v>
      </c>
      <c r="E24" s="37">
        <f t="shared" si="0"/>
        <v>0.67200000000000004</v>
      </c>
      <c r="F24" s="26"/>
      <c r="K24" s="2"/>
    </row>
    <row r="25" spans="1:11" x14ac:dyDescent="0.2">
      <c r="A25" t="str">
        <f t="shared" si="1"/>
        <v>1991</v>
      </c>
      <c r="C25" s="29">
        <f>'4.2'!E25</f>
        <v>1217</v>
      </c>
      <c r="D25" s="29">
        <f>'4.4'!G24</f>
        <v>729</v>
      </c>
      <c r="E25" s="37">
        <f t="shared" si="0"/>
        <v>0.59899999999999998</v>
      </c>
      <c r="F25" s="26"/>
      <c r="K25" s="2"/>
    </row>
    <row r="26" spans="1:11" x14ac:dyDescent="0.2">
      <c r="A26" t="str">
        <f t="shared" si="1"/>
        <v>1992</v>
      </c>
      <c r="C26" s="29">
        <f>'4.2'!E26</f>
        <v>489</v>
      </c>
      <c r="D26" s="29">
        <f>'4.4'!G25</f>
        <v>554</v>
      </c>
      <c r="E26" s="37">
        <f t="shared" si="0"/>
        <v>1.133</v>
      </c>
      <c r="F26" s="26"/>
      <c r="K26" s="2"/>
    </row>
    <row r="27" spans="1:11" x14ac:dyDescent="0.2">
      <c r="A27" t="str">
        <f t="shared" si="1"/>
        <v>1993</v>
      </c>
      <c r="C27" s="29">
        <f>'4.2'!E27</f>
        <v>3375</v>
      </c>
      <c r="D27" s="29">
        <f>'4.4'!G26</f>
        <v>1375</v>
      </c>
      <c r="E27" s="37">
        <f t="shared" si="0"/>
        <v>0.40699999999999997</v>
      </c>
      <c r="F27" s="26"/>
      <c r="K27" s="2"/>
    </row>
    <row r="28" spans="1:11" x14ac:dyDescent="0.2">
      <c r="A28" t="str">
        <f t="shared" si="1"/>
        <v>1994</v>
      </c>
      <c r="C28" s="29">
        <f>'4.2'!E28</f>
        <v>679</v>
      </c>
      <c r="D28" s="29">
        <f>'4.4'!G27</f>
        <v>507</v>
      </c>
      <c r="E28" s="37">
        <f t="shared" si="0"/>
        <v>0.747</v>
      </c>
      <c r="F28" s="26"/>
      <c r="K28" s="2"/>
    </row>
    <row r="29" spans="1:11" x14ac:dyDescent="0.2">
      <c r="A29" t="str">
        <f t="shared" si="1"/>
        <v>1995</v>
      </c>
      <c r="C29" s="29">
        <f>'4.2'!E29</f>
        <v>2977</v>
      </c>
      <c r="D29" s="29">
        <f>'4.4'!G28</f>
        <v>903</v>
      </c>
      <c r="E29" s="37">
        <f t="shared" si="0"/>
        <v>0.30299999999999999</v>
      </c>
      <c r="F29" s="26"/>
      <c r="K29" s="2"/>
    </row>
    <row r="30" spans="1:11" x14ac:dyDescent="0.2">
      <c r="A30" t="str">
        <f t="shared" si="1"/>
        <v>1996</v>
      </c>
      <c r="C30" s="29">
        <f>'4.2'!E30</f>
        <v>1166</v>
      </c>
      <c r="D30" s="29">
        <f>'4.4'!G29</f>
        <v>582</v>
      </c>
      <c r="E30" s="37">
        <f t="shared" si="0"/>
        <v>0.499</v>
      </c>
      <c r="F30" s="26"/>
      <c r="K30" s="2"/>
    </row>
    <row r="31" spans="1:11" x14ac:dyDescent="0.2">
      <c r="A31" t="str">
        <f t="shared" si="1"/>
        <v>1997</v>
      </c>
      <c r="C31" s="29">
        <f>'4.2'!E31</f>
        <v>2964</v>
      </c>
      <c r="D31" s="29">
        <f>'4.4'!G30</f>
        <v>1343</v>
      </c>
      <c r="E31" s="37">
        <f t="shared" si="0"/>
        <v>0.45300000000000001</v>
      </c>
      <c r="F31" s="26"/>
      <c r="K31" s="2"/>
    </row>
    <row r="32" spans="1:11" x14ac:dyDescent="0.2">
      <c r="A32" t="str">
        <f t="shared" si="1"/>
        <v>1998</v>
      </c>
      <c r="B32" s="21"/>
      <c r="C32" s="29">
        <f>'4.2'!E32</f>
        <v>22401</v>
      </c>
      <c r="D32" s="29">
        <f>'4.4'!G31</f>
        <v>4732</v>
      </c>
      <c r="E32" s="37">
        <f t="shared" si="0"/>
        <v>0.21099999999999999</v>
      </c>
      <c r="F32" s="26"/>
      <c r="K32" s="2"/>
    </row>
    <row r="33" spans="1:11" x14ac:dyDescent="0.2">
      <c r="A33" t="str">
        <f t="shared" si="1"/>
        <v>1999</v>
      </c>
      <c r="B33" s="21"/>
      <c r="C33" s="29">
        <f>'4.2'!E33</f>
        <v>8773</v>
      </c>
      <c r="D33" s="29">
        <f>'4.4'!G32</f>
        <v>2388</v>
      </c>
      <c r="E33" s="37">
        <f t="shared" si="0"/>
        <v>0.27200000000000002</v>
      </c>
      <c r="F33" s="26" t="s">
        <v>61</v>
      </c>
      <c r="K33" s="2"/>
    </row>
    <row r="34" spans="1:11" x14ac:dyDescent="0.2">
      <c r="A34" t="str">
        <f t="shared" si="1"/>
        <v>2000</v>
      </c>
      <c r="B34" s="21"/>
      <c r="C34" s="29">
        <f>'4.2'!E34</f>
        <v>6227</v>
      </c>
      <c r="D34" s="29">
        <f>'4.4'!G33</f>
        <v>1885</v>
      </c>
      <c r="E34" s="37">
        <f t="shared" si="0"/>
        <v>0.30299999999999999</v>
      </c>
      <c r="F34" s="26"/>
      <c r="K34" s="2"/>
    </row>
    <row r="35" spans="1:11" x14ac:dyDescent="0.2">
      <c r="A35" t="str">
        <f t="shared" si="1"/>
        <v>2001</v>
      </c>
      <c r="C35" s="29">
        <f>'4.2'!E35</f>
        <v>24605</v>
      </c>
      <c r="D35" s="29">
        <f>'4.4'!G34</f>
        <v>1880</v>
      </c>
      <c r="E35" s="37">
        <f t="shared" si="0"/>
        <v>7.5999999999999998E-2</v>
      </c>
      <c r="F35" s="26"/>
      <c r="K35" s="2"/>
    </row>
    <row r="36" spans="1:11" x14ac:dyDescent="0.2">
      <c r="A36" t="str">
        <f t="shared" si="1"/>
        <v>2002</v>
      </c>
      <c r="C36" s="29">
        <f>'4.2'!E36</f>
        <v>5167</v>
      </c>
      <c r="D36" s="29">
        <f>'4.4'!G35</f>
        <v>5226</v>
      </c>
      <c r="E36" s="37">
        <f t="shared" si="0"/>
        <v>1.0109999999999999</v>
      </c>
      <c r="F36" s="26"/>
      <c r="K36" s="2"/>
    </row>
    <row r="37" spans="1:11" x14ac:dyDescent="0.2">
      <c r="A37" t="str">
        <f t="shared" si="1"/>
        <v>2003</v>
      </c>
      <c r="C37" s="29">
        <f>'4.2'!E37</f>
        <v>155001</v>
      </c>
      <c r="D37" s="29">
        <f>'4.4'!G36</f>
        <v>5122</v>
      </c>
      <c r="E37" s="37">
        <f t="shared" si="0"/>
        <v>3.3000000000000002E-2</v>
      </c>
      <c r="F37" s="26" t="s">
        <v>61</v>
      </c>
      <c r="K37" s="2"/>
    </row>
    <row r="38" spans="1:11" x14ac:dyDescent="0.2">
      <c r="A38" t="str">
        <f t="shared" si="1"/>
        <v>2004</v>
      </c>
      <c r="C38" s="29">
        <f>'4.2'!E38</f>
        <v>5167</v>
      </c>
      <c r="D38" s="29">
        <f>'4.4'!G37</f>
        <v>1471</v>
      </c>
      <c r="E38" s="37">
        <f t="shared" si="0"/>
        <v>0.28499999999999998</v>
      </c>
      <c r="F38" s="26"/>
      <c r="K38" s="2"/>
    </row>
    <row r="39" spans="1:11" x14ac:dyDescent="0.2">
      <c r="A39" t="str">
        <f t="shared" si="1"/>
        <v>2005</v>
      </c>
      <c r="C39" s="29">
        <f>'4.2'!E39</f>
        <v>154981</v>
      </c>
      <c r="D39" s="29">
        <f>'4.4'!G38</f>
        <v>20235</v>
      </c>
      <c r="E39" s="37">
        <f t="shared" si="0"/>
        <v>0.13100000000000001</v>
      </c>
      <c r="F39" s="114" t="s">
        <v>61</v>
      </c>
      <c r="K39" s="2"/>
    </row>
    <row r="40" spans="1:11" x14ac:dyDescent="0.2">
      <c r="A40" t="str">
        <f t="shared" si="1"/>
        <v>2006</v>
      </c>
      <c r="C40" s="29">
        <f>'4.2'!E40</f>
        <v>4276</v>
      </c>
      <c r="D40" s="29">
        <f>'4.4'!G39</f>
        <v>1110</v>
      </c>
      <c r="E40" s="37">
        <f t="shared" si="0"/>
        <v>0.26</v>
      </c>
      <c r="F40" s="114"/>
      <c r="K40" s="2"/>
    </row>
    <row r="41" spans="1:11" x14ac:dyDescent="0.2">
      <c r="A41" t="str">
        <f t="shared" si="1"/>
        <v>2007</v>
      </c>
      <c r="C41" s="29">
        <f>'4.2'!E41</f>
        <v>15745</v>
      </c>
      <c r="D41" s="29">
        <f>'4.4'!G40</f>
        <v>4941</v>
      </c>
      <c r="E41" s="37">
        <f t="shared" si="0"/>
        <v>0.314</v>
      </c>
      <c r="F41" s="114" t="s">
        <v>61</v>
      </c>
      <c r="K41" s="2"/>
    </row>
    <row r="42" spans="1:11" x14ac:dyDescent="0.2">
      <c r="A42" t="str">
        <f t="shared" si="1"/>
        <v>2008</v>
      </c>
      <c r="C42" s="29">
        <f>'4.2'!E42</f>
        <v>2583017</v>
      </c>
      <c r="D42" s="29">
        <f>'4.4'!G41</f>
        <v>346615</v>
      </c>
      <c r="E42" s="37">
        <f t="shared" si="0"/>
        <v>0.13400000000000001</v>
      </c>
      <c r="F42" s="114" t="s">
        <v>61</v>
      </c>
      <c r="K42" s="2"/>
    </row>
    <row r="43" spans="1:11" x14ac:dyDescent="0.2">
      <c r="A43" t="str">
        <f t="shared" si="1"/>
        <v>2009</v>
      </c>
      <c r="C43" s="29">
        <f>'4.2'!E43</f>
        <v>10407</v>
      </c>
      <c r="D43" s="29">
        <f>'4.4'!G42</f>
        <v>2219</v>
      </c>
      <c r="E43" s="37">
        <f t="shared" si="0"/>
        <v>0.21299999999999999</v>
      </c>
      <c r="F43" s="36"/>
      <c r="K43" s="2"/>
    </row>
    <row r="44" spans="1:11" x14ac:dyDescent="0.2">
      <c r="A44" t="str">
        <f t="shared" si="1"/>
        <v>2010</v>
      </c>
      <c r="B44" s="21"/>
      <c r="C44" s="29">
        <f>'4.2'!E44</f>
        <v>18030</v>
      </c>
      <c r="D44" s="29">
        <f>'4.4'!G43</f>
        <v>4281</v>
      </c>
      <c r="E44" s="37">
        <f t="shared" si="0"/>
        <v>0.23699999999999999</v>
      </c>
      <c r="F44" s="114"/>
      <c r="K44" s="2"/>
    </row>
    <row r="45" spans="1:11" x14ac:dyDescent="0.2">
      <c r="A45" t="str">
        <f t="shared" si="1"/>
        <v>2011</v>
      </c>
      <c r="B45" s="21"/>
      <c r="C45" s="29">
        <f>'4.2'!E45</f>
        <v>96290</v>
      </c>
      <c r="D45" s="29">
        <f>'4.4'!G44</f>
        <v>15170</v>
      </c>
      <c r="E45" s="37">
        <f t="shared" si="0"/>
        <v>0.158</v>
      </c>
      <c r="F45" s="114"/>
      <c r="K45" s="2"/>
    </row>
    <row r="46" spans="1:11" x14ac:dyDescent="0.2">
      <c r="A46" t="str">
        <f t="shared" si="1"/>
        <v>2012</v>
      </c>
      <c r="B46" s="21"/>
      <c r="C46" s="29">
        <f>'4.2'!E46</f>
        <v>67586</v>
      </c>
      <c r="D46" s="29">
        <f>'4.4'!G45</f>
        <v>15858</v>
      </c>
      <c r="E46" s="37">
        <f t="shared" si="0"/>
        <v>0.23499999999999999</v>
      </c>
      <c r="F46" s="114"/>
      <c r="K46" s="2"/>
    </row>
    <row r="47" spans="1:11" x14ac:dyDescent="0.2">
      <c r="A47" s="47" t="str">
        <f>TEXT(A46+1,"#")</f>
        <v>2013</v>
      </c>
      <c r="B47" s="125"/>
      <c r="C47" s="29">
        <f>'4.2'!E47</f>
        <v>70855</v>
      </c>
      <c r="D47" s="29">
        <f>'4.4'!G46</f>
        <v>13910</v>
      </c>
      <c r="E47" s="37">
        <f t="shared" si="0"/>
        <v>0.19600000000000001</v>
      </c>
      <c r="F47" s="44"/>
      <c r="K47" s="2"/>
    </row>
    <row r="48" spans="1:11" x14ac:dyDescent="0.2">
      <c r="A48" s="42" t="str">
        <f>TEXT(A47+1,"#")</f>
        <v>2014</v>
      </c>
      <c r="B48" s="125"/>
      <c r="C48" s="29">
        <f>'4.2'!E48</f>
        <v>7047</v>
      </c>
      <c r="D48" s="29">
        <f>'4.4'!G47</f>
        <v>6892</v>
      </c>
      <c r="E48" s="37">
        <f t="shared" si="0"/>
        <v>0.97799999999999998</v>
      </c>
      <c r="F48" s="45"/>
      <c r="K48" s="2"/>
    </row>
    <row r="49" spans="1:11" x14ac:dyDescent="0.2">
      <c r="A49" s="42" t="str">
        <f>TEXT(A48+1,"#")</f>
        <v>2015</v>
      </c>
      <c r="B49" s="125"/>
      <c r="C49" s="29">
        <f>'4.2'!E49</f>
        <v>137960</v>
      </c>
      <c r="D49" s="29">
        <f>'4.4'!G48</f>
        <v>39988</v>
      </c>
      <c r="E49" s="37">
        <f t="shared" si="0"/>
        <v>0.28999999999999998</v>
      </c>
      <c r="F49" s="44"/>
      <c r="K49" s="2"/>
    </row>
    <row r="50" spans="1:11" x14ac:dyDescent="0.2">
      <c r="A50" s="42" t="str">
        <f>TEXT(A49+1,"#")</f>
        <v>2016</v>
      </c>
      <c r="B50" s="125"/>
      <c r="C50" s="29">
        <f>'4.2'!E50</f>
        <v>28417</v>
      </c>
      <c r="D50" s="29">
        <f>'4.4'!G49</f>
        <v>15797</v>
      </c>
      <c r="E50" s="37">
        <f t="shared" si="0"/>
        <v>0.55600000000000005</v>
      </c>
      <c r="F50" s="44"/>
      <c r="K50" s="2"/>
    </row>
    <row r="51" spans="1:11" x14ac:dyDescent="0.2">
      <c r="A51" s="102">
        <v>2017</v>
      </c>
      <c r="B51" s="125"/>
      <c r="C51" s="29">
        <f>'4.2'!E51</f>
        <v>1374571.7757825346</v>
      </c>
      <c r="D51" s="29">
        <f>'4.4'!G50</f>
        <v>274654</v>
      </c>
      <c r="E51" s="37">
        <f t="shared" si="0"/>
        <v>0.2</v>
      </c>
      <c r="F51" s="44" t="s">
        <v>61</v>
      </c>
      <c r="K51" s="2"/>
    </row>
    <row r="52" spans="1:11" ht="12" thickBot="1" x14ac:dyDescent="0.25">
      <c r="A52" s="378">
        <v>2018</v>
      </c>
      <c r="B52" s="6"/>
      <c r="C52" s="288">
        <f>'4.2'!E52</f>
        <v>13184</v>
      </c>
      <c r="D52" s="288">
        <f>'4.4'!G51</f>
        <v>6424</v>
      </c>
      <c r="E52" s="287">
        <f>ROUND(D52/C52,3)</f>
        <v>0.48699999999999999</v>
      </c>
      <c r="F52" s="6"/>
      <c r="K52" s="2"/>
    </row>
    <row r="53" spans="1:11" ht="12" thickTop="1" x14ac:dyDescent="0.2">
      <c r="B53" s="21"/>
      <c r="K53" s="2"/>
    </row>
    <row r="54" spans="1:11" x14ac:dyDescent="0.2">
      <c r="A54" t="s">
        <v>63</v>
      </c>
      <c r="C54" s="18">
        <f>SUM(C14:C52)</f>
        <v>5005872.7757825349</v>
      </c>
      <c r="D54" s="18">
        <f>SUM(D14:D52)</f>
        <v>814636</v>
      </c>
      <c r="E54" s="37">
        <f>ROUND(D54/C54,3)</f>
        <v>0.16300000000000001</v>
      </c>
      <c r="F54" s="18"/>
      <c r="K54" s="2"/>
    </row>
    <row r="55" spans="1:11" x14ac:dyDescent="0.2">
      <c r="K55" s="2"/>
    </row>
    <row r="56" spans="1:11" x14ac:dyDescent="0.2">
      <c r="A56" t="s">
        <v>62</v>
      </c>
      <c r="C56" s="18">
        <f>SUMIF($F$14:$F$52,"H",C$14:C$52)</f>
        <v>4467175.7757825349</v>
      </c>
      <c r="D56" s="18">
        <f>SUMIF($F$14:$F$52,"H",D$14:D$52)</f>
        <v>668433</v>
      </c>
      <c r="E56" s="37">
        <f>ROUND(D56/C56,3)</f>
        <v>0.15</v>
      </c>
      <c r="K56" s="2"/>
    </row>
    <row r="57" spans="1:11" x14ac:dyDescent="0.2">
      <c r="K57" s="2"/>
    </row>
    <row r="58" spans="1:11" x14ac:dyDescent="0.2">
      <c r="A58" t="s">
        <v>64</v>
      </c>
      <c r="K58" s="2"/>
    </row>
    <row r="59" spans="1:11" x14ac:dyDescent="0.2">
      <c r="B59" t="s">
        <v>8</v>
      </c>
      <c r="C59" s="18">
        <f>C54-C56</f>
        <v>538697</v>
      </c>
      <c r="D59" s="18">
        <f>D54-D56</f>
        <v>146203</v>
      </c>
      <c r="E59" s="37">
        <f>ROUND(D59/C59,3)</f>
        <v>0.27100000000000002</v>
      </c>
      <c r="K59" s="2"/>
    </row>
    <row r="60" spans="1:11" x14ac:dyDescent="0.2">
      <c r="B60" t="s">
        <v>65</v>
      </c>
      <c r="C60" s="18">
        <f>SUMIF($F$40:$F$52,"&lt;&gt;H",C$40:C$52)</f>
        <v>454052</v>
      </c>
      <c r="D60" s="18">
        <f>SUMIF($F$40:$F$52,"&lt;&gt;H",D$40:D$52)</f>
        <v>121649</v>
      </c>
      <c r="E60" s="37">
        <f>ROUND(D60/C60,3)</f>
        <v>0.26800000000000002</v>
      </c>
      <c r="K60" s="2"/>
    </row>
    <row r="61" spans="1:11" ht="12" thickBot="1" x14ac:dyDescent="0.25">
      <c r="A61" s="6"/>
      <c r="B61" s="6"/>
      <c r="C61" s="6"/>
      <c r="D61" s="6"/>
      <c r="E61" s="6"/>
      <c r="F61" s="6"/>
      <c r="K61" s="2"/>
    </row>
    <row r="62" spans="1:11" ht="12" thickTop="1" x14ac:dyDescent="0.2">
      <c r="K62" s="2"/>
    </row>
    <row r="63" spans="1:11" x14ac:dyDescent="0.2">
      <c r="A63" t="s">
        <v>19</v>
      </c>
      <c r="K63" s="2"/>
    </row>
    <row r="64" spans="1:11" x14ac:dyDescent="0.2">
      <c r="B64" s="21" t="str">
        <f>C12&amp;" "&amp;'4.2'!$K$1&amp;", "&amp;'4.2'!$K$2</f>
        <v>(2) Exhibit 4, Sheet 2</v>
      </c>
      <c r="D64" s="21"/>
      <c r="K64" s="2"/>
    </row>
    <row r="65" spans="1:11" x14ac:dyDescent="0.2">
      <c r="B65" s="21" t="str">
        <f>D12&amp;" "&amp;'4.4'!$J$1&amp;", "&amp;'4.4'!$J$2</f>
        <v>(3) Exhibit 4, Sheet 4</v>
      </c>
      <c r="K65" s="2"/>
    </row>
    <row r="66" spans="1:11" x14ac:dyDescent="0.2">
      <c r="B66" s="21" t="str">
        <f>E12&amp;" = "&amp;D12&amp;" / "&amp;C12</f>
        <v>(4) = (3) / (2)</v>
      </c>
      <c r="K66" s="2"/>
    </row>
    <row r="67" spans="1:11" x14ac:dyDescent="0.2">
      <c r="B67" s="21" t="str">
        <f>F12&amp;" ""H"" indicates hurricane year"</f>
        <v>(5) "H" indicates hurricane year</v>
      </c>
      <c r="K67" s="2"/>
    </row>
    <row r="68" spans="1:11" x14ac:dyDescent="0.2">
      <c r="K68" s="2"/>
    </row>
    <row r="69" spans="1:11" x14ac:dyDescent="0.2">
      <c r="K69" s="2"/>
    </row>
    <row r="70" spans="1:11" ht="12" thickBot="1" x14ac:dyDescent="0.25">
      <c r="K70" s="2"/>
    </row>
    <row r="71" spans="1:11" ht="12" thickBot="1" x14ac:dyDescent="0.25">
      <c r="A71" s="4"/>
      <c r="B71" s="5"/>
      <c r="C71" s="5"/>
      <c r="D71" s="5"/>
      <c r="E71" s="5"/>
      <c r="F71" s="5"/>
      <c r="G71" s="5"/>
      <c r="H71" s="5"/>
      <c r="I71" s="5"/>
      <c r="J71" s="5"/>
      <c r="K71" s="3"/>
    </row>
  </sheetData>
  <phoneticPr fontId="0" type="noConversion"/>
  <pageMargins left="0.5" right="0.5" top="0.5" bottom="0.5" header="0.5" footer="0.5"/>
  <pageSetup orientation="portrait" blackAndWhite="1" r:id="rId1"/>
  <headerFooter alignWithMargins="0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9"/>
  <dimension ref="A1:M71"/>
  <sheetViews>
    <sheetView showGridLines="0" zoomScaleNormal="100" workbookViewId="0">
      <selection activeCell="G54" sqref="G54"/>
    </sheetView>
  </sheetViews>
  <sheetFormatPr defaultColWidth="11.33203125" defaultRowHeight="11.25" x14ac:dyDescent="0.2"/>
  <cols>
    <col min="1" max="1" width="5.1640625" bestFit="1" customWidth="1"/>
    <col min="2" max="2" width="11.33203125" customWidth="1"/>
    <col min="3" max="5" width="15.33203125" customWidth="1"/>
    <col min="6" max="6" width="13.6640625" customWidth="1"/>
    <col min="7" max="10" width="11.33203125" customWidth="1"/>
    <col min="11" max="11" width="2.33203125" customWidth="1"/>
  </cols>
  <sheetData>
    <row r="1" spans="1:13" x14ac:dyDescent="0.2">
      <c r="A1" s="8" t="str">
        <f>'1'!$A$1</f>
        <v>Texas Windstorm Insurance Association</v>
      </c>
      <c r="B1" s="12"/>
      <c r="K1" s="7" t="s">
        <v>56</v>
      </c>
      <c r="L1" s="1"/>
    </row>
    <row r="2" spans="1:13" x14ac:dyDescent="0.2">
      <c r="A2" s="8" t="str">
        <f>'1'!$A$2</f>
        <v>Commercial Property - Wind &amp; Hail</v>
      </c>
      <c r="B2" s="12"/>
      <c r="K2" s="7" t="s">
        <v>66</v>
      </c>
      <c r="L2" s="2"/>
    </row>
    <row r="3" spans="1:13" x14ac:dyDescent="0.2">
      <c r="A3" s="8" t="str">
        <f>'1'!$A$3</f>
        <v>Rate Level Review</v>
      </c>
      <c r="B3" s="12"/>
      <c r="L3" s="2"/>
    </row>
    <row r="4" spans="1:13" x14ac:dyDescent="0.2">
      <c r="A4" t="s">
        <v>67</v>
      </c>
      <c r="B4" s="12"/>
      <c r="L4" s="2"/>
    </row>
    <row r="5" spans="1:13" x14ac:dyDescent="0.2">
      <c r="A5" s="58"/>
      <c r="B5" s="21"/>
      <c r="C5" s="58"/>
      <c r="D5" s="58"/>
      <c r="E5" s="58"/>
      <c r="L5" s="2"/>
    </row>
    <row r="6" spans="1:13" x14ac:dyDescent="0.2">
      <c r="L6" s="2"/>
    </row>
    <row r="7" spans="1:13" ht="12" thickBot="1" x14ac:dyDescent="0.25">
      <c r="A7" s="6"/>
      <c r="B7" s="6"/>
      <c r="C7" s="6"/>
      <c r="D7" s="6"/>
      <c r="E7" s="6"/>
      <c r="F7" s="42"/>
      <c r="L7" s="2"/>
    </row>
    <row r="8" spans="1:13" ht="12" thickTop="1" x14ac:dyDescent="0.2">
      <c r="F8" s="42"/>
      <c r="L8" s="2"/>
    </row>
    <row r="9" spans="1:13" x14ac:dyDescent="0.2">
      <c r="C9" s="21" t="s">
        <v>68</v>
      </c>
      <c r="E9" t="s">
        <v>12</v>
      </c>
      <c r="F9" s="42"/>
      <c r="L9" s="2"/>
      <c r="M9" s="26"/>
    </row>
    <row r="10" spans="1:13" x14ac:dyDescent="0.2">
      <c r="A10" t="s">
        <v>42</v>
      </c>
      <c r="C10" t="s">
        <v>35</v>
      </c>
      <c r="D10" t="s">
        <v>45</v>
      </c>
      <c r="E10" t="s">
        <v>29</v>
      </c>
      <c r="F10" s="42"/>
      <c r="L10" s="2"/>
      <c r="M10" t="s">
        <v>241</v>
      </c>
    </row>
    <row r="11" spans="1:13" x14ac:dyDescent="0.2">
      <c r="A11" s="9" t="s">
        <v>43</v>
      </c>
      <c r="B11" s="9"/>
      <c r="C11" s="9" t="str">
        <f>"at "&amp;TEXT(M11,"m/d/yy")</f>
        <v>at 12/31/18</v>
      </c>
      <c r="D11" s="9" t="s">
        <v>31</v>
      </c>
      <c r="E11" s="9" t="s">
        <v>35</v>
      </c>
      <c r="F11" s="42"/>
      <c r="L11" s="2"/>
      <c r="M11" s="49">
        <f>'2.1'!$L$8</f>
        <v>43465</v>
      </c>
    </row>
    <row r="12" spans="1:13" x14ac:dyDescent="0.2">
      <c r="A12" s="13" t="str">
        <f>TEXT(COLUMN(),"(#)")</f>
        <v>(1)</v>
      </c>
      <c r="B12" s="13"/>
      <c r="C12" s="11" t="str">
        <f>TEXT(COLUMN()-1,"(#)")</f>
        <v>(2)</v>
      </c>
      <c r="D12" s="11" t="str">
        <f>TEXT(COLUMN()-1,"(#)")</f>
        <v>(3)</v>
      </c>
      <c r="E12" s="11" t="str">
        <f>TEXT(COLUMN()-1,"(#)")</f>
        <v>(4)</v>
      </c>
      <c r="F12" s="43"/>
      <c r="L12" s="2"/>
    </row>
    <row r="13" spans="1:13" x14ac:dyDescent="0.2">
      <c r="F13" s="42"/>
      <c r="L13" s="2"/>
    </row>
    <row r="14" spans="1:13" x14ac:dyDescent="0.2">
      <c r="A14" s="24">
        <v>1980</v>
      </c>
      <c r="E14" s="289">
        <v>12911</v>
      </c>
      <c r="F14" s="42"/>
      <c r="L14" s="2"/>
    </row>
    <row r="15" spans="1:13" x14ac:dyDescent="0.2">
      <c r="A15" t="str">
        <f>TEXT(A14+1,"#")</f>
        <v>1981</v>
      </c>
      <c r="B15" s="24"/>
      <c r="C15" s="29"/>
      <c r="D15" s="29"/>
      <c r="E15" s="36">
        <v>2512</v>
      </c>
      <c r="F15" s="44"/>
      <c r="L15" s="2"/>
    </row>
    <row r="16" spans="1:13" x14ac:dyDescent="0.2">
      <c r="A16" t="str">
        <f>TEXT(A15+1,"#")</f>
        <v>1982</v>
      </c>
      <c r="B16" s="24"/>
      <c r="C16" s="29"/>
      <c r="D16" s="29"/>
      <c r="E16" s="36">
        <v>796</v>
      </c>
      <c r="F16" s="44"/>
      <c r="L16" s="2"/>
    </row>
    <row r="17" spans="1:12" x14ac:dyDescent="0.2">
      <c r="A17" t="str">
        <f t="shared" ref="A17:A51" si="0">TEXT(A16+1,"#")</f>
        <v>1983</v>
      </c>
      <c r="B17" s="24"/>
      <c r="C17" s="29"/>
      <c r="D17" s="29"/>
      <c r="E17" s="36">
        <v>148999</v>
      </c>
      <c r="F17" s="44"/>
      <c r="L17" s="2"/>
    </row>
    <row r="18" spans="1:12" x14ac:dyDescent="0.2">
      <c r="A18" t="str">
        <f t="shared" si="0"/>
        <v>1984</v>
      </c>
      <c r="B18" s="24"/>
      <c r="C18" s="29"/>
      <c r="D18" s="29"/>
      <c r="E18" s="36">
        <v>999</v>
      </c>
      <c r="F18" s="44"/>
      <c r="L18" s="2"/>
    </row>
    <row r="19" spans="1:12" x14ac:dyDescent="0.2">
      <c r="A19" t="str">
        <f t="shared" si="0"/>
        <v>1985</v>
      </c>
      <c r="B19" s="24"/>
      <c r="C19" s="29"/>
      <c r="D19" s="29"/>
      <c r="E19" s="36">
        <v>512</v>
      </c>
      <c r="F19" s="44"/>
      <c r="L19" s="2"/>
    </row>
    <row r="20" spans="1:12" x14ac:dyDescent="0.2">
      <c r="A20" t="str">
        <f t="shared" si="0"/>
        <v>1986</v>
      </c>
      <c r="B20" s="24"/>
      <c r="C20" s="29"/>
      <c r="D20" s="29"/>
      <c r="E20" s="36">
        <v>881</v>
      </c>
      <c r="F20" s="44"/>
      <c r="L20" s="2"/>
    </row>
    <row r="21" spans="1:12" x14ac:dyDescent="0.2">
      <c r="A21" t="str">
        <f t="shared" si="0"/>
        <v>1987</v>
      </c>
      <c r="B21" s="24"/>
      <c r="C21" s="29"/>
      <c r="D21" s="29"/>
      <c r="E21" s="36">
        <v>1897</v>
      </c>
      <c r="F21" s="44"/>
      <c r="L21" s="2"/>
    </row>
    <row r="22" spans="1:12" x14ac:dyDescent="0.2">
      <c r="A22" t="str">
        <f t="shared" si="0"/>
        <v>1988</v>
      </c>
      <c r="B22" s="24"/>
      <c r="C22" s="29"/>
      <c r="D22" s="29"/>
      <c r="E22" s="36">
        <v>1160</v>
      </c>
      <c r="F22" s="44"/>
      <c r="L22" s="2"/>
    </row>
    <row r="23" spans="1:12" x14ac:dyDescent="0.2">
      <c r="A23" t="str">
        <f t="shared" si="0"/>
        <v>1989</v>
      </c>
      <c r="B23" s="24"/>
      <c r="C23" s="29"/>
      <c r="D23" s="29"/>
      <c r="E23" s="36">
        <v>12296</v>
      </c>
      <c r="F23" s="44"/>
      <c r="L23" s="2"/>
    </row>
    <row r="24" spans="1:12" x14ac:dyDescent="0.2">
      <c r="A24" t="str">
        <f t="shared" si="0"/>
        <v>1990</v>
      </c>
      <c r="C24" s="29"/>
      <c r="D24" s="29"/>
      <c r="E24" s="36">
        <v>335</v>
      </c>
      <c r="F24" s="45"/>
      <c r="L24" s="2"/>
    </row>
    <row r="25" spans="1:12" x14ac:dyDescent="0.2">
      <c r="A25" t="str">
        <f t="shared" si="0"/>
        <v>1991</v>
      </c>
      <c r="C25" s="29"/>
      <c r="D25" s="29"/>
      <c r="E25" s="36">
        <v>1217</v>
      </c>
      <c r="F25" s="45"/>
      <c r="L25" s="2"/>
    </row>
    <row r="26" spans="1:12" x14ac:dyDescent="0.2">
      <c r="A26" t="str">
        <f t="shared" si="0"/>
        <v>1992</v>
      </c>
      <c r="C26" s="29"/>
      <c r="D26" s="29"/>
      <c r="E26" s="36">
        <v>489</v>
      </c>
      <c r="F26" s="45"/>
      <c r="L26" s="2"/>
    </row>
    <row r="27" spans="1:12" x14ac:dyDescent="0.2">
      <c r="A27" t="str">
        <f t="shared" si="0"/>
        <v>1993</v>
      </c>
      <c r="C27" s="29"/>
      <c r="D27" s="29"/>
      <c r="E27" s="36">
        <v>3375</v>
      </c>
      <c r="F27" s="45"/>
      <c r="L27" s="2"/>
    </row>
    <row r="28" spans="1:12" x14ac:dyDescent="0.2">
      <c r="A28" t="str">
        <f t="shared" si="0"/>
        <v>1994</v>
      </c>
      <c r="C28" s="29"/>
      <c r="D28" s="29"/>
      <c r="E28" s="36">
        <v>679</v>
      </c>
      <c r="F28" s="45"/>
      <c r="L28" s="2"/>
    </row>
    <row r="29" spans="1:12" x14ac:dyDescent="0.2">
      <c r="A29" t="str">
        <f t="shared" si="0"/>
        <v>1995</v>
      </c>
      <c r="C29" s="29"/>
      <c r="D29" s="29"/>
      <c r="E29" s="36">
        <v>2977</v>
      </c>
      <c r="F29" s="45"/>
      <c r="L29" s="2"/>
    </row>
    <row r="30" spans="1:12" x14ac:dyDescent="0.2">
      <c r="A30" t="str">
        <f t="shared" si="0"/>
        <v>1996</v>
      </c>
      <c r="C30" s="29"/>
      <c r="D30" s="29"/>
      <c r="E30" s="36">
        <v>1166</v>
      </c>
      <c r="F30" s="45"/>
      <c r="L30" s="2"/>
    </row>
    <row r="31" spans="1:12" x14ac:dyDescent="0.2">
      <c r="A31" t="str">
        <f t="shared" si="0"/>
        <v>1997</v>
      </c>
      <c r="C31" s="29"/>
      <c r="D31" s="29"/>
      <c r="E31" s="36">
        <v>2964</v>
      </c>
      <c r="F31" s="45"/>
      <c r="L31" s="2"/>
    </row>
    <row r="32" spans="1:12" x14ac:dyDescent="0.2">
      <c r="A32" t="str">
        <f t="shared" si="0"/>
        <v>1998</v>
      </c>
      <c r="C32" s="29"/>
      <c r="D32" s="29"/>
      <c r="E32" s="36">
        <v>22401</v>
      </c>
      <c r="F32" s="45"/>
      <c r="L32" s="2"/>
    </row>
    <row r="33" spans="1:12" x14ac:dyDescent="0.2">
      <c r="A33" t="str">
        <f t="shared" si="0"/>
        <v>1999</v>
      </c>
      <c r="B33" s="21"/>
      <c r="C33" s="29"/>
      <c r="D33" s="29"/>
      <c r="E33" s="36">
        <v>8773</v>
      </c>
      <c r="F33" s="45"/>
      <c r="L33" s="2"/>
    </row>
    <row r="34" spans="1:12" x14ac:dyDescent="0.2">
      <c r="A34" t="str">
        <f t="shared" si="0"/>
        <v>2000</v>
      </c>
      <c r="C34" s="18"/>
      <c r="E34" s="36">
        <v>6227</v>
      </c>
      <c r="F34" s="45"/>
      <c r="L34" s="2"/>
    </row>
    <row r="35" spans="1:12" x14ac:dyDescent="0.2">
      <c r="A35" t="str">
        <f t="shared" si="0"/>
        <v>2001</v>
      </c>
      <c r="B35" s="21"/>
      <c r="C35" s="29"/>
      <c r="D35" s="29"/>
      <c r="E35" s="36">
        <v>24605</v>
      </c>
      <c r="F35" s="45"/>
      <c r="L35" s="2"/>
    </row>
    <row r="36" spans="1:12" x14ac:dyDescent="0.2">
      <c r="A36" t="str">
        <f t="shared" si="0"/>
        <v>2002</v>
      </c>
      <c r="B36" s="21"/>
      <c r="C36" s="29"/>
      <c r="D36" s="37"/>
      <c r="E36" s="36">
        <v>5167</v>
      </c>
      <c r="F36" s="45"/>
      <c r="L36" s="2"/>
    </row>
    <row r="37" spans="1:12" x14ac:dyDescent="0.2">
      <c r="A37" t="str">
        <f t="shared" si="0"/>
        <v>2003</v>
      </c>
      <c r="C37" s="29"/>
      <c r="D37" s="37"/>
      <c r="E37" s="36">
        <v>155001</v>
      </c>
      <c r="F37" s="45"/>
      <c r="L37" s="2"/>
    </row>
    <row r="38" spans="1:12" x14ac:dyDescent="0.2">
      <c r="A38" t="str">
        <f t="shared" si="0"/>
        <v>2004</v>
      </c>
      <c r="C38" s="29"/>
      <c r="D38" s="37"/>
      <c r="E38" s="245">
        <v>5167</v>
      </c>
      <c r="F38" s="45"/>
      <c r="L38" s="2"/>
    </row>
    <row r="39" spans="1:12" x14ac:dyDescent="0.2">
      <c r="A39" t="str">
        <f t="shared" si="0"/>
        <v>2005</v>
      </c>
      <c r="C39" s="29"/>
      <c r="D39" s="37"/>
      <c r="E39" s="245">
        <v>154981</v>
      </c>
      <c r="F39" s="45"/>
      <c r="L39" s="2"/>
    </row>
    <row r="40" spans="1:12" x14ac:dyDescent="0.2">
      <c r="A40" t="str">
        <f t="shared" si="0"/>
        <v>2006</v>
      </c>
      <c r="E40" s="245">
        <v>4276</v>
      </c>
      <c r="F40" s="44"/>
      <c r="L40" s="2"/>
    </row>
    <row r="41" spans="1:12" x14ac:dyDescent="0.2">
      <c r="A41" t="str">
        <f t="shared" si="0"/>
        <v>2007</v>
      </c>
      <c r="C41" s="29"/>
      <c r="D41" s="37"/>
      <c r="E41" s="245">
        <v>15745</v>
      </c>
      <c r="F41" s="42"/>
      <c r="L41" s="2"/>
    </row>
    <row r="42" spans="1:12" x14ac:dyDescent="0.2">
      <c r="A42" t="str">
        <f t="shared" si="0"/>
        <v>2008</v>
      </c>
      <c r="E42" s="245">
        <v>2583017</v>
      </c>
      <c r="F42" s="42"/>
      <c r="L42" s="2"/>
    </row>
    <row r="43" spans="1:12" x14ac:dyDescent="0.2">
      <c r="A43" t="str">
        <f t="shared" si="0"/>
        <v>2009</v>
      </c>
      <c r="B43" s="48"/>
      <c r="E43" s="29">
        <f>'4.3'!I14</f>
        <v>10407</v>
      </c>
      <c r="F43" s="42"/>
      <c r="L43" s="2"/>
    </row>
    <row r="44" spans="1:12" x14ac:dyDescent="0.2">
      <c r="A44" t="str">
        <f t="shared" si="0"/>
        <v>2010</v>
      </c>
      <c r="C44" s="276"/>
      <c r="D44" s="37"/>
      <c r="E44" s="29">
        <f>'4.3'!I15</f>
        <v>18030</v>
      </c>
      <c r="F44" s="42"/>
      <c r="L44" s="2"/>
    </row>
    <row r="45" spans="1:12" x14ac:dyDescent="0.2">
      <c r="A45" t="str">
        <f t="shared" si="0"/>
        <v>2011</v>
      </c>
      <c r="C45" s="29">
        <f>'4.3'!I16</f>
        <v>96290</v>
      </c>
      <c r="D45" s="396">
        <f>'4.3'!I48</f>
        <v>1</v>
      </c>
      <c r="E45" s="29">
        <f>'4.3'!I16</f>
        <v>96290</v>
      </c>
      <c r="F45" s="46"/>
      <c r="L45" s="2"/>
    </row>
    <row r="46" spans="1:12" x14ac:dyDescent="0.2">
      <c r="A46" t="str">
        <f t="shared" si="0"/>
        <v>2012</v>
      </c>
      <c r="B46" s="48"/>
      <c r="C46" s="29">
        <f>'4.3'!I17</f>
        <v>67586</v>
      </c>
      <c r="D46" s="396">
        <f>'4.3'!I48</f>
        <v>1</v>
      </c>
      <c r="E46" s="29">
        <f>'4.3'!I17</f>
        <v>67586</v>
      </c>
      <c r="F46" s="42"/>
      <c r="L46" s="2"/>
    </row>
    <row r="47" spans="1:12" x14ac:dyDescent="0.2">
      <c r="A47" t="str">
        <f t="shared" si="0"/>
        <v>2013</v>
      </c>
      <c r="C47" s="29">
        <f>'4.3'!H18</f>
        <v>71068</v>
      </c>
      <c r="D47" s="396">
        <f>'4.3'!H48</f>
        <v>0.997</v>
      </c>
      <c r="E47" s="29">
        <f>ROUND(C47*D47,0)</f>
        <v>70855</v>
      </c>
      <c r="F47" s="42"/>
      <c r="L47" s="2"/>
    </row>
    <row r="48" spans="1:12" x14ac:dyDescent="0.2">
      <c r="A48" t="str">
        <f t="shared" si="0"/>
        <v>2014</v>
      </c>
      <c r="C48" s="29">
        <f>'4.3'!G19</f>
        <v>7068</v>
      </c>
      <c r="D48" s="396">
        <f>'4.3'!G48</f>
        <v>0.997</v>
      </c>
      <c r="E48" s="29">
        <f>ROUND(C48*D48,0)</f>
        <v>7047</v>
      </c>
      <c r="F48" s="42"/>
      <c r="L48" s="2"/>
    </row>
    <row r="49" spans="1:12" x14ac:dyDescent="0.2">
      <c r="A49" t="str">
        <f t="shared" si="0"/>
        <v>2015</v>
      </c>
      <c r="C49" s="29">
        <f>'4.3'!F20</f>
        <v>139777</v>
      </c>
      <c r="D49" s="396">
        <f>'4.3'!F48</f>
        <v>0.98699999999999999</v>
      </c>
      <c r="E49" s="29">
        <f>ROUND(C49*D49,0)</f>
        <v>137960</v>
      </c>
      <c r="F49" s="42"/>
      <c r="L49" s="2"/>
    </row>
    <row r="50" spans="1:12" x14ac:dyDescent="0.2">
      <c r="A50" t="str">
        <f t="shared" si="0"/>
        <v>2016</v>
      </c>
      <c r="C50" s="29">
        <f>'4.3'!E21</f>
        <v>28908</v>
      </c>
      <c r="D50" s="396">
        <f>'4.3'!E48</f>
        <v>0.98299999999999998</v>
      </c>
      <c r="E50" s="29">
        <f>ROUND(C50*D50,0)</f>
        <v>28417</v>
      </c>
      <c r="F50" s="42"/>
      <c r="L50" s="2"/>
    </row>
    <row r="51" spans="1:12" x14ac:dyDescent="0.2">
      <c r="A51" t="str">
        <f t="shared" si="0"/>
        <v>2017</v>
      </c>
      <c r="C51" s="29">
        <f>'4.3'!D22</f>
        <v>1373877</v>
      </c>
      <c r="D51" s="396">
        <f>E51/C51</f>
        <v>1.0005057045008647</v>
      </c>
      <c r="E51" s="46">
        <f>('[4]1.1'!$C$21+'[4]1.1'!$C$22+'[4]1.1'!$F$21+'[4]1.1'!$F$22)/1000</f>
        <v>1374571.7757825346</v>
      </c>
      <c r="L51" s="2"/>
    </row>
    <row r="52" spans="1:12" ht="12" thickBot="1" x14ac:dyDescent="0.25">
      <c r="A52" s="378">
        <v>2018</v>
      </c>
      <c r="B52" s="6"/>
      <c r="C52" s="288">
        <f>'4.3'!C23</f>
        <v>13197</v>
      </c>
      <c r="D52" s="382">
        <f>'4.3'!C48</f>
        <v>0.999</v>
      </c>
      <c r="E52" s="288">
        <f>ROUND(C52*D52,0)</f>
        <v>13184</v>
      </c>
      <c r="F52" s="42"/>
      <c r="L52" s="2"/>
    </row>
    <row r="53" spans="1:12" ht="12" thickTop="1" x14ac:dyDescent="0.2">
      <c r="F53" s="42"/>
      <c r="L53" s="2"/>
    </row>
    <row r="54" spans="1:12" x14ac:dyDescent="0.2">
      <c r="A54" t="s">
        <v>19</v>
      </c>
      <c r="L54" s="2"/>
    </row>
    <row r="55" spans="1:12" x14ac:dyDescent="0.2">
      <c r="B55" s="21" t="str">
        <f>C12&amp;" "&amp;'4.3'!$K$1&amp;", "&amp;'4.3'!$K$2</f>
        <v>(2) Exhibit 4, Sheet 3</v>
      </c>
      <c r="D55" s="21"/>
      <c r="L55" s="2"/>
    </row>
    <row r="56" spans="1:12" x14ac:dyDescent="0.2">
      <c r="B56" s="21" t="str">
        <f>D12&amp;" "&amp;'4.3'!$K$1&amp;", "&amp;'4.3'!$K$2</f>
        <v>(3) Exhibit 4, Sheet 3</v>
      </c>
      <c r="L56" s="2"/>
    </row>
    <row r="57" spans="1:12" x14ac:dyDescent="0.2">
      <c r="B57" s="21" t="str">
        <f>E12&amp;" "&amp;A45&amp;" - "&amp;A52&amp;": "&amp;C12&amp;" * "&amp;D12&amp;"; "&amp;A14&amp;" - "&amp;A44&amp;": from prior TWIA annual statements"</f>
        <v>(4) 2011 - 2018: (2) * (3); 1980 - 2010: from prior TWIA annual statements</v>
      </c>
      <c r="C57" s="21"/>
      <c r="L57" s="2"/>
    </row>
    <row r="58" spans="1:12" x14ac:dyDescent="0.2">
      <c r="B58" s="21"/>
      <c r="L58" s="2"/>
    </row>
    <row r="59" spans="1:12" x14ac:dyDescent="0.2">
      <c r="C59" s="18"/>
      <c r="D59" s="18"/>
      <c r="E59" s="37"/>
      <c r="F59" s="42"/>
      <c r="L59" s="2"/>
    </row>
    <row r="60" spans="1:12" x14ac:dyDescent="0.2">
      <c r="C60" s="18"/>
      <c r="D60" s="18"/>
      <c r="E60" s="37"/>
      <c r="F60" s="42"/>
      <c r="L60" s="2"/>
    </row>
    <row r="61" spans="1:12" x14ac:dyDescent="0.2">
      <c r="C61" s="18"/>
      <c r="D61" s="18"/>
      <c r="E61" s="37"/>
      <c r="F61" s="42"/>
      <c r="L61" s="2"/>
    </row>
    <row r="62" spans="1:12" x14ac:dyDescent="0.2">
      <c r="C62" s="18"/>
      <c r="D62" s="18"/>
      <c r="E62" s="37"/>
      <c r="F62" s="42"/>
      <c r="L62" s="2"/>
    </row>
    <row r="63" spans="1:12" x14ac:dyDescent="0.2">
      <c r="C63" s="18"/>
      <c r="D63" s="18"/>
      <c r="E63" s="37"/>
      <c r="F63" s="42"/>
      <c r="L63" s="2"/>
    </row>
    <row r="64" spans="1:12" x14ac:dyDescent="0.2">
      <c r="C64" s="18"/>
      <c r="D64" s="18"/>
      <c r="E64" s="37"/>
      <c r="F64" s="42"/>
      <c r="L64" s="2"/>
    </row>
    <row r="65" spans="1:12" x14ac:dyDescent="0.2">
      <c r="C65" s="18"/>
      <c r="D65" s="18"/>
      <c r="E65" s="37"/>
      <c r="F65" s="42"/>
      <c r="L65" s="2"/>
    </row>
    <row r="66" spans="1:12" x14ac:dyDescent="0.2">
      <c r="C66" s="18"/>
      <c r="D66" s="18"/>
      <c r="E66" s="37"/>
      <c r="F66" s="42"/>
      <c r="L66" s="2"/>
    </row>
    <row r="67" spans="1:12" x14ac:dyDescent="0.2">
      <c r="C67" s="18"/>
      <c r="D67" s="18"/>
      <c r="E67" s="37"/>
      <c r="F67" s="42"/>
      <c r="L67" s="2"/>
    </row>
    <row r="68" spans="1:12" x14ac:dyDescent="0.2">
      <c r="L68" s="2"/>
    </row>
    <row r="69" spans="1:12" x14ac:dyDescent="0.2">
      <c r="L69" s="2"/>
    </row>
    <row r="70" spans="1:12" ht="12" thickBot="1" x14ac:dyDescent="0.25">
      <c r="L70" s="2"/>
    </row>
    <row r="71" spans="1:12" ht="12" thickBot="1" x14ac:dyDescent="0.25">
      <c r="A71" s="4"/>
      <c r="B71" s="5"/>
      <c r="C71" s="5"/>
      <c r="D71" s="5"/>
      <c r="E71" s="5"/>
      <c r="F71" s="5"/>
      <c r="G71" s="5"/>
      <c r="H71" s="5"/>
      <c r="I71" s="5"/>
      <c r="J71" s="5"/>
      <c r="K71" s="5"/>
      <c r="L71" s="3"/>
    </row>
  </sheetData>
  <phoneticPr fontId="0" type="noConversion"/>
  <pageMargins left="0.5" right="0.5" top="0.5" bottom="0.5" header="0.5" footer="0.5"/>
  <pageSetup scale="98" orientation="portrait" blackAndWhite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0"/>
  <dimension ref="A1:T69"/>
  <sheetViews>
    <sheetView showGridLines="0" zoomScaleNormal="100" workbookViewId="0">
      <selection activeCell="O32" sqref="O32"/>
    </sheetView>
  </sheetViews>
  <sheetFormatPr defaultColWidth="11.33203125" defaultRowHeight="11.25" x14ac:dyDescent="0.2"/>
  <cols>
    <col min="1" max="1" width="2.5" bestFit="1" customWidth="1"/>
    <col min="2" max="2" width="11.33203125" customWidth="1"/>
    <col min="3" max="10" width="12.6640625" customWidth="1"/>
    <col min="11" max="11" width="4.6640625" customWidth="1"/>
    <col min="12" max="13" width="11.33203125" customWidth="1"/>
    <col min="15" max="19" width="11.33203125" customWidth="1"/>
  </cols>
  <sheetData>
    <row r="1" spans="1:20" x14ac:dyDescent="0.2">
      <c r="A1" s="8" t="str">
        <f>'1'!$A$1</f>
        <v>Texas Windstorm Insurance Association</v>
      </c>
      <c r="B1" s="12"/>
      <c r="J1" s="47"/>
      <c r="K1" s="7" t="s">
        <v>56</v>
      </c>
      <c r="L1" s="1"/>
    </row>
    <row r="2" spans="1:20" x14ac:dyDescent="0.2">
      <c r="A2" s="8" t="str">
        <f>'1'!$A$2</f>
        <v>Commercial Property - Wind &amp; Hail</v>
      </c>
      <c r="B2" s="12"/>
      <c r="J2" s="47"/>
      <c r="K2" s="7" t="s">
        <v>69</v>
      </c>
      <c r="L2" s="2"/>
    </row>
    <row r="3" spans="1:20" x14ac:dyDescent="0.2">
      <c r="A3" s="8" t="str">
        <f>'1'!$A$3</f>
        <v>Rate Level Review</v>
      </c>
      <c r="B3" s="12"/>
      <c r="J3" s="47"/>
      <c r="L3" s="2"/>
    </row>
    <row r="4" spans="1:20" x14ac:dyDescent="0.2">
      <c r="A4" t="s">
        <v>70</v>
      </c>
      <c r="B4" s="12"/>
      <c r="J4" s="47"/>
      <c r="L4" s="2"/>
    </row>
    <row r="5" spans="1:20" x14ac:dyDescent="0.2">
      <c r="A5" s="58" t="s">
        <v>71</v>
      </c>
      <c r="B5" s="21"/>
      <c r="C5" s="58"/>
      <c r="D5" s="58"/>
      <c r="E5" s="58"/>
      <c r="J5" s="47"/>
      <c r="L5" s="2"/>
    </row>
    <row r="6" spans="1:20" x14ac:dyDescent="0.2">
      <c r="J6" s="47"/>
      <c r="L6" s="2"/>
    </row>
    <row r="7" spans="1:20" ht="12" thickBot="1" x14ac:dyDescent="0.25">
      <c r="A7" s="6"/>
      <c r="B7" s="6"/>
      <c r="C7" s="6"/>
      <c r="D7" s="6"/>
      <c r="E7" s="6"/>
      <c r="F7" s="6"/>
      <c r="G7" s="6"/>
      <c r="H7" s="6"/>
      <c r="I7" s="6"/>
      <c r="J7" s="47"/>
      <c r="L7" s="2"/>
    </row>
    <row r="8" spans="1:20" ht="12" thickTop="1" x14ac:dyDescent="0.2">
      <c r="J8" s="47"/>
      <c r="L8" s="2"/>
    </row>
    <row r="9" spans="1:20" x14ac:dyDescent="0.2">
      <c r="C9" s="23" t="s">
        <v>49</v>
      </c>
      <c r="J9" s="47"/>
      <c r="L9" s="2"/>
      <c r="M9" s="26"/>
    </row>
    <row r="10" spans="1:20" x14ac:dyDescent="0.2">
      <c r="A10" t="s">
        <v>42</v>
      </c>
      <c r="J10" s="47"/>
      <c r="L10" s="2"/>
      <c r="M10" t="s">
        <v>50</v>
      </c>
      <c r="P10" t="s">
        <v>489</v>
      </c>
    </row>
    <row r="11" spans="1:20" x14ac:dyDescent="0.2">
      <c r="A11" s="9" t="s">
        <v>43</v>
      </c>
      <c r="B11" s="9"/>
      <c r="C11" s="25">
        <f>$M$11</f>
        <v>12</v>
      </c>
      <c r="D11" s="25">
        <f t="shared" ref="D11:I11" si="0">C11+12</f>
        <v>24</v>
      </c>
      <c r="E11" s="25">
        <f t="shared" si="0"/>
        <v>36</v>
      </c>
      <c r="F11" s="25">
        <f t="shared" si="0"/>
        <v>48</v>
      </c>
      <c r="G11" s="25">
        <f t="shared" si="0"/>
        <v>60</v>
      </c>
      <c r="H11" s="25">
        <f t="shared" si="0"/>
        <v>72</v>
      </c>
      <c r="I11" s="25">
        <f t="shared" si="0"/>
        <v>84</v>
      </c>
      <c r="J11" s="48"/>
      <c r="L11" s="2"/>
      <c r="M11" s="111">
        <v>12</v>
      </c>
      <c r="P11" s="25" t="s">
        <v>301</v>
      </c>
      <c r="Q11" s="25" t="s">
        <v>303</v>
      </c>
      <c r="R11" s="25" t="s">
        <v>302</v>
      </c>
      <c r="S11" s="25" t="s">
        <v>68</v>
      </c>
    </row>
    <row r="12" spans="1:20" x14ac:dyDescent="0.2">
      <c r="A12" s="13" t="str">
        <f>TEXT(COLUMN(),"(#)")</f>
        <v>(1)</v>
      </c>
      <c r="B12" s="13"/>
      <c r="C12" s="11" t="str">
        <f t="shared" ref="C12:I12" si="1">TEXT(COLUMN()-1,"(#)")</f>
        <v>(2)</v>
      </c>
      <c r="D12" s="11" t="str">
        <f t="shared" si="1"/>
        <v>(3)</v>
      </c>
      <c r="E12" s="11" t="str">
        <f t="shared" si="1"/>
        <v>(4)</v>
      </c>
      <c r="F12" s="11" t="str">
        <f t="shared" si="1"/>
        <v>(5)</v>
      </c>
      <c r="G12" s="11" t="str">
        <f t="shared" si="1"/>
        <v>(6)</v>
      </c>
      <c r="H12" s="11" t="str">
        <f t="shared" si="1"/>
        <v>(7)</v>
      </c>
      <c r="I12" s="11" t="str">
        <f t="shared" si="1"/>
        <v>(8)</v>
      </c>
      <c r="J12" s="134"/>
      <c r="L12" s="2"/>
    </row>
    <row r="13" spans="1:20" ht="11.25" customHeight="1" x14ac:dyDescent="0.2">
      <c r="J13" s="47"/>
      <c r="L13" s="2"/>
    </row>
    <row r="14" spans="1:20" ht="11.25" customHeight="1" x14ac:dyDescent="0.2">
      <c r="A14" t="str">
        <f t="shared" ref="A14:A22" si="2">TEXT(A15-1,"#")</f>
        <v>2009</v>
      </c>
      <c r="B14" s="24"/>
      <c r="C14" s="36">
        <v>8267</v>
      </c>
      <c r="D14" s="36">
        <v>10825</v>
      </c>
      <c r="E14" s="36">
        <v>10581</v>
      </c>
      <c r="F14" s="36">
        <v>10732</v>
      </c>
      <c r="G14" s="36">
        <v>10453</v>
      </c>
      <c r="H14" s="36">
        <v>10404</v>
      </c>
      <c r="I14" s="29">
        <f>S14</f>
        <v>10407</v>
      </c>
      <c r="J14" s="180"/>
      <c r="L14" s="2"/>
      <c r="O14" s="297">
        <f t="shared" ref="O14:O21" si="3">O15-1</f>
        <v>2009</v>
      </c>
      <c r="P14" s="298">
        <v>10403</v>
      </c>
      <c r="Q14" s="299">
        <v>0</v>
      </c>
      <c r="R14" s="299">
        <v>4</v>
      </c>
      <c r="S14" s="300">
        <f>SUM(P14:R14)</f>
        <v>10407</v>
      </c>
      <c r="T14" s="106"/>
    </row>
    <row r="15" spans="1:20" ht="11.25" customHeight="1" x14ac:dyDescent="0.2">
      <c r="A15" t="str">
        <f t="shared" si="2"/>
        <v>2010</v>
      </c>
      <c r="B15" s="24"/>
      <c r="C15" s="36">
        <v>15215</v>
      </c>
      <c r="D15" s="36">
        <v>18166</v>
      </c>
      <c r="E15" s="36">
        <v>18173</v>
      </c>
      <c r="F15" s="36">
        <v>18522</v>
      </c>
      <c r="G15" s="36">
        <v>18361</v>
      </c>
      <c r="H15" s="36">
        <v>18267</v>
      </c>
      <c r="I15" s="29">
        <f>S15</f>
        <v>18030</v>
      </c>
      <c r="J15" s="180"/>
      <c r="L15" s="2"/>
      <c r="O15" s="297">
        <f t="shared" si="3"/>
        <v>2010</v>
      </c>
      <c r="P15" s="298">
        <v>18005</v>
      </c>
      <c r="Q15" s="298">
        <v>0</v>
      </c>
      <c r="R15" s="298">
        <v>25</v>
      </c>
      <c r="S15" s="300">
        <f t="shared" ref="S15:S22" si="4">SUM(P15:R15)</f>
        <v>18030</v>
      </c>
      <c r="T15" s="106"/>
    </row>
    <row r="16" spans="1:20" ht="11.25" customHeight="1" x14ac:dyDescent="0.2">
      <c r="A16" t="str">
        <f t="shared" si="2"/>
        <v>2011</v>
      </c>
      <c r="B16" s="24"/>
      <c r="C16" s="36">
        <v>94870</v>
      </c>
      <c r="D16" s="36">
        <v>96967</v>
      </c>
      <c r="E16" s="36">
        <v>97503</v>
      </c>
      <c r="F16" s="36">
        <v>96828</v>
      </c>
      <c r="G16" s="36">
        <v>96263</v>
      </c>
      <c r="H16" s="246">
        <v>95964</v>
      </c>
      <c r="I16" s="29">
        <f>S16</f>
        <v>96290</v>
      </c>
      <c r="J16" s="180"/>
      <c r="L16" s="2"/>
      <c r="O16" s="297">
        <f t="shared" si="3"/>
        <v>2011</v>
      </c>
      <c r="P16" s="298">
        <v>96089</v>
      </c>
      <c r="Q16" s="299">
        <v>0</v>
      </c>
      <c r="R16" s="299">
        <v>201</v>
      </c>
      <c r="S16" s="300">
        <f t="shared" si="4"/>
        <v>96290</v>
      </c>
      <c r="T16" s="106"/>
    </row>
    <row r="17" spans="1:20" ht="11.25" customHeight="1" x14ac:dyDescent="0.2">
      <c r="A17" t="str">
        <f t="shared" si="2"/>
        <v>2012</v>
      </c>
      <c r="B17" s="24"/>
      <c r="C17" s="36">
        <v>62722</v>
      </c>
      <c r="D17" s="36">
        <v>69764</v>
      </c>
      <c r="E17" s="36">
        <v>67287</v>
      </c>
      <c r="F17" s="36">
        <v>66724</v>
      </c>
      <c r="G17" s="246">
        <v>66328</v>
      </c>
      <c r="H17" s="246">
        <v>67658</v>
      </c>
      <c r="I17" s="29">
        <f>S17</f>
        <v>67586</v>
      </c>
      <c r="J17" s="180"/>
      <c r="L17" s="2"/>
      <c r="O17" s="297">
        <f t="shared" si="3"/>
        <v>2012</v>
      </c>
      <c r="P17" s="298">
        <v>66741</v>
      </c>
      <c r="Q17" s="299">
        <v>747</v>
      </c>
      <c r="R17" s="299">
        <v>98</v>
      </c>
      <c r="S17" s="300">
        <f t="shared" si="4"/>
        <v>67586</v>
      </c>
      <c r="T17" s="106"/>
    </row>
    <row r="18" spans="1:20" ht="11.25" customHeight="1" x14ac:dyDescent="0.2">
      <c r="A18" t="str">
        <f t="shared" si="2"/>
        <v>2013</v>
      </c>
      <c r="B18" s="24"/>
      <c r="C18" s="36">
        <v>77204</v>
      </c>
      <c r="D18" s="36">
        <v>75204</v>
      </c>
      <c r="E18" s="36">
        <v>72860</v>
      </c>
      <c r="F18" s="246">
        <v>71823</v>
      </c>
      <c r="G18" s="246">
        <v>71286</v>
      </c>
      <c r="H18" s="29">
        <f>S18</f>
        <v>71068</v>
      </c>
      <c r="I18" s="29"/>
      <c r="J18" s="180"/>
      <c r="L18" s="2"/>
      <c r="O18" s="297">
        <f t="shared" si="3"/>
        <v>2013</v>
      </c>
      <c r="P18" s="298">
        <v>70811</v>
      </c>
      <c r="Q18" s="299">
        <v>0</v>
      </c>
      <c r="R18" s="299">
        <v>257</v>
      </c>
      <c r="S18" s="300">
        <f t="shared" si="4"/>
        <v>71068</v>
      </c>
      <c r="T18" s="106"/>
    </row>
    <row r="19" spans="1:20" ht="11.25" customHeight="1" x14ac:dyDescent="0.2">
      <c r="A19" t="str">
        <f t="shared" si="2"/>
        <v>2014</v>
      </c>
      <c r="B19" s="24"/>
      <c r="C19" s="36">
        <v>6739</v>
      </c>
      <c r="D19" s="36">
        <v>7854</v>
      </c>
      <c r="E19" s="246">
        <v>7298</v>
      </c>
      <c r="F19" s="246">
        <v>7261</v>
      </c>
      <c r="G19" s="29">
        <f>S19</f>
        <v>7068</v>
      </c>
      <c r="H19" s="36"/>
      <c r="I19" s="36"/>
      <c r="J19" s="44"/>
      <c r="L19" s="2"/>
      <c r="O19" s="297">
        <f t="shared" si="3"/>
        <v>2014</v>
      </c>
      <c r="P19" s="298">
        <v>7002</v>
      </c>
      <c r="Q19" s="299">
        <v>15</v>
      </c>
      <c r="R19" s="299">
        <v>51</v>
      </c>
      <c r="S19" s="300">
        <f t="shared" si="4"/>
        <v>7068</v>
      </c>
      <c r="T19" s="106"/>
    </row>
    <row r="20" spans="1:20" ht="11.25" customHeight="1" x14ac:dyDescent="0.2">
      <c r="A20" t="str">
        <f t="shared" si="2"/>
        <v>2015</v>
      </c>
      <c r="B20" s="24"/>
      <c r="C20" s="36">
        <v>147927</v>
      </c>
      <c r="D20" s="246">
        <v>139955</v>
      </c>
      <c r="E20" s="246">
        <v>140459</v>
      </c>
      <c r="F20" s="29">
        <f>S20</f>
        <v>139777</v>
      </c>
      <c r="G20" s="36"/>
      <c r="H20" s="36"/>
      <c r="I20" s="36"/>
      <c r="J20" s="44"/>
      <c r="L20" s="2"/>
      <c r="O20" s="297">
        <f t="shared" si="3"/>
        <v>2015</v>
      </c>
      <c r="P20" s="298">
        <v>138569</v>
      </c>
      <c r="Q20" s="298">
        <v>135</v>
      </c>
      <c r="R20" s="298">
        <v>1073</v>
      </c>
      <c r="S20" s="300">
        <f t="shared" si="4"/>
        <v>139777</v>
      </c>
      <c r="T20" s="106"/>
    </row>
    <row r="21" spans="1:20" ht="11.25" customHeight="1" x14ac:dyDescent="0.2">
      <c r="A21" t="str">
        <f t="shared" si="2"/>
        <v>2016</v>
      </c>
      <c r="B21" s="24"/>
      <c r="C21" s="246">
        <v>31292</v>
      </c>
      <c r="D21" s="246">
        <v>29612</v>
      </c>
      <c r="E21" s="29">
        <f>S21</f>
        <v>28908</v>
      </c>
      <c r="F21" s="36"/>
      <c r="G21" s="36"/>
      <c r="H21" s="36"/>
      <c r="I21" s="36"/>
      <c r="J21" s="44"/>
      <c r="L21" s="2"/>
      <c r="O21" s="297">
        <f t="shared" si="3"/>
        <v>2016</v>
      </c>
      <c r="P21" s="298">
        <v>28391</v>
      </c>
      <c r="Q21" s="299">
        <v>40</v>
      </c>
      <c r="R21" s="299">
        <v>477</v>
      </c>
      <c r="S21" s="300">
        <f t="shared" si="4"/>
        <v>28908</v>
      </c>
      <c r="T21" s="106"/>
    </row>
    <row r="22" spans="1:20" ht="11.25" customHeight="1" x14ac:dyDescent="0.2">
      <c r="A22" t="str">
        <f t="shared" si="2"/>
        <v>2017</v>
      </c>
      <c r="B22" s="24"/>
      <c r="C22" s="246">
        <v>1278467</v>
      </c>
      <c r="D22" s="29">
        <f>S22</f>
        <v>1373877</v>
      </c>
      <c r="E22" s="147"/>
      <c r="F22" s="36"/>
      <c r="G22" s="36"/>
      <c r="H22" s="36"/>
      <c r="I22" s="36"/>
      <c r="J22" s="44"/>
      <c r="L22" s="2"/>
      <c r="M22" t="s">
        <v>241</v>
      </c>
      <c r="O22" s="297">
        <f>O23-1</f>
        <v>2017</v>
      </c>
      <c r="P22" s="298">
        <v>1241954</v>
      </c>
      <c r="Q22" s="298">
        <v>56829</v>
      </c>
      <c r="R22" s="299">
        <v>75094</v>
      </c>
      <c r="S22" s="300">
        <f t="shared" si="4"/>
        <v>1373877</v>
      </c>
      <c r="T22" s="106"/>
    </row>
    <row r="23" spans="1:20" ht="11.25" customHeight="1" x14ac:dyDescent="0.2">
      <c r="A23" t="str">
        <f>TEXT(YEAR($M$23),"#")</f>
        <v>2018</v>
      </c>
      <c r="B23" s="24"/>
      <c r="C23" s="319">
        <f>S23</f>
        <v>13197</v>
      </c>
      <c r="D23" s="29"/>
      <c r="E23" s="147"/>
      <c r="F23" s="36"/>
      <c r="G23" s="36"/>
      <c r="H23" s="36"/>
      <c r="I23" s="36"/>
      <c r="J23" s="44"/>
      <c r="L23" s="2"/>
      <c r="M23" s="103">
        <v>43465</v>
      </c>
      <c r="O23" s="297">
        <v>2018</v>
      </c>
      <c r="P23" s="298">
        <v>9089</v>
      </c>
      <c r="Q23" s="298">
        <v>986</v>
      </c>
      <c r="R23" s="298">
        <v>3122</v>
      </c>
      <c r="S23" s="300">
        <f>SUM(P23:R23)</f>
        <v>13197</v>
      </c>
    </row>
    <row r="24" spans="1:20" x14ac:dyDescent="0.2">
      <c r="A24" s="9"/>
      <c r="B24" s="25"/>
      <c r="C24" s="30"/>
      <c r="D24" s="146"/>
      <c r="E24" s="146"/>
      <c r="F24" s="71"/>
      <c r="G24" s="71"/>
      <c r="H24" s="71"/>
      <c r="I24" s="71"/>
      <c r="J24" s="47"/>
      <c r="L24" s="2"/>
      <c r="Q24" s="401"/>
      <c r="R24" s="402"/>
    </row>
    <row r="25" spans="1:20" ht="11.25" customHeight="1" x14ac:dyDescent="0.2">
      <c r="J25" s="47"/>
      <c r="L25" s="2"/>
    </row>
    <row r="26" spans="1:20" ht="11.25" customHeight="1" x14ac:dyDescent="0.2">
      <c r="C26" s="23" t="s">
        <v>51</v>
      </c>
      <c r="J26" s="47"/>
      <c r="L26" s="2"/>
      <c r="P26" s="18">
        <f>SUM(P14:P23)</f>
        <v>1687054</v>
      </c>
      <c r="Q26" s="18">
        <f>SUM(Q14:Q24)</f>
        <v>58752</v>
      </c>
      <c r="R26" s="18">
        <f>SUM(R14:R24)</f>
        <v>80402</v>
      </c>
      <c r="S26" s="18">
        <f>SUM(S14:S23)</f>
        <v>1826208</v>
      </c>
    </row>
    <row r="27" spans="1:20" ht="11.25" customHeight="1" x14ac:dyDescent="0.2">
      <c r="A27" t="s">
        <v>42</v>
      </c>
      <c r="J27" s="47"/>
      <c r="L27" s="2"/>
    </row>
    <row r="28" spans="1:20" ht="11.25" customHeight="1" x14ac:dyDescent="0.2">
      <c r="A28" s="9" t="s">
        <v>43</v>
      </c>
      <c r="B28" s="9"/>
      <c r="C28" s="9" t="str">
        <f t="shared" ref="C28:H28" si="5">C11&amp;" - "&amp;D11</f>
        <v>12 - 24</v>
      </c>
      <c r="D28" s="9" t="str">
        <f t="shared" si="5"/>
        <v>24 - 36</v>
      </c>
      <c r="E28" s="9" t="str">
        <f t="shared" si="5"/>
        <v>36 - 48</v>
      </c>
      <c r="F28" s="9" t="str">
        <f t="shared" si="5"/>
        <v>48 - 60</v>
      </c>
      <c r="G28" s="9" t="str">
        <f t="shared" si="5"/>
        <v>60 - 72</v>
      </c>
      <c r="H28" s="9" t="str">
        <f t="shared" si="5"/>
        <v>72 - 84</v>
      </c>
      <c r="I28" s="9" t="str">
        <f>I11&amp;" - Ult"</f>
        <v>84 - Ult</v>
      </c>
      <c r="J28" s="47"/>
      <c r="L28" s="2"/>
      <c r="O28" s="262"/>
      <c r="P28" s="263"/>
      <c r="Q28" s="262"/>
      <c r="R28" s="262"/>
      <c r="S28" s="263"/>
    </row>
    <row r="29" spans="1:20" ht="11.25" customHeight="1" x14ac:dyDescent="0.2">
      <c r="A29" s="13" t="str">
        <f>TEXT(COLUMN(),"(#)")</f>
        <v>(1)</v>
      </c>
      <c r="B29" s="13"/>
      <c r="C29" s="11" t="str">
        <f t="shared" ref="C29:I29" si="6">TEXT(COLUMN()-1,"(#)")</f>
        <v>(2)</v>
      </c>
      <c r="D29" s="11" t="str">
        <f t="shared" si="6"/>
        <v>(3)</v>
      </c>
      <c r="E29" s="11" t="str">
        <f t="shared" si="6"/>
        <v>(4)</v>
      </c>
      <c r="F29" s="11" t="str">
        <f t="shared" si="6"/>
        <v>(5)</v>
      </c>
      <c r="G29" s="11" t="str">
        <f t="shared" si="6"/>
        <v>(6)</v>
      </c>
      <c r="H29" s="11" t="str">
        <f t="shared" si="6"/>
        <v>(7)</v>
      </c>
      <c r="I29" s="11" t="str">
        <f t="shared" si="6"/>
        <v>(8)</v>
      </c>
      <c r="J29" s="134"/>
      <c r="L29" s="2"/>
      <c r="O29" s="262"/>
      <c r="P29" s="263"/>
      <c r="Q29" s="262"/>
      <c r="R29" s="262"/>
      <c r="S29" s="263"/>
    </row>
    <row r="30" spans="1:20" ht="11.25" customHeight="1" x14ac:dyDescent="0.2">
      <c r="J30" s="47"/>
      <c r="L30" s="2"/>
      <c r="O30" s="262"/>
      <c r="P30" s="263"/>
      <c r="Q30" s="262"/>
      <c r="R30" s="262"/>
      <c r="S30" s="263"/>
    </row>
    <row r="31" spans="1:20" ht="11.25" customHeight="1" x14ac:dyDescent="0.2">
      <c r="A31" t="str">
        <f t="shared" ref="A31:A39" si="7">A14</f>
        <v>2009</v>
      </c>
      <c r="B31" s="24"/>
      <c r="C31" s="37">
        <f>IF(ISNUMBER(C14),D14/C14,"")</f>
        <v>1.3094230071368089</v>
      </c>
      <c r="D31" s="37">
        <f>IF(ISNUMBER(E14),E14/D14,"")</f>
        <v>0.97745958429561197</v>
      </c>
      <c r="E31" s="37">
        <f>IF(ISNUMBER(F14),F14/E14,"")</f>
        <v>1.0142708628674038</v>
      </c>
      <c r="F31" s="37">
        <f>IF(ISNUMBER(G14),G14/F14,"")</f>
        <v>0.97400298173686173</v>
      </c>
      <c r="G31" s="37">
        <f>IF(ISNUMBER(H14),H14/G14,"")</f>
        <v>0.99531235052138145</v>
      </c>
      <c r="H31" s="37">
        <f>IF(ISNUMBER(I14),I14/H14,"")</f>
        <v>1.0002883506343714</v>
      </c>
      <c r="I31" s="37"/>
      <c r="J31" s="183"/>
      <c r="L31" s="2"/>
      <c r="O31" s="262"/>
      <c r="P31" s="263"/>
      <c r="Q31" s="262"/>
      <c r="R31" s="262"/>
      <c r="S31" s="263"/>
    </row>
    <row r="32" spans="1:20" ht="11.25" customHeight="1" x14ac:dyDescent="0.2">
      <c r="A32" t="str">
        <f t="shared" si="7"/>
        <v>2010</v>
      </c>
      <c r="B32" s="24"/>
      <c r="C32" s="37">
        <f t="shared" ref="C32:C38" si="8">IF(ISNUMBER(C15),D15/C15,"")</f>
        <v>1.1939533355241538</v>
      </c>
      <c r="D32" s="37">
        <f t="shared" ref="D32:H39" si="9">IF(ISNUMBER(E15),E15/D15,"")</f>
        <v>1.0003853352416603</v>
      </c>
      <c r="E32" s="37">
        <f>IF(ISNUMBER(F15),F15/E15,"")</f>
        <v>1.0192043140923348</v>
      </c>
      <c r="F32" s="37">
        <f>IF(ISNUMBER(G15),G15/F15,"")</f>
        <v>0.99130763416477707</v>
      </c>
      <c r="G32" s="37">
        <f t="shared" si="9"/>
        <v>0.99488045313436091</v>
      </c>
      <c r="H32" s="37">
        <f>IF(ISNUMBER(I15),I15/H15,"")</f>
        <v>0.98702578420101827</v>
      </c>
      <c r="I32" s="37"/>
      <c r="J32" s="183"/>
      <c r="L32" s="2"/>
      <c r="O32" s="262"/>
      <c r="P32" s="263"/>
      <c r="Q32" s="262"/>
      <c r="R32" s="262"/>
      <c r="S32" s="263"/>
    </row>
    <row r="33" spans="1:19" ht="11.25" customHeight="1" x14ac:dyDescent="0.2">
      <c r="A33" t="str">
        <f t="shared" si="7"/>
        <v>2011</v>
      </c>
      <c r="B33" s="24"/>
      <c r="C33" s="37">
        <f t="shared" si="8"/>
        <v>1.022103931696005</v>
      </c>
      <c r="D33" s="37">
        <f t="shared" si="9"/>
        <v>1.0055276537378697</v>
      </c>
      <c r="E33" s="37">
        <f>IF(ISNUMBER(F16),F16/E16,"")</f>
        <v>0.99307713608812032</v>
      </c>
      <c r="F33" s="37">
        <f t="shared" si="9"/>
        <v>0.99416491097616388</v>
      </c>
      <c r="G33" s="37">
        <f t="shared" si="9"/>
        <v>0.99689392601518756</v>
      </c>
      <c r="H33" s="37">
        <f>IF(ISNUMBER(I16),I16/H16,"")</f>
        <v>1.0033971072485515</v>
      </c>
      <c r="I33" s="37"/>
      <c r="J33" s="183"/>
      <c r="L33" s="2"/>
      <c r="O33" s="262"/>
      <c r="P33" s="263"/>
      <c r="Q33" s="262"/>
      <c r="R33" s="262"/>
      <c r="S33" s="263"/>
    </row>
    <row r="34" spans="1:19" ht="11.25" customHeight="1" x14ac:dyDescent="0.2">
      <c r="A34" t="str">
        <f t="shared" si="7"/>
        <v>2012</v>
      </c>
      <c r="B34" s="24"/>
      <c r="C34" s="37">
        <f t="shared" si="8"/>
        <v>1.1122732055738018</v>
      </c>
      <c r="D34" s="37">
        <f t="shared" si="9"/>
        <v>0.96449458173269886</v>
      </c>
      <c r="E34" s="37">
        <f t="shared" si="9"/>
        <v>0.9916328562723854</v>
      </c>
      <c r="F34" s="37">
        <f t="shared" si="9"/>
        <v>0.99406510401055093</v>
      </c>
      <c r="G34" s="37">
        <f t="shared" si="9"/>
        <v>1.0200518634664093</v>
      </c>
      <c r="H34" s="37">
        <f t="shared" si="9"/>
        <v>0.99893582429276662</v>
      </c>
      <c r="I34" s="37"/>
      <c r="J34" s="183"/>
      <c r="L34" s="2"/>
      <c r="O34" s="262"/>
      <c r="P34" s="263"/>
      <c r="Q34" s="263"/>
      <c r="R34" s="263"/>
      <c r="S34" s="263"/>
    </row>
    <row r="35" spans="1:19" ht="11.25" customHeight="1" x14ac:dyDescent="0.2">
      <c r="A35" t="str">
        <f t="shared" si="7"/>
        <v>2013</v>
      </c>
      <c r="B35" s="24"/>
      <c r="C35" s="37">
        <f t="shared" si="8"/>
        <v>0.97409460649707269</v>
      </c>
      <c r="D35" s="37">
        <f t="shared" si="9"/>
        <v>0.96883144513589703</v>
      </c>
      <c r="E35" s="37">
        <f t="shared" si="9"/>
        <v>0.98576722481471313</v>
      </c>
      <c r="F35" s="37">
        <f t="shared" si="9"/>
        <v>0.99252328641243059</v>
      </c>
      <c r="G35" s="37">
        <f>IF(ISNUMBER(H18),H18/G18,"")</f>
        <v>0.99694189602446481</v>
      </c>
      <c r="H35" s="37" t="str">
        <f t="shared" si="9"/>
        <v/>
      </c>
      <c r="I35" s="37"/>
      <c r="J35" s="183"/>
      <c r="L35" s="2"/>
      <c r="O35" s="262"/>
      <c r="P35" s="263"/>
      <c r="Q35" s="262"/>
      <c r="R35" s="262"/>
      <c r="S35" s="263"/>
    </row>
    <row r="36" spans="1:19" ht="11.25" customHeight="1" x14ac:dyDescent="0.2">
      <c r="A36" t="str">
        <f t="shared" si="7"/>
        <v>2014</v>
      </c>
      <c r="B36" s="24"/>
      <c r="C36" s="37">
        <f t="shared" si="8"/>
        <v>1.1654548152544888</v>
      </c>
      <c r="D36" s="37">
        <f t="shared" si="9"/>
        <v>0.92920804685510572</v>
      </c>
      <c r="E36" s="37">
        <f t="shared" si="9"/>
        <v>0.99493011784050422</v>
      </c>
      <c r="F36" s="37">
        <f>IF(ISNUMBER(G19),G19/F19,"")</f>
        <v>0.97341963916815866</v>
      </c>
      <c r="G36" s="37" t="str">
        <f t="shared" si="9"/>
        <v/>
      </c>
      <c r="H36" s="37" t="str">
        <f t="shared" si="9"/>
        <v/>
      </c>
      <c r="I36" s="37"/>
      <c r="J36" s="183"/>
      <c r="L36" s="2"/>
      <c r="O36" s="262"/>
      <c r="P36" s="263"/>
      <c r="Q36" s="263"/>
      <c r="R36" s="262"/>
      <c r="S36" s="263"/>
    </row>
    <row r="37" spans="1:19" ht="11.25" customHeight="1" x14ac:dyDescent="0.2">
      <c r="A37" t="str">
        <f t="shared" si="7"/>
        <v>2015</v>
      </c>
      <c r="B37" s="24"/>
      <c r="C37" s="37">
        <f t="shared" si="8"/>
        <v>0.94610855354330181</v>
      </c>
      <c r="D37" s="37">
        <f t="shared" si="9"/>
        <v>1.0036011575149155</v>
      </c>
      <c r="E37" s="37">
        <f>IF(ISNUMBER(F20),F20/E20,"")</f>
        <v>0.99514449056308252</v>
      </c>
      <c r="F37" s="37" t="str">
        <f t="shared" si="9"/>
        <v/>
      </c>
      <c r="G37" s="37" t="str">
        <f t="shared" si="9"/>
        <v/>
      </c>
      <c r="H37" s="37" t="str">
        <f t="shared" si="9"/>
        <v/>
      </c>
      <c r="I37" s="37"/>
      <c r="J37" s="183"/>
      <c r="L37" s="2"/>
      <c r="O37" s="262"/>
      <c r="P37" s="263"/>
      <c r="Q37" s="263"/>
      <c r="R37" s="263"/>
      <c r="S37" s="263"/>
    </row>
    <row r="38" spans="1:19" ht="11.25" customHeight="1" x14ac:dyDescent="0.2">
      <c r="A38" t="str">
        <f t="shared" si="7"/>
        <v>2016</v>
      </c>
      <c r="B38" s="48"/>
      <c r="C38" s="183">
        <f t="shared" si="8"/>
        <v>0.9463121564617154</v>
      </c>
      <c r="D38" s="183">
        <f>IF(ISNUMBER(E21),E21/D21,"")</f>
        <v>0.97622585438335807</v>
      </c>
      <c r="E38" s="183" t="str">
        <f t="shared" si="9"/>
        <v/>
      </c>
      <c r="F38" s="183" t="str">
        <f t="shared" si="9"/>
        <v/>
      </c>
      <c r="G38" s="183" t="str">
        <f t="shared" si="9"/>
        <v/>
      </c>
      <c r="H38" s="183" t="str">
        <f t="shared" si="9"/>
        <v/>
      </c>
      <c r="I38" s="37"/>
      <c r="J38" s="183"/>
      <c r="L38" s="2"/>
    </row>
    <row r="39" spans="1:19" ht="11.25" customHeight="1" x14ac:dyDescent="0.2">
      <c r="A39" t="str">
        <f t="shared" si="7"/>
        <v>2017</v>
      </c>
      <c r="B39" s="48"/>
      <c r="C39" s="183">
        <f>IF(ISNUMBER(C22),D22/C22,"")</f>
        <v>1.0746284417196532</v>
      </c>
      <c r="D39" s="183" t="str">
        <f t="shared" si="9"/>
        <v/>
      </c>
      <c r="E39" s="183" t="str">
        <f t="shared" si="9"/>
        <v/>
      </c>
      <c r="F39" s="183" t="str">
        <f t="shared" si="9"/>
        <v/>
      </c>
      <c r="G39" s="183" t="str">
        <f t="shared" si="9"/>
        <v/>
      </c>
      <c r="H39" s="183" t="str">
        <f t="shared" si="9"/>
        <v/>
      </c>
      <c r="I39" s="37"/>
      <c r="J39" s="183"/>
      <c r="L39" s="2"/>
      <c r="P39" s="18"/>
      <c r="Q39" s="18"/>
      <c r="R39" s="18"/>
      <c r="S39" s="18"/>
    </row>
    <row r="40" spans="1:19" x14ac:dyDescent="0.2">
      <c r="A40" s="9"/>
      <c r="B40" s="25"/>
      <c r="C40" s="38"/>
      <c r="D40" s="38"/>
      <c r="E40" s="38"/>
      <c r="F40" s="38"/>
      <c r="G40" s="38"/>
      <c r="H40" s="38"/>
      <c r="I40" s="38"/>
      <c r="J40" s="47"/>
      <c r="L40" s="2"/>
    </row>
    <row r="41" spans="1:19" ht="11.25" customHeight="1" x14ac:dyDescent="0.2">
      <c r="C41" s="18"/>
      <c r="J41" s="47"/>
      <c r="L41" s="2"/>
    </row>
    <row r="42" spans="1:19" x14ac:dyDescent="0.2">
      <c r="A42" t="s">
        <v>52</v>
      </c>
      <c r="B42" s="24"/>
      <c r="C42" s="39">
        <f t="shared" ref="C42:H42" si="10">AVERAGE(C31:C39)</f>
        <v>1.0827057837118892</v>
      </c>
      <c r="D42" s="39">
        <f t="shared" si="10"/>
        <v>0.97821670736213961</v>
      </c>
      <c r="E42" s="39">
        <f t="shared" si="10"/>
        <v>0.99914671464836347</v>
      </c>
      <c r="F42" s="39">
        <f t="shared" si="10"/>
        <v>0.9865805927448239</v>
      </c>
      <c r="G42" s="39">
        <f t="shared" si="10"/>
        <v>1.0008160978323608</v>
      </c>
      <c r="H42" s="39">
        <f t="shared" si="10"/>
        <v>0.99741176659417685</v>
      </c>
      <c r="I42" s="39"/>
      <c r="J42" s="184"/>
      <c r="L42" s="2"/>
    </row>
    <row r="43" spans="1:19" x14ac:dyDescent="0.2">
      <c r="A43" t="s">
        <v>76</v>
      </c>
      <c r="B43" s="21"/>
      <c r="C43" s="40">
        <f t="shared" ref="C43:H43" si="11">(SUM(C31:C39)-MAX(C31:C39)-MIN(C31:C39))/(COUNT(C31:C39)-2)</f>
        <v>1.0698314989609845</v>
      </c>
      <c r="D43" s="40">
        <f t="shared" si="11"/>
        <v>0.98183299305069027</v>
      </c>
      <c r="E43" s="40">
        <f t="shared" si="11"/>
        <v>0.99781109272629931</v>
      </c>
      <c r="F43" s="40">
        <f t="shared" si="11"/>
        <v>0.98797475158115533</v>
      </c>
      <c r="G43" s="40">
        <f t="shared" si="11"/>
        <v>0.99638272418701146</v>
      </c>
      <c r="H43" s="40">
        <f t="shared" si="11"/>
        <v>0.99961208746356878</v>
      </c>
      <c r="J43" s="47"/>
      <c r="L43" s="2"/>
    </row>
    <row r="44" spans="1:19" x14ac:dyDescent="0.2">
      <c r="A44" t="s">
        <v>77</v>
      </c>
      <c r="C44" s="39">
        <f>AVERAGE(C37:C39)</f>
        <v>0.98901638390822344</v>
      </c>
      <c r="D44" s="39">
        <f>AVERAGE(D36:D38)</f>
        <v>0.96967835291779314</v>
      </c>
      <c r="E44" s="39">
        <f>AVERAGE(E35:E37)</f>
        <v>0.99194727773943325</v>
      </c>
      <c r="F44" s="39">
        <f>AVERAGE(F34:F36)</f>
        <v>0.9866693431970468</v>
      </c>
      <c r="G44" s="39">
        <f>AVERAGE(G33:G35)</f>
        <v>1.0046292285020206</v>
      </c>
      <c r="H44" s="39">
        <f>AVERAGE(H32:H34)</f>
        <v>0.99645290524744556</v>
      </c>
      <c r="J44" s="47"/>
      <c r="L44" s="2"/>
    </row>
    <row r="45" spans="1:19" x14ac:dyDescent="0.2">
      <c r="A45" t="s">
        <v>53</v>
      </c>
      <c r="B45" s="24"/>
      <c r="C45" s="39">
        <f>AVERAGE(C35:C39)</f>
        <v>1.0213197146952464</v>
      </c>
      <c r="D45" s="39">
        <f>AVERAGE(D34:D38)</f>
        <v>0.96847221712439491</v>
      </c>
      <c r="E45" s="39">
        <f>AVERAGE(E33:E37)</f>
        <v>0.99211036511576123</v>
      </c>
      <c r="F45" s="39">
        <f>AVERAGE(F32:F36)</f>
        <v>0.98909611494641614</v>
      </c>
      <c r="G45" s="39">
        <f>AVERAGE(G31:G35)</f>
        <v>1.0008160978323608</v>
      </c>
      <c r="H45" s="39">
        <f>AVERAGE(H31:H34)</f>
        <v>0.99741176659417685</v>
      </c>
      <c r="I45" s="39"/>
      <c r="J45" s="184"/>
      <c r="L45" s="2"/>
    </row>
    <row r="46" spans="1:19" x14ac:dyDescent="0.2">
      <c r="A46" t="s">
        <v>200</v>
      </c>
      <c r="C46" s="119">
        <v>1.044</v>
      </c>
      <c r="D46" s="119">
        <v>0.98599999999999999</v>
      </c>
      <c r="E46" s="119">
        <v>1</v>
      </c>
      <c r="F46" s="119">
        <v>0.999</v>
      </c>
      <c r="G46" s="119">
        <v>0.998</v>
      </c>
      <c r="H46" s="119">
        <v>0.995</v>
      </c>
      <c r="I46" s="119">
        <v>1</v>
      </c>
      <c r="J46" s="185"/>
      <c r="L46" s="2"/>
    </row>
    <row r="47" spans="1:19" x14ac:dyDescent="0.2">
      <c r="A47" t="s">
        <v>54</v>
      </c>
      <c r="C47" s="113">
        <f t="shared" ref="C47:I47" si="12">ROUND(AVERAGE(C42:C46),3)</f>
        <v>1.0409999999999999</v>
      </c>
      <c r="D47" s="113">
        <f t="shared" si="12"/>
        <v>0.97699999999999998</v>
      </c>
      <c r="E47" s="113">
        <f t="shared" si="12"/>
        <v>0.996</v>
      </c>
      <c r="F47" s="113">
        <f t="shared" si="12"/>
        <v>0.99</v>
      </c>
      <c r="G47" s="113">
        <f t="shared" si="12"/>
        <v>1</v>
      </c>
      <c r="H47" s="113">
        <f t="shared" si="12"/>
        <v>0.997</v>
      </c>
      <c r="I47" s="113">
        <f t="shared" si="12"/>
        <v>1</v>
      </c>
      <c r="J47" s="186"/>
      <c r="L47" s="2"/>
    </row>
    <row r="48" spans="1:19" x14ac:dyDescent="0.2">
      <c r="A48" t="s">
        <v>55</v>
      </c>
      <c r="C48" s="40">
        <f t="shared" ref="C48:H48" si="13">ROUND(C47*D48,3)</f>
        <v>0.999</v>
      </c>
      <c r="D48" s="40">
        <f t="shared" si="13"/>
        <v>0.96</v>
      </c>
      <c r="E48" s="40">
        <f t="shared" si="13"/>
        <v>0.98299999999999998</v>
      </c>
      <c r="F48" s="40">
        <f t="shared" si="13"/>
        <v>0.98699999999999999</v>
      </c>
      <c r="G48" s="40">
        <f t="shared" si="13"/>
        <v>0.997</v>
      </c>
      <c r="H48" s="40">
        <f t="shared" si="13"/>
        <v>0.997</v>
      </c>
      <c r="I48" s="40">
        <f>I47</f>
        <v>1</v>
      </c>
      <c r="J48" s="123"/>
      <c r="L48" s="2"/>
    </row>
    <row r="49" spans="1:12" ht="12" thickBot="1" x14ac:dyDescent="0.25">
      <c r="A49" s="6"/>
      <c r="B49" s="6"/>
      <c r="C49" s="6"/>
      <c r="D49" s="6"/>
      <c r="E49" s="6"/>
      <c r="F49" s="6"/>
      <c r="G49" s="6"/>
      <c r="H49" s="6"/>
      <c r="I49" s="6"/>
      <c r="J49" s="47"/>
      <c r="L49" s="2"/>
    </row>
    <row r="50" spans="1:12" ht="12" thickTop="1" x14ac:dyDescent="0.2">
      <c r="J50" s="47"/>
      <c r="L50" s="2"/>
    </row>
    <row r="51" spans="1:12" x14ac:dyDescent="0.2">
      <c r="J51" s="47"/>
      <c r="L51" s="2"/>
    </row>
    <row r="52" spans="1:12" x14ac:dyDescent="0.2">
      <c r="J52" s="47"/>
      <c r="L52" s="2"/>
    </row>
    <row r="53" spans="1:12" x14ac:dyDescent="0.2">
      <c r="J53" s="47"/>
      <c r="L53" s="2"/>
    </row>
    <row r="54" spans="1:12" x14ac:dyDescent="0.2">
      <c r="J54" s="47"/>
      <c r="L54" s="2"/>
    </row>
    <row r="55" spans="1:12" x14ac:dyDescent="0.2">
      <c r="J55" s="47"/>
      <c r="L55" s="2"/>
    </row>
    <row r="56" spans="1:12" x14ac:dyDescent="0.2">
      <c r="J56" s="47"/>
      <c r="L56" s="2"/>
    </row>
    <row r="57" spans="1:12" x14ac:dyDescent="0.2">
      <c r="J57" s="47"/>
      <c r="L57" s="2"/>
    </row>
    <row r="58" spans="1:12" x14ac:dyDescent="0.2">
      <c r="J58" s="47"/>
      <c r="L58" s="2"/>
    </row>
    <row r="59" spans="1:12" x14ac:dyDescent="0.2">
      <c r="J59" s="47"/>
      <c r="L59" s="2"/>
    </row>
    <row r="60" spans="1:12" x14ac:dyDescent="0.2">
      <c r="J60" s="47"/>
      <c r="L60" s="2"/>
    </row>
    <row r="61" spans="1:12" x14ac:dyDescent="0.2">
      <c r="J61" s="47"/>
      <c r="L61" s="2"/>
    </row>
    <row r="62" spans="1:12" x14ac:dyDescent="0.2">
      <c r="J62" s="47"/>
      <c r="L62" s="2"/>
    </row>
    <row r="63" spans="1:12" x14ac:dyDescent="0.2">
      <c r="J63" s="47"/>
      <c r="L63" s="2"/>
    </row>
    <row r="64" spans="1:12" x14ac:dyDescent="0.2">
      <c r="L64" s="2"/>
    </row>
    <row r="65" spans="1:12" x14ac:dyDescent="0.2">
      <c r="L65" s="2"/>
    </row>
    <row r="66" spans="1:12" x14ac:dyDescent="0.2">
      <c r="L66" s="2"/>
    </row>
    <row r="67" spans="1:12" x14ac:dyDescent="0.2">
      <c r="L67" s="2"/>
    </row>
    <row r="68" spans="1:12" ht="12" thickBot="1" x14ac:dyDescent="0.25">
      <c r="L68" s="2"/>
    </row>
    <row r="69" spans="1:12" ht="12" thickBot="1" x14ac:dyDescent="0.25">
      <c r="A69" s="4"/>
      <c r="B69" s="5"/>
      <c r="C69" s="5"/>
      <c r="D69" s="5"/>
      <c r="E69" s="5"/>
      <c r="F69" s="5"/>
      <c r="G69" s="5"/>
      <c r="H69" s="5"/>
      <c r="I69" s="5"/>
      <c r="J69" s="5"/>
      <c r="K69" s="5"/>
      <c r="L69" s="3"/>
    </row>
  </sheetData>
  <phoneticPr fontId="0" type="noConversion"/>
  <pageMargins left="0.5" right="0.5" top="0.5" bottom="0.5" header="0.5" footer="0.5"/>
  <pageSetup orientation="portrait" blackAndWhite="1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1"/>
  <dimension ref="A1:P71"/>
  <sheetViews>
    <sheetView showGridLines="0" topLeftCell="A4" zoomScaleNormal="100" workbookViewId="0">
      <selection activeCell="G33" sqref="G33"/>
    </sheetView>
  </sheetViews>
  <sheetFormatPr defaultColWidth="11.33203125" defaultRowHeight="11.25" x14ac:dyDescent="0.2"/>
  <cols>
    <col min="1" max="1" width="5.1640625" bestFit="1" customWidth="1"/>
    <col min="2" max="2" width="11.33203125" customWidth="1"/>
    <col min="3" max="5" width="15.33203125" customWidth="1"/>
    <col min="6" max="7" width="14" customWidth="1"/>
    <col min="8" max="9" width="11.33203125" customWidth="1"/>
    <col min="10" max="10" width="8.1640625" customWidth="1"/>
    <col min="13" max="13" width="12.33203125" bestFit="1" customWidth="1"/>
    <col min="14" max="14" width="15.1640625" bestFit="1" customWidth="1"/>
    <col min="15" max="15" width="14.1640625" bestFit="1" customWidth="1"/>
  </cols>
  <sheetData>
    <row r="1" spans="1:16" x14ac:dyDescent="0.2">
      <c r="A1" s="8" t="str">
        <f>'1'!$A$1</f>
        <v>Texas Windstorm Insurance Association</v>
      </c>
      <c r="B1" s="12"/>
      <c r="J1" s="7" t="s">
        <v>56</v>
      </c>
      <c r="K1" s="1"/>
    </row>
    <row r="2" spans="1:16" x14ac:dyDescent="0.2">
      <c r="A2" s="8" t="str">
        <f>'1'!$A$2</f>
        <v>Commercial Property - Wind &amp; Hail</v>
      </c>
      <c r="B2" s="12"/>
      <c r="J2" s="7" t="s">
        <v>72</v>
      </c>
      <c r="K2" s="2"/>
    </row>
    <row r="3" spans="1:16" x14ac:dyDescent="0.2">
      <c r="A3" s="8" t="str">
        <f>'1'!$A$3</f>
        <v>Rate Level Review</v>
      </c>
      <c r="B3" s="12"/>
      <c r="K3" s="2"/>
    </row>
    <row r="4" spans="1:16" x14ac:dyDescent="0.2">
      <c r="A4" t="s">
        <v>255</v>
      </c>
      <c r="B4" s="12"/>
      <c r="K4" s="2"/>
    </row>
    <row r="5" spans="1:16" x14ac:dyDescent="0.2">
      <c r="A5" s="58"/>
      <c r="B5" s="21"/>
      <c r="C5" s="58"/>
      <c r="D5" s="58"/>
      <c r="E5" s="58"/>
      <c r="K5" s="2"/>
    </row>
    <row r="6" spans="1:16" x14ac:dyDescent="0.2">
      <c r="K6" s="2"/>
    </row>
    <row r="7" spans="1:16" ht="12" thickBot="1" x14ac:dyDescent="0.25">
      <c r="A7" s="6"/>
      <c r="B7" s="6"/>
      <c r="C7" s="6"/>
      <c r="D7" s="6"/>
      <c r="E7" s="6"/>
      <c r="F7" s="6"/>
      <c r="G7" s="6"/>
      <c r="I7" s="18"/>
      <c r="K7" s="2"/>
    </row>
    <row r="8" spans="1:16" ht="12" thickTop="1" x14ac:dyDescent="0.2">
      <c r="K8" s="2"/>
    </row>
    <row r="9" spans="1:16" x14ac:dyDescent="0.2">
      <c r="C9" s="21" t="s">
        <v>68</v>
      </c>
      <c r="E9" t="s">
        <v>12</v>
      </c>
      <c r="K9" s="2"/>
      <c r="L9" s="26"/>
    </row>
    <row r="10" spans="1:16" x14ac:dyDescent="0.2">
      <c r="A10" t="s">
        <v>42</v>
      </c>
      <c r="C10" t="s">
        <v>73</v>
      </c>
      <c r="D10" t="s">
        <v>45</v>
      </c>
      <c r="E10" t="s">
        <v>29</v>
      </c>
      <c r="F10" t="s">
        <v>68</v>
      </c>
      <c r="G10" t="s">
        <v>68</v>
      </c>
      <c r="K10" s="2"/>
      <c r="L10" s="21"/>
      <c r="O10" t="s">
        <v>491</v>
      </c>
      <c r="P10" t="s">
        <v>492</v>
      </c>
    </row>
    <row r="11" spans="1:16" x14ac:dyDescent="0.2">
      <c r="A11" s="9" t="s">
        <v>43</v>
      </c>
      <c r="B11" s="9"/>
      <c r="C11" s="9" t="str">
        <f>"at "&amp;TEXT('4.2'!$M$11,"m/d/yy")</f>
        <v>at 12/31/18</v>
      </c>
      <c r="D11" s="9" t="s">
        <v>31</v>
      </c>
      <c r="E11" s="9" t="s">
        <v>482</v>
      </c>
      <c r="F11" s="9" t="s">
        <v>481</v>
      </c>
      <c r="G11" s="9" t="s">
        <v>30</v>
      </c>
      <c r="K11" s="2"/>
      <c r="L11" s="49"/>
      <c r="O11" s="9" t="s">
        <v>481</v>
      </c>
      <c r="P11" s="9" t="s">
        <v>481</v>
      </c>
    </row>
    <row r="12" spans="1:16" x14ac:dyDescent="0.2">
      <c r="A12" s="13" t="str">
        <f>TEXT(COLUMN(),"(#)")</f>
        <v>(1)</v>
      </c>
      <c r="B12" s="13"/>
      <c r="C12" s="11" t="str">
        <f>TEXT(COLUMN()-1,"(#)")</f>
        <v>(2)</v>
      </c>
      <c r="D12" s="11" t="str">
        <f>TEXT(COLUMN()-1,"(#)")</f>
        <v>(3)</v>
      </c>
      <c r="E12" s="11" t="str">
        <f>TEXT(COLUMN()-1,"(#)")</f>
        <v>(4)</v>
      </c>
      <c r="F12" s="11" t="str">
        <f>TEXT(COLUMN()-1,"(#)")</f>
        <v>(5)</v>
      </c>
      <c r="G12" s="11" t="str">
        <f>TEXT(COLUMN()-1,"(#)")</f>
        <v>(6)</v>
      </c>
      <c r="K12" s="2"/>
    </row>
    <row r="13" spans="1:16" x14ac:dyDescent="0.2">
      <c r="A13" s="412">
        <v>1980</v>
      </c>
      <c r="G13" s="289">
        <v>1318</v>
      </c>
      <c r="K13" s="2"/>
      <c r="N13" t="s">
        <v>417</v>
      </c>
      <c r="O13" s="407">
        <v>1995</v>
      </c>
      <c r="P13" s="407">
        <v>1</v>
      </c>
    </row>
    <row r="14" spans="1:16" x14ac:dyDescent="0.2">
      <c r="A14" s="413">
        <v>1981</v>
      </c>
      <c r="B14" s="24"/>
      <c r="C14" s="29"/>
      <c r="D14" s="29"/>
      <c r="E14" s="29"/>
      <c r="F14" s="29"/>
      <c r="G14" s="36">
        <v>543</v>
      </c>
      <c r="K14" s="2"/>
      <c r="N14" t="s">
        <v>418</v>
      </c>
      <c r="O14" s="407">
        <v>3951</v>
      </c>
      <c r="P14" s="407">
        <v>7</v>
      </c>
    </row>
    <row r="15" spans="1:16" x14ac:dyDescent="0.2">
      <c r="A15" t="str">
        <f>TEXT(A14+1,"#")</f>
        <v>1982</v>
      </c>
      <c r="B15" s="24"/>
      <c r="C15" s="29"/>
      <c r="D15" s="29"/>
      <c r="E15" s="29"/>
      <c r="F15" s="29"/>
      <c r="G15" s="36">
        <v>565</v>
      </c>
      <c r="K15" s="2"/>
      <c r="N15" t="s">
        <v>421</v>
      </c>
      <c r="O15" s="407">
        <v>14386</v>
      </c>
      <c r="P15" s="407">
        <v>59</v>
      </c>
    </row>
    <row r="16" spans="1:16" x14ac:dyDescent="0.2">
      <c r="A16" t="str">
        <f t="shared" ref="A16:A46" si="0">TEXT(A15+1,"#")</f>
        <v>1983</v>
      </c>
      <c r="B16" s="24"/>
      <c r="C16" s="29"/>
      <c r="D16" s="29"/>
      <c r="E16" s="29"/>
      <c r="F16" s="29"/>
      <c r="G16" s="36">
        <v>9127</v>
      </c>
      <c r="K16" s="2"/>
      <c r="N16" t="s">
        <v>441</v>
      </c>
      <c r="O16" s="407">
        <v>14961</v>
      </c>
      <c r="P16" s="407">
        <v>1</v>
      </c>
    </row>
    <row r="17" spans="1:16" x14ac:dyDescent="0.2">
      <c r="A17" t="str">
        <f t="shared" si="0"/>
        <v>1984</v>
      </c>
      <c r="B17" s="24"/>
      <c r="C17" s="29"/>
      <c r="D17" s="29"/>
      <c r="E17" s="29"/>
      <c r="F17" s="29"/>
      <c r="G17" s="36">
        <v>324</v>
      </c>
      <c r="K17" s="2"/>
      <c r="N17" t="s">
        <v>442</v>
      </c>
      <c r="O17" s="407">
        <v>12922</v>
      </c>
      <c r="P17" s="407">
        <v>10</v>
      </c>
    </row>
    <row r="18" spans="1:16" x14ac:dyDescent="0.2">
      <c r="A18" t="str">
        <f t="shared" si="0"/>
        <v>1985</v>
      </c>
      <c r="B18" s="24"/>
      <c r="C18" s="29"/>
      <c r="D18" s="29"/>
      <c r="E18" s="29"/>
      <c r="F18" s="29"/>
      <c r="G18" s="36">
        <v>297</v>
      </c>
      <c r="K18" s="2"/>
      <c r="N18" t="s">
        <v>477</v>
      </c>
      <c r="O18" s="407">
        <v>5796</v>
      </c>
      <c r="P18" s="407">
        <v>10</v>
      </c>
    </row>
    <row r="19" spans="1:16" x14ac:dyDescent="0.2">
      <c r="A19" t="str">
        <f t="shared" si="0"/>
        <v>1986</v>
      </c>
      <c r="B19" s="24"/>
      <c r="C19" s="29"/>
      <c r="D19" s="29"/>
      <c r="E19" s="245">
        <v>270</v>
      </c>
      <c r="F19" s="245">
        <v>235</v>
      </c>
      <c r="G19" s="29">
        <f>E19+F19</f>
        <v>505</v>
      </c>
      <c r="K19" s="2"/>
      <c r="N19" t="s">
        <v>478</v>
      </c>
      <c r="O19" s="407">
        <v>37017</v>
      </c>
      <c r="P19" s="407">
        <v>98</v>
      </c>
    </row>
    <row r="20" spans="1:16" x14ac:dyDescent="0.2">
      <c r="A20" t="str">
        <f t="shared" si="0"/>
        <v>1987</v>
      </c>
      <c r="B20" s="24"/>
      <c r="C20" s="29"/>
      <c r="D20" s="29"/>
      <c r="E20" s="245">
        <v>652</v>
      </c>
      <c r="F20" s="245">
        <v>404</v>
      </c>
      <c r="G20" s="29">
        <f>E20+F20</f>
        <v>1056</v>
      </c>
      <c r="K20" s="2"/>
      <c r="N20" t="s">
        <v>479</v>
      </c>
      <c r="O20" s="407">
        <v>14873</v>
      </c>
      <c r="P20" s="407">
        <v>27</v>
      </c>
    </row>
    <row r="21" spans="1:16" x14ac:dyDescent="0.2">
      <c r="A21" t="str">
        <f t="shared" si="0"/>
        <v>1988</v>
      </c>
      <c r="B21" s="24"/>
      <c r="C21" s="29"/>
      <c r="D21" s="29"/>
      <c r="E21" s="245">
        <v>235</v>
      </c>
      <c r="F21" s="245">
        <v>122</v>
      </c>
      <c r="G21" s="29">
        <f>E21+F21</f>
        <v>357</v>
      </c>
      <c r="K21" s="2"/>
      <c r="N21" t="s">
        <v>480</v>
      </c>
      <c r="O21" s="407">
        <v>230159</v>
      </c>
      <c r="P21" s="407">
        <v>24064</v>
      </c>
    </row>
    <row r="22" spans="1:16" x14ac:dyDescent="0.2">
      <c r="A22" t="str">
        <f t="shared" si="0"/>
        <v>1989</v>
      </c>
      <c r="B22" s="24"/>
      <c r="C22" s="29"/>
      <c r="D22" s="29"/>
      <c r="E22" s="36">
        <v>2727</v>
      </c>
      <c r="F22" s="36">
        <v>801</v>
      </c>
      <c r="G22" s="29">
        <f>E22+F22</f>
        <v>3528</v>
      </c>
      <c r="K22" s="2"/>
      <c r="N22" s="9" t="s">
        <v>493</v>
      </c>
      <c r="O22" s="408">
        <v>5008</v>
      </c>
      <c r="P22" s="408">
        <v>987</v>
      </c>
    </row>
    <row r="23" spans="1:16" x14ac:dyDescent="0.2">
      <c r="A23" t="str">
        <f t="shared" si="0"/>
        <v>1990</v>
      </c>
      <c r="C23" s="29"/>
      <c r="D23" s="29"/>
      <c r="E23" s="36">
        <v>119</v>
      </c>
      <c r="F23" s="36">
        <v>106</v>
      </c>
      <c r="G23" s="29">
        <f>E23+F23</f>
        <v>225</v>
      </c>
      <c r="K23" s="2"/>
      <c r="N23" t="s">
        <v>8</v>
      </c>
      <c r="O23" s="84">
        <f>SUM(O13:O22)</f>
        <v>341068</v>
      </c>
      <c r="P23" s="84">
        <f>SUM(P13:P22)</f>
        <v>25264</v>
      </c>
    </row>
    <row r="24" spans="1:16" x14ac:dyDescent="0.2">
      <c r="A24" t="str">
        <f t="shared" si="0"/>
        <v>1991</v>
      </c>
      <c r="C24" s="29"/>
      <c r="D24" s="29"/>
      <c r="E24" s="36">
        <v>403</v>
      </c>
      <c r="F24" s="36">
        <v>326</v>
      </c>
      <c r="G24" s="29">
        <f t="shared" ref="G24:G44" si="1">E24+F24</f>
        <v>729</v>
      </c>
      <c r="K24" s="2"/>
      <c r="P24" s="84"/>
    </row>
    <row r="25" spans="1:16" x14ac:dyDescent="0.2">
      <c r="A25" t="str">
        <f t="shared" si="0"/>
        <v>1992</v>
      </c>
      <c r="C25" s="29"/>
      <c r="D25" s="29"/>
      <c r="E25" s="36">
        <v>270</v>
      </c>
      <c r="F25" s="36">
        <v>284</v>
      </c>
      <c r="G25" s="29">
        <f t="shared" si="1"/>
        <v>554</v>
      </c>
      <c r="K25" s="2"/>
    </row>
    <row r="26" spans="1:16" x14ac:dyDescent="0.2">
      <c r="A26" t="str">
        <f t="shared" si="0"/>
        <v>1993</v>
      </c>
      <c r="C26" s="29"/>
      <c r="D26" s="29"/>
      <c r="E26" s="36">
        <v>806</v>
      </c>
      <c r="F26" s="36">
        <v>569</v>
      </c>
      <c r="G26" s="29">
        <f t="shared" si="1"/>
        <v>1375</v>
      </c>
      <c r="K26" s="2"/>
    </row>
    <row r="27" spans="1:16" x14ac:dyDescent="0.2">
      <c r="A27" t="str">
        <f t="shared" si="0"/>
        <v>1994</v>
      </c>
      <c r="C27" s="29"/>
      <c r="D27" s="29"/>
      <c r="E27" s="36">
        <v>192</v>
      </c>
      <c r="F27" s="36">
        <v>315</v>
      </c>
      <c r="G27" s="29">
        <f t="shared" si="1"/>
        <v>507</v>
      </c>
      <c r="K27" s="2"/>
    </row>
    <row r="28" spans="1:16" x14ac:dyDescent="0.2">
      <c r="A28" t="str">
        <f t="shared" si="0"/>
        <v>1995</v>
      </c>
      <c r="C28" s="29"/>
      <c r="D28" s="29"/>
      <c r="E28" s="36">
        <v>698</v>
      </c>
      <c r="F28" s="36">
        <v>205</v>
      </c>
      <c r="G28" s="29">
        <f t="shared" si="1"/>
        <v>903</v>
      </c>
      <c r="K28" s="2"/>
      <c r="N28" s="411" t="s">
        <v>494</v>
      </c>
    </row>
    <row r="29" spans="1:16" x14ac:dyDescent="0.2">
      <c r="A29" t="str">
        <f t="shared" si="0"/>
        <v>1996</v>
      </c>
      <c r="C29" s="29"/>
      <c r="D29" s="29"/>
      <c r="E29" s="36">
        <v>355</v>
      </c>
      <c r="F29" s="36">
        <v>227</v>
      </c>
      <c r="G29" s="29">
        <f t="shared" si="1"/>
        <v>582</v>
      </c>
      <c r="K29" s="2"/>
      <c r="N29" s="139" t="s">
        <v>491</v>
      </c>
      <c r="O29" s="139" t="s">
        <v>495</v>
      </c>
    </row>
    <row r="30" spans="1:16" x14ac:dyDescent="0.2">
      <c r="A30" t="str">
        <f t="shared" si="0"/>
        <v>1997</v>
      </c>
      <c r="C30" s="29"/>
      <c r="D30" s="29"/>
      <c r="E30" s="36">
        <v>892</v>
      </c>
      <c r="F30" s="36">
        <v>451</v>
      </c>
      <c r="G30" s="29">
        <f t="shared" si="1"/>
        <v>1343</v>
      </c>
      <c r="K30" s="2"/>
      <c r="M30" s="48" t="s">
        <v>496</v>
      </c>
      <c r="N30" s="407">
        <f>'[4]1.1'!$G$21</f>
        <v>10451858.453900013</v>
      </c>
      <c r="O30" s="407">
        <f>'[4]1.1'!$J$21</f>
        <v>531412.69000000041</v>
      </c>
    </row>
    <row r="31" spans="1:16" x14ac:dyDescent="0.2">
      <c r="A31" t="str">
        <f t="shared" si="0"/>
        <v>1998</v>
      </c>
      <c r="C31" s="29"/>
      <c r="D31" s="29"/>
      <c r="E31" s="36">
        <v>3920</v>
      </c>
      <c r="F31" s="36">
        <v>812</v>
      </c>
      <c r="G31" s="29">
        <f t="shared" si="1"/>
        <v>4732</v>
      </c>
      <c r="K31" s="2"/>
      <c r="M31" s="48" t="s">
        <v>497</v>
      </c>
      <c r="N31" s="407">
        <f>'[4]1.1'!$G$22</f>
        <v>229360935.56806254</v>
      </c>
      <c r="O31" s="407">
        <f>'[4]1.1'!$J$22</f>
        <v>29997050.339402918</v>
      </c>
    </row>
    <row r="32" spans="1:16" x14ac:dyDescent="0.2">
      <c r="A32" t="str">
        <f t="shared" si="0"/>
        <v>1999</v>
      </c>
      <c r="B32" s="21"/>
      <c r="C32" s="29"/>
      <c r="D32" s="29"/>
      <c r="E32" s="36">
        <v>1757</v>
      </c>
      <c r="F32" s="36">
        <v>631</v>
      </c>
      <c r="G32" s="29">
        <f t="shared" si="1"/>
        <v>2388</v>
      </c>
      <c r="K32" s="2"/>
    </row>
    <row r="33" spans="1:12" x14ac:dyDescent="0.2">
      <c r="A33" t="str">
        <f t="shared" si="0"/>
        <v>2000</v>
      </c>
      <c r="E33" s="36">
        <v>1209</v>
      </c>
      <c r="F33" s="36">
        <v>676</v>
      </c>
      <c r="G33" s="29">
        <f>E33+F33</f>
        <v>1885</v>
      </c>
      <c r="K33" s="2"/>
    </row>
    <row r="34" spans="1:12" x14ac:dyDescent="0.2">
      <c r="A34" t="str">
        <f t="shared" si="0"/>
        <v>2001</v>
      </c>
      <c r="B34" s="21"/>
      <c r="C34" s="29"/>
      <c r="D34" s="29"/>
      <c r="E34" s="36">
        <v>1207</v>
      </c>
      <c r="F34" s="36">
        <v>673</v>
      </c>
      <c r="G34" s="29">
        <f t="shared" si="1"/>
        <v>1880</v>
      </c>
      <c r="K34" s="2"/>
    </row>
    <row r="35" spans="1:12" x14ac:dyDescent="0.2">
      <c r="A35" t="str">
        <f t="shared" si="0"/>
        <v>2002</v>
      </c>
      <c r="B35" s="21"/>
      <c r="C35" s="29"/>
      <c r="D35" s="37"/>
      <c r="E35" s="36">
        <v>3643</v>
      </c>
      <c r="F35" s="36">
        <v>1583</v>
      </c>
      <c r="G35" s="29">
        <f t="shared" si="1"/>
        <v>5226</v>
      </c>
      <c r="K35" s="2"/>
    </row>
    <row r="36" spans="1:12" x14ac:dyDescent="0.2">
      <c r="A36" t="str">
        <f t="shared" si="0"/>
        <v>2003</v>
      </c>
      <c r="C36" s="29"/>
      <c r="D36" s="37"/>
      <c r="E36" s="36">
        <v>3239</v>
      </c>
      <c r="F36" s="36">
        <v>1883</v>
      </c>
      <c r="G36" s="29">
        <f t="shared" si="1"/>
        <v>5122</v>
      </c>
      <c r="K36" s="2"/>
    </row>
    <row r="37" spans="1:12" x14ac:dyDescent="0.2">
      <c r="A37" t="str">
        <f t="shared" si="0"/>
        <v>2004</v>
      </c>
      <c r="C37" s="29"/>
      <c r="D37" s="37"/>
      <c r="E37" s="36">
        <v>844</v>
      </c>
      <c r="F37" s="36">
        <v>627</v>
      </c>
      <c r="G37" s="29">
        <f t="shared" si="1"/>
        <v>1471</v>
      </c>
      <c r="K37" s="2"/>
    </row>
    <row r="38" spans="1:12" x14ac:dyDescent="0.2">
      <c r="A38" t="str">
        <f t="shared" si="0"/>
        <v>2005</v>
      </c>
      <c r="C38" s="29"/>
      <c r="D38" s="37"/>
      <c r="E38" s="245">
        <v>15229</v>
      </c>
      <c r="F38" s="36">
        <v>5006</v>
      </c>
      <c r="G38" s="29">
        <f t="shared" si="1"/>
        <v>20235</v>
      </c>
      <c r="K38" s="2"/>
      <c r="L38" t="s">
        <v>241</v>
      </c>
    </row>
    <row r="39" spans="1:12" x14ac:dyDescent="0.2">
      <c r="A39" t="str">
        <f t="shared" si="0"/>
        <v>2006</v>
      </c>
      <c r="C39" s="29"/>
      <c r="D39" s="37"/>
      <c r="E39" s="245">
        <v>860</v>
      </c>
      <c r="F39" s="36">
        <v>250</v>
      </c>
      <c r="G39" s="29">
        <f t="shared" si="1"/>
        <v>1110</v>
      </c>
      <c r="K39" s="2"/>
      <c r="L39" s="49">
        <f>'2.1'!$L$8</f>
        <v>43465</v>
      </c>
    </row>
    <row r="40" spans="1:12" x14ac:dyDescent="0.2">
      <c r="A40" t="str">
        <f t="shared" si="0"/>
        <v>2007</v>
      </c>
      <c r="C40" s="29"/>
      <c r="D40" s="37"/>
      <c r="E40" s="278">
        <v>2489</v>
      </c>
      <c r="F40" s="245">
        <v>2452</v>
      </c>
      <c r="G40" s="29">
        <f>E40+F40</f>
        <v>4941</v>
      </c>
      <c r="K40" s="2"/>
    </row>
    <row r="41" spans="1:12" x14ac:dyDescent="0.2">
      <c r="A41" t="str">
        <f t="shared" si="0"/>
        <v>2008</v>
      </c>
      <c r="C41" s="29">
        <f>'4.5'!R15</f>
        <v>99668</v>
      </c>
      <c r="D41" s="39">
        <f>D42</f>
        <v>1</v>
      </c>
      <c r="E41" s="180">
        <f>ROUND(C41*D41,0)</f>
        <v>99668</v>
      </c>
      <c r="F41" s="278">
        <v>246947</v>
      </c>
      <c r="G41" s="29">
        <f>E41+F41</f>
        <v>346615</v>
      </c>
      <c r="K41" s="2"/>
    </row>
    <row r="42" spans="1:12" x14ac:dyDescent="0.2">
      <c r="A42" t="str">
        <f t="shared" si="0"/>
        <v>2009</v>
      </c>
      <c r="B42" s="48"/>
      <c r="C42" s="29">
        <f>'4.5'!R16</f>
        <v>223</v>
      </c>
      <c r="D42" s="37">
        <f>'4.5'!I$49</f>
        <v>1</v>
      </c>
      <c r="E42" s="180">
        <f t="shared" ref="E42:E49" si="2">ROUND(C42*D42,0)</f>
        <v>223</v>
      </c>
      <c r="F42" s="409">
        <f>O13+P13</f>
        <v>1996</v>
      </c>
      <c r="G42" s="29">
        <f t="shared" si="1"/>
        <v>2219</v>
      </c>
      <c r="K42" s="2"/>
    </row>
    <row r="43" spans="1:12" x14ac:dyDescent="0.2">
      <c r="A43" t="str">
        <f t="shared" si="0"/>
        <v>2010</v>
      </c>
      <c r="C43" s="29">
        <f>'4.5'!R17</f>
        <v>323</v>
      </c>
      <c r="D43" s="37">
        <f>'4.5'!I$49</f>
        <v>1</v>
      </c>
      <c r="E43" s="180">
        <f t="shared" si="2"/>
        <v>323</v>
      </c>
      <c r="F43" s="409">
        <f t="shared" ref="F43:F51" si="3">O14+P14</f>
        <v>3958</v>
      </c>
      <c r="G43" s="29">
        <f>E43+F43</f>
        <v>4281</v>
      </c>
      <c r="K43" s="2"/>
    </row>
    <row r="44" spans="1:12" x14ac:dyDescent="0.2">
      <c r="A44" t="str">
        <f t="shared" si="0"/>
        <v>2011</v>
      </c>
      <c r="C44" s="29">
        <f>'4.5'!R18</f>
        <v>725</v>
      </c>
      <c r="D44" s="37">
        <f>'4.5'!I$49</f>
        <v>1</v>
      </c>
      <c r="E44" s="180">
        <f t="shared" si="2"/>
        <v>725</v>
      </c>
      <c r="F44" s="409">
        <f t="shared" si="3"/>
        <v>14445</v>
      </c>
      <c r="G44" s="29">
        <f t="shared" si="1"/>
        <v>15170</v>
      </c>
      <c r="K44" s="2"/>
    </row>
    <row r="45" spans="1:12" x14ac:dyDescent="0.2">
      <c r="A45" t="str">
        <f t="shared" si="0"/>
        <v>2012</v>
      </c>
      <c r="B45" s="48"/>
      <c r="C45" s="29">
        <f>'4.5'!R19</f>
        <v>896</v>
      </c>
      <c r="D45" s="37">
        <f>'4.5'!I$49</f>
        <v>1</v>
      </c>
      <c r="E45" s="180">
        <f t="shared" si="2"/>
        <v>896</v>
      </c>
      <c r="F45" s="409">
        <f t="shared" si="3"/>
        <v>14962</v>
      </c>
      <c r="G45" s="29">
        <f t="shared" ref="G45:G49" si="4">E45+F45</f>
        <v>15858</v>
      </c>
      <c r="K45" s="2"/>
    </row>
    <row r="46" spans="1:12" x14ac:dyDescent="0.2">
      <c r="A46" t="str">
        <f t="shared" si="0"/>
        <v>2013</v>
      </c>
      <c r="C46" s="29">
        <f>'4.5'!R20</f>
        <v>971</v>
      </c>
      <c r="D46" s="37">
        <f>'4.5'!H$49</f>
        <v>1.0069999999999999</v>
      </c>
      <c r="E46" s="180">
        <f t="shared" si="2"/>
        <v>978</v>
      </c>
      <c r="F46" s="409">
        <f t="shared" si="3"/>
        <v>12932</v>
      </c>
      <c r="G46" s="29">
        <f t="shared" si="4"/>
        <v>13910</v>
      </c>
      <c r="K46" s="2"/>
    </row>
    <row r="47" spans="1:12" x14ac:dyDescent="0.2">
      <c r="A47" t="str">
        <f>TEXT(A46+1,"#")</f>
        <v>2014</v>
      </c>
      <c r="C47" s="29">
        <f>'4.5'!R21</f>
        <v>1077</v>
      </c>
      <c r="D47" s="37">
        <f>'4.5'!G$49</f>
        <v>1.008</v>
      </c>
      <c r="E47" s="180">
        <f t="shared" si="2"/>
        <v>1086</v>
      </c>
      <c r="F47" s="409">
        <f t="shared" si="3"/>
        <v>5806</v>
      </c>
      <c r="G47" s="29">
        <f t="shared" si="4"/>
        <v>6892</v>
      </c>
      <c r="K47" s="2"/>
    </row>
    <row r="48" spans="1:12" x14ac:dyDescent="0.2">
      <c r="A48" t="str">
        <f>TEXT(A47+1,"#")</f>
        <v>2015</v>
      </c>
      <c r="C48" s="29">
        <f>'4.5'!R22</f>
        <v>2749</v>
      </c>
      <c r="D48" s="37">
        <f>'4.5'!F$49</f>
        <v>1.0449999999999999</v>
      </c>
      <c r="E48" s="180">
        <f t="shared" si="2"/>
        <v>2873</v>
      </c>
      <c r="F48" s="409">
        <f t="shared" si="3"/>
        <v>37115</v>
      </c>
      <c r="G48" s="29">
        <f t="shared" si="4"/>
        <v>39988</v>
      </c>
      <c r="K48" s="2"/>
    </row>
    <row r="49" spans="1:11" x14ac:dyDescent="0.2">
      <c r="A49" t="str">
        <f>TEXT(A48+1,"#")</f>
        <v>2016</v>
      </c>
      <c r="C49" s="29">
        <f>'4.5'!R23</f>
        <v>746</v>
      </c>
      <c r="D49" s="37">
        <f>'4.5'!E$49</f>
        <v>1.2030000000000001</v>
      </c>
      <c r="E49" s="180">
        <f t="shared" si="2"/>
        <v>897</v>
      </c>
      <c r="F49" s="409">
        <f>O20+P20</f>
        <v>14900</v>
      </c>
      <c r="G49" s="29">
        <f t="shared" si="4"/>
        <v>15797</v>
      </c>
      <c r="K49" s="2"/>
    </row>
    <row r="50" spans="1:11" x14ac:dyDescent="0.2">
      <c r="A50" t="str">
        <f>TEXT(A49+1,"#")</f>
        <v>2017</v>
      </c>
      <c r="C50" s="180">
        <f>'4.5'!R24</f>
        <v>16490</v>
      </c>
      <c r="D50" s="183">
        <f>'4.5'!D$49</f>
        <v>1.2390000000000001</v>
      </c>
      <c r="E50" s="180">
        <f>ROUND(C50*D50,0)</f>
        <v>20431</v>
      </c>
      <c r="F50" s="409">
        <f>O21+P21</f>
        <v>254223</v>
      </c>
      <c r="G50" s="29">
        <f>E50+F50</f>
        <v>274654</v>
      </c>
      <c r="K50" s="2"/>
    </row>
    <row r="51" spans="1:11" ht="12" thickBot="1" x14ac:dyDescent="0.25">
      <c r="A51" s="6" t="str">
        <f>TEXT(A50+1,"#")</f>
        <v>2018</v>
      </c>
      <c r="B51" s="6"/>
      <c r="C51" s="288">
        <f>'4.5'!R25</f>
        <v>301</v>
      </c>
      <c r="D51" s="287">
        <f>'4.5'!C$49</f>
        <v>1.425</v>
      </c>
      <c r="E51" s="288">
        <f>ROUND(C51*D51,0)</f>
        <v>429</v>
      </c>
      <c r="F51" s="410">
        <f t="shared" si="3"/>
        <v>5995</v>
      </c>
      <c r="G51" s="288">
        <f>E51+F51</f>
        <v>6424</v>
      </c>
      <c r="K51" s="2"/>
    </row>
    <row r="52" spans="1:11" ht="12" thickTop="1" x14ac:dyDescent="0.2">
      <c r="K52" s="2"/>
    </row>
    <row r="53" spans="1:11" x14ac:dyDescent="0.2">
      <c r="A53" t="s">
        <v>19</v>
      </c>
      <c r="F53" s="42"/>
      <c r="K53" s="2"/>
    </row>
    <row r="54" spans="1:11" x14ac:dyDescent="0.2">
      <c r="B54" s="21" t="str">
        <f>C12&amp;" "&amp;'4.5'!$J$1&amp;", "&amp;'4.5'!$J$2</f>
        <v>(2) Exhibit 4, Sheet 5</v>
      </c>
      <c r="D54" s="21"/>
      <c r="K54" s="2"/>
    </row>
    <row r="55" spans="1:11" x14ac:dyDescent="0.2">
      <c r="B55" s="21" t="str">
        <f>D12&amp;" "&amp;'4.5'!$J$1&amp;", "&amp;'4.5'!$J$2</f>
        <v>(3) Exhibit 4, Sheet 5</v>
      </c>
      <c r="K55" s="2"/>
    </row>
    <row r="56" spans="1:11" x14ac:dyDescent="0.2">
      <c r="B56" s="21" t="str">
        <f>E12&amp;" "&amp;A41&amp;" - "&amp;A51&amp;": "&amp;C12&amp;" * "&amp;D12&amp;"; "&amp;A19&amp;" - "&amp;A40&amp;": from TWIA's annual statements"</f>
        <v>(4) 2008 - 2018: (2) * (3); 1986 - 2007: from TWIA's annual statements</v>
      </c>
      <c r="K56" s="2"/>
    </row>
    <row r="57" spans="1:11" x14ac:dyDescent="0.2">
      <c r="B57" s="21" t="str">
        <f>F12&amp;" From TWIA's annual statements"</f>
        <v>(5) From TWIA's annual statements</v>
      </c>
      <c r="K57" s="2"/>
    </row>
    <row r="58" spans="1:11" x14ac:dyDescent="0.2">
      <c r="B58" s="58" t="str">
        <f>G12&amp;" "&amp;A19&amp;" - "&amp;A51&amp;": "&amp;E12&amp;" + "&amp;F12&amp;"; prior years from prior TWIA annual statements"</f>
        <v>(6) 1986 - 2018: (4) + (5); prior years from prior TWIA annual statements</v>
      </c>
      <c r="C58" s="58"/>
      <c r="D58" s="58"/>
      <c r="E58" s="58"/>
      <c r="F58" s="58"/>
      <c r="G58" s="58"/>
      <c r="H58" s="58"/>
      <c r="I58" s="58"/>
      <c r="K58" s="2"/>
    </row>
    <row r="59" spans="1:11" x14ac:dyDescent="0.2">
      <c r="C59" s="18"/>
      <c r="F59" s="42"/>
      <c r="K59" s="2"/>
    </row>
    <row r="60" spans="1:11" x14ac:dyDescent="0.2">
      <c r="K60" s="2"/>
    </row>
    <row r="61" spans="1:11" x14ac:dyDescent="0.2">
      <c r="K61" s="2"/>
    </row>
    <row r="62" spans="1:11" x14ac:dyDescent="0.2">
      <c r="K62" s="2"/>
    </row>
    <row r="63" spans="1:11" x14ac:dyDescent="0.2">
      <c r="K63" s="2"/>
    </row>
    <row r="64" spans="1:11" x14ac:dyDescent="0.2">
      <c r="K64" s="2"/>
    </row>
    <row r="65" spans="1:11" x14ac:dyDescent="0.2">
      <c r="K65" s="2"/>
    </row>
    <row r="66" spans="1:11" x14ac:dyDescent="0.2">
      <c r="K66" s="2"/>
    </row>
    <row r="67" spans="1:11" x14ac:dyDescent="0.2">
      <c r="K67" s="2"/>
    </row>
    <row r="68" spans="1:11" x14ac:dyDescent="0.2">
      <c r="K68" s="2"/>
    </row>
    <row r="69" spans="1:11" x14ac:dyDescent="0.2">
      <c r="K69" s="2"/>
    </row>
    <row r="70" spans="1:11" ht="12" thickBot="1" x14ac:dyDescent="0.25">
      <c r="K70" s="2"/>
    </row>
    <row r="71" spans="1:11" ht="12" thickBot="1" x14ac:dyDescent="0.25">
      <c r="A71" s="4"/>
      <c r="B71" s="5"/>
      <c r="C71" s="5"/>
      <c r="D71" s="5"/>
      <c r="E71" s="5"/>
      <c r="F71" s="5"/>
      <c r="G71" s="5"/>
      <c r="H71" s="5"/>
      <c r="I71" s="5"/>
      <c r="J71" s="5"/>
      <c r="K71" s="3"/>
    </row>
  </sheetData>
  <phoneticPr fontId="0" type="noConversion"/>
  <pageMargins left="0.5" right="0.5" top="0.5" bottom="0.5" header="0.5" footer="0.5"/>
  <pageSetup orientation="portrait" blackAndWhite="1" r:id="rId1"/>
  <headerFooter alignWithMargins="0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2">
    <tabColor theme="5" tint="0.59999389629810485"/>
  </sheetPr>
  <dimension ref="A1:U71"/>
  <sheetViews>
    <sheetView showGridLines="0" view="pageBreakPreview" zoomScale="60" zoomScaleNormal="100" workbookViewId="0">
      <selection activeCell="Q57" sqref="Q57"/>
    </sheetView>
  </sheetViews>
  <sheetFormatPr defaultColWidth="11.33203125" defaultRowHeight="11.25" x14ac:dyDescent="0.2"/>
  <cols>
    <col min="1" max="1" width="9.5" bestFit="1" customWidth="1"/>
    <col min="2" max="2" width="11.33203125" customWidth="1"/>
    <col min="3" max="9" width="12.6640625" customWidth="1"/>
    <col min="10" max="10" width="10.6640625" customWidth="1"/>
    <col min="11" max="12" width="11.33203125" customWidth="1"/>
    <col min="13" max="13" width="13.6640625" customWidth="1"/>
    <col min="14" max="14" width="13.33203125" customWidth="1"/>
    <col min="15" max="15" width="25.83203125" customWidth="1"/>
  </cols>
  <sheetData>
    <row r="1" spans="1:21" x14ac:dyDescent="0.2">
      <c r="A1" s="8" t="str">
        <f>'1'!$A$1</f>
        <v>Texas Windstorm Insurance Association</v>
      </c>
      <c r="B1" s="12"/>
      <c r="J1" s="7" t="s">
        <v>56</v>
      </c>
      <c r="K1" s="1"/>
    </row>
    <row r="2" spans="1:21" x14ac:dyDescent="0.2">
      <c r="A2" s="8" t="str">
        <f>'1'!$A$2</f>
        <v>Commercial Property - Wind &amp; Hail</v>
      </c>
      <c r="B2" s="12"/>
      <c r="J2" s="7" t="s">
        <v>74</v>
      </c>
      <c r="K2" s="2"/>
    </row>
    <row r="3" spans="1:21" x14ac:dyDescent="0.2">
      <c r="A3" s="8" t="str">
        <f>'1'!$A$3</f>
        <v>Rate Level Review</v>
      </c>
      <c r="B3" s="12"/>
      <c r="K3" s="2"/>
    </row>
    <row r="4" spans="1:21" x14ac:dyDescent="0.2">
      <c r="A4" t="s">
        <v>75</v>
      </c>
      <c r="B4" s="12"/>
      <c r="K4" s="2"/>
    </row>
    <row r="5" spans="1:21" x14ac:dyDescent="0.2">
      <c r="A5" s="58" t="s">
        <v>483</v>
      </c>
      <c r="B5" s="21"/>
      <c r="C5" s="58"/>
      <c r="D5" s="58"/>
      <c r="E5" s="58"/>
      <c r="K5" s="2"/>
    </row>
    <row r="6" spans="1:21" x14ac:dyDescent="0.2">
      <c r="K6" s="2"/>
    </row>
    <row r="7" spans="1:21" ht="12" thickBot="1" x14ac:dyDescent="0.25">
      <c r="A7" s="6"/>
      <c r="B7" s="6"/>
      <c r="C7" s="6"/>
      <c r="D7" s="6"/>
      <c r="E7" s="6"/>
      <c r="F7" s="6"/>
      <c r="G7" s="6"/>
      <c r="H7" s="6"/>
      <c r="I7" s="6"/>
      <c r="K7" s="2"/>
    </row>
    <row r="8" spans="1:21" ht="12" thickTop="1" x14ac:dyDescent="0.2">
      <c r="K8" s="2"/>
    </row>
    <row r="9" spans="1:21" x14ac:dyDescent="0.2">
      <c r="C9" s="23" t="s">
        <v>49</v>
      </c>
      <c r="K9" s="2"/>
      <c r="L9" s="26"/>
      <c r="O9" s="58" t="s">
        <v>412</v>
      </c>
    </row>
    <row r="10" spans="1:21" x14ac:dyDescent="0.2">
      <c r="A10" t="s">
        <v>42</v>
      </c>
      <c r="K10" s="2"/>
      <c r="L10" t="s">
        <v>50</v>
      </c>
      <c r="O10" t="s">
        <v>490</v>
      </c>
    </row>
    <row r="11" spans="1:21" x14ac:dyDescent="0.2">
      <c r="A11" s="9" t="s">
        <v>43</v>
      </c>
      <c r="B11" s="9"/>
      <c r="C11" s="25">
        <f>$L$11</f>
        <v>12</v>
      </c>
      <c r="D11" s="25">
        <f t="shared" ref="D11:I11" si="0">C11+12</f>
        <v>24</v>
      </c>
      <c r="E11" s="25">
        <f t="shared" si="0"/>
        <v>36</v>
      </c>
      <c r="F11" s="25">
        <f t="shared" si="0"/>
        <v>48</v>
      </c>
      <c r="G11" s="25">
        <f t="shared" si="0"/>
        <v>60</v>
      </c>
      <c r="H11" s="25">
        <f t="shared" si="0"/>
        <v>72</v>
      </c>
      <c r="I11" s="25">
        <f t="shared" si="0"/>
        <v>84</v>
      </c>
      <c r="K11" s="2"/>
      <c r="L11" s="111">
        <v>12</v>
      </c>
      <c r="O11" s="25" t="s">
        <v>301</v>
      </c>
      <c r="P11" s="25" t="s">
        <v>303</v>
      </c>
      <c r="Q11" s="25" t="s">
        <v>302</v>
      </c>
      <c r="R11" s="25" t="s">
        <v>68</v>
      </c>
    </row>
    <row r="12" spans="1:21" x14ac:dyDescent="0.2">
      <c r="A12" s="13" t="str">
        <f>TEXT(COLUMN(),"(#)")</f>
        <v>(1)</v>
      </c>
      <c r="B12" s="13"/>
      <c r="C12" s="11" t="str">
        <f t="shared" ref="C12:I12" si="1">TEXT(COLUMN()-1,"(#)")</f>
        <v>(2)</v>
      </c>
      <c r="D12" s="11" t="str">
        <f t="shared" si="1"/>
        <v>(3)</v>
      </c>
      <c r="E12" s="11" t="str">
        <f t="shared" si="1"/>
        <v>(4)</v>
      </c>
      <c r="F12" s="11" t="str">
        <f t="shared" si="1"/>
        <v>(5)</v>
      </c>
      <c r="G12" s="11" t="str">
        <f t="shared" si="1"/>
        <v>(6)</v>
      </c>
      <c r="H12" s="11" t="str">
        <f t="shared" si="1"/>
        <v>(7)</v>
      </c>
      <c r="I12" s="11" t="str">
        <f t="shared" si="1"/>
        <v>(8)</v>
      </c>
      <c r="K12" s="2"/>
      <c r="O12" t="s">
        <v>500</v>
      </c>
      <c r="P12" t="s">
        <v>501</v>
      </c>
      <c r="Q12" t="s">
        <v>502</v>
      </c>
      <c r="T12" s="58"/>
      <c r="U12" s="58"/>
    </row>
    <row r="13" spans="1:21" x14ac:dyDescent="0.2">
      <c r="K13" s="2"/>
    </row>
    <row r="14" spans="1:21" x14ac:dyDescent="0.2">
      <c r="A14" t="str">
        <f>TEXT(A15-1,"#")</f>
        <v>2008</v>
      </c>
      <c r="B14" s="24"/>
      <c r="C14" s="36">
        <v>167316</v>
      </c>
      <c r="D14" s="36">
        <v>139787</v>
      </c>
      <c r="E14" s="36">
        <v>106761</v>
      </c>
      <c r="F14" s="36">
        <v>111632</v>
      </c>
      <c r="G14" s="36">
        <v>120296</v>
      </c>
      <c r="H14" s="36">
        <v>92426</v>
      </c>
      <c r="I14" s="29">
        <f>$R15</f>
        <v>99668</v>
      </c>
      <c r="K14" s="2"/>
      <c r="N14" s="284">
        <f>N15-1</f>
        <v>2007</v>
      </c>
      <c r="O14" s="116">
        <v>2489</v>
      </c>
      <c r="P14" s="116">
        <v>0</v>
      </c>
      <c r="Q14" s="116">
        <v>0</v>
      </c>
      <c r="R14" s="18">
        <f>SUM(O14:Q14)</f>
        <v>2489</v>
      </c>
      <c r="T14" s="246"/>
      <c r="U14" s="304"/>
    </row>
    <row r="15" spans="1:21" x14ac:dyDescent="0.2">
      <c r="A15" t="str">
        <f t="shared" ref="A15:A22" si="2">TEXT(A16-1,"#")</f>
        <v>2009</v>
      </c>
      <c r="B15" s="24"/>
      <c r="C15" s="36">
        <v>7335</v>
      </c>
      <c r="D15" s="36">
        <v>359</v>
      </c>
      <c r="E15" s="36">
        <v>226</v>
      </c>
      <c r="F15" s="36">
        <v>231</v>
      </c>
      <c r="G15" s="36">
        <v>223</v>
      </c>
      <c r="H15" s="36">
        <v>223</v>
      </c>
      <c r="I15" s="29">
        <f>$R16</f>
        <v>223</v>
      </c>
      <c r="K15" s="2"/>
      <c r="N15" s="284">
        <f t="shared" ref="N15:N23" si="3">N16-1</f>
        <v>2008</v>
      </c>
      <c r="O15" s="116">
        <v>96405</v>
      </c>
      <c r="P15" s="116">
        <v>1055</v>
      </c>
      <c r="Q15" s="116">
        <v>2208</v>
      </c>
      <c r="R15" s="18">
        <f t="shared" ref="R15:R22" si="4">SUM(O15:Q15)</f>
        <v>99668</v>
      </c>
      <c r="T15" s="246"/>
      <c r="U15" s="304"/>
    </row>
    <row r="16" spans="1:21" x14ac:dyDescent="0.2">
      <c r="A16" t="str">
        <f t="shared" si="2"/>
        <v>2010</v>
      </c>
      <c r="B16" s="24"/>
      <c r="C16" s="36">
        <v>391</v>
      </c>
      <c r="D16" s="36">
        <v>312</v>
      </c>
      <c r="E16" s="36">
        <v>322</v>
      </c>
      <c r="F16" s="36">
        <v>316</v>
      </c>
      <c r="G16" s="36">
        <v>335</v>
      </c>
      <c r="H16" s="246">
        <v>324</v>
      </c>
      <c r="I16" s="29">
        <f>$R17</f>
        <v>323</v>
      </c>
      <c r="K16" s="2"/>
      <c r="N16" s="284">
        <f t="shared" si="3"/>
        <v>2009</v>
      </c>
      <c r="O16" s="116">
        <v>223</v>
      </c>
      <c r="P16" s="116">
        <v>0</v>
      </c>
      <c r="Q16" s="116">
        <v>0</v>
      </c>
      <c r="R16" s="18">
        <f t="shared" si="4"/>
        <v>223</v>
      </c>
      <c r="T16" s="246"/>
      <c r="U16" s="304"/>
    </row>
    <row r="17" spans="1:21" x14ac:dyDescent="0.2">
      <c r="A17" t="str">
        <f t="shared" si="2"/>
        <v>2011</v>
      </c>
      <c r="B17" s="24"/>
      <c r="C17" s="36">
        <v>515</v>
      </c>
      <c r="D17" s="36">
        <v>592</v>
      </c>
      <c r="E17" s="36">
        <v>609</v>
      </c>
      <c r="F17" s="36">
        <v>682</v>
      </c>
      <c r="G17" s="246">
        <v>629</v>
      </c>
      <c r="H17" s="246">
        <v>745</v>
      </c>
      <c r="I17" s="29">
        <f>$R18</f>
        <v>725</v>
      </c>
      <c r="K17" s="2"/>
      <c r="N17" s="284">
        <f t="shared" si="3"/>
        <v>2010</v>
      </c>
      <c r="O17" s="116">
        <v>323</v>
      </c>
      <c r="P17" s="116">
        <v>0</v>
      </c>
      <c r="Q17" s="116">
        <v>0</v>
      </c>
      <c r="R17" s="18">
        <f t="shared" si="4"/>
        <v>323</v>
      </c>
      <c r="T17" s="246"/>
      <c r="U17" s="304"/>
    </row>
    <row r="18" spans="1:21" x14ac:dyDescent="0.2">
      <c r="A18" t="str">
        <f t="shared" si="2"/>
        <v>2012</v>
      </c>
      <c r="B18" s="24"/>
      <c r="C18" s="36">
        <v>516</v>
      </c>
      <c r="D18" s="36">
        <v>679</v>
      </c>
      <c r="E18" s="36">
        <v>719</v>
      </c>
      <c r="F18" s="246">
        <v>632</v>
      </c>
      <c r="G18" s="246">
        <v>917</v>
      </c>
      <c r="H18" s="286">
        <v>880</v>
      </c>
      <c r="I18" s="29">
        <f>$R19</f>
        <v>896</v>
      </c>
      <c r="K18" s="2"/>
      <c r="N18" s="284">
        <f t="shared" si="3"/>
        <v>2011</v>
      </c>
      <c r="O18" s="116">
        <v>725</v>
      </c>
      <c r="P18" s="116">
        <v>0</v>
      </c>
      <c r="Q18" s="116">
        <v>0</v>
      </c>
      <c r="R18" s="18">
        <f t="shared" si="4"/>
        <v>725</v>
      </c>
      <c r="T18" s="246"/>
      <c r="U18" s="304"/>
    </row>
    <row r="19" spans="1:21" x14ac:dyDescent="0.2">
      <c r="A19" t="str">
        <f t="shared" si="2"/>
        <v>2013</v>
      </c>
      <c r="B19" s="24"/>
      <c r="C19" s="36">
        <v>802</v>
      </c>
      <c r="D19" s="36">
        <v>806</v>
      </c>
      <c r="E19" s="246">
        <v>715</v>
      </c>
      <c r="F19" s="246">
        <v>1089</v>
      </c>
      <c r="G19" s="286">
        <v>991</v>
      </c>
      <c r="H19" s="29">
        <f>R20</f>
        <v>971</v>
      </c>
      <c r="I19" s="36"/>
      <c r="K19" s="2"/>
      <c r="N19" s="284">
        <f t="shared" si="3"/>
        <v>2012</v>
      </c>
      <c r="O19" s="116">
        <v>829</v>
      </c>
      <c r="P19" s="116">
        <v>39</v>
      </c>
      <c r="Q19" s="116">
        <v>28</v>
      </c>
      <c r="R19" s="18">
        <f t="shared" si="4"/>
        <v>896</v>
      </c>
      <c r="T19" s="246"/>
      <c r="U19" s="304"/>
    </row>
    <row r="20" spans="1:21" x14ac:dyDescent="0.2">
      <c r="A20" t="str">
        <f t="shared" si="2"/>
        <v>2014</v>
      </c>
      <c r="B20" s="24"/>
      <c r="C20" s="36">
        <v>516</v>
      </c>
      <c r="D20" s="246">
        <v>493</v>
      </c>
      <c r="E20" s="246">
        <v>1085</v>
      </c>
      <c r="F20" s="286">
        <v>1266</v>
      </c>
      <c r="G20" s="29">
        <f>R21</f>
        <v>1077</v>
      </c>
      <c r="H20" s="36"/>
      <c r="I20" s="36"/>
      <c r="K20" s="2"/>
      <c r="N20" s="284">
        <f t="shared" si="3"/>
        <v>2013</v>
      </c>
      <c r="O20" s="116">
        <v>901</v>
      </c>
      <c r="P20" s="116">
        <v>5</v>
      </c>
      <c r="Q20" s="116">
        <v>65</v>
      </c>
      <c r="R20" s="18">
        <f t="shared" si="4"/>
        <v>971</v>
      </c>
      <c r="T20" s="246"/>
      <c r="U20" s="304"/>
    </row>
    <row r="21" spans="1:21" x14ac:dyDescent="0.2">
      <c r="A21" t="str">
        <f t="shared" si="2"/>
        <v>2015</v>
      </c>
      <c r="B21" s="24"/>
      <c r="C21" s="246">
        <v>973</v>
      </c>
      <c r="D21" s="246">
        <v>1818</v>
      </c>
      <c r="E21" s="286">
        <v>2355</v>
      </c>
      <c r="F21" s="29">
        <f>R22</f>
        <v>2749</v>
      </c>
      <c r="G21" s="36"/>
      <c r="H21" s="36"/>
      <c r="I21" s="36"/>
      <c r="K21" s="2"/>
      <c r="N21" s="284">
        <f t="shared" si="3"/>
        <v>2014</v>
      </c>
      <c r="O21" s="116">
        <v>1017</v>
      </c>
      <c r="P21" s="116">
        <v>46</v>
      </c>
      <c r="Q21" s="116">
        <v>14</v>
      </c>
      <c r="R21" s="18">
        <f t="shared" si="4"/>
        <v>1077</v>
      </c>
      <c r="T21" s="246"/>
      <c r="U21" s="304"/>
    </row>
    <row r="22" spans="1:21" x14ac:dyDescent="0.2">
      <c r="A22" s="47" t="str">
        <f t="shared" si="2"/>
        <v>2016</v>
      </c>
      <c r="B22" s="48"/>
      <c r="C22" s="282">
        <v>412</v>
      </c>
      <c r="D22" s="286">
        <v>678</v>
      </c>
      <c r="E22" s="29">
        <f>R23</f>
        <v>746</v>
      </c>
      <c r="F22" s="44"/>
      <c r="G22" s="44"/>
      <c r="H22" s="44"/>
      <c r="I22" s="44"/>
      <c r="K22" s="2"/>
      <c r="L22" t="s">
        <v>241</v>
      </c>
      <c r="N22" s="284">
        <f t="shared" si="3"/>
        <v>2015</v>
      </c>
      <c r="O22" s="116">
        <v>2094</v>
      </c>
      <c r="P22" s="116">
        <v>395</v>
      </c>
      <c r="Q22" s="116">
        <v>260</v>
      </c>
      <c r="R22" s="18">
        <f t="shared" si="4"/>
        <v>2749</v>
      </c>
      <c r="T22" s="246"/>
      <c r="U22" s="304"/>
    </row>
    <row r="23" spans="1:21" x14ac:dyDescent="0.2">
      <c r="A23" s="47" t="str">
        <f>TEXT(A24-1,"#")</f>
        <v>2017</v>
      </c>
      <c r="B23" s="48"/>
      <c r="C23" s="286">
        <v>891</v>
      </c>
      <c r="D23" s="180">
        <f>R24</f>
        <v>16490</v>
      </c>
      <c r="E23" s="44"/>
      <c r="F23" s="44"/>
      <c r="G23" s="44"/>
      <c r="H23" s="44"/>
      <c r="I23" s="44"/>
      <c r="K23" s="2"/>
      <c r="L23" s="206">
        <v>43465</v>
      </c>
      <c r="N23" s="284">
        <f t="shared" si="3"/>
        <v>2016</v>
      </c>
      <c r="O23" s="403">
        <v>448</v>
      </c>
      <c r="P23" s="404">
        <v>186</v>
      </c>
      <c r="Q23" s="406">
        <v>112</v>
      </c>
      <c r="R23" s="18">
        <f>SUM(O23:Q23)</f>
        <v>746</v>
      </c>
      <c r="T23" s="246"/>
      <c r="U23" s="304"/>
    </row>
    <row r="24" spans="1:21" s="249" customFormat="1" x14ac:dyDescent="0.2">
      <c r="A24" s="47" t="str">
        <f>TEXT(YEAR($L$23),"#")</f>
        <v>2018</v>
      </c>
      <c r="B24" s="48"/>
      <c r="C24" s="318">
        <f>R25</f>
        <v>301</v>
      </c>
      <c r="D24" s="180"/>
      <c r="E24" s="44"/>
      <c r="F24" s="44"/>
      <c r="G24" s="44"/>
      <c r="H24" s="44"/>
      <c r="I24" s="44"/>
      <c r="K24" s="251"/>
      <c r="N24" s="285">
        <v>2017</v>
      </c>
      <c r="O24" s="403">
        <v>2613</v>
      </c>
      <c r="P24" s="404">
        <v>10683</v>
      </c>
      <c r="Q24" s="406">
        <v>3194</v>
      </c>
      <c r="R24" s="18">
        <f>SUM(O24:Q24)</f>
        <v>16490</v>
      </c>
    </row>
    <row r="25" spans="1:21" x14ac:dyDescent="0.2">
      <c r="A25" s="9"/>
      <c r="B25" s="253"/>
      <c r="C25" s="30"/>
      <c r="D25" s="253"/>
      <c r="E25" s="253"/>
      <c r="F25" s="253"/>
      <c r="G25" s="253"/>
      <c r="H25" s="253"/>
      <c r="I25" s="253"/>
      <c r="K25" s="2"/>
      <c r="N25">
        <v>2018</v>
      </c>
      <c r="O25" s="116">
        <v>14</v>
      </c>
      <c r="P25" s="116">
        <v>226</v>
      </c>
      <c r="Q25" s="116">
        <v>61</v>
      </c>
      <c r="R25" s="18">
        <f>SUM(O25:Q25)</f>
        <v>301</v>
      </c>
    </row>
    <row r="26" spans="1:21" s="249" customFormat="1" x14ac:dyDescent="0.2">
      <c r="K26" s="251"/>
      <c r="N26" s="249" t="s">
        <v>413</v>
      </c>
      <c r="O26" s="261">
        <f>SUM(O14:O25)</f>
        <v>108081</v>
      </c>
      <c r="P26" s="405">
        <f>SUM(P14:P25)</f>
        <v>12635</v>
      </c>
      <c r="Q26" s="261">
        <f>SUM(Q14:Q25)</f>
        <v>5942</v>
      </c>
      <c r="R26" s="261">
        <f>SUM(R14:R25)</f>
        <v>126658</v>
      </c>
    </row>
    <row r="27" spans="1:21" s="249" customFormat="1" x14ac:dyDescent="0.2">
      <c r="C27" s="252" t="s">
        <v>51</v>
      </c>
      <c r="K27" s="251"/>
    </row>
    <row r="28" spans="1:21" s="249" customFormat="1" x14ac:dyDescent="0.2">
      <c r="A28" s="249" t="s">
        <v>42</v>
      </c>
      <c r="K28" s="251"/>
    </row>
    <row r="29" spans="1:21" s="249" customFormat="1" x14ac:dyDescent="0.2">
      <c r="A29" s="253" t="s">
        <v>43</v>
      </c>
      <c r="B29" s="253"/>
      <c r="C29" s="253" t="str">
        <f t="shared" ref="C29:H29" si="5">C11&amp;" - "&amp;D11</f>
        <v>12 - 24</v>
      </c>
      <c r="D29" s="253" t="str">
        <f t="shared" si="5"/>
        <v>24 - 36</v>
      </c>
      <c r="E29" s="253" t="str">
        <f t="shared" si="5"/>
        <v>36 - 48</v>
      </c>
      <c r="F29" s="253" t="str">
        <f t="shared" si="5"/>
        <v>48 - 60</v>
      </c>
      <c r="G29" s="253" t="str">
        <f t="shared" si="5"/>
        <v>60 - 72</v>
      </c>
      <c r="H29" s="253" t="str">
        <f t="shared" si="5"/>
        <v>72 - 84</v>
      </c>
      <c r="I29" s="253" t="str">
        <f>I11&amp;" - Ult"</f>
        <v>84 - Ult</v>
      </c>
      <c r="K29" s="251"/>
    </row>
    <row r="30" spans="1:21" s="249" customFormat="1" x14ac:dyDescent="0.2">
      <c r="A30" s="254" t="str">
        <f>TEXT(COLUMN(),"(#)")</f>
        <v>(1)</v>
      </c>
      <c r="B30" s="254"/>
      <c r="C30" s="255" t="str">
        <f t="shared" ref="C30:I30" si="6">TEXT(COLUMN()-1,"(#)")</f>
        <v>(2)</v>
      </c>
      <c r="D30" s="255" t="str">
        <f t="shared" si="6"/>
        <v>(3)</v>
      </c>
      <c r="E30" s="255" t="str">
        <f t="shared" si="6"/>
        <v>(4)</v>
      </c>
      <c r="F30" s="255" t="str">
        <f t="shared" si="6"/>
        <v>(5)</v>
      </c>
      <c r="G30" s="255" t="str">
        <f t="shared" si="6"/>
        <v>(6)</v>
      </c>
      <c r="H30" s="255" t="str">
        <f t="shared" si="6"/>
        <v>(7)</v>
      </c>
      <c r="I30" s="255" t="str">
        <f t="shared" si="6"/>
        <v>(8)</v>
      </c>
      <c r="K30" s="251"/>
    </row>
    <row r="31" spans="1:21" s="249" customFormat="1" x14ac:dyDescent="0.2">
      <c r="K31" s="251"/>
      <c r="M31" s="261"/>
      <c r="N31" s="261"/>
      <c r="O31" s="261"/>
      <c r="P31" s="261"/>
      <c r="Q31" s="261"/>
      <c r="R31" s="261"/>
    </row>
    <row r="32" spans="1:21" s="249" customFormat="1" x14ac:dyDescent="0.2">
      <c r="A32" s="250" t="str">
        <f t="shared" ref="A32:A41" si="7">A14</f>
        <v>2008</v>
      </c>
      <c r="B32" s="256"/>
      <c r="C32" s="37">
        <f t="shared" ref="C32:H32" si="8">IF(ISNUMBER(D14),D14/C14,"")</f>
        <v>0.83546702048817811</v>
      </c>
      <c r="D32" s="37">
        <f t="shared" si="8"/>
        <v>0.76374054811963921</v>
      </c>
      <c r="E32" s="37">
        <f t="shared" si="8"/>
        <v>1.0456252751472916</v>
      </c>
      <c r="F32" s="37">
        <f t="shared" si="8"/>
        <v>1.077612154221012</v>
      </c>
      <c r="G32" s="37">
        <f t="shared" si="8"/>
        <v>0.76832147369821113</v>
      </c>
      <c r="H32" s="37">
        <f t="shared" si="8"/>
        <v>1.0783545755523338</v>
      </c>
      <c r="I32" s="37"/>
      <c r="K32" s="251"/>
      <c r="M32" s="261"/>
      <c r="N32" s="261"/>
      <c r="O32" s="261"/>
      <c r="P32" s="261"/>
      <c r="Q32" s="261"/>
      <c r="R32" s="261"/>
    </row>
    <row r="33" spans="1:19" s="249" customFormat="1" x14ac:dyDescent="0.2">
      <c r="A33" s="250" t="str">
        <f t="shared" si="7"/>
        <v>2009</v>
      </c>
      <c r="B33" s="256"/>
      <c r="C33" s="37">
        <f t="shared" ref="C33:H36" si="9">IF(ISNUMBER(D15),D15/C15,"")</f>
        <v>4.894342194955692E-2</v>
      </c>
      <c r="D33" s="37">
        <f t="shared" si="9"/>
        <v>0.62952646239554322</v>
      </c>
      <c r="E33" s="37">
        <f t="shared" si="9"/>
        <v>1.0221238938053097</v>
      </c>
      <c r="F33" s="37">
        <f t="shared" si="9"/>
        <v>0.96536796536796532</v>
      </c>
      <c r="G33" s="37">
        <f t="shared" si="9"/>
        <v>1</v>
      </c>
      <c r="H33" s="37">
        <f t="shared" si="9"/>
        <v>1</v>
      </c>
      <c r="I33" s="37"/>
      <c r="K33" s="251"/>
      <c r="M33" s="261"/>
      <c r="N33" s="261"/>
      <c r="O33" s="261"/>
      <c r="P33" s="261"/>
      <c r="Q33" s="261"/>
      <c r="R33" s="261"/>
    </row>
    <row r="34" spans="1:19" s="249" customFormat="1" x14ac:dyDescent="0.2">
      <c r="A34" s="250" t="str">
        <f t="shared" si="7"/>
        <v>2010</v>
      </c>
      <c r="B34" s="256"/>
      <c r="C34" s="37">
        <f t="shared" si="9"/>
        <v>0.79795396419437337</v>
      </c>
      <c r="D34" s="37">
        <f t="shared" si="9"/>
        <v>1.0320512820512822</v>
      </c>
      <c r="E34" s="37">
        <f t="shared" si="9"/>
        <v>0.98136645962732916</v>
      </c>
      <c r="F34" s="37">
        <f t="shared" si="9"/>
        <v>1.0601265822784811</v>
      </c>
      <c r="G34" s="37">
        <f t="shared" si="9"/>
        <v>0.96716417910447761</v>
      </c>
      <c r="H34" s="37">
        <f t="shared" si="9"/>
        <v>0.99691358024691357</v>
      </c>
      <c r="I34" s="37"/>
      <c r="K34" s="251"/>
      <c r="M34" s="261"/>
      <c r="N34" s="261"/>
      <c r="O34" s="261"/>
      <c r="P34" s="261"/>
      <c r="Q34" s="261"/>
      <c r="R34" s="261"/>
    </row>
    <row r="35" spans="1:19" s="249" customFormat="1" x14ac:dyDescent="0.2">
      <c r="A35" s="250" t="str">
        <f t="shared" si="7"/>
        <v>2011</v>
      </c>
      <c r="B35" s="256"/>
      <c r="C35" s="37">
        <f t="shared" si="9"/>
        <v>1.149514563106796</v>
      </c>
      <c r="D35" s="37">
        <f t="shared" si="9"/>
        <v>1.0287162162162162</v>
      </c>
      <c r="E35" s="37">
        <f t="shared" si="9"/>
        <v>1.1198686371100164</v>
      </c>
      <c r="F35" s="37">
        <f t="shared" si="9"/>
        <v>0.92228739002932547</v>
      </c>
      <c r="G35" s="37">
        <f t="shared" si="9"/>
        <v>1.1844197138314785</v>
      </c>
      <c r="H35" s="37">
        <f>IF(ISNUMBER(I17),I17/H17,"")</f>
        <v>0.97315436241610742</v>
      </c>
      <c r="I35" s="37"/>
      <c r="K35" s="251"/>
      <c r="M35" s="261"/>
      <c r="N35" s="261"/>
      <c r="O35" s="261"/>
      <c r="P35" s="261"/>
      <c r="Q35" s="261"/>
      <c r="R35" s="261"/>
    </row>
    <row r="36" spans="1:19" s="249" customFormat="1" x14ac:dyDescent="0.2">
      <c r="A36" s="250" t="str">
        <f t="shared" si="7"/>
        <v>2012</v>
      </c>
      <c r="B36" s="256"/>
      <c r="C36" s="37">
        <f t="shared" ref="C36:C41" si="10">IF(ISNUMBER(D18),D18/C18,"")</f>
        <v>1.3158914728682169</v>
      </c>
      <c r="D36" s="37">
        <f t="shared" si="9"/>
        <v>1.0589101620029455</v>
      </c>
      <c r="E36" s="37">
        <f t="shared" si="9"/>
        <v>0.87899860917941586</v>
      </c>
      <c r="F36" s="37">
        <f t="shared" si="9"/>
        <v>1.4509493670886076</v>
      </c>
      <c r="G36" s="37">
        <f t="shared" si="9"/>
        <v>0.95965103598691381</v>
      </c>
      <c r="H36" s="37">
        <f>IF(ISNUMBER(I18),I18/H18,"")</f>
        <v>1.0181818181818181</v>
      </c>
      <c r="I36" s="37"/>
      <c r="K36" s="251"/>
      <c r="M36" s="261"/>
      <c r="N36" s="261"/>
      <c r="O36" s="261"/>
      <c r="P36" s="261"/>
      <c r="Q36" s="261"/>
      <c r="R36" s="261"/>
    </row>
    <row r="37" spans="1:19" s="249" customFormat="1" x14ac:dyDescent="0.2">
      <c r="A37" s="250" t="str">
        <f t="shared" si="7"/>
        <v>2013</v>
      </c>
      <c r="B37" s="256"/>
      <c r="C37" s="37">
        <f t="shared" si="10"/>
        <v>1.0049875311720697</v>
      </c>
      <c r="D37" s="37">
        <f>IF(ISNUMBER(E19),E19/D19,"")</f>
        <v>0.88709677419354838</v>
      </c>
      <c r="E37" s="37">
        <f>IF(ISNUMBER(F19),F19/E19,"")</f>
        <v>1.523076923076923</v>
      </c>
      <c r="F37" s="37">
        <f>IF(ISNUMBER(G19),G19/F19,"")</f>
        <v>0.91000918273645548</v>
      </c>
      <c r="G37" s="37">
        <f>IF(ISNUMBER(H19),H19/G19,"")</f>
        <v>0.97981836528758826</v>
      </c>
      <c r="H37" s="37" t="str">
        <f>IF(ISNUMBER(I19),I19/#REF!,"")</f>
        <v/>
      </c>
      <c r="I37" s="37"/>
      <c r="K37" s="251"/>
      <c r="M37" s="261"/>
      <c r="N37" s="261"/>
      <c r="O37" s="261"/>
      <c r="P37" s="261"/>
      <c r="Q37" s="261"/>
      <c r="R37" s="261"/>
    </row>
    <row r="38" spans="1:19" s="249" customFormat="1" x14ac:dyDescent="0.2">
      <c r="A38" s="250" t="str">
        <f t="shared" si="7"/>
        <v>2014</v>
      </c>
      <c r="B38" s="256"/>
      <c r="C38" s="37">
        <f t="shared" si="10"/>
        <v>0.95542635658914732</v>
      </c>
      <c r="D38" s="37">
        <f>IF(ISNUMBER(E20),E20/D20,"")</f>
        <v>2.2008113590263694</v>
      </c>
      <c r="E38" s="37">
        <f>IF(ISNUMBER(F20),F20/E20,"")</f>
        <v>1.1668202764976958</v>
      </c>
      <c r="F38" s="37">
        <f>IF(ISNUMBER(G20),G20/F20,"")</f>
        <v>0.85071090047393361</v>
      </c>
      <c r="G38" s="37" t="str">
        <f>IF(ISNUMBER(H20),H20/#REF!,"")</f>
        <v/>
      </c>
      <c r="H38" s="37" t="str">
        <f>IF(ISNUMBER(I20),I20/H20,"")</f>
        <v/>
      </c>
      <c r="I38" s="37"/>
      <c r="K38" s="251"/>
      <c r="M38" s="261"/>
      <c r="N38" s="261"/>
      <c r="O38" s="261"/>
      <c r="P38" s="261"/>
      <c r="Q38" s="261"/>
      <c r="R38" s="261"/>
    </row>
    <row r="39" spans="1:19" s="249" customFormat="1" x14ac:dyDescent="0.2">
      <c r="A39" s="250" t="str">
        <f t="shared" si="7"/>
        <v>2015</v>
      </c>
      <c r="B39" s="283"/>
      <c r="C39" s="183">
        <f t="shared" si="10"/>
        <v>1.868448098663926</v>
      </c>
      <c r="D39" s="183">
        <f>IF(ISNUMBER(E21),E21/D21,"")</f>
        <v>1.2953795379537953</v>
      </c>
      <c r="E39" s="183">
        <f>IF(ISNUMBER(F21),F21/E21,"")</f>
        <v>1.1673036093418259</v>
      </c>
      <c r="F39" s="183" t="str">
        <f>IF(ISNUMBER(G21),G21/#REF!,"")</f>
        <v/>
      </c>
      <c r="G39" s="183" t="str">
        <f>IF(ISNUMBER(H21),H21/G21,"")</f>
        <v/>
      </c>
      <c r="H39" s="183" t="str">
        <f>IF(ISNUMBER(I21),I21/H21,"")</f>
        <v/>
      </c>
      <c r="I39" s="183"/>
      <c r="K39" s="251"/>
      <c r="M39" s="261"/>
      <c r="N39" s="261"/>
      <c r="O39" s="261"/>
      <c r="P39" s="261"/>
      <c r="Q39" s="261"/>
      <c r="R39" s="261"/>
      <c r="S39" s="261"/>
    </row>
    <row r="40" spans="1:19" s="249" customFormat="1" x14ac:dyDescent="0.2">
      <c r="A40" s="250" t="str">
        <f t="shared" si="7"/>
        <v>2016</v>
      </c>
      <c r="B40" s="283"/>
      <c r="C40" s="183">
        <f t="shared" si="10"/>
        <v>1.645631067961165</v>
      </c>
      <c r="D40" s="183">
        <f>IF(ISNUMBER(E22),E22/D22,"")</f>
        <v>1.1002949852507375</v>
      </c>
      <c r="E40" s="183" t="str">
        <f>IF(ISNUMBER(F22),F22/#REF!,"")</f>
        <v/>
      </c>
      <c r="F40" s="183" t="str">
        <f>IF(ISNUMBER(G22),G22/F22,"")</f>
        <v/>
      </c>
      <c r="G40" s="183" t="str">
        <f>IF(ISNUMBER(H22),H22/G22,"")</f>
        <v/>
      </c>
      <c r="H40" s="183" t="str">
        <f>IF(ISNUMBER(I22),I22/H22,"")</f>
        <v/>
      </c>
      <c r="I40" s="183"/>
      <c r="K40" s="251"/>
      <c r="M40" s="261"/>
      <c r="N40" s="261"/>
      <c r="O40" s="261"/>
      <c r="P40" s="261"/>
      <c r="Q40" s="261"/>
      <c r="R40" s="261"/>
      <c r="S40" s="261"/>
    </row>
    <row r="41" spans="1:19" s="249" customFormat="1" x14ac:dyDescent="0.2">
      <c r="A41" s="253" t="str">
        <f t="shared" si="7"/>
        <v>2017</v>
      </c>
      <c r="B41" s="258"/>
      <c r="C41" s="38">
        <f t="shared" si="10"/>
        <v>18.50729517396184</v>
      </c>
      <c r="D41" s="38"/>
      <c r="E41" s="38"/>
      <c r="F41" s="38"/>
      <c r="G41" s="38"/>
      <c r="H41" s="38"/>
      <c r="I41" s="38"/>
      <c r="K41" s="251"/>
      <c r="M41" s="261"/>
      <c r="N41" s="261"/>
      <c r="O41" s="261"/>
      <c r="P41" s="261"/>
      <c r="Q41" s="261"/>
      <c r="R41" s="261"/>
      <c r="S41" s="261"/>
    </row>
    <row r="42" spans="1:19" s="249" customFormat="1" x14ac:dyDescent="0.2">
      <c r="A42" s="250"/>
      <c r="B42" s="283"/>
      <c r="C42" s="183"/>
      <c r="D42" s="183"/>
      <c r="E42" s="183"/>
      <c r="F42" s="183"/>
      <c r="G42" s="183"/>
      <c r="H42" s="183"/>
      <c r="I42" s="183"/>
      <c r="K42" s="251"/>
    </row>
    <row r="43" spans="1:19" s="249" customFormat="1" x14ac:dyDescent="0.2">
      <c r="A43" s="249" t="s">
        <v>52</v>
      </c>
      <c r="B43" s="256"/>
      <c r="C43" s="249">
        <f>AVERAGE(C32:C41)</f>
        <v>2.812955867095527</v>
      </c>
      <c r="D43" s="249">
        <f>AVERAGE(D32:D40)</f>
        <v>1.1107252585788974</v>
      </c>
      <c r="E43" s="249">
        <f>AVERAGE(E32:E40)</f>
        <v>1.1131479604732257</v>
      </c>
      <c r="F43" s="249">
        <f>AVERAGE(F32:F40)</f>
        <v>1.033866220313683</v>
      </c>
      <c r="G43" s="249">
        <f>AVERAGE(G32:G40)</f>
        <v>0.97656246131811164</v>
      </c>
      <c r="H43" s="249">
        <f>AVERAGE(H32:H40)</f>
        <v>1.0133208672794347</v>
      </c>
      <c r="K43" s="251"/>
    </row>
    <row r="44" spans="1:19" s="249" customFormat="1" x14ac:dyDescent="0.2">
      <c r="A44" s="249" t="s">
        <v>76</v>
      </c>
      <c r="B44" s="257"/>
      <c r="C44" s="249">
        <f t="shared" ref="C44:H44" si="11">(SUM(C32:C41)-MAX(C32:C41)-MIN(C32:C41))/(COUNT(C32:C41)-2)</f>
        <v>1.196665009380484</v>
      </c>
      <c r="D44" s="249">
        <f>(SUM(D32:D41)-MAX(D32:D41)-MIN(D32:D41))/(COUNT(D32:D41)-2)</f>
        <v>1.0237413579697376</v>
      </c>
      <c r="E44" s="249">
        <f t="shared" si="11"/>
        <v>1.0838513585882446</v>
      </c>
      <c r="F44" s="249">
        <f t="shared" si="11"/>
        <v>0.98708065492664809</v>
      </c>
      <c r="G44" s="249">
        <f t="shared" si="11"/>
        <v>0.97665839509474506</v>
      </c>
      <c r="H44" s="249">
        <f t="shared" si="11"/>
        <v>1.0050317994762439</v>
      </c>
      <c r="K44" s="251"/>
    </row>
    <row r="45" spans="1:19" s="249" customFormat="1" x14ac:dyDescent="0.2">
      <c r="A45" s="249" t="s">
        <v>77</v>
      </c>
      <c r="C45" s="249">
        <f>AVERAGE(C39:C41)</f>
        <v>7.3404581135289773</v>
      </c>
      <c r="D45" s="249">
        <f>AVERAGE(D38:D40)</f>
        <v>1.5321619607436341</v>
      </c>
      <c r="E45" s="249">
        <f>AVERAGE(E37:E39)</f>
        <v>1.2857336029721482</v>
      </c>
      <c r="F45" s="249">
        <f>AVERAGE(F36:F38)</f>
        <v>1.0705564834329988</v>
      </c>
      <c r="G45" s="249">
        <f>AVERAGE(G35:G37)</f>
        <v>1.0412963717019936</v>
      </c>
      <c r="H45" s="249">
        <f>AVERAGE(H34:H36)</f>
        <v>0.99608325361494643</v>
      </c>
      <c r="K45" s="251"/>
    </row>
    <row r="46" spans="1:19" s="249" customFormat="1" x14ac:dyDescent="0.2">
      <c r="A46" s="249" t="s">
        <v>53</v>
      </c>
      <c r="B46" s="256"/>
      <c r="C46" s="249">
        <f>AVERAGE(C37:C41)</f>
        <v>4.7963576456696293</v>
      </c>
      <c r="D46" s="249">
        <f>AVERAGE(D36:D40)</f>
        <v>1.3084985636854793</v>
      </c>
      <c r="E46" s="249">
        <f>AVERAGE(E35:E39)</f>
        <v>1.1712136110411753</v>
      </c>
      <c r="F46" s="249">
        <f>AVERAGE(F34:F38)</f>
        <v>1.0388166845213607</v>
      </c>
      <c r="G46" s="249">
        <f>AVERAGE(G33:G37)</f>
        <v>1.0182106588420916</v>
      </c>
      <c r="H46" s="249">
        <f>AVERAGE(H33:H36)</f>
        <v>0.99706244021120971</v>
      </c>
      <c r="K46" s="251"/>
    </row>
    <row r="47" spans="1:19" s="249" customFormat="1" x14ac:dyDescent="0.2">
      <c r="A47" s="249" t="s">
        <v>200</v>
      </c>
      <c r="B47" s="257"/>
      <c r="C47" s="259">
        <v>1.1499999999999999</v>
      </c>
      <c r="D47" s="259">
        <v>1.03</v>
      </c>
      <c r="E47" s="259">
        <v>1.1000000000000001</v>
      </c>
      <c r="F47" s="259">
        <v>1.0549999999999999</v>
      </c>
      <c r="G47" s="259">
        <v>0.99299999999999999</v>
      </c>
      <c r="H47" s="259">
        <v>1.0249999999999999</v>
      </c>
      <c r="I47" s="259">
        <v>1</v>
      </c>
      <c r="K47" s="251"/>
    </row>
    <row r="48" spans="1:19" s="249" customFormat="1" x14ac:dyDescent="0.2">
      <c r="A48" s="249" t="s">
        <v>54</v>
      </c>
      <c r="C48" s="294">
        <v>1.1499999999999999</v>
      </c>
      <c r="D48" s="294">
        <v>1.03</v>
      </c>
      <c r="E48" s="294">
        <f>ROUND(AVERAGE(E43:E47),3)</f>
        <v>1.151</v>
      </c>
      <c r="F48" s="294">
        <f>ROUND(AVERAGE(F43:F47),3)</f>
        <v>1.0369999999999999</v>
      </c>
      <c r="G48" s="294">
        <f>ROUND(AVERAGE(G43:G47),3)</f>
        <v>1.0009999999999999</v>
      </c>
      <c r="H48" s="294">
        <f>ROUND(AVERAGE(H43:H47),3)</f>
        <v>1.0069999999999999</v>
      </c>
      <c r="I48" s="294">
        <f>ROUND(AVERAGE(I43:I47),3)</f>
        <v>1</v>
      </c>
      <c r="K48" s="251"/>
    </row>
    <row r="49" spans="1:13" s="249" customFormat="1" x14ac:dyDescent="0.2">
      <c r="A49" s="249" t="s">
        <v>55</v>
      </c>
      <c r="C49" s="249">
        <f t="shared" ref="C49:H49" si="12">ROUND(C48*D49,3)</f>
        <v>1.425</v>
      </c>
      <c r="D49" s="249">
        <f t="shared" si="12"/>
        <v>1.2390000000000001</v>
      </c>
      <c r="E49" s="249">
        <f t="shared" si="12"/>
        <v>1.2030000000000001</v>
      </c>
      <c r="F49" s="249">
        <f t="shared" si="12"/>
        <v>1.0449999999999999</v>
      </c>
      <c r="G49" s="249">
        <f t="shared" si="12"/>
        <v>1.008</v>
      </c>
      <c r="H49" s="249">
        <f t="shared" si="12"/>
        <v>1.0069999999999999</v>
      </c>
      <c r="I49" s="249">
        <f>I48</f>
        <v>1</v>
      </c>
      <c r="K49" s="251"/>
    </row>
    <row r="50" spans="1:13" s="249" customFormat="1" ht="12" thickBot="1" x14ac:dyDescent="0.25">
      <c r="A50" s="260"/>
      <c r="B50" s="260"/>
      <c r="C50" s="260"/>
      <c r="D50" s="260"/>
      <c r="E50" s="260"/>
      <c r="F50" s="260"/>
      <c r="G50" s="260"/>
      <c r="H50" s="260"/>
      <c r="I50" s="260"/>
      <c r="K50" s="251"/>
    </row>
    <row r="51" spans="1:13" ht="12" thickTop="1" x14ac:dyDescent="0.2">
      <c r="K51" s="2"/>
    </row>
    <row r="52" spans="1:13" x14ac:dyDescent="0.2">
      <c r="K52" s="2"/>
    </row>
    <row r="53" spans="1:13" s="249" customFormat="1" x14ac:dyDescent="0.2">
      <c r="K53" s="251"/>
      <c r="M53" s="261">
        <v>250000</v>
      </c>
    </row>
    <row r="54" spans="1:13" x14ac:dyDescent="0.2">
      <c r="K54" s="2"/>
    </row>
    <row r="55" spans="1:13" x14ac:dyDescent="0.2">
      <c r="K55" s="2"/>
    </row>
    <row r="56" spans="1:13" x14ac:dyDescent="0.2">
      <c r="K56" s="2"/>
    </row>
    <row r="57" spans="1:13" x14ac:dyDescent="0.2">
      <c r="K57" s="2"/>
    </row>
    <row r="58" spans="1:13" x14ac:dyDescent="0.2">
      <c r="K58" s="2"/>
    </row>
    <row r="59" spans="1:13" x14ac:dyDescent="0.2">
      <c r="K59" s="2"/>
    </row>
    <row r="60" spans="1:13" x14ac:dyDescent="0.2">
      <c r="K60" s="2"/>
    </row>
    <row r="61" spans="1:13" x14ac:dyDescent="0.2">
      <c r="K61" s="2"/>
    </row>
    <row r="62" spans="1:13" x14ac:dyDescent="0.2">
      <c r="K62" s="2"/>
    </row>
    <row r="63" spans="1:13" x14ac:dyDescent="0.2">
      <c r="K63" s="2"/>
    </row>
    <row r="64" spans="1:13" x14ac:dyDescent="0.2">
      <c r="K64" s="2"/>
    </row>
    <row r="65" spans="1:11" x14ac:dyDescent="0.2">
      <c r="K65" s="2"/>
    </row>
    <row r="66" spans="1:11" x14ac:dyDescent="0.2">
      <c r="K66" s="2"/>
    </row>
    <row r="67" spans="1:11" x14ac:dyDescent="0.2">
      <c r="K67" s="2"/>
    </row>
    <row r="68" spans="1:11" x14ac:dyDescent="0.2">
      <c r="K68" s="2"/>
    </row>
    <row r="69" spans="1:11" x14ac:dyDescent="0.2">
      <c r="K69" s="2"/>
    </row>
    <row r="70" spans="1:11" ht="12" thickBot="1" x14ac:dyDescent="0.25">
      <c r="K70" s="2"/>
    </row>
    <row r="71" spans="1:11" ht="12" thickBot="1" x14ac:dyDescent="0.25">
      <c r="A71" s="4"/>
      <c r="B71" s="5"/>
      <c r="C71" s="5"/>
      <c r="D71" s="5"/>
      <c r="E71" s="5"/>
      <c r="F71" s="5"/>
      <c r="G71" s="5"/>
      <c r="H71" s="5"/>
      <c r="I71" s="5"/>
      <c r="J71" s="5"/>
      <c r="K71" s="3"/>
    </row>
  </sheetData>
  <phoneticPr fontId="0" type="noConversion"/>
  <pageMargins left="0.5" right="0.5" top="0.5" bottom="0.5" header="0.5" footer="0.5"/>
  <pageSetup orientation="portrait" blackAndWhite="1" r:id="rId1"/>
  <headerFooter alignWithMargins="0"/>
  <ignoredErrors>
    <ignoredError sqref="E40 F39 G38 H37" 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3"/>
  <dimension ref="A1:I33"/>
  <sheetViews>
    <sheetView showGridLines="0" view="pageBreakPreview" zoomScale="60" zoomScaleNormal="100" workbookViewId="0">
      <selection activeCell="M35" sqref="M35"/>
    </sheetView>
  </sheetViews>
  <sheetFormatPr defaultColWidth="11.33203125" defaultRowHeight="11.25" x14ac:dyDescent="0.2"/>
  <cols>
    <col min="1" max="1" width="2.5" bestFit="1" customWidth="1"/>
    <col min="2" max="2" width="50.33203125" customWidth="1"/>
    <col min="3" max="5" width="12.6640625" customWidth="1"/>
    <col min="6" max="7" width="11.33203125" customWidth="1"/>
    <col min="8" max="8" width="7.6640625" customWidth="1"/>
  </cols>
  <sheetData>
    <row r="1" spans="1:9" x14ac:dyDescent="0.2">
      <c r="A1" s="8" t="str">
        <f>'1'!$A$1</f>
        <v>Texas Windstorm Insurance Association</v>
      </c>
      <c r="B1" s="12"/>
      <c r="H1" s="7" t="s">
        <v>79</v>
      </c>
      <c r="I1" s="1"/>
    </row>
    <row r="2" spans="1:9" x14ac:dyDescent="0.2">
      <c r="A2" s="8" t="str">
        <f>'1'!$A$2</f>
        <v>Commercial Property - Wind &amp; Hail</v>
      </c>
      <c r="B2" s="12"/>
      <c r="H2" s="7"/>
      <c r="I2" s="2"/>
    </row>
    <row r="3" spans="1:9" x14ac:dyDescent="0.2">
      <c r="A3" s="8" t="str">
        <f>'1'!$A$3</f>
        <v>Rate Level Review</v>
      </c>
      <c r="B3" s="12"/>
      <c r="I3" s="2"/>
    </row>
    <row r="4" spans="1:9" x14ac:dyDescent="0.2">
      <c r="A4" t="s">
        <v>78</v>
      </c>
      <c r="B4" s="12"/>
      <c r="I4" s="2"/>
    </row>
    <row r="5" spans="1:9" x14ac:dyDescent="0.2">
      <c r="A5" s="58"/>
      <c r="B5" s="21"/>
      <c r="C5" s="58"/>
      <c r="D5" s="58"/>
      <c r="E5" s="58"/>
      <c r="I5" s="2"/>
    </row>
    <row r="6" spans="1:9" x14ac:dyDescent="0.2">
      <c r="I6" s="2"/>
    </row>
    <row r="7" spans="1:9" ht="12" thickBot="1" x14ac:dyDescent="0.25">
      <c r="A7" s="6"/>
      <c r="B7" s="6"/>
      <c r="C7" s="6"/>
      <c r="D7" s="6"/>
      <c r="E7" s="6"/>
      <c r="F7" s="42"/>
      <c r="G7" s="42"/>
      <c r="H7" s="42"/>
      <c r="I7" s="2"/>
    </row>
    <row r="8" spans="1:9" ht="12" thickTop="1" x14ac:dyDescent="0.2">
      <c r="F8" s="42"/>
      <c r="G8" s="42"/>
      <c r="H8" s="42"/>
      <c r="I8" s="2"/>
    </row>
    <row r="9" spans="1:9" x14ac:dyDescent="0.2">
      <c r="C9" s="12" t="s">
        <v>12</v>
      </c>
      <c r="E9" t="s">
        <v>12</v>
      </c>
      <c r="F9" s="42"/>
      <c r="G9" s="42"/>
      <c r="H9" s="42"/>
      <c r="I9" s="2"/>
    </row>
    <row r="10" spans="1:9" x14ac:dyDescent="0.2">
      <c r="C10" t="s">
        <v>35</v>
      </c>
      <c r="D10" t="s">
        <v>30</v>
      </c>
      <c r="E10" t="s">
        <v>10</v>
      </c>
      <c r="F10" s="42"/>
      <c r="G10" s="42"/>
      <c r="H10" s="42"/>
      <c r="I10" s="2"/>
    </row>
    <row r="11" spans="1:9" x14ac:dyDescent="0.2">
      <c r="A11" s="9" t="s">
        <v>80</v>
      </c>
      <c r="B11" s="9"/>
      <c r="C11" s="9" t="s">
        <v>11</v>
      </c>
      <c r="D11" s="9" t="s">
        <v>31</v>
      </c>
      <c r="E11" s="9" t="s">
        <v>11</v>
      </c>
      <c r="F11" s="42"/>
      <c r="G11" s="42"/>
      <c r="H11" s="42"/>
      <c r="I11" s="2"/>
    </row>
    <row r="12" spans="1:9" x14ac:dyDescent="0.2">
      <c r="A12" s="13" t="str">
        <f>TEXT(COLUMN(),"(#)")</f>
        <v>(1)</v>
      </c>
      <c r="B12" s="13"/>
      <c r="C12" s="11" t="str">
        <f>TEXT(COLUMN()-1,"(#)")</f>
        <v>(2)</v>
      </c>
      <c r="D12" s="11" t="str">
        <f>TEXT(COLUMN()-1,"(#)")</f>
        <v>(3)</v>
      </c>
      <c r="E12" s="11" t="str">
        <f>TEXT(COLUMN()-1,"(#)")</f>
        <v>(4)</v>
      </c>
      <c r="F12" s="43"/>
      <c r="G12" s="43"/>
      <c r="H12" s="43"/>
      <c r="I12" s="2"/>
    </row>
    <row r="13" spans="1:9" x14ac:dyDescent="0.2">
      <c r="F13" s="42"/>
      <c r="G13" s="42"/>
      <c r="H13" s="42"/>
      <c r="I13" s="2"/>
    </row>
    <row r="14" spans="1:9" x14ac:dyDescent="0.2">
      <c r="A14" t="s">
        <v>321</v>
      </c>
      <c r="C14" s="22">
        <f>'6.1'!E42</f>
        <v>0.495</v>
      </c>
      <c r="D14" s="52">
        <f>'4.1'!$E$56</f>
        <v>0.15</v>
      </c>
      <c r="E14" s="17">
        <f>ROUND(C14*(1+D14),3)</f>
        <v>0.56899999999999995</v>
      </c>
      <c r="F14" s="50"/>
      <c r="G14" s="50"/>
      <c r="H14" s="51"/>
      <c r="I14" s="2"/>
    </row>
    <row r="15" spans="1:9" x14ac:dyDescent="0.2">
      <c r="C15" s="22"/>
      <c r="D15" s="22"/>
      <c r="E15" s="22"/>
      <c r="F15" s="50"/>
      <c r="G15" s="50"/>
      <c r="H15" s="51"/>
      <c r="I15" s="2"/>
    </row>
    <row r="16" spans="1:9" x14ac:dyDescent="0.2">
      <c r="A16" s="10" t="s">
        <v>81</v>
      </c>
      <c r="C16" s="22"/>
      <c r="D16" s="22"/>
      <c r="E16" s="22"/>
      <c r="F16" s="50"/>
      <c r="G16" s="50"/>
      <c r="H16" s="51"/>
      <c r="I16" s="2"/>
    </row>
    <row r="17" spans="1:9" x14ac:dyDescent="0.2">
      <c r="B17" t="s">
        <v>82</v>
      </c>
      <c r="C17" s="22">
        <f>'7.1'!$E$34</f>
        <v>0.53300000000000003</v>
      </c>
      <c r="D17" s="52">
        <f>D$14</f>
        <v>0.15</v>
      </c>
      <c r="E17" s="17">
        <f>ROUND(C17*(1+D17),3)</f>
        <v>0.61299999999999999</v>
      </c>
      <c r="F17" s="42"/>
      <c r="G17" s="42"/>
      <c r="H17" s="42"/>
      <c r="I17" s="2"/>
    </row>
    <row r="18" spans="1:9" x14ac:dyDescent="0.2">
      <c r="B18" t="s">
        <v>83</v>
      </c>
      <c r="C18" s="22">
        <f>'8.1'!$E$34</f>
        <v>0.505</v>
      </c>
      <c r="D18" s="52">
        <f>D$14</f>
        <v>0.15</v>
      </c>
      <c r="E18" s="17">
        <f>ROUND(C18*(1+D18),3)</f>
        <v>0.58099999999999996</v>
      </c>
      <c r="F18" s="42"/>
      <c r="G18" s="42"/>
      <c r="H18" s="42"/>
      <c r="I18" s="2"/>
    </row>
    <row r="19" spans="1:9" x14ac:dyDescent="0.2">
      <c r="F19" s="42"/>
      <c r="G19" s="42"/>
      <c r="H19" s="42"/>
      <c r="I19" s="2"/>
    </row>
    <row r="20" spans="1:9" x14ac:dyDescent="0.2">
      <c r="B20" t="s">
        <v>84</v>
      </c>
      <c r="C20" s="19">
        <f>ROUND(AVERAGE(C17:C18),3)</f>
        <v>0.51900000000000002</v>
      </c>
      <c r="D20" s="52">
        <f>D$14</f>
        <v>0.15</v>
      </c>
      <c r="E20" s="17">
        <f>ROUND(C20*(1+D20),3)</f>
        <v>0.59699999999999998</v>
      </c>
      <c r="F20" s="42"/>
      <c r="G20" s="42"/>
      <c r="H20" s="42"/>
      <c r="I20" s="2"/>
    </row>
    <row r="21" spans="1:9" ht="12" thickBot="1" x14ac:dyDescent="0.25">
      <c r="A21" s="6"/>
      <c r="B21" s="6"/>
      <c r="C21" s="6"/>
      <c r="D21" s="6"/>
      <c r="E21" s="6"/>
      <c r="I21" s="2"/>
    </row>
    <row r="22" spans="1:9" ht="12" thickTop="1" x14ac:dyDescent="0.2">
      <c r="I22" s="2"/>
    </row>
    <row r="23" spans="1:9" x14ac:dyDescent="0.2">
      <c r="A23" t="s">
        <v>19</v>
      </c>
      <c r="I23" s="2"/>
    </row>
    <row r="24" spans="1:9" x14ac:dyDescent="0.2">
      <c r="B24" s="21" t="str">
        <f>C12&amp;" "&amp;'6.1'!$J$1&amp;" - "&amp;'8.1'!$J$1&amp;", "&amp;'6.1'!$J$2</f>
        <v>(2) Exhibit 6 - Exhibit 8, Sheet 1</v>
      </c>
      <c r="I24" s="2"/>
    </row>
    <row r="25" spans="1:9" x14ac:dyDescent="0.2">
      <c r="B25" s="21" t="str">
        <f>D12&amp;" "&amp;'4.1'!$J$1&amp;", "&amp;'4.1'!$J$2</f>
        <v>(3) Exhibit 4, Sheet 1</v>
      </c>
      <c r="I25" s="2"/>
    </row>
    <row r="26" spans="1:9" x14ac:dyDescent="0.2">
      <c r="B26" s="12" t="str">
        <f>E12&amp;" = "&amp;C12&amp;" * [1 + "&amp;D12&amp;"]"</f>
        <v>(4) = (2) * [1 + (3)]</v>
      </c>
      <c r="I26" s="2"/>
    </row>
    <row r="27" spans="1:9" x14ac:dyDescent="0.2">
      <c r="B27" s="21"/>
      <c r="I27" s="2"/>
    </row>
    <row r="28" spans="1:9" x14ac:dyDescent="0.2">
      <c r="B28" s="21"/>
      <c r="I28" s="2"/>
    </row>
    <row r="29" spans="1:9" x14ac:dyDescent="0.2">
      <c r="I29" s="2"/>
    </row>
    <row r="30" spans="1:9" x14ac:dyDescent="0.2">
      <c r="I30" s="2"/>
    </row>
    <row r="31" spans="1:9" x14ac:dyDescent="0.2">
      <c r="I31" s="2"/>
    </row>
    <row r="32" spans="1:9" ht="12" thickBot="1" x14ac:dyDescent="0.25">
      <c r="I32" s="2"/>
    </row>
    <row r="33" spans="1:9" ht="12" thickBot="1" x14ac:dyDescent="0.25">
      <c r="A33" s="4"/>
      <c r="B33" s="5"/>
      <c r="C33" s="5"/>
      <c r="D33" s="5"/>
      <c r="E33" s="5"/>
      <c r="F33" s="5"/>
      <c r="G33" s="5"/>
      <c r="H33" s="5"/>
      <c r="I33" s="3"/>
    </row>
  </sheetData>
  <phoneticPr fontId="0" type="noConversion"/>
  <pageMargins left="0.5" right="0.5" top="0.5" bottom="0.5" header="0.5" footer="0.5"/>
  <pageSetup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FEB312-9BA3-493A-B46E-10BD49E524C6}">
  <sheetPr>
    <pageSetUpPr fitToPage="1"/>
  </sheetPr>
  <dimension ref="A1:I42"/>
  <sheetViews>
    <sheetView showGridLines="0" view="pageBreakPreview" zoomScale="85" zoomScaleNormal="100" zoomScaleSheetLayoutView="85" workbookViewId="0">
      <selection activeCell="O45" sqref="O45"/>
    </sheetView>
  </sheetViews>
  <sheetFormatPr defaultRowHeight="11.25" x14ac:dyDescent="0.2"/>
  <cols>
    <col min="1" max="1" width="15" style="11" customWidth="1"/>
    <col min="2" max="2" width="64.6640625" bestFit="1" customWidth="1"/>
    <col min="3" max="3" width="1.83203125" customWidth="1"/>
    <col min="4" max="4" width="53.1640625" bestFit="1" customWidth="1"/>
    <col min="5" max="5" width="2.6640625" customWidth="1"/>
    <col min="6" max="6" width="8.83203125" style="47" bestFit="1" customWidth="1"/>
    <col min="7" max="7" width="1.1640625" customWidth="1"/>
    <col min="8" max="8" width="8.33203125" style="47" bestFit="1" customWidth="1"/>
    <col min="9" max="9" width="15.6640625" style="24" bestFit="1" customWidth="1"/>
  </cols>
  <sheetData>
    <row r="1" spans="1:9" x14ac:dyDescent="0.2">
      <c r="A1" s="441" t="s">
        <v>0</v>
      </c>
    </row>
    <row r="2" spans="1:9" x14ac:dyDescent="0.2">
      <c r="A2" s="441" t="s">
        <v>530</v>
      </c>
    </row>
    <row r="3" spans="1:9" x14ac:dyDescent="0.2">
      <c r="A3" s="441" t="s">
        <v>1</v>
      </c>
    </row>
    <row r="4" spans="1:9" x14ac:dyDescent="0.2">
      <c r="A4" s="244"/>
    </row>
    <row r="5" spans="1:9" x14ac:dyDescent="0.2">
      <c r="A5" s="451" t="s">
        <v>518</v>
      </c>
      <c r="B5" s="451"/>
      <c r="C5" s="451"/>
      <c r="D5" s="451"/>
      <c r="E5" s="451"/>
      <c r="F5" s="451"/>
      <c r="G5" s="451"/>
      <c r="H5" s="451"/>
      <c r="I5" s="442"/>
    </row>
    <row r="6" spans="1:9" x14ac:dyDescent="0.2">
      <c r="A6" s="244"/>
    </row>
    <row r="8" spans="1:9" x14ac:dyDescent="0.2">
      <c r="A8" s="440" t="s">
        <v>523</v>
      </c>
      <c r="B8" s="436" t="s">
        <v>519</v>
      </c>
      <c r="D8" s="436" t="s">
        <v>520</v>
      </c>
      <c r="F8" s="436" t="s">
        <v>521</v>
      </c>
      <c r="G8" s="437"/>
      <c r="H8" s="436" t="s">
        <v>522</v>
      </c>
      <c r="I8" s="437"/>
    </row>
    <row r="9" spans="1:9" x14ac:dyDescent="0.2">
      <c r="A9" s="24">
        <v>1</v>
      </c>
      <c r="B9" t="s">
        <v>2</v>
      </c>
      <c r="D9" t="str">
        <f>'1'!$A$5</f>
        <v>By Method for Projecting Hurricane Loss &amp; LAE</v>
      </c>
      <c r="F9" t="s">
        <v>4</v>
      </c>
      <c r="G9" s="47"/>
      <c r="H9" s="438"/>
      <c r="I9" s="439"/>
    </row>
    <row r="10" spans="1:9" x14ac:dyDescent="0.2">
      <c r="A10" s="24">
        <v>2.1</v>
      </c>
      <c r="B10" t="s">
        <v>20</v>
      </c>
      <c r="D10">
        <f>'2.1'!$A$5</f>
        <v>0</v>
      </c>
      <c r="F10" t="s">
        <v>21</v>
      </c>
      <c r="G10" s="47"/>
      <c r="H10" t="s">
        <v>22</v>
      </c>
      <c r="I10" s="47"/>
    </row>
    <row r="11" spans="1:9" x14ac:dyDescent="0.2">
      <c r="A11" s="24">
        <v>2.2000000000000002</v>
      </c>
      <c r="B11" t="s">
        <v>41</v>
      </c>
      <c r="F11" t="s">
        <v>21</v>
      </c>
      <c r="G11" s="47"/>
      <c r="H11" t="s">
        <v>66</v>
      </c>
      <c r="I11" s="47"/>
    </row>
    <row r="12" spans="1:9" x14ac:dyDescent="0.2">
      <c r="A12" s="24">
        <v>2.2999999999999998</v>
      </c>
      <c r="B12" t="s">
        <v>531</v>
      </c>
      <c r="F12" t="s">
        <v>21</v>
      </c>
      <c r="G12" s="47"/>
      <c r="H12" t="s">
        <v>69</v>
      </c>
      <c r="I12" s="47"/>
    </row>
    <row r="13" spans="1:9" x14ac:dyDescent="0.2">
      <c r="A13" s="24">
        <v>2.4</v>
      </c>
      <c r="B13" s="150" t="s">
        <v>305</v>
      </c>
      <c r="F13" t="s">
        <v>21</v>
      </c>
      <c r="G13" s="47"/>
      <c r="H13" t="s">
        <v>72</v>
      </c>
      <c r="I13" s="47"/>
    </row>
    <row r="14" spans="1:9" x14ac:dyDescent="0.2">
      <c r="A14" s="24">
        <v>3.1</v>
      </c>
      <c r="B14" t="s">
        <v>47</v>
      </c>
      <c r="D14" s="58" t="s">
        <v>239</v>
      </c>
      <c r="F14" t="s">
        <v>48</v>
      </c>
      <c r="G14" s="47"/>
      <c r="H14" s="24" t="s">
        <v>22</v>
      </c>
      <c r="I14" s="47"/>
    </row>
    <row r="15" spans="1:9" x14ac:dyDescent="0.2">
      <c r="A15" s="24" t="s">
        <v>524</v>
      </c>
      <c r="B15" t="s">
        <v>265</v>
      </c>
      <c r="D15" t="str">
        <f>'3.2 premium trend'!$A$5</f>
        <v>TWIA Commercial Earned Premium at Present Rates</v>
      </c>
      <c r="F15" t="s">
        <v>48</v>
      </c>
      <c r="G15" s="47"/>
      <c r="H15" s="24" t="s">
        <v>22</v>
      </c>
      <c r="I15" s="47"/>
    </row>
    <row r="16" spans="1:9" x14ac:dyDescent="0.2">
      <c r="A16" s="24" t="s">
        <v>525</v>
      </c>
      <c r="B16" t="s">
        <v>272</v>
      </c>
      <c r="D16" t="str">
        <f>'3.3a'!$A$5</f>
        <v>Summary of Indices and Calculation of Prospective Loss Costs</v>
      </c>
      <c r="F16" t="s">
        <v>48</v>
      </c>
      <c r="G16" s="47"/>
      <c r="H16" t="s">
        <v>271</v>
      </c>
      <c r="I16" s="47"/>
    </row>
    <row r="17" spans="1:9" x14ac:dyDescent="0.2">
      <c r="A17" s="24" t="s">
        <v>526</v>
      </c>
      <c r="B17" t="s">
        <v>272</v>
      </c>
      <c r="D17" t="str">
        <f>'3.3b'!$A$5</f>
        <v>Boeckh Commercial Construction Index Trend (Statewide)</v>
      </c>
      <c r="F17" t="s">
        <v>48</v>
      </c>
      <c r="G17" s="47"/>
      <c r="H17" t="s">
        <v>286</v>
      </c>
      <c r="I17" s="47"/>
    </row>
    <row r="18" spans="1:9" x14ac:dyDescent="0.2">
      <c r="A18" s="24" t="s">
        <v>527</v>
      </c>
      <c r="B18" t="s">
        <v>272</v>
      </c>
      <c r="D18" t="str">
        <f>'3.3c'!$A$5</f>
        <v>Boeckh Commercial Construction Index Trend (Coastal)</v>
      </c>
      <c r="F18" t="s">
        <v>48</v>
      </c>
      <c r="G18" s="47"/>
      <c r="H18" t="s">
        <v>298</v>
      </c>
      <c r="I18" s="47"/>
    </row>
    <row r="19" spans="1:9" x14ac:dyDescent="0.2">
      <c r="A19" s="24" t="s">
        <v>528</v>
      </c>
      <c r="B19" t="s">
        <v>272</v>
      </c>
      <c r="D19" t="str">
        <f>'3.3d'!$A$5</f>
        <v>Modified Consumer Price Index - External Trend</v>
      </c>
      <c r="F19" t="s">
        <v>48</v>
      </c>
      <c r="G19" s="47"/>
      <c r="H19" t="s">
        <v>299</v>
      </c>
      <c r="I19" s="47"/>
    </row>
    <row r="20" spans="1:9" x14ac:dyDescent="0.2">
      <c r="A20" s="24">
        <v>4.0999999999999996</v>
      </c>
      <c r="B20" t="s">
        <v>57</v>
      </c>
      <c r="D20" s="438"/>
      <c r="F20" t="s">
        <v>56</v>
      </c>
      <c r="G20" s="47"/>
      <c r="H20" t="s">
        <v>22</v>
      </c>
      <c r="I20" s="47"/>
    </row>
    <row r="21" spans="1:9" x14ac:dyDescent="0.2">
      <c r="A21" s="24">
        <v>4.2</v>
      </c>
      <c r="B21" t="s">
        <v>67</v>
      </c>
      <c r="D21" s="438"/>
      <c r="F21" t="s">
        <v>56</v>
      </c>
      <c r="G21" s="47"/>
      <c r="H21" t="s">
        <v>66</v>
      </c>
      <c r="I21" s="47"/>
    </row>
    <row r="22" spans="1:9" x14ac:dyDescent="0.2">
      <c r="A22" s="24">
        <v>4.3</v>
      </c>
      <c r="B22" t="s">
        <v>70</v>
      </c>
      <c r="D22" t="s">
        <v>71</v>
      </c>
      <c r="F22" t="s">
        <v>56</v>
      </c>
      <c r="G22" s="47"/>
      <c r="H22" t="s">
        <v>69</v>
      </c>
      <c r="I22" s="47"/>
    </row>
    <row r="23" spans="1:9" x14ac:dyDescent="0.2">
      <c r="A23" s="24">
        <v>4.4000000000000004</v>
      </c>
      <c r="B23" t="s">
        <v>255</v>
      </c>
      <c r="D23" s="438"/>
      <c r="F23" t="s">
        <v>56</v>
      </c>
      <c r="G23" s="47"/>
      <c r="H23" t="s">
        <v>72</v>
      </c>
      <c r="I23" s="47"/>
    </row>
    <row r="24" spans="1:9" x14ac:dyDescent="0.2">
      <c r="A24" s="24">
        <v>4.5</v>
      </c>
      <c r="B24" t="s">
        <v>75</v>
      </c>
      <c r="D24" t="s">
        <v>483</v>
      </c>
      <c r="F24" t="s">
        <v>56</v>
      </c>
      <c r="G24" s="47"/>
      <c r="H24" t="s">
        <v>74</v>
      </c>
      <c r="I24" s="47"/>
    </row>
    <row r="25" spans="1:9" x14ac:dyDescent="0.2">
      <c r="A25" s="24">
        <v>5</v>
      </c>
      <c r="B25" t="s">
        <v>78</v>
      </c>
      <c r="D25" s="438"/>
      <c r="F25" t="s">
        <v>79</v>
      </c>
      <c r="G25" s="47"/>
      <c r="H25" s="438"/>
      <c r="I25" s="439"/>
    </row>
    <row r="26" spans="1:9" x14ac:dyDescent="0.2">
      <c r="A26" s="24">
        <v>6.1</v>
      </c>
      <c r="B26" t="s">
        <v>231</v>
      </c>
      <c r="D26" t="str">
        <f>+'6.1'!A5</f>
        <v>1966 - 2018 -- Hurricane Years Only</v>
      </c>
      <c r="F26" t="s">
        <v>85</v>
      </c>
      <c r="G26" s="47"/>
      <c r="H26" t="s">
        <v>22</v>
      </c>
      <c r="I26" s="47"/>
    </row>
    <row r="27" spans="1:9" x14ac:dyDescent="0.2">
      <c r="A27" s="24" t="s">
        <v>529</v>
      </c>
      <c r="B27" t="s">
        <v>231</v>
      </c>
      <c r="D27" t="str">
        <f>+'[1]6.2'!A5</f>
        <v>1966 - 2018</v>
      </c>
      <c r="F27" t="s">
        <v>85</v>
      </c>
      <c r="G27" s="47"/>
      <c r="H27" t="s">
        <v>66</v>
      </c>
      <c r="I27" s="47"/>
    </row>
    <row r="28" spans="1:9" x14ac:dyDescent="0.2">
      <c r="A28" s="24">
        <v>6.3</v>
      </c>
      <c r="B28" t="s">
        <v>231</v>
      </c>
      <c r="F28" t="s">
        <v>85</v>
      </c>
      <c r="G28" s="47"/>
      <c r="H28" t="s">
        <v>69</v>
      </c>
      <c r="I28" s="47"/>
    </row>
    <row r="29" spans="1:9" x14ac:dyDescent="0.2">
      <c r="A29" s="24">
        <v>6.4</v>
      </c>
      <c r="B29" t="s">
        <v>231</v>
      </c>
      <c r="D29" t="str">
        <f>+'6.4'!A5</f>
        <v>Tier 1 -- Territory 8 (Galveston County)</v>
      </c>
      <c r="F29" t="s">
        <v>85</v>
      </c>
      <c r="G29" s="47"/>
      <c r="H29" t="s">
        <v>72</v>
      </c>
      <c r="I29" s="47"/>
    </row>
    <row r="30" spans="1:9" x14ac:dyDescent="0.2">
      <c r="A30" s="24">
        <v>6.5</v>
      </c>
      <c r="B30" t="s">
        <v>231</v>
      </c>
      <c r="D30" t="str">
        <f>+'6.5'!A5</f>
        <v>Tier 1 -- Territory 9 (Nueces County)</v>
      </c>
      <c r="F30" t="s">
        <v>85</v>
      </c>
      <c r="G30" s="47"/>
      <c r="H30" t="s">
        <v>74</v>
      </c>
      <c r="I30" s="47"/>
    </row>
    <row r="31" spans="1:9" x14ac:dyDescent="0.2">
      <c r="A31" s="24">
        <v>6.6</v>
      </c>
      <c r="B31" t="s">
        <v>231</v>
      </c>
      <c r="D31" t="str">
        <f>+'6.6'!A5</f>
        <v>Tier 1 -- Territory 10 (Other Tier 1)</v>
      </c>
      <c r="F31" t="s">
        <v>85</v>
      </c>
      <c r="G31" s="47"/>
      <c r="H31" t="s">
        <v>110</v>
      </c>
      <c r="I31" s="47"/>
    </row>
    <row r="32" spans="1:9" x14ac:dyDescent="0.2">
      <c r="A32" s="24">
        <v>6.7</v>
      </c>
      <c r="B32" t="s">
        <v>231</v>
      </c>
      <c r="D32" t="str">
        <f>+'6.7'!A5</f>
        <v>Tier 2 (Territories 1 and 11)</v>
      </c>
      <c r="F32" t="s">
        <v>85</v>
      </c>
      <c r="G32" s="47"/>
      <c r="H32" t="s">
        <v>111</v>
      </c>
      <c r="I32" s="47"/>
    </row>
    <row r="33" spans="1:9" x14ac:dyDescent="0.2">
      <c r="A33" s="24">
        <v>7.1</v>
      </c>
      <c r="B33" t="s">
        <v>141</v>
      </c>
      <c r="F33" t="s">
        <v>368</v>
      </c>
      <c r="G33" s="47"/>
      <c r="H33" t="s">
        <v>22</v>
      </c>
      <c r="I33" s="47"/>
    </row>
    <row r="34" spans="1:9" x14ac:dyDescent="0.2">
      <c r="A34" s="24">
        <v>7.2</v>
      </c>
      <c r="B34" t="s">
        <v>142</v>
      </c>
      <c r="F34" t="s">
        <v>368</v>
      </c>
      <c r="G34" s="47"/>
      <c r="H34" t="s">
        <v>66</v>
      </c>
      <c r="I34" s="47"/>
    </row>
    <row r="35" spans="1:9" x14ac:dyDescent="0.2">
      <c r="A35" s="24">
        <v>8.1</v>
      </c>
      <c r="B35" t="s">
        <v>144</v>
      </c>
      <c r="F35" t="s">
        <v>140</v>
      </c>
      <c r="G35" s="47"/>
      <c r="H35" t="s">
        <v>22</v>
      </c>
      <c r="I35" s="47"/>
    </row>
    <row r="36" spans="1:9" x14ac:dyDescent="0.2">
      <c r="A36" s="24">
        <v>8.1999999999999993</v>
      </c>
      <c r="B36" t="s">
        <v>145</v>
      </c>
      <c r="F36" t="s">
        <v>140</v>
      </c>
      <c r="G36" s="47"/>
      <c r="H36" t="s">
        <v>66</v>
      </c>
      <c r="I36" s="47"/>
    </row>
    <row r="37" spans="1:9" x14ac:dyDescent="0.2">
      <c r="A37" s="24">
        <v>9</v>
      </c>
      <c r="B37" t="s">
        <v>532</v>
      </c>
      <c r="F37" t="s">
        <v>143</v>
      </c>
      <c r="G37" s="47"/>
      <c r="H37" s="438"/>
      <c r="I37" s="439"/>
    </row>
    <row r="38" spans="1:9" x14ac:dyDescent="0.2">
      <c r="A38" s="24">
        <v>10.1</v>
      </c>
      <c r="B38" t="s">
        <v>533</v>
      </c>
      <c r="D38" t="str">
        <f>+'[1]10.1a'!A5</f>
        <v>Tier 1 -- Territory 8 (Galveston County)</v>
      </c>
      <c r="F38" t="s">
        <v>146</v>
      </c>
      <c r="G38" s="47"/>
      <c r="H38" t="s">
        <v>22</v>
      </c>
      <c r="I38" s="47"/>
    </row>
    <row r="39" spans="1:9" x14ac:dyDescent="0.2">
      <c r="A39" s="24">
        <v>10.199999999999999</v>
      </c>
      <c r="B39" t="s">
        <v>218</v>
      </c>
      <c r="F39" t="s">
        <v>146</v>
      </c>
      <c r="G39" s="47"/>
      <c r="H39" t="s">
        <v>66</v>
      </c>
      <c r="I39" s="47"/>
    </row>
    <row r="40" spans="1:9" x14ac:dyDescent="0.2">
      <c r="A40" s="24">
        <v>11.1</v>
      </c>
      <c r="B40" t="s">
        <v>467</v>
      </c>
      <c r="F40" t="s">
        <v>164</v>
      </c>
      <c r="G40" s="47"/>
      <c r="H40" t="s">
        <v>22</v>
      </c>
      <c r="I40" s="47"/>
    </row>
    <row r="41" spans="1:9" x14ac:dyDescent="0.2">
      <c r="A41" s="24">
        <v>11.2</v>
      </c>
      <c r="B41" t="s">
        <v>385</v>
      </c>
      <c r="D41" t="str">
        <f>+'11.2'!A5</f>
        <v>Using Average of AIR and  RMS Hurricane Models</v>
      </c>
      <c r="F41" t="s">
        <v>164</v>
      </c>
      <c r="G41" s="47"/>
      <c r="H41" t="s">
        <v>66</v>
      </c>
      <c r="I41" s="47"/>
    </row>
    <row r="42" spans="1:9" x14ac:dyDescent="0.2">
      <c r="A42" s="24">
        <v>12</v>
      </c>
      <c r="B42" t="s">
        <v>184</v>
      </c>
      <c r="F42" t="s">
        <v>165</v>
      </c>
      <c r="G42" s="47"/>
      <c r="H42" s="438"/>
      <c r="I42" s="439"/>
    </row>
  </sheetData>
  <mergeCells count="1">
    <mergeCell ref="A5:H5"/>
  </mergeCells>
  <pageMargins left="0.7" right="0.7" top="0.75" bottom="0.75" header="0.3" footer="0.3"/>
  <pageSetup scale="67" orientation="portrait" horizontalDpi="4294967295" verticalDpi="4294967295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4"/>
  <dimension ref="A1:N56"/>
  <sheetViews>
    <sheetView showGridLines="0" view="pageBreakPreview" zoomScale="60" zoomScaleNormal="100" workbookViewId="0">
      <selection activeCell="K37" sqref="K37"/>
    </sheetView>
  </sheetViews>
  <sheetFormatPr defaultColWidth="11.33203125" defaultRowHeight="11.25" x14ac:dyDescent="0.2"/>
  <cols>
    <col min="1" max="1" width="6.33203125" bestFit="1" customWidth="1"/>
    <col min="2" max="2" width="11.33203125" customWidth="1"/>
    <col min="3" max="5" width="15.33203125" customWidth="1"/>
    <col min="6" max="9" width="11.33203125" customWidth="1"/>
    <col min="10" max="10" width="12.33203125" customWidth="1"/>
  </cols>
  <sheetData>
    <row r="1" spans="1:14" x14ac:dyDescent="0.2">
      <c r="A1" s="8" t="str">
        <f>'1'!$A$1</f>
        <v>Texas Windstorm Insurance Association</v>
      </c>
      <c r="B1" s="12"/>
      <c r="J1" s="7" t="s">
        <v>85</v>
      </c>
      <c r="K1" s="1"/>
    </row>
    <row r="2" spans="1:14" x14ac:dyDescent="0.2">
      <c r="A2" s="8" t="str">
        <f>'1'!$A$2</f>
        <v>Commercial Property - Wind &amp; Hail</v>
      </c>
      <c r="B2" s="12"/>
      <c r="J2" s="7" t="s">
        <v>22</v>
      </c>
      <c r="K2" s="2"/>
    </row>
    <row r="3" spans="1:14" x14ac:dyDescent="0.2">
      <c r="A3" s="8" t="str">
        <f>'1'!$A$3</f>
        <v>Rate Level Review</v>
      </c>
      <c r="B3" s="12"/>
      <c r="K3" s="2"/>
    </row>
    <row r="4" spans="1:14" x14ac:dyDescent="0.2">
      <c r="A4" t="s">
        <v>231</v>
      </c>
      <c r="B4" s="12"/>
      <c r="E4" s="47"/>
      <c r="F4" s="47"/>
      <c r="K4" s="2"/>
      <c r="L4" s="11" t="s">
        <v>87</v>
      </c>
      <c r="M4" s="11" t="s">
        <v>88</v>
      </c>
      <c r="N4" s="11" t="s">
        <v>92</v>
      </c>
    </row>
    <row r="5" spans="1:14" x14ac:dyDescent="0.2">
      <c r="A5" s="58" t="str">
        <f>YEAR($L$5)&amp;" - "&amp;YEAR($M$5)&amp;" -- Hurricane Years Only"</f>
        <v>1966 - 2018 -- Hurricane Years Only</v>
      </c>
      <c r="B5" s="21"/>
      <c r="C5" s="58"/>
      <c r="D5" s="58"/>
      <c r="E5" s="42"/>
      <c r="F5" s="47"/>
      <c r="K5" s="2"/>
      <c r="L5" s="103">
        <v>24108</v>
      </c>
      <c r="M5" s="103">
        <v>43465</v>
      </c>
      <c r="N5" s="86">
        <f>ROUND(YEAR(M5)-YEAR(L5)+(MONTH(M5)-MONTH(L5)+1)/12,1)</f>
        <v>53</v>
      </c>
    </row>
    <row r="6" spans="1:14" x14ac:dyDescent="0.2">
      <c r="E6" s="47"/>
      <c r="F6" s="47"/>
      <c r="K6" s="2"/>
    </row>
    <row r="7" spans="1:14" ht="12" thickBot="1" x14ac:dyDescent="0.25">
      <c r="A7" s="6"/>
      <c r="B7" s="6"/>
      <c r="C7" s="6"/>
      <c r="D7" s="6"/>
      <c r="E7" s="6"/>
      <c r="F7" s="47"/>
      <c r="G7" s="47"/>
      <c r="H7" s="47"/>
      <c r="I7" s="47"/>
      <c r="K7" s="2"/>
    </row>
    <row r="8" spans="1:14" ht="12" thickTop="1" x14ac:dyDescent="0.2">
      <c r="E8" s="42"/>
      <c r="F8" s="42"/>
      <c r="K8" s="2"/>
    </row>
    <row r="9" spans="1:14" x14ac:dyDescent="0.2">
      <c r="C9" s="21" t="s">
        <v>38</v>
      </c>
      <c r="F9" s="42"/>
      <c r="K9" s="2"/>
      <c r="L9" s="26"/>
    </row>
    <row r="10" spans="1:14" x14ac:dyDescent="0.2">
      <c r="A10" t="s">
        <v>42</v>
      </c>
      <c r="C10" t="s">
        <v>36</v>
      </c>
      <c r="E10" t="s">
        <v>68</v>
      </c>
      <c r="F10" s="42"/>
      <c r="K10" s="2"/>
    </row>
    <row r="11" spans="1:14" x14ac:dyDescent="0.2">
      <c r="A11" s="9" t="s">
        <v>43</v>
      </c>
      <c r="B11" s="9"/>
      <c r="C11" s="9" t="s">
        <v>37</v>
      </c>
      <c r="D11" s="9"/>
      <c r="E11" s="9" t="s">
        <v>59</v>
      </c>
      <c r="F11" s="42"/>
      <c r="K11" s="2"/>
    </row>
    <row r="12" spans="1:14" x14ac:dyDescent="0.2">
      <c r="A12" s="13" t="str">
        <f>TEXT(COLUMN(),"(#)")</f>
        <v>(1)</v>
      </c>
      <c r="B12" s="13"/>
      <c r="C12" s="11" t="str">
        <f>TEXT(COLUMN()-1,"(#)")</f>
        <v>(2)</v>
      </c>
      <c r="D12" s="11"/>
      <c r="E12" s="11" t="str">
        <f>TEXT(COLUMN()-2,"(#)")</f>
        <v>(3)</v>
      </c>
      <c r="F12" s="43"/>
      <c r="K12" s="2"/>
    </row>
    <row r="13" spans="1:14" x14ac:dyDescent="0.2">
      <c r="F13" s="42"/>
      <c r="K13" s="2"/>
    </row>
    <row r="14" spans="1:14" x14ac:dyDescent="0.2">
      <c r="A14" s="92">
        <v>1970</v>
      </c>
      <c r="B14" s="54"/>
      <c r="C14" s="29">
        <f>VLOOKUP($A14,'6.2 - industry'!$A$12:$G$62,5,0)</f>
        <v>58356336</v>
      </c>
      <c r="D14" s="29"/>
      <c r="E14" s="59">
        <f>VLOOKUP($A14,'6.2 - industry'!$A$12:$G$62,7,0)</f>
        <v>0.39600000000000002</v>
      </c>
      <c r="F14" s="60"/>
      <c r="K14" s="2"/>
    </row>
    <row r="15" spans="1:14" x14ac:dyDescent="0.2">
      <c r="A15" s="92">
        <v>1971</v>
      </c>
      <c r="B15" s="54"/>
      <c r="C15" s="29">
        <f>VLOOKUP($A15,'6.2 - industry'!$A$12:$G$62,5,0)</f>
        <v>63040303</v>
      </c>
      <c r="D15" s="29"/>
      <c r="E15" s="59">
        <f>VLOOKUP($A15,'6.2 - industry'!$A$12:$G$62,7,0)</f>
        <v>0.88700000000000001</v>
      </c>
      <c r="F15" s="60"/>
      <c r="K15" s="2"/>
    </row>
    <row r="16" spans="1:14" x14ac:dyDescent="0.2">
      <c r="A16" s="92">
        <v>1980</v>
      </c>
      <c r="B16" s="54"/>
      <c r="C16" s="29">
        <f>VLOOKUP($A16,'6.2 - industry'!$A$12:$G$62,5,0)</f>
        <v>70042582</v>
      </c>
      <c r="D16" s="29"/>
      <c r="E16" s="59">
        <f>VLOOKUP($A16,'6.2 - industry'!$A$12:$G$62,7,0)</f>
        <v>0.54900000000000004</v>
      </c>
      <c r="F16" s="60"/>
      <c r="K16" s="2"/>
    </row>
    <row r="17" spans="1:11" x14ac:dyDescent="0.2">
      <c r="A17" s="92">
        <v>1983</v>
      </c>
      <c r="B17" s="54"/>
      <c r="C17" s="29">
        <f>VLOOKUP($A17,'6.2 - industry'!$A$12:$G$62,5,0)</f>
        <v>41090972</v>
      </c>
      <c r="D17" s="29"/>
      <c r="E17" s="59">
        <f>VLOOKUP($A17,'6.2 - industry'!$A$12:$G$62,7,0)</f>
        <v>3.4329999999999998</v>
      </c>
      <c r="F17" s="60"/>
      <c r="K17" s="2"/>
    </row>
    <row r="18" spans="1:11" x14ac:dyDescent="0.2">
      <c r="A18" s="92">
        <v>1986</v>
      </c>
      <c r="B18" s="54"/>
      <c r="C18" s="29">
        <f>VLOOKUP($A18,'6.2 - industry'!$A$12:$G$62,5,0)</f>
        <v>52951602</v>
      </c>
      <c r="D18" s="29"/>
      <c r="E18" s="59">
        <f>VLOOKUP($A18,'6.2 - industry'!$A$12:$G$62,7,0)</f>
        <v>7.8E-2</v>
      </c>
      <c r="F18" s="60"/>
      <c r="K18" s="2"/>
    </row>
    <row r="19" spans="1:11" x14ac:dyDescent="0.2">
      <c r="A19" s="92">
        <v>1989</v>
      </c>
      <c r="C19" s="29">
        <f>VLOOKUP($A19,'6.2 - industry'!$A$12:$G$62,5,0)</f>
        <v>83916652</v>
      </c>
      <c r="E19" s="59">
        <f>VLOOKUP($A19,'6.2 - industry'!$A$12:$G$62,7,0)</f>
        <v>6.0999999999999999E-2</v>
      </c>
      <c r="F19" s="47"/>
      <c r="K19" s="2"/>
    </row>
    <row r="20" spans="1:11" x14ac:dyDescent="0.2">
      <c r="A20" s="92">
        <v>1990</v>
      </c>
      <c r="B20" s="54"/>
      <c r="C20" s="29">
        <f>VLOOKUP($A20,'6.2 - industry'!$A$12:$G$62,5,0)</f>
        <v>71387141</v>
      </c>
      <c r="D20" s="29"/>
      <c r="E20" s="59">
        <f>VLOOKUP($A20,'6.2 - industry'!$A$12:$G$62,7,0)</f>
        <v>0.91200000000000003</v>
      </c>
      <c r="F20" s="60"/>
      <c r="K20" s="2"/>
    </row>
    <row r="21" spans="1:11" x14ac:dyDescent="0.2">
      <c r="A21" s="317">
        <v>1999</v>
      </c>
      <c r="B21" s="54"/>
      <c r="C21" s="29">
        <f>VLOOKUP($A21,'6.2 - industry'!$A$12:$G$62,5,0)</f>
        <v>167478165.794</v>
      </c>
      <c r="D21" s="29"/>
      <c r="E21" s="59">
        <f>VLOOKUP($A21,'6.2 - industry'!$A$12:$G$62,7,0)</f>
        <v>8.5000000000000006E-2</v>
      </c>
      <c r="F21" s="47"/>
      <c r="K21" s="2"/>
    </row>
    <row r="22" spans="1:11" x14ac:dyDescent="0.2">
      <c r="A22" s="317">
        <v>2003</v>
      </c>
      <c r="B22" s="54"/>
      <c r="C22" s="29">
        <f>VLOOKUP($A22,'6.2 - industry'!$A$12:$G$62,5,0)</f>
        <v>200309386.796</v>
      </c>
      <c r="D22" s="29"/>
      <c r="E22" s="59">
        <f>VLOOKUP($A22,'6.2 - industry'!$A$12:$G$62,7,0)</f>
        <v>0.22600000000000001</v>
      </c>
      <c r="F22" s="60"/>
      <c r="K22" s="2"/>
    </row>
    <row r="23" spans="1:11" x14ac:dyDescent="0.2">
      <c r="A23" s="317">
        <v>2005</v>
      </c>
      <c r="B23" s="54"/>
      <c r="C23" s="29">
        <f>VLOOKUP($A23,'6.2 - industry'!$A$12:$G$62,5,0)</f>
        <v>252973057.84799999</v>
      </c>
      <c r="D23" s="29"/>
      <c r="E23" s="59">
        <f>VLOOKUP($A23,'6.2 - industry'!$A$12:$G$62,7,0)</f>
        <v>1.7709999999999999</v>
      </c>
      <c r="F23" s="47"/>
      <c r="K23" s="2"/>
    </row>
    <row r="24" spans="1:11" x14ac:dyDescent="0.2">
      <c r="A24" s="317">
        <v>2007</v>
      </c>
      <c r="C24" s="29">
        <f>VLOOKUP($A24,'6.2 - industry'!$A$12:$G$62,5,0)</f>
        <v>330332937.61400002</v>
      </c>
      <c r="D24" s="29"/>
      <c r="E24" s="59">
        <f>VLOOKUP($A24,'6.2 - industry'!$A$12:$G$62,7,0)</f>
        <v>0.155</v>
      </c>
      <c r="F24" s="42"/>
      <c r="K24" s="2"/>
    </row>
    <row r="25" spans="1:11" x14ac:dyDescent="0.2">
      <c r="A25" s="317">
        <v>2008</v>
      </c>
      <c r="C25" s="29">
        <f>VLOOKUP($A25,'6.2 - industry'!$A$12:$G$62,5,0)</f>
        <v>297781052.25599998</v>
      </c>
      <c r="D25" s="29"/>
      <c r="E25" s="61">
        <f>VLOOKUP($A25,'6.2 - industry'!$A$12:$G$62,7,0)</f>
        <v>4.6479999999999997</v>
      </c>
      <c r="F25" s="42"/>
      <c r="K25" s="2"/>
    </row>
    <row r="26" spans="1:11" x14ac:dyDescent="0.2">
      <c r="A26" s="317">
        <v>2017</v>
      </c>
      <c r="B26" s="102"/>
      <c r="C26" s="180">
        <f>VLOOKUP($A26,'6.2 - industry'!$A$12:$G$62,5,0)</f>
        <v>197292528.55000001</v>
      </c>
      <c r="D26" s="180"/>
      <c r="E26" s="61">
        <f>VLOOKUP($A26,'6.2 - industry'!$A$12:$G$62,7,0)</f>
        <v>4.6470000000000002</v>
      </c>
      <c r="F26" s="42"/>
      <c r="K26" s="2"/>
    </row>
    <row r="27" spans="1:11" x14ac:dyDescent="0.2">
      <c r="A27" s="377"/>
      <c r="B27" s="9"/>
      <c r="C27" s="30"/>
      <c r="D27" s="9"/>
      <c r="E27" s="66"/>
      <c r="F27" s="61"/>
      <c r="K27" s="2"/>
    </row>
    <row r="28" spans="1:11" x14ac:dyDescent="0.2">
      <c r="K28" s="2"/>
    </row>
    <row r="29" spans="1:11" x14ac:dyDescent="0.2">
      <c r="K29" s="2"/>
    </row>
    <row r="30" spans="1:11" x14ac:dyDescent="0.2">
      <c r="A30" s="63" t="s">
        <v>113</v>
      </c>
      <c r="B30" s="57" t="s">
        <v>89</v>
      </c>
      <c r="C30" s="36"/>
      <c r="D30" s="36"/>
      <c r="E30" s="59">
        <f>ROUND(AVERAGE(E14:E26),3)</f>
        <v>1.373</v>
      </c>
      <c r="F30" s="44"/>
      <c r="K30" s="2"/>
    </row>
    <row r="31" spans="1:11" x14ac:dyDescent="0.2">
      <c r="C31" s="36"/>
      <c r="D31" s="36"/>
      <c r="E31" s="44"/>
      <c r="F31" s="44"/>
      <c r="K31" s="2"/>
    </row>
    <row r="32" spans="1:11" x14ac:dyDescent="0.2">
      <c r="A32" s="63" t="s">
        <v>93</v>
      </c>
      <c r="B32" t="s">
        <v>98</v>
      </c>
      <c r="C32" s="36"/>
      <c r="D32" s="36"/>
      <c r="E32" s="59">
        <f>'6.2 - industry'!$G$66</f>
        <v>7.2999999999999995E-2</v>
      </c>
      <c r="F32" s="42"/>
      <c r="K32" s="2"/>
    </row>
    <row r="33" spans="1:12" x14ac:dyDescent="0.2">
      <c r="E33" s="42"/>
      <c r="F33" s="42"/>
      <c r="K33" s="2"/>
    </row>
    <row r="34" spans="1:12" x14ac:dyDescent="0.2">
      <c r="A34" s="63" t="s">
        <v>97</v>
      </c>
      <c r="B34" t="s">
        <v>90</v>
      </c>
      <c r="E34" s="62">
        <f>E30-E32</f>
        <v>1.3</v>
      </c>
      <c r="F34" s="42"/>
      <c r="K34" s="2"/>
    </row>
    <row r="35" spans="1:12" x14ac:dyDescent="0.2">
      <c r="E35" s="42"/>
      <c r="F35" s="42"/>
      <c r="K35" s="2"/>
    </row>
    <row r="36" spans="1:12" x14ac:dyDescent="0.2">
      <c r="A36" s="63" t="s">
        <v>96</v>
      </c>
      <c r="B36" t="s">
        <v>320</v>
      </c>
      <c r="E36" s="42"/>
      <c r="K36" s="2"/>
      <c r="L36" s="106"/>
    </row>
    <row r="37" spans="1:12" x14ac:dyDescent="0.2">
      <c r="B37" t="str">
        <f>"(a) "&amp;'9'!A50&amp;" ("&amp;'9'!C50&amp;")"</f>
        <v>(a) 53.0-Year (1/1/1966 - 12/31/2018)</v>
      </c>
      <c r="E37" s="79">
        <f>'9'!G50</f>
        <v>0.28299999999999997</v>
      </c>
      <c r="F37" s="42" t="str">
        <f>"(1 Hurricane Every "&amp;TEXT(1/E37,"0.0")&amp;" years)"</f>
        <v>(1 Hurricane Every 3.5 years)</v>
      </c>
      <c r="K37" s="2"/>
    </row>
    <row r="38" spans="1:12" x14ac:dyDescent="0.2">
      <c r="B38" t="str">
        <f>"(b) "&amp;'9'!A51&amp;" ("&amp;'9'!C51&amp;")"</f>
        <v>(b) 168-Year (1/1/1851 - 12/31/2018)</v>
      </c>
      <c r="E38" s="79">
        <f>'9'!G51</f>
        <v>0.38100000000000001</v>
      </c>
      <c r="F38" s="42" t="str">
        <f>"(1 Hurricane Every "&amp;TEXT(1/E38,"0.0")&amp;" years)"</f>
        <v>(1 Hurricane Every 2.6 years)</v>
      </c>
      <c r="K38" s="2"/>
    </row>
    <row r="39" spans="1:12" x14ac:dyDescent="0.2">
      <c r="E39" s="42"/>
      <c r="F39" s="42"/>
      <c r="K39" s="2"/>
    </row>
    <row r="40" spans="1:12" x14ac:dyDescent="0.2">
      <c r="A40" s="63"/>
      <c r="B40" t="s">
        <v>319</v>
      </c>
      <c r="E40" s="175">
        <f>ROUND(E38,3)</f>
        <v>0.38100000000000001</v>
      </c>
      <c r="F40" s="42" t="str">
        <f>"(1 Hurricane Every "&amp;TEXT(1/E40,"0.0")&amp;" years)"</f>
        <v>(1 Hurricane Every 2.6 years)</v>
      </c>
      <c r="K40" s="2"/>
    </row>
    <row r="41" spans="1:12" x14ac:dyDescent="0.2">
      <c r="E41" s="42"/>
      <c r="F41" s="42"/>
      <c r="K41" s="2"/>
    </row>
    <row r="42" spans="1:12" x14ac:dyDescent="0.2">
      <c r="A42" s="63" t="s">
        <v>95</v>
      </c>
      <c r="B42" t="s">
        <v>121</v>
      </c>
      <c r="E42" s="62">
        <f>ROUND(E40*E34,3)</f>
        <v>0.495</v>
      </c>
      <c r="F42" s="42"/>
      <c r="K42" s="2"/>
    </row>
    <row r="43" spans="1:12" ht="12" thickBot="1" x14ac:dyDescent="0.25">
      <c r="A43" s="6"/>
      <c r="B43" s="6"/>
      <c r="C43" s="6"/>
      <c r="D43" s="6"/>
      <c r="E43" s="6"/>
      <c r="F43" s="47"/>
      <c r="K43" s="2"/>
    </row>
    <row r="44" spans="1:12" ht="12" thickTop="1" x14ac:dyDescent="0.2">
      <c r="E44" s="47"/>
      <c r="F44" s="47"/>
      <c r="K44" s="2"/>
    </row>
    <row r="45" spans="1:12" x14ac:dyDescent="0.2">
      <c r="A45" t="s">
        <v>19</v>
      </c>
      <c r="E45" s="56"/>
      <c r="F45" s="47"/>
      <c r="K45" s="2"/>
    </row>
    <row r="46" spans="1:12" x14ac:dyDescent="0.2">
      <c r="B46" s="21" t="str">
        <f>C12&amp;" "&amp;'6.2 - industry'!$J$1&amp;", "&amp;'6.2 - industry'!$J$2&amp;".  1999 year ending "&amp;TEXT('6.2 - industry'!$L$40,"m/d/""99""")&amp;"; all other accident years ending "&amp;TEXT('6.2 - industry'!$L$39,"m/d/xx")</f>
        <v>(2) Exhibit 6, Sheet 2.  1999 year ending 12/31/99; all other accident years ending 9/30/xx</v>
      </c>
      <c r="E46" s="47"/>
      <c r="F46" s="47"/>
      <c r="K46" s="2"/>
    </row>
    <row r="47" spans="1:12" x14ac:dyDescent="0.2">
      <c r="B47" s="21" t="str">
        <f>E12&amp;" "&amp;'6.2 - industry'!$J$1&amp;", "&amp;'6.2 - industry'!$J$2&amp;".  1999 year ending "&amp;TEXT('6.2 - industry'!$L$40,"m/d/""99""")&amp;"; all other accident years ending "&amp;TEXT('6.2 - industry'!$L$39,"m/d/xx")</f>
        <v>(3) Exhibit 6, Sheet 2.  1999 year ending 12/31/99; all other accident years ending 9/30/xx</v>
      </c>
      <c r="E47" s="47"/>
      <c r="F47" s="47"/>
      <c r="K47" s="2"/>
    </row>
    <row r="48" spans="1:12" x14ac:dyDescent="0.2">
      <c r="B48" s="21" t="str">
        <f>A30&amp;" = Average of "&amp;E12</f>
        <v>(4) = Average of (3)</v>
      </c>
      <c r="E48" s="47"/>
      <c r="F48" s="47"/>
      <c r="K48" s="2"/>
    </row>
    <row r="49" spans="1:11" x14ac:dyDescent="0.2">
      <c r="B49" s="21" t="str">
        <f>A32&amp;" "&amp;'6.2 - industry'!$J$1&amp;", "&amp;'6.2 - industry'!$J$2</f>
        <v>(5) Exhibit 6, Sheet 2</v>
      </c>
      <c r="E49" s="47"/>
      <c r="F49" s="47"/>
      <c r="K49" s="2"/>
    </row>
    <row r="50" spans="1:11" x14ac:dyDescent="0.2">
      <c r="B50" s="21" t="str">
        <f>A34&amp;" = "&amp;A30&amp;" - "&amp;A32</f>
        <v>(6) = (4) - (5)</v>
      </c>
      <c r="E50" s="47"/>
      <c r="F50" s="47"/>
      <c r="K50" s="2"/>
    </row>
    <row r="51" spans="1:11" x14ac:dyDescent="0.2">
      <c r="B51" s="21" t="str">
        <f>A36&amp;" "&amp;'9'!$J$1</f>
        <v>(7) Exhibit 9</v>
      </c>
      <c r="E51" s="47"/>
      <c r="F51" s="47"/>
      <c r="K51" s="2"/>
    </row>
    <row r="52" spans="1:11" x14ac:dyDescent="0.2">
      <c r="B52" s="21" t="str">
        <f>A42&amp;" = "&amp;A34&amp;" * "&amp;A36&amp;" Selected"</f>
        <v>(8) = (6) * (7) Selected</v>
      </c>
      <c r="E52" s="47"/>
      <c r="F52" s="47"/>
      <c r="K52" s="2"/>
    </row>
    <row r="53" spans="1:11" x14ac:dyDescent="0.2">
      <c r="A53" s="63"/>
      <c r="E53" s="62"/>
      <c r="F53" s="47"/>
      <c r="K53" s="2"/>
    </row>
    <row r="54" spans="1:11" x14ac:dyDescent="0.2">
      <c r="E54" s="47"/>
      <c r="K54" s="2"/>
    </row>
    <row r="55" spans="1:11" ht="12" thickBot="1" x14ac:dyDescent="0.25">
      <c r="K55" s="2"/>
    </row>
    <row r="56" spans="1:11" ht="12" thickBot="1" x14ac:dyDescent="0.25">
      <c r="A56" s="4"/>
      <c r="B56" s="5"/>
      <c r="C56" s="5"/>
      <c r="D56" s="5"/>
      <c r="E56" s="5"/>
      <c r="F56" s="5"/>
      <c r="G56" s="5"/>
      <c r="H56" s="5"/>
      <c r="I56" s="5"/>
      <c r="J56" s="5"/>
      <c r="K56" s="3"/>
    </row>
  </sheetData>
  <phoneticPr fontId="0" type="noConversion"/>
  <pageMargins left="0.5" right="0.5" top="0.5" bottom="0.5" header="0.5" footer="0.5"/>
  <pageSetup orientation="portrait" blackAndWhite="1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5"/>
  <dimension ref="A1:N75"/>
  <sheetViews>
    <sheetView showGridLines="0" view="pageBreakPreview" zoomScale="60" zoomScaleNormal="100" workbookViewId="0">
      <selection activeCell="K81" sqref="K81"/>
    </sheetView>
  </sheetViews>
  <sheetFormatPr defaultColWidth="11.33203125" defaultRowHeight="11.25" x14ac:dyDescent="0.2"/>
  <cols>
    <col min="1" max="1" width="6.33203125" bestFit="1" customWidth="1"/>
    <col min="2" max="2" width="11.33203125" customWidth="1"/>
    <col min="3" max="5" width="15.33203125" customWidth="1"/>
    <col min="6" max="8" width="14" customWidth="1"/>
    <col min="9" max="9" width="11.33203125" customWidth="1"/>
    <col min="10" max="10" width="4.33203125" customWidth="1"/>
  </cols>
  <sheetData>
    <row r="1" spans="1:12" x14ac:dyDescent="0.2">
      <c r="A1" s="8" t="str">
        <f>'1'!$A$1</f>
        <v>Texas Windstorm Insurance Association</v>
      </c>
      <c r="B1" s="12"/>
      <c r="J1" s="7" t="s">
        <v>85</v>
      </c>
      <c r="K1" s="1"/>
    </row>
    <row r="2" spans="1:12" x14ac:dyDescent="0.2">
      <c r="A2" s="8" t="str">
        <f>'1'!$A$2</f>
        <v>Commercial Property - Wind &amp; Hail</v>
      </c>
      <c r="B2" s="12"/>
      <c r="J2" s="7" t="s">
        <v>66</v>
      </c>
      <c r="K2" s="2"/>
    </row>
    <row r="3" spans="1:12" x14ac:dyDescent="0.2">
      <c r="A3" s="8" t="str">
        <f>'1'!$A$3</f>
        <v>Rate Level Review</v>
      </c>
      <c r="B3" s="12"/>
      <c r="K3" s="2"/>
    </row>
    <row r="4" spans="1:12" x14ac:dyDescent="0.2">
      <c r="A4" t="s">
        <v>231</v>
      </c>
      <c r="B4" s="12"/>
      <c r="K4" s="2"/>
    </row>
    <row r="5" spans="1:12" x14ac:dyDescent="0.2">
      <c r="A5" s="58" t="str">
        <f>YEAR('6.1'!$L$5)+1&amp;" - "&amp;YEAR('6.1'!$M$5)</f>
        <v>1967 - 2018</v>
      </c>
      <c r="B5" s="21"/>
      <c r="C5" s="58"/>
      <c r="D5" s="58"/>
      <c r="E5" s="58"/>
      <c r="K5" s="2"/>
    </row>
    <row r="6" spans="1:12" ht="7.5" customHeight="1" thickBot="1" x14ac:dyDescent="0.25">
      <c r="A6" s="6"/>
      <c r="B6" s="6"/>
      <c r="C6" s="6"/>
      <c r="D6" s="6"/>
      <c r="E6" s="6"/>
      <c r="F6" s="6"/>
      <c r="G6" s="6"/>
      <c r="H6" s="6"/>
      <c r="I6" s="47"/>
      <c r="K6" s="2"/>
    </row>
    <row r="7" spans="1:12" ht="12" thickTop="1" x14ac:dyDescent="0.2">
      <c r="C7" s="21"/>
      <c r="D7" t="s">
        <v>99</v>
      </c>
      <c r="E7" t="s">
        <v>99</v>
      </c>
      <c r="K7" s="2"/>
      <c r="L7" s="26"/>
    </row>
    <row r="8" spans="1:12" x14ac:dyDescent="0.2">
      <c r="A8" t="s">
        <v>42</v>
      </c>
      <c r="C8" t="s">
        <v>99</v>
      </c>
      <c r="D8" t="s">
        <v>100</v>
      </c>
      <c r="E8" t="s">
        <v>236</v>
      </c>
      <c r="F8" t="s">
        <v>68</v>
      </c>
      <c r="G8" t="s">
        <v>68</v>
      </c>
      <c r="H8" t="s">
        <v>5</v>
      </c>
      <c r="K8" s="2"/>
      <c r="L8" s="21"/>
    </row>
    <row r="9" spans="1:12" x14ac:dyDescent="0.2">
      <c r="A9" s="9" t="s">
        <v>43</v>
      </c>
      <c r="B9" s="9"/>
      <c r="C9" s="9" t="s">
        <v>100</v>
      </c>
      <c r="D9" s="9" t="s">
        <v>246</v>
      </c>
      <c r="E9" s="9" t="s">
        <v>237</v>
      </c>
      <c r="F9" s="9" t="s">
        <v>91</v>
      </c>
      <c r="G9" s="9" t="s">
        <v>59</v>
      </c>
      <c r="H9" s="9" t="s">
        <v>60</v>
      </c>
      <c r="I9" s="47"/>
      <c r="K9" s="2"/>
      <c r="L9" s="49"/>
    </row>
    <row r="10" spans="1:12" x14ac:dyDescent="0.2">
      <c r="A10" s="13" t="str">
        <f>TEXT(COLUMN(),"(#)")</f>
        <v>(1)</v>
      </c>
      <c r="B10" s="13"/>
      <c r="C10" s="11" t="str">
        <f t="shared" ref="C10:H10" si="0">TEXT(COLUMN()-1,"(#)")</f>
        <v>(2)</v>
      </c>
      <c r="D10" s="11" t="str">
        <f t="shared" si="0"/>
        <v>(3)</v>
      </c>
      <c r="E10" s="11" t="str">
        <f t="shared" si="0"/>
        <v>(4)</v>
      </c>
      <c r="F10" s="11" t="str">
        <f t="shared" si="0"/>
        <v>(5)</v>
      </c>
      <c r="G10" s="11" t="str">
        <f t="shared" si="0"/>
        <v>(6)</v>
      </c>
      <c r="H10" s="11" t="str">
        <f t="shared" si="0"/>
        <v>(7)</v>
      </c>
      <c r="I10" s="11"/>
      <c r="K10" s="2"/>
    </row>
    <row r="11" spans="1:12" ht="6" customHeight="1" x14ac:dyDescent="0.2">
      <c r="K11" s="2"/>
    </row>
    <row r="12" spans="1:12" x14ac:dyDescent="0.2">
      <c r="A12" s="232">
        <v>1970</v>
      </c>
      <c r="B12" s="24"/>
      <c r="C12" s="36">
        <v>10874210</v>
      </c>
      <c r="D12" s="36">
        <v>18835352</v>
      </c>
      <c r="E12" s="29">
        <f>ROUND(D12*'6.4'!$L$14,0)</f>
        <v>58356336</v>
      </c>
      <c r="F12" s="36">
        <v>23092142</v>
      </c>
      <c r="G12" s="22">
        <f>ROUND(F12/E12,3)</f>
        <v>0.39600000000000002</v>
      </c>
      <c r="H12" s="417" t="s">
        <v>61</v>
      </c>
      <c r="I12" s="91"/>
      <c r="K12" s="2"/>
    </row>
    <row r="13" spans="1:12" x14ac:dyDescent="0.2">
      <c r="A13" s="24">
        <v>1971</v>
      </c>
      <c r="B13" s="24"/>
      <c r="C13" s="36">
        <v>13340143</v>
      </c>
      <c r="D13" s="36">
        <v>20347170</v>
      </c>
      <c r="E13" s="29">
        <f>ROUND(D13*'6.4'!$L$14,0)</f>
        <v>63040303</v>
      </c>
      <c r="F13" s="36">
        <v>55893676</v>
      </c>
      <c r="G13" s="22">
        <f t="shared" ref="G13:G21" si="1">ROUND(F13/E13,3)</f>
        <v>0.88700000000000001</v>
      </c>
      <c r="H13" s="417" t="s">
        <v>61</v>
      </c>
      <c r="I13" s="91"/>
      <c r="K13" s="2"/>
    </row>
    <row r="14" spans="1:12" x14ac:dyDescent="0.2">
      <c r="A14" s="24">
        <v>1972</v>
      </c>
      <c r="B14" s="24"/>
      <c r="C14" s="36">
        <v>18906678</v>
      </c>
      <c r="D14" s="36">
        <v>24314307</v>
      </c>
      <c r="E14" s="29">
        <f>ROUND(D14*'6.4'!$L$14,0)</f>
        <v>75331423</v>
      </c>
      <c r="F14" s="36">
        <v>8704522</v>
      </c>
      <c r="G14" s="22">
        <f t="shared" si="1"/>
        <v>0.11600000000000001</v>
      </c>
      <c r="H14" s="417"/>
      <c r="I14" s="91"/>
      <c r="K14" s="2"/>
    </row>
    <row r="15" spans="1:12" x14ac:dyDescent="0.2">
      <c r="A15" s="24">
        <v>1973</v>
      </c>
      <c r="B15" s="24"/>
      <c r="C15" s="36">
        <v>21737541</v>
      </c>
      <c r="D15" s="36">
        <v>23257532</v>
      </c>
      <c r="E15" s="29">
        <f>ROUND(D15*'6.4'!$L$14,0)</f>
        <v>72057286</v>
      </c>
      <c r="F15" s="36">
        <v>3837493</v>
      </c>
      <c r="G15" s="22">
        <f t="shared" si="1"/>
        <v>5.2999999999999999E-2</v>
      </c>
      <c r="H15" s="417"/>
      <c r="I15" s="91"/>
      <c r="K15" s="2"/>
    </row>
    <row r="16" spans="1:12" x14ac:dyDescent="0.2">
      <c r="A16" s="24">
        <v>1974</v>
      </c>
      <c r="B16" s="24"/>
      <c r="C16" s="36">
        <v>22348193</v>
      </c>
      <c r="D16" s="36">
        <v>22844661</v>
      </c>
      <c r="E16" s="29">
        <f>ROUND(D16*'6.4'!$L$14,0)</f>
        <v>70778115</v>
      </c>
      <c r="F16" s="36">
        <v>2193087</v>
      </c>
      <c r="G16" s="22">
        <f t="shared" si="1"/>
        <v>3.1E-2</v>
      </c>
      <c r="H16" s="417"/>
      <c r="I16" s="91"/>
      <c r="K16" s="2"/>
    </row>
    <row r="17" spans="1:11" x14ac:dyDescent="0.2">
      <c r="A17" s="24">
        <v>1975</v>
      </c>
      <c r="B17" s="24"/>
      <c r="C17" s="36">
        <v>24396629</v>
      </c>
      <c r="D17" s="36">
        <v>24958305</v>
      </c>
      <c r="E17" s="29">
        <f>ROUND(D17*'6.4'!$L$14,0)</f>
        <v>77326680</v>
      </c>
      <c r="F17" s="36">
        <v>3943412</v>
      </c>
      <c r="G17" s="22">
        <f t="shared" si="1"/>
        <v>5.0999999999999997E-2</v>
      </c>
      <c r="H17" s="417"/>
      <c r="I17" s="91"/>
      <c r="K17" s="2"/>
    </row>
    <row r="18" spans="1:11" x14ac:dyDescent="0.2">
      <c r="A18" s="24">
        <v>1976</v>
      </c>
      <c r="B18" s="24"/>
      <c r="C18" s="36">
        <v>26795934</v>
      </c>
      <c r="D18" s="36">
        <v>24109943</v>
      </c>
      <c r="E18" s="29">
        <f>ROUND(D18*'6.4'!$L$14,0)</f>
        <v>74698255</v>
      </c>
      <c r="F18" s="36">
        <v>2218115</v>
      </c>
      <c r="G18" s="22">
        <f t="shared" si="1"/>
        <v>0.03</v>
      </c>
      <c r="H18" s="417"/>
      <c r="I18" s="91"/>
      <c r="K18" s="2"/>
    </row>
    <row r="19" spans="1:11" x14ac:dyDescent="0.2">
      <c r="A19" s="24">
        <v>1977</v>
      </c>
      <c r="B19" s="24"/>
      <c r="C19" s="36">
        <v>30910821</v>
      </c>
      <c r="D19" s="36">
        <v>27119226</v>
      </c>
      <c r="E19" s="29">
        <f>ROUND(D19*'6.4'!$L$14,0)</f>
        <v>84021720</v>
      </c>
      <c r="F19" s="36">
        <v>1898346</v>
      </c>
      <c r="G19" s="22">
        <f>ROUND(F19/E19,3)</f>
        <v>2.3E-2</v>
      </c>
      <c r="H19" s="417"/>
      <c r="I19" s="91"/>
      <c r="K19" s="2"/>
    </row>
    <row r="20" spans="1:11" x14ac:dyDescent="0.2">
      <c r="A20" s="24">
        <v>1978</v>
      </c>
      <c r="B20" s="24"/>
      <c r="C20" s="36">
        <v>32709599</v>
      </c>
      <c r="D20" s="36">
        <v>26415338</v>
      </c>
      <c r="E20" s="29">
        <f>ROUND(D20*'6.4'!$L$14,0)</f>
        <v>81840910</v>
      </c>
      <c r="F20" s="36">
        <v>2535872</v>
      </c>
      <c r="G20" s="22">
        <f t="shared" si="1"/>
        <v>3.1E-2</v>
      </c>
      <c r="H20" s="417"/>
      <c r="I20" s="91"/>
      <c r="K20" s="2"/>
    </row>
    <row r="21" spans="1:11" x14ac:dyDescent="0.2">
      <c r="A21" s="48">
        <v>1979</v>
      </c>
      <c r="B21" s="47"/>
      <c r="C21" s="44">
        <v>31306685</v>
      </c>
      <c r="D21" s="44">
        <v>24514306</v>
      </c>
      <c r="E21" s="180">
        <f>ROUND(D21*'6.4'!$L$14,0)</f>
        <v>75951067</v>
      </c>
      <c r="F21" s="44">
        <v>4535147</v>
      </c>
      <c r="G21" s="50">
        <f t="shared" si="1"/>
        <v>0.06</v>
      </c>
      <c r="H21" s="418"/>
      <c r="I21" s="91"/>
      <c r="K21" s="2"/>
    </row>
    <row r="22" spans="1:11" x14ac:dyDescent="0.2">
      <c r="A22" s="48">
        <v>1980</v>
      </c>
      <c r="B22" s="47"/>
      <c r="C22" s="44">
        <v>28751765</v>
      </c>
      <c r="D22" s="44">
        <v>22607257</v>
      </c>
      <c r="E22" s="180">
        <f>ROUND(D22*'6.4'!$L$14,0)</f>
        <v>70042582</v>
      </c>
      <c r="F22" s="44">
        <v>38431070.960000001</v>
      </c>
      <c r="G22" s="50">
        <f>ROUND(F22/E22,3)</f>
        <v>0.54900000000000004</v>
      </c>
      <c r="H22" s="418" t="s">
        <v>61</v>
      </c>
      <c r="I22" s="91"/>
      <c r="K22" s="2"/>
    </row>
    <row r="23" spans="1:11" x14ac:dyDescent="0.2">
      <c r="A23" s="48">
        <v>1981</v>
      </c>
      <c r="B23" s="47"/>
      <c r="C23" s="44">
        <v>24129384</v>
      </c>
      <c r="D23" s="44">
        <v>21398588</v>
      </c>
      <c r="E23" s="180">
        <f>ROUND(D23*'6.4'!$L$14,0)</f>
        <v>66297842</v>
      </c>
      <c r="F23" s="44">
        <v>4272728</v>
      </c>
      <c r="G23" s="50">
        <f>ROUND(F23/E23,3)</f>
        <v>6.4000000000000001E-2</v>
      </c>
      <c r="H23" s="418"/>
      <c r="I23" s="91"/>
      <c r="K23" s="2"/>
    </row>
    <row r="24" spans="1:11" x14ac:dyDescent="0.2">
      <c r="A24" s="25">
        <v>1982</v>
      </c>
      <c r="B24" s="9"/>
      <c r="C24" s="71">
        <v>18505004</v>
      </c>
      <c r="D24" s="71">
        <v>17523231</v>
      </c>
      <c r="E24" s="30">
        <f>ROUND(D24*'6.4'!$L$14,0)</f>
        <v>54291078</v>
      </c>
      <c r="F24" s="30"/>
      <c r="G24" s="360">
        <v>3.4000000000000002E-2</v>
      </c>
      <c r="H24" s="419"/>
      <c r="I24" s="91"/>
      <c r="K24" s="2"/>
    </row>
    <row r="25" spans="1:11" x14ac:dyDescent="0.2">
      <c r="A25" s="24">
        <v>1983</v>
      </c>
      <c r="C25" s="36">
        <v>12680397</v>
      </c>
      <c r="D25" s="36">
        <v>13262706</v>
      </c>
      <c r="E25" s="29">
        <f>ROUND(D25*'6.4'!$L$14,0)</f>
        <v>41090972</v>
      </c>
      <c r="F25" s="29"/>
      <c r="G25" s="428">
        <f>ROUND('6.3'!H14,3)</f>
        <v>3.4329999999999998</v>
      </c>
      <c r="H25" s="417" t="s">
        <v>61</v>
      </c>
      <c r="I25" s="91"/>
      <c r="K25" s="2"/>
    </row>
    <row r="26" spans="1:11" x14ac:dyDescent="0.2">
      <c r="A26" s="24">
        <v>1984</v>
      </c>
      <c r="C26" s="36">
        <v>12736031</v>
      </c>
      <c r="D26" s="36">
        <v>14992627</v>
      </c>
      <c r="E26" s="29">
        <f>ROUND(D26*'6.4'!$L$14,0)</f>
        <v>46450673</v>
      </c>
      <c r="F26" s="29"/>
      <c r="G26" s="50">
        <f>ROUND('6.3'!H15,3)</f>
        <v>7.5999999999999998E-2</v>
      </c>
      <c r="H26" s="417"/>
      <c r="I26" s="91"/>
      <c r="K26" s="2"/>
    </row>
    <row r="27" spans="1:11" x14ac:dyDescent="0.2">
      <c r="A27" s="24">
        <v>1985</v>
      </c>
      <c r="C27" s="36">
        <v>15169575</v>
      </c>
      <c r="D27" s="36">
        <v>16422895</v>
      </c>
      <c r="E27" s="29">
        <f>ROUND(D27*'6.4'!$L$14,0)</f>
        <v>50881979</v>
      </c>
      <c r="F27" s="29"/>
      <c r="G27" s="50">
        <f>ROUND('6.3'!H16,3)</f>
        <v>3.6999999999999998E-2</v>
      </c>
      <c r="H27" s="417"/>
      <c r="I27" s="91"/>
      <c r="K27" s="2"/>
    </row>
    <row r="28" spans="1:11" x14ac:dyDescent="0.2">
      <c r="A28" s="24">
        <v>1986</v>
      </c>
      <c r="C28" s="36">
        <v>21130682</v>
      </c>
      <c r="D28" s="36">
        <v>17090896</v>
      </c>
      <c r="E28" s="29">
        <f>ROUND(D28*'6.4'!$L$14,0)</f>
        <v>52951602</v>
      </c>
      <c r="F28" s="29"/>
      <c r="G28" s="50">
        <f>ROUND('6.3'!H17,3)</f>
        <v>7.8E-2</v>
      </c>
      <c r="H28" s="417" t="s">
        <v>61</v>
      </c>
      <c r="I28" s="91"/>
      <c r="K28" s="2"/>
    </row>
    <row r="29" spans="1:11" x14ac:dyDescent="0.2">
      <c r="A29" s="24">
        <v>1987</v>
      </c>
      <c r="C29" s="36">
        <v>31114529</v>
      </c>
      <c r="D29" s="36">
        <v>26771157</v>
      </c>
      <c r="E29" s="29">
        <f>ROUND(D29*'6.4'!$L$14,0)</f>
        <v>82943320</v>
      </c>
      <c r="F29" s="29"/>
      <c r="G29" s="50">
        <f>ROUND('6.3'!H18,3)</f>
        <v>1.4E-2</v>
      </c>
      <c r="H29" s="417"/>
      <c r="I29" s="91"/>
      <c r="K29" s="2"/>
    </row>
    <row r="30" spans="1:11" x14ac:dyDescent="0.2">
      <c r="A30" s="24">
        <v>1988</v>
      </c>
      <c r="B30" s="21"/>
      <c r="C30" s="36">
        <v>25065531</v>
      </c>
      <c r="D30" s="36">
        <v>24117319</v>
      </c>
      <c r="E30" s="29">
        <f>ROUND(D30*'6.4'!$L$14,0)</f>
        <v>74721108</v>
      </c>
      <c r="F30" s="29"/>
      <c r="G30" s="50">
        <f>ROUND('6.3'!H19,3)</f>
        <v>8.3000000000000004E-2</v>
      </c>
      <c r="H30" s="417"/>
      <c r="I30" s="91"/>
      <c r="K30" s="2"/>
    </row>
    <row r="31" spans="1:11" x14ac:dyDescent="0.2">
      <c r="A31" s="24">
        <v>1989</v>
      </c>
      <c r="B31" s="21"/>
      <c r="C31" s="36">
        <v>24167085</v>
      </c>
      <c r="D31" s="36">
        <v>27085314</v>
      </c>
      <c r="E31" s="29">
        <f>ROUND(D31*'6.4'!$L$14,0)</f>
        <v>83916652</v>
      </c>
      <c r="F31" s="29"/>
      <c r="G31" s="50">
        <f>ROUND('6.3'!H20,3)</f>
        <v>6.0999999999999999E-2</v>
      </c>
      <c r="H31" s="417" t="s">
        <v>61</v>
      </c>
      <c r="I31" s="91"/>
      <c r="K31" s="2"/>
    </row>
    <row r="32" spans="1:11" x14ac:dyDescent="0.2">
      <c r="A32" s="24">
        <v>1990</v>
      </c>
      <c r="B32" s="21"/>
      <c r="C32" s="36">
        <v>19677404</v>
      </c>
      <c r="D32" s="36">
        <v>23041233</v>
      </c>
      <c r="E32" s="29">
        <f>ROUND(D32*'6.4'!$L$14,0)</f>
        <v>71387141</v>
      </c>
      <c r="F32" s="29"/>
      <c r="G32" s="50">
        <f>ROUND('6.3'!H21,3)</f>
        <v>0.91200000000000003</v>
      </c>
      <c r="H32" s="417" t="s">
        <v>61</v>
      </c>
      <c r="I32" s="91"/>
      <c r="K32" s="2"/>
    </row>
    <row r="33" spans="1:14" x14ac:dyDescent="0.2">
      <c r="A33" s="24">
        <v>1991</v>
      </c>
      <c r="C33" s="36">
        <v>21794680</v>
      </c>
      <c r="D33" s="36">
        <v>25534881</v>
      </c>
      <c r="E33" s="29">
        <f>ROUND(D33*'6.4'!$L$14,0)</f>
        <v>79113047</v>
      </c>
      <c r="F33" s="29"/>
      <c r="G33" s="50">
        <f>ROUND('6.3'!H22,3)</f>
        <v>0.52600000000000002</v>
      </c>
      <c r="H33" s="417"/>
      <c r="I33" s="91"/>
      <c r="K33" s="2"/>
    </row>
    <row r="34" spans="1:14" x14ac:dyDescent="0.2">
      <c r="A34" s="24">
        <v>1992</v>
      </c>
      <c r="C34" s="36">
        <v>23737753</v>
      </c>
      <c r="D34" s="36">
        <v>26950473</v>
      </c>
      <c r="E34" s="29">
        <f>ROUND(D34*'6.4'!$L$14,0)</f>
        <v>83498883</v>
      </c>
      <c r="F34" s="29"/>
      <c r="G34" s="50">
        <f>ROUND('6.3'!H23,3)</f>
        <v>1.4E-2</v>
      </c>
      <c r="H34" s="417"/>
      <c r="I34" s="91"/>
      <c r="K34" s="2"/>
    </row>
    <row r="35" spans="1:14" x14ac:dyDescent="0.2">
      <c r="A35" s="24">
        <v>1993</v>
      </c>
      <c r="C35" s="36">
        <v>21990182</v>
      </c>
      <c r="D35" s="36"/>
      <c r="E35" s="180">
        <f>'6.4'!F24+'6.5'!F24+'6.6'!F24+'6.7'!F24</f>
        <v>68125584.224000007</v>
      </c>
      <c r="F35" s="29"/>
      <c r="G35" s="50">
        <f>ROUND('6.3'!H24,3)</f>
        <v>6.0999999999999999E-2</v>
      </c>
      <c r="H35" s="417"/>
      <c r="I35" s="91"/>
      <c r="K35" s="2"/>
    </row>
    <row r="36" spans="1:14" x14ac:dyDescent="0.2">
      <c r="A36" s="24">
        <v>1994</v>
      </c>
      <c r="C36" s="36">
        <v>16604950</v>
      </c>
      <c r="D36" s="36"/>
      <c r="E36" s="180">
        <f>'6.4'!F25+'6.5'!F25+'6.6'!F25+'6.7'!F25</f>
        <v>51442134.428000003</v>
      </c>
      <c r="F36" s="29"/>
      <c r="G36" s="50">
        <f>ROUND('6.3'!H25,3)</f>
        <v>8.8999999999999996E-2</v>
      </c>
      <c r="H36" s="367"/>
      <c r="I36" s="91"/>
      <c r="K36" s="2"/>
    </row>
    <row r="37" spans="1:14" x14ac:dyDescent="0.2">
      <c r="A37" s="24">
        <v>1995</v>
      </c>
      <c r="C37" s="36">
        <v>32374229</v>
      </c>
      <c r="D37" s="36"/>
      <c r="E37" s="180">
        <f>'6.4'!F26+'6.5'!F26+'6.6'!F26+'6.7'!F26</f>
        <v>100295361.15799999</v>
      </c>
      <c r="F37" s="29"/>
      <c r="G37" s="50">
        <f>ROUND('6.3'!H26,3)</f>
        <v>0.20399999999999999</v>
      </c>
      <c r="H37" s="367"/>
      <c r="I37" s="91"/>
      <c r="K37" s="2"/>
    </row>
    <row r="38" spans="1:14" x14ac:dyDescent="0.2">
      <c r="A38" s="24">
        <v>1996</v>
      </c>
      <c r="C38" s="36">
        <v>55367089</v>
      </c>
      <c r="D38" s="36"/>
      <c r="E38" s="180">
        <f>'6.4'!F27+'6.5'!F27+'6.6'!F27+'6.7'!F27</f>
        <v>171527241.49400002</v>
      </c>
      <c r="F38" s="29"/>
      <c r="G38" s="50">
        <f>ROUND('6.3'!H27,3)</f>
        <v>2.5000000000000001E-2</v>
      </c>
      <c r="H38" s="367"/>
      <c r="I38" s="91"/>
      <c r="K38" s="2"/>
      <c r="L38" t="s">
        <v>242</v>
      </c>
      <c r="M38" t="s">
        <v>243</v>
      </c>
    </row>
    <row r="39" spans="1:14" x14ac:dyDescent="0.2">
      <c r="A39" s="24">
        <v>1997</v>
      </c>
      <c r="C39" s="36">
        <v>53196024</v>
      </c>
      <c r="D39" s="36"/>
      <c r="E39" s="180">
        <f>'6.4'!F28+'6.5'!F28+'6.6'!F28+'6.7'!F28</f>
        <v>164801281.676</v>
      </c>
      <c r="F39" s="29"/>
      <c r="G39" s="50">
        <f>ROUND('6.3'!H28,3)</f>
        <v>3.9E-2</v>
      </c>
      <c r="H39" s="367"/>
      <c r="I39" s="91"/>
      <c r="K39" s="2"/>
      <c r="L39" s="103">
        <v>34607</v>
      </c>
      <c r="M39" s="103">
        <v>36525</v>
      </c>
      <c r="N39" t="s">
        <v>244</v>
      </c>
    </row>
    <row r="40" spans="1:14" x14ac:dyDescent="0.2">
      <c r="A40" s="24">
        <v>1998</v>
      </c>
      <c r="C40" s="36">
        <v>53986058</v>
      </c>
      <c r="D40" s="36"/>
      <c r="E40" s="180">
        <f>'6.4'!F29+'6.5'!F29+'6.6'!F29+'6.7'!F29</f>
        <v>169786152.34999999</v>
      </c>
      <c r="F40" s="29"/>
      <c r="G40" s="50">
        <f>ROUND('6.3'!H29,3)</f>
        <v>0.153</v>
      </c>
      <c r="H40" s="367"/>
      <c r="I40" s="91"/>
      <c r="K40" s="2"/>
      <c r="L40" s="117">
        <v>43465</v>
      </c>
      <c r="M40" s="117">
        <v>43465</v>
      </c>
      <c r="N40" t="s">
        <v>245</v>
      </c>
    </row>
    <row r="41" spans="1:14" x14ac:dyDescent="0.2">
      <c r="A41" s="24">
        <v>1999</v>
      </c>
      <c r="C41" s="36">
        <v>52435243</v>
      </c>
      <c r="D41" s="36"/>
      <c r="E41" s="180">
        <f>'6.4'!F30+'6.5'!F30+'6.6'!F30+'6.7'!F30</f>
        <v>167478165.794</v>
      </c>
      <c r="F41" s="29"/>
      <c r="G41" s="50">
        <f>ROUND('6.3'!H30,3)</f>
        <v>8.5000000000000006E-2</v>
      </c>
      <c r="H41" s="417" t="s">
        <v>61</v>
      </c>
      <c r="I41" s="91"/>
      <c r="K41" s="2"/>
    </row>
    <row r="42" spans="1:14" x14ac:dyDescent="0.2">
      <c r="A42" s="24">
        <v>2000</v>
      </c>
      <c r="C42" s="36">
        <v>41739697</v>
      </c>
      <c r="E42" s="180">
        <f>'6.4'!F31+'6.5'!F31+'6.6'!F31+'6.7'!F31</f>
        <v>127598253.40000001</v>
      </c>
      <c r="G42" s="50">
        <f>ROUND('6.3'!H31,3)</f>
        <v>7.1999999999999995E-2</v>
      </c>
      <c r="H42" s="367"/>
      <c r="I42" s="91"/>
      <c r="K42" s="2"/>
    </row>
    <row r="43" spans="1:14" x14ac:dyDescent="0.2">
      <c r="A43" s="24">
        <v>2001</v>
      </c>
      <c r="C43" s="245">
        <v>42330042</v>
      </c>
      <c r="E43" s="180">
        <f>'6.4'!F32+'6.5'!F32+'6.6'!F32+'6.7'!F32</f>
        <v>121614211.296</v>
      </c>
      <c r="G43" s="50">
        <f>ROUND('6.3'!H32,3)</f>
        <v>5.8000000000000003E-2</v>
      </c>
      <c r="H43" s="11"/>
      <c r="I43" s="19"/>
      <c r="K43" s="2"/>
    </row>
    <row r="44" spans="1:14" x14ac:dyDescent="0.2">
      <c r="A44" s="24">
        <v>2002</v>
      </c>
      <c r="C44" s="245">
        <v>69156402</v>
      </c>
      <c r="D44" s="18"/>
      <c r="E44" s="180">
        <f>'6.4'!F33+'6.5'!F33+'6.6'!F33+'6.7'!F33</f>
        <v>190110948.914</v>
      </c>
      <c r="F44" s="42"/>
      <c r="G44" s="50">
        <f>ROUND('6.3'!H33,3)</f>
        <v>0.14199999999999999</v>
      </c>
      <c r="H44" s="11"/>
      <c r="I44" s="19"/>
      <c r="K44" s="2"/>
    </row>
    <row r="45" spans="1:14" x14ac:dyDescent="0.2">
      <c r="A45" s="24">
        <v>2003</v>
      </c>
      <c r="C45" s="245">
        <v>78368305</v>
      </c>
      <c r="D45" s="18"/>
      <c r="E45" s="180">
        <f>'6.4'!F34+'6.5'!F34+'6.6'!F34+'6.7'!F34</f>
        <v>200309386.796</v>
      </c>
      <c r="F45" s="42"/>
      <c r="G45" s="50">
        <f>ROUND('6.3'!H34,3)</f>
        <v>0.22600000000000001</v>
      </c>
      <c r="H45" s="417" t="s">
        <v>61</v>
      </c>
      <c r="I45" s="91"/>
      <c r="K45" s="2"/>
    </row>
    <row r="46" spans="1:14" x14ac:dyDescent="0.2">
      <c r="A46" s="24">
        <v>2004</v>
      </c>
      <c r="C46" s="245">
        <v>112957791</v>
      </c>
      <c r="D46" s="18"/>
      <c r="E46" s="180">
        <f>'6.4'!F35+'6.5'!F35+'6.6'!F35+'6.7'!F35</f>
        <v>262400947.63</v>
      </c>
      <c r="F46" s="42"/>
      <c r="G46" s="50">
        <f>ROUND('6.3'!H35,3)</f>
        <v>0.02</v>
      </c>
      <c r="H46" s="417"/>
      <c r="I46" s="60"/>
      <c r="K46" s="2"/>
    </row>
    <row r="47" spans="1:14" x14ac:dyDescent="0.2">
      <c r="A47" s="24">
        <v>2005</v>
      </c>
      <c r="C47" s="245">
        <v>119598806</v>
      </c>
      <c r="D47" s="18"/>
      <c r="E47" s="180">
        <f>'6.4'!F36+'6.5'!F36+'6.6'!F36+'6.7'!F36</f>
        <v>252973057.84799999</v>
      </c>
      <c r="F47" s="42"/>
      <c r="G47" s="50">
        <f>ROUND('6.3'!H36,3)</f>
        <v>1.7709999999999999</v>
      </c>
      <c r="H47" s="420" t="s">
        <v>61</v>
      </c>
      <c r="I47" s="19"/>
      <c r="K47" s="2"/>
    </row>
    <row r="48" spans="1:14" x14ac:dyDescent="0.2">
      <c r="A48" s="24">
        <v>2006</v>
      </c>
      <c r="C48" s="245">
        <v>148019940</v>
      </c>
      <c r="D48" s="18"/>
      <c r="E48" s="180">
        <f>'6.4'!F37+'6.5'!F37+'6.6'!F37+'6.7'!F37</f>
        <v>287762390.41600001</v>
      </c>
      <c r="F48" s="42"/>
      <c r="G48" s="50">
        <f>ROUND('6.3'!H37,3)</f>
        <v>2.1999999999999999E-2</v>
      </c>
      <c r="H48" s="11"/>
      <c r="I48" s="19"/>
      <c r="K48" s="2"/>
    </row>
    <row r="49" spans="1:11" x14ac:dyDescent="0.2">
      <c r="A49" s="24">
        <v>2007</v>
      </c>
      <c r="C49" s="339">
        <f>'6.4'!C38+'6.5'!C38+'6.6'!C38+'6.7'!C38</f>
        <v>186207969</v>
      </c>
      <c r="D49" s="39"/>
      <c r="E49" s="180">
        <f>'6.4'!F38+'6.5'!F38+'6.6'!F38+'6.7'!F38</f>
        <v>330332937.61400002</v>
      </c>
      <c r="F49" s="42"/>
      <c r="G49" s="50">
        <f>ROUND('6.3'!H38,3)</f>
        <v>0.155</v>
      </c>
      <c r="H49" s="417" t="s">
        <v>61</v>
      </c>
      <c r="I49" s="19"/>
      <c r="K49" s="2"/>
    </row>
    <row r="50" spans="1:11" x14ac:dyDescent="0.2">
      <c r="A50" s="24">
        <v>2008</v>
      </c>
      <c r="C50" s="339">
        <f>'6.4'!C39+'6.5'!C39+'6.6'!C39+'6.7'!C39</f>
        <v>177673659</v>
      </c>
      <c r="D50" s="39"/>
      <c r="E50" s="180">
        <f>'6.4'!F39+'6.5'!F39+'6.6'!F39+'6.7'!F39</f>
        <v>297781052.25599998</v>
      </c>
      <c r="F50" s="42"/>
      <c r="G50" s="50">
        <f>ROUND('6.3'!H39,3)</f>
        <v>4.6479999999999997</v>
      </c>
      <c r="H50" s="417" t="s">
        <v>61</v>
      </c>
      <c r="I50" s="60"/>
      <c r="K50" s="2"/>
    </row>
    <row r="51" spans="1:11" x14ac:dyDescent="0.2">
      <c r="A51" s="24">
        <v>2009</v>
      </c>
      <c r="C51" s="339">
        <f>'6.4'!C40+'6.5'!C40+'6.6'!C40+'6.7'!C40</f>
        <v>185204697</v>
      </c>
      <c r="D51" s="39"/>
      <c r="E51" s="180">
        <f>'6.4'!F40+'6.5'!F40+'6.6'!F40+'6.7'!F40</f>
        <v>282807571.81199998</v>
      </c>
      <c r="F51" s="42"/>
      <c r="G51" s="50">
        <f>ROUND('6.3'!H40,3)</f>
        <v>2.7E-2</v>
      </c>
      <c r="H51" s="417"/>
      <c r="I51" s="19"/>
      <c r="K51" s="2"/>
    </row>
    <row r="52" spans="1:11" x14ac:dyDescent="0.2">
      <c r="A52" s="48">
        <v>2010</v>
      </c>
      <c r="B52" s="47"/>
      <c r="C52" s="339">
        <f>'6.4'!C41+'6.5'!C41+'6.6'!C41+'6.7'!C41</f>
        <v>192438623</v>
      </c>
      <c r="D52" s="39"/>
      <c r="E52" s="180">
        <f>'6.4'!F41+'6.5'!F41+'6.6'!F41+'6.7'!F41</f>
        <v>270761141.935</v>
      </c>
      <c r="F52" s="42"/>
      <c r="G52" s="50">
        <f>ROUND('6.3'!H41,3)</f>
        <v>0.04</v>
      </c>
      <c r="H52" s="418"/>
      <c r="I52" s="19"/>
      <c r="K52" s="2"/>
    </row>
    <row r="53" spans="1:11" x14ac:dyDescent="0.2">
      <c r="A53" s="48">
        <v>2011</v>
      </c>
      <c r="B53" s="47"/>
      <c r="C53" s="339">
        <f>'6.4'!C42+'6.5'!C42+'6.6'!C42+'6.7'!C42</f>
        <v>186308587</v>
      </c>
      <c r="D53" s="39"/>
      <c r="E53" s="180">
        <f>'6.4'!F42+'6.5'!F42+'6.6'!F42+'6.7'!F42</f>
        <v>255801690.25</v>
      </c>
      <c r="F53" s="42"/>
      <c r="G53" s="50">
        <f>ROUND('6.3'!H42,3)</f>
        <v>0.16200000000000001</v>
      </c>
      <c r="H53" s="418"/>
      <c r="I53" s="19"/>
      <c r="K53" s="2"/>
    </row>
    <row r="54" spans="1:11" x14ac:dyDescent="0.2">
      <c r="A54" s="48">
        <v>2012</v>
      </c>
      <c r="B54" s="47"/>
      <c r="C54" s="339">
        <f>'6.4'!C43+'6.5'!C43+'6.6'!C43+'6.7'!C43</f>
        <v>204502811</v>
      </c>
      <c r="D54" s="39"/>
      <c r="E54" s="180">
        <f>'6.4'!F43+'6.5'!F43+'6.6'!F43+'6.7'!F43</f>
        <v>267285174.37</v>
      </c>
      <c r="F54" s="47"/>
      <c r="G54" s="50">
        <f>ROUND('6.3'!H43,3)</f>
        <v>0.186</v>
      </c>
      <c r="H54" s="418"/>
      <c r="I54" s="19"/>
      <c r="K54" s="2"/>
    </row>
    <row r="55" spans="1:11" x14ac:dyDescent="0.2">
      <c r="A55" s="48">
        <v>2013</v>
      </c>
      <c r="B55" s="47"/>
      <c r="C55" s="339">
        <f>'6.4'!C44+'6.5'!C44+'6.6'!C44+'6.7'!C44</f>
        <v>226257696</v>
      </c>
      <c r="D55" s="39"/>
      <c r="E55" s="180">
        <f>'6.4'!F44+'6.5'!F44+'6.6'!F44+'6.7'!F44</f>
        <v>281690832.19</v>
      </c>
      <c r="F55" s="47"/>
      <c r="G55" s="50">
        <f>ROUND('6.3'!H44,3)</f>
        <v>6.7000000000000004E-2</v>
      </c>
      <c r="H55" s="418"/>
      <c r="I55" s="19"/>
      <c r="K55" s="2"/>
    </row>
    <row r="56" spans="1:11" x14ac:dyDescent="0.2">
      <c r="A56" s="48">
        <v>2014</v>
      </c>
      <c r="B56" s="47"/>
      <c r="C56" s="339">
        <f>'6.4'!C45+'6.5'!C45+'6.6'!C45+'6.7'!C45</f>
        <v>236800664</v>
      </c>
      <c r="D56" s="39"/>
      <c r="E56" s="180">
        <f>'6.4'!F45+'6.5'!F45+'6.6'!F45+'6.7'!F45</f>
        <v>280845587.97000003</v>
      </c>
      <c r="F56" s="47"/>
      <c r="G56" s="50">
        <f>ROUND('6.3'!H45,3)</f>
        <v>1.2E-2</v>
      </c>
      <c r="H56" s="418"/>
      <c r="I56" s="19"/>
      <c r="K56" s="2"/>
    </row>
    <row r="57" spans="1:11" x14ac:dyDescent="0.2">
      <c r="A57" s="48">
        <v>2015</v>
      </c>
      <c r="B57" s="47"/>
      <c r="C57" s="339">
        <f>'6.4'!C46+'6.5'!C46+'6.6'!C46+'6.7'!C46</f>
        <v>229375125</v>
      </c>
      <c r="D57" s="39"/>
      <c r="E57" s="180">
        <f>'6.4'!F46+'6.5'!F46+'6.6'!F46+'6.7'!F46</f>
        <v>258964516.19300002</v>
      </c>
      <c r="F57" s="47"/>
      <c r="G57" s="50">
        <f>ROUND('6.3'!H46,3)</f>
        <v>0.14899999999999999</v>
      </c>
      <c r="H57" s="418"/>
      <c r="I57" s="19"/>
      <c r="K57" s="2"/>
    </row>
    <row r="58" spans="1:11" x14ac:dyDescent="0.2">
      <c r="A58" s="102">
        <v>2016</v>
      </c>
      <c r="B58" s="47"/>
      <c r="C58" s="339">
        <f>'6.4'!C47+'6.5'!C47+'6.6'!C47+'6.7'!C47</f>
        <v>212604889</v>
      </c>
      <c r="D58" s="47"/>
      <c r="E58" s="180">
        <f>'6.4'!F47+'6.5'!F47+'6.6'!F47+'6.7'!F47</f>
        <v>228762860.27600002</v>
      </c>
      <c r="F58" s="47"/>
      <c r="G58" s="50">
        <f>ROUND('6.3'!H47,3)</f>
        <v>4.1000000000000002E-2</v>
      </c>
      <c r="H58" s="418"/>
      <c r="K58" s="2"/>
    </row>
    <row r="59" spans="1:11" x14ac:dyDescent="0.2">
      <c r="A59" s="102">
        <v>2017</v>
      </c>
      <c r="B59" s="47"/>
      <c r="C59" s="339">
        <f>'6.4'!C48+'6.5'!C48+'6.6'!C48+'6.7'!C48</f>
        <v>187897646</v>
      </c>
      <c r="D59" s="47"/>
      <c r="E59" s="180">
        <f>'6.4'!F48+'6.5'!F48+'6.6'!F48+'6.7'!F48</f>
        <v>197292528.55000001</v>
      </c>
      <c r="F59" s="47"/>
      <c r="G59" s="50">
        <f>ROUND('6.3'!H48,3)</f>
        <v>4.6470000000000002</v>
      </c>
      <c r="H59" s="422" t="s">
        <v>61</v>
      </c>
      <c r="K59" s="2"/>
    </row>
    <row r="60" spans="1:11" x14ac:dyDescent="0.2">
      <c r="A60" s="55">
        <v>2018</v>
      </c>
      <c r="B60" s="9"/>
      <c r="C60" s="340">
        <f>'6.4'!C49+'6.5'!C49+'6.6'!C49+'6.7'!C49</f>
        <v>183624326</v>
      </c>
      <c r="D60" s="9"/>
      <c r="E60" s="30">
        <f>'6.4'!F49+'6.5'!F49+'6.6'!F49+'6.7'!F49</f>
        <v>188031309.03200001</v>
      </c>
      <c r="F60" s="9"/>
      <c r="G60" s="67">
        <f>ROUND('6.3'!H49,3)</f>
        <v>1.7000000000000001E-2</v>
      </c>
      <c r="H60" s="421"/>
      <c r="K60" s="2"/>
    </row>
    <row r="61" spans="1:11" x14ac:dyDescent="0.2">
      <c r="K61" s="2"/>
    </row>
    <row r="62" spans="1:11" x14ac:dyDescent="0.2">
      <c r="A62" s="24" t="s">
        <v>26</v>
      </c>
      <c r="C62" s="64">
        <f>SUM(C12:C60)</f>
        <v>3819007703</v>
      </c>
      <c r="D62" s="64"/>
      <c r="E62" s="64">
        <f>SUM(E12:E60)</f>
        <v>7067571293.8719997</v>
      </c>
      <c r="G62" s="19">
        <f>ROUND(AVERAGE(G12:G60),3)</f>
        <v>0.42199999999999999</v>
      </c>
      <c r="K62" s="2"/>
    </row>
    <row r="63" spans="1:11" ht="6.75" customHeight="1" x14ac:dyDescent="0.2">
      <c r="K63" s="2"/>
    </row>
    <row r="64" spans="1:11" x14ac:dyDescent="0.2">
      <c r="A64" t="s">
        <v>101</v>
      </c>
      <c r="G64" s="19">
        <f>ROUND(SUMIF(H12:H60,"&lt;&gt;H",G12:G60)/COUNTIF(H12:H60,"&lt;&gt;H"),3)</f>
        <v>7.9000000000000001E-2</v>
      </c>
      <c r="K64" s="2"/>
    </row>
    <row r="65" spans="1:11" x14ac:dyDescent="0.2">
      <c r="A65" t="s">
        <v>102</v>
      </c>
      <c r="G65" s="19">
        <f>ROUND((SUMIF(H12:H60,"&lt;&gt;H",G12:G60)-VLOOKUP(1991,$A$12:$G$60,7,0))/(COUNTIF(H12:H60,"&lt;&gt;H")-1),3)</f>
        <v>6.6000000000000003E-2</v>
      </c>
      <c r="K65" s="2"/>
    </row>
    <row r="66" spans="1:11" x14ac:dyDescent="0.2">
      <c r="A66" t="s">
        <v>54</v>
      </c>
      <c r="G66" s="65">
        <f>ROUND(AVERAGE(G64:G65),3)</f>
        <v>7.2999999999999995E-2</v>
      </c>
      <c r="K66" s="2"/>
    </row>
    <row r="67" spans="1:11" ht="5.25" customHeight="1" thickBot="1" x14ac:dyDescent="0.25">
      <c r="A67" s="6"/>
      <c r="B67" s="6"/>
      <c r="C67" s="6"/>
      <c r="D67" s="6"/>
      <c r="E67" s="6"/>
      <c r="F67" s="6"/>
      <c r="G67" s="6"/>
      <c r="H67" s="6"/>
      <c r="I67" s="47"/>
      <c r="K67" s="2"/>
    </row>
    <row r="68" spans="1:11" ht="7.5" customHeight="1" thickTop="1" x14ac:dyDescent="0.2">
      <c r="K68" s="2"/>
    </row>
    <row r="69" spans="1:11" x14ac:dyDescent="0.2">
      <c r="A69" t="s">
        <v>19</v>
      </c>
      <c r="B69" s="21" t="str">
        <f>C10&amp;" Provided by TDI. "&amp;A12&amp;" - "&amp;A37&amp;" are year ending "&amp;TEXT($L$39,"m/d/xx")&amp;" as of "&amp;TEXT($M$38,"m/d/yy")&amp;"; "&amp;A38&amp;" - "&amp;A60&amp;" are year ending "&amp;TEXT($L$40,"m/d/xx")&amp;" as of "&amp;TEXT($M$40,"m/d/yy")</f>
        <v>(2) Provided by TDI. 1970 - 1995 are year ending 9/30/xx as of Evaluated as of; 1996 - 2018 are year ending 12/31/xx as of 12/31/18</v>
      </c>
      <c r="F69" s="42"/>
      <c r="K69" s="2"/>
    </row>
    <row r="70" spans="1:11" x14ac:dyDescent="0.2">
      <c r="B70" s="21" t="str">
        <f>D10&amp;" Provided by TDI (1992 MR = 1992 manual rates)"</f>
        <v>(3) Provided by TDI (1992 MR = 1992 manual rates)</v>
      </c>
      <c r="D70" s="21"/>
      <c r="K70" s="2"/>
    </row>
    <row r="71" spans="1:11" x14ac:dyDescent="0.2">
      <c r="B71" s="21" t="str">
        <f>E10&amp;" "&amp;A35&amp;" - "&amp;A60&amp;": Sum of "&amp;'6.4'!$J$1&amp;", "&amp;'6.4'!$J$2&amp;" - "&amp;'6.7'!$J$2&amp;", "&amp;'6.4'!F12&amp;"; "&amp;A12&amp;" - "&amp;A34&amp;": "&amp;D10&amp;" * "&amp;TEXT('6.4'!$L$14,"0.000")&amp;",factor to bring industry premium to TWIA curr't rate level"</f>
        <v>(4) 1993 - 2018: Sum of Exhibit 6, Sheet 4 - Sheet 7, (5); 1970 - 1992: (3) * 3.098,factor to bring industry premium to TWIA curr't rate level</v>
      </c>
      <c r="K71" s="2"/>
    </row>
    <row r="72" spans="1:11" x14ac:dyDescent="0.2">
      <c r="B72" s="101" t="str">
        <f>F10&amp;" Provided by TDI. "&amp;A12&amp;" - "&amp;A23&amp;" are year ending "&amp;TEXT($L$39,"m/d/xx")&amp;" as of "&amp;TEXT($M$39,"m/d/yy")&amp;"; "&amp;A24&amp;" - "&amp;A60&amp;" are year ending "&amp;TEXT($L$40,"m/d/xx")&amp;" as of "&amp;TEXT($M$40,"m/d/yy")</f>
        <v>(5) Provided by TDI. 1970 - 1981 are year ending 9/30/xx as of 12/31/99; 1982 - 2018 are year ending 12/31/xx as of 12/31/18</v>
      </c>
      <c r="K72" s="2"/>
    </row>
    <row r="73" spans="1:11" x14ac:dyDescent="0.2">
      <c r="B73" s="21" t="str">
        <f>G10&amp;" "&amp;A25&amp;" - "&amp;A60&amp;": "&amp;'6.3'!$I$1&amp;", "&amp;'6.3'!$I$2&amp;"; "&amp;A12&amp;" - "&amp;A24&amp;": "&amp;F10&amp;" / "&amp;E10</f>
        <v>(6) 1983 - 2018: Exhibit 6, Sheet 3; 1970 - 1982: (5) / (4)</v>
      </c>
      <c r="K73" s="2"/>
    </row>
    <row r="74" spans="1:11" ht="12" thickBot="1" x14ac:dyDescent="0.25">
      <c r="B74" s="21" t="str">
        <f>H10&amp;" ""H"" indicates occurrence of hurricane(s) during the time period (years ending "&amp;TEXT($L$40,"m/d/xx")&amp;")"</f>
        <v>(7) "H" indicates occurrence of hurricane(s) during the time period (years ending 12/31/xx)</v>
      </c>
      <c r="K74" s="2"/>
    </row>
    <row r="75" spans="1:11" ht="12" thickBot="1" x14ac:dyDescent="0.25">
      <c r="A75" s="4"/>
      <c r="B75" s="5"/>
      <c r="C75" s="5"/>
      <c r="D75" s="5"/>
      <c r="E75" s="5"/>
      <c r="F75" s="5"/>
      <c r="G75" s="5"/>
      <c r="H75" s="5"/>
      <c r="I75" s="5"/>
      <c r="J75" s="5"/>
      <c r="K75" s="3"/>
    </row>
  </sheetData>
  <phoneticPr fontId="0" type="noConversion"/>
  <pageMargins left="0.5" right="0.5" top="0.5" bottom="0.25" header="0.5" footer="0.5"/>
  <pageSetup scale="99" orientation="portrait" blackAndWhite="1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1"/>
  <dimension ref="A1:M72"/>
  <sheetViews>
    <sheetView showGridLines="0" view="pageBreakPreview" topLeftCell="A19" zoomScale="60" zoomScaleNormal="100" workbookViewId="0">
      <selection activeCell="A61" sqref="A61"/>
    </sheetView>
  </sheetViews>
  <sheetFormatPr defaultColWidth="11.33203125" defaultRowHeight="11.25" x14ac:dyDescent="0.2"/>
  <cols>
    <col min="1" max="1" width="6.33203125" bestFit="1" customWidth="1"/>
    <col min="2" max="2" width="11.33203125" customWidth="1"/>
    <col min="3" max="5" width="15.33203125" customWidth="1"/>
    <col min="6" max="7" width="14" customWidth="1"/>
    <col min="8" max="8" width="11.33203125" customWidth="1"/>
    <col min="9" max="9" width="7" customWidth="1"/>
  </cols>
  <sheetData>
    <row r="1" spans="1:13" x14ac:dyDescent="0.2">
      <c r="A1" s="8" t="str">
        <f>'1'!$A$1</f>
        <v>Texas Windstorm Insurance Association</v>
      </c>
      <c r="B1" s="12"/>
      <c r="I1" s="7" t="s">
        <v>85</v>
      </c>
      <c r="J1" s="1"/>
    </row>
    <row r="2" spans="1:13" x14ac:dyDescent="0.2">
      <c r="A2" s="8" t="str">
        <f>'1'!$A$2</f>
        <v>Commercial Property - Wind &amp; Hail</v>
      </c>
      <c r="B2" s="12"/>
      <c r="I2" s="7" t="s">
        <v>69</v>
      </c>
      <c r="J2" s="2"/>
    </row>
    <row r="3" spans="1:13" x14ac:dyDescent="0.2">
      <c r="A3" s="8" t="str">
        <f>'1'!$A$3</f>
        <v>Rate Level Review</v>
      </c>
      <c r="B3" s="12"/>
      <c r="J3" s="2"/>
    </row>
    <row r="4" spans="1:13" x14ac:dyDescent="0.2">
      <c r="A4" t="s">
        <v>231</v>
      </c>
      <c r="B4" s="12"/>
      <c r="J4" s="2"/>
    </row>
    <row r="5" spans="1:13" x14ac:dyDescent="0.2">
      <c r="A5" s="58"/>
      <c r="B5" s="21"/>
      <c r="C5" s="58"/>
      <c r="D5" s="58"/>
      <c r="E5" s="58"/>
      <c r="J5" s="2"/>
    </row>
    <row r="6" spans="1:13" x14ac:dyDescent="0.2">
      <c r="J6" s="2"/>
    </row>
    <row r="7" spans="1:13" ht="12" thickBot="1" x14ac:dyDescent="0.25">
      <c r="A7" s="6"/>
      <c r="B7" s="6"/>
      <c r="C7" s="6"/>
      <c r="D7" s="6"/>
      <c r="E7" s="6"/>
      <c r="F7" s="6"/>
      <c r="G7" s="6"/>
      <c r="H7" s="6"/>
      <c r="I7" s="6"/>
      <c r="J7" s="2"/>
    </row>
    <row r="8" spans="1:13" ht="12" thickTop="1" x14ac:dyDescent="0.2">
      <c r="J8" s="2"/>
    </row>
    <row r="9" spans="1:13" x14ac:dyDescent="0.2">
      <c r="C9" s="23" t="s">
        <v>107</v>
      </c>
      <c r="J9" s="2"/>
      <c r="K9" s="26"/>
    </row>
    <row r="10" spans="1:13" x14ac:dyDescent="0.2">
      <c r="A10" t="s">
        <v>42</v>
      </c>
      <c r="G10" t="s">
        <v>106</v>
      </c>
      <c r="H10" s="58" t="s">
        <v>503</v>
      </c>
      <c r="I10" s="58"/>
      <c r="J10" s="2"/>
      <c r="K10" s="21"/>
    </row>
    <row r="11" spans="1:13" x14ac:dyDescent="0.2">
      <c r="A11" s="9" t="s">
        <v>43</v>
      </c>
      <c r="B11" s="9"/>
      <c r="C11" s="9" t="s">
        <v>103</v>
      </c>
      <c r="D11" s="9" t="s">
        <v>104</v>
      </c>
      <c r="E11" s="9" t="s">
        <v>105</v>
      </c>
      <c r="F11" s="9" t="s">
        <v>23</v>
      </c>
      <c r="G11" s="9" t="s">
        <v>59</v>
      </c>
      <c r="H11" s="139" t="s">
        <v>59</v>
      </c>
      <c r="I11" s="139"/>
      <c r="J11" s="2"/>
      <c r="K11" s="49"/>
    </row>
    <row r="12" spans="1:13" x14ac:dyDescent="0.2">
      <c r="A12" s="11" t="str">
        <f>TEXT(COLUMN(),"(#)")</f>
        <v>(1)</v>
      </c>
      <c r="B12" s="11"/>
      <c r="C12" s="11" t="str">
        <f>TEXT(COLUMN()-1,"(#)")</f>
        <v>(2)</v>
      </c>
      <c r="D12" s="11" t="str">
        <f>TEXT(COLUMN()-1,"(#)")</f>
        <v>(3)</v>
      </c>
      <c r="E12" s="11" t="str">
        <f>TEXT(COLUMN()-1,"(#)")</f>
        <v>(4)</v>
      </c>
      <c r="F12" s="11" t="str">
        <f>TEXT(COLUMN()-1,"(#)")</f>
        <v>(5)</v>
      </c>
      <c r="G12" s="11" t="str">
        <f>TEXT(COLUMN()-1,"(#)")</f>
        <v>(6)</v>
      </c>
      <c r="H12" s="68" t="s">
        <v>96</v>
      </c>
      <c r="I12" s="58"/>
      <c r="J12" s="2"/>
    </row>
    <row r="13" spans="1:13" x14ac:dyDescent="0.2">
      <c r="H13" s="58"/>
      <c r="I13" s="58"/>
      <c r="J13" s="2"/>
    </row>
    <row r="14" spans="1:13" x14ac:dyDescent="0.2">
      <c r="A14" s="232">
        <v>1983</v>
      </c>
      <c r="C14" s="59">
        <f>'6.4'!H14</f>
        <v>8.7870000000000008</v>
      </c>
      <c r="D14" s="59">
        <f>'6.5'!H14</f>
        <v>3.7999999999999999E-2</v>
      </c>
      <c r="E14" s="59">
        <f>'6.6'!H14</f>
        <v>0.40899999999999997</v>
      </c>
      <c r="F14" s="59">
        <f>'6.7'!H14</f>
        <v>1.472</v>
      </c>
      <c r="G14" s="22">
        <f t="shared" ref="G14:G45" si="0">ROUND(SUMPRODUCT(C14:F14,$C$58:$F$58)/$G$58,3)</f>
        <v>3.4329999999999998</v>
      </c>
      <c r="H14" s="28">
        <f>G14</f>
        <v>3.4329999999999998</v>
      </c>
      <c r="I14" s="58"/>
      <c r="J14" s="2"/>
      <c r="M14">
        <f t="shared" ref="M14:M49" si="1">2018-A14</f>
        <v>35</v>
      </c>
    </row>
    <row r="15" spans="1:13" x14ac:dyDescent="0.2">
      <c r="A15" t="str">
        <f>TEXT(A14+1,"#")</f>
        <v>1984</v>
      </c>
      <c r="C15" s="59">
        <f>'6.4'!H15</f>
        <v>7.4999999999999997E-2</v>
      </c>
      <c r="D15" s="59">
        <f>'6.5'!H15</f>
        <v>3.7999999999999999E-2</v>
      </c>
      <c r="E15" s="59">
        <f>'6.6'!H15</f>
        <v>9.7000000000000003E-2</v>
      </c>
      <c r="F15" s="59">
        <f>'6.7'!H15</f>
        <v>0.14099999999999999</v>
      </c>
      <c r="G15" s="22">
        <f t="shared" si="0"/>
        <v>7.5999999999999998E-2</v>
      </c>
      <c r="H15" s="28">
        <f t="shared" ref="H15:H39" si="2">G15</f>
        <v>7.5999999999999998E-2</v>
      </c>
      <c r="I15" s="58"/>
      <c r="J15" s="2"/>
      <c r="M15">
        <f t="shared" si="1"/>
        <v>34</v>
      </c>
    </row>
    <row r="16" spans="1:13" x14ac:dyDescent="0.2">
      <c r="A16" t="str">
        <f t="shared" ref="A16:A46" si="3">TEXT(A15+1,"#")</f>
        <v>1985</v>
      </c>
      <c r="C16" s="59">
        <f>'6.4'!H16</f>
        <v>3.6999999999999998E-2</v>
      </c>
      <c r="D16" s="59">
        <f>'6.5'!H16</f>
        <v>2.5000000000000001E-2</v>
      </c>
      <c r="E16" s="59">
        <f>'6.6'!H16</f>
        <v>4.2999999999999997E-2</v>
      </c>
      <c r="F16" s="59">
        <f>'6.7'!H16</f>
        <v>7.9000000000000001E-2</v>
      </c>
      <c r="G16" s="22">
        <f t="shared" si="0"/>
        <v>3.6999999999999998E-2</v>
      </c>
      <c r="H16" s="28">
        <f t="shared" si="2"/>
        <v>3.6999999999999998E-2</v>
      </c>
      <c r="I16" s="58"/>
      <c r="J16" s="2"/>
      <c r="M16">
        <f t="shared" si="1"/>
        <v>33</v>
      </c>
    </row>
    <row r="17" spans="1:13" x14ac:dyDescent="0.2">
      <c r="A17" t="str">
        <f t="shared" si="3"/>
        <v>1986</v>
      </c>
      <c r="C17" s="59">
        <f>'6.4'!H17</f>
        <v>2.9000000000000001E-2</v>
      </c>
      <c r="D17" s="59">
        <f>'6.5'!H17</f>
        <v>0.01</v>
      </c>
      <c r="E17" s="59">
        <f>'6.6'!H17</f>
        <v>0.159</v>
      </c>
      <c r="F17" s="59">
        <f>'6.7'!H17</f>
        <v>0.124</v>
      </c>
      <c r="G17" s="22">
        <f t="shared" si="0"/>
        <v>7.8E-2</v>
      </c>
      <c r="H17" s="28">
        <f t="shared" si="2"/>
        <v>7.8E-2</v>
      </c>
      <c r="I17" s="58"/>
      <c r="J17" s="2"/>
      <c r="M17">
        <f t="shared" si="1"/>
        <v>32</v>
      </c>
    </row>
    <row r="18" spans="1:13" ht="12.75" x14ac:dyDescent="0.2">
      <c r="A18" t="str">
        <f t="shared" si="3"/>
        <v>1987</v>
      </c>
      <c r="C18" s="59">
        <f>'6.4'!H18</f>
        <v>5.0000000000000001E-3</v>
      </c>
      <c r="D18" s="59">
        <f>'6.5'!H18</f>
        <v>1.6E-2</v>
      </c>
      <c r="E18" s="59">
        <f>'6.6'!H18</f>
        <v>0.02</v>
      </c>
      <c r="F18" s="59">
        <f>'6.7'!H18</f>
        <v>0.03</v>
      </c>
      <c r="G18" s="22">
        <f t="shared" si="0"/>
        <v>1.4E-2</v>
      </c>
      <c r="H18" s="28">
        <f t="shared" si="2"/>
        <v>1.4E-2</v>
      </c>
      <c r="I18" s="58"/>
      <c r="J18" s="2"/>
      <c r="L18" s="423"/>
      <c r="M18">
        <f t="shared" si="1"/>
        <v>31</v>
      </c>
    </row>
    <row r="19" spans="1:13" x14ac:dyDescent="0.2">
      <c r="A19" t="str">
        <f t="shared" si="3"/>
        <v>1988</v>
      </c>
      <c r="C19" s="59">
        <f>'6.4'!H19</f>
        <v>0.115</v>
      </c>
      <c r="D19" s="59">
        <f>'6.5'!H19</f>
        <v>3.4000000000000002E-2</v>
      </c>
      <c r="E19" s="59">
        <f>'6.6'!H19</f>
        <v>8.1000000000000003E-2</v>
      </c>
      <c r="F19" s="59">
        <f>'6.7'!H19</f>
        <v>4.7E-2</v>
      </c>
      <c r="G19" s="22">
        <f t="shared" si="0"/>
        <v>8.3000000000000004E-2</v>
      </c>
      <c r="H19" s="28">
        <f t="shared" si="2"/>
        <v>8.3000000000000004E-2</v>
      </c>
      <c r="I19" s="58"/>
      <c r="J19" s="2"/>
      <c r="M19">
        <f t="shared" si="1"/>
        <v>30</v>
      </c>
    </row>
    <row r="20" spans="1:13" x14ac:dyDescent="0.2">
      <c r="A20" t="str">
        <f t="shared" si="3"/>
        <v>1989</v>
      </c>
      <c r="C20" s="59">
        <f>'6.4'!H20</f>
        <v>0.13300000000000001</v>
      </c>
      <c r="D20" s="59">
        <f>'6.5'!H20</f>
        <v>1.7000000000000001E-2</v>
      </c>
      <c r="E20" s="59">
        <f>'6.6'!H20</f>
        <v>1.9E-2</v>
      </c>
      <c r="F20" s="59">
        <f>'6.7'!H20</f>
        <v>5.3999999999999999E-2</v>
      </c>
      <c r="G20" s="22">
        <f t="shared" si="0"/>
        <v>6.0999999999999999E-2</v>
      </c>
      <c r="H20" s="28">
        <f t="shared" si="2"/>
        <v>6.0999999999999999E-2</v>
      </c>
      <c r="I20" s="58"/>
      <c r="J20" s="2"/>
      <c r="M20">
        <f t="shared" si="1"/>
        <v>29</v>
      </c>
    </row>
    <row r="21" spans="1:13" x14ac:dyDescent="0.2">
      <c r="A21" t="str">
        <f t="shared" si="3"/>
        <v>1990</v>
      </c>
      <c r="C21" s="59">
        <f>'6.4'!H21</f>
        <v>2.355</v>
      </c>
      <c r="D21" s="59">
        <f>'6.5'!H21</f>
        <v>2.5000000000000001E-2</v>
      </c>
      <c r="E21" s="59">
        <f>'6.6'!H21</f>
        <v>8.7999999999999995E-2</v>
      </c>
      <c r="F21" s="59">
        <f>'6.7'!H21</f>
        <v>6.8000000000000005E-2</v>
      </c>
      <c r="G21" s="22">
        <f>ROUND(SUMPRODUCT(C21:F21,$C$58:$F$58)/$G$58,3)</f>
        <v>0.91200000000000003</v>
      </c>
      <c r="H21" s="28">
        <f t="shared" si="2"/>
        <v>0.91200000000000003</v>
      </c>
      <c r="I21" s="58"/>
      <c r="J21" s="2"/>
      <c r="M21">
        <f t="shared" si="1"/>
        <v>28</v>
      </c>
    </row>
    <row r="22" spans="1:13" x14ac:dyDescent="0.2">
      <c r="A22" t="str">
        <f t="shared" si="3"/>
        <v>1991</v>
      </c>
      <c r="C22" s="59">
        <f>'6.4'!H22</f>
        <v>0.21299999999999999</v>
      </c>
      <c r="D22" s="59">
        <f>'6.5'!H22</f>
        <v>0.21</v>
      </c>
      <c r="E22" s="59">
        <f>'6.6'!H22</f>
        <v>0.999</v>
      </c>
      <c r="F22" s="59">
        <f>'6.7'!H22</f>
        <v>4.5999999999999999E-2</v>
      </c>
      <c r="G22" s="22">
        <f t="shared" si="0"/>
        <v>0.52600000000000002</v>
      </c>
      <c r="H22" s="28">
        <f t="shared" si="2"/>
        <v>0.52600000000000002</v>
      </c>
      <c r="I22" s="58"/>
      <c r="J22" s="2"/>
      <c r="M22">
        <f t="shared" si="1"/>
        <v>27</v>
      </c>
    </row>
    <row r="23" spans="1:13" x14ac:dyDescent="0.2">
      <c r="A23" t="str">
        <f t="shared" si="3"/>
        <v>1992</v>
      </c>
      <c r="B23" s="21"/>
      <c r="C23" s="59">
        <f>'6.4'!H23</f>
        <v>7.0000000000000001E-3</v>
      </c>
      <c r="D23" s="59">
        <f>'6.5'!H23</f>
        <v>0.01</v>
      </c>
      <c r="E23" s="59">
        <f>'6.6'!H23</f>
        <v>2.1000000000000001E-2</v>
      </c>
      <c r="F23" s="59">
        <f>'6.7'!H23</f>
        <v>3.7999999999999999E-2</v>
      </c>
      <c r="G23" s="22">
        <f t="shared" si="0"/>
        <v>1.4E-2</v>
      </c>
      <c r="H23" s="28">
        <f t="shared" si="2"/>
        <v>1.4E-2</v>
      </c>
      <c r="I23" s="58"/>
      <c r="J23" s="2"/>
      <c r="M23">
        <f t="shared" si="1"/>
        <v>26</v>
      </c>
    </row>
    <row r="24" spans="1:13" x14ac:dyDescent="0.2">
      <c r="A24" t="str">
        <f t="shared" si="3"/>
        <v>1993</v>
      </c>
      <c r="B24" s="21"/>
      <c r="C24" s="59">
        <f>'6.4'!H24</f>
        <v>0.13500000000000001</v>
      </c>
      <c r="D24" s="59">
        <f>'6.5'!H24</f>
        <v>1.7000000000000001E-2</v>
      </c>
      <c r="E24" s="59">
        <f>'6.6'!H24</f>
        <v>1.7000000000000001E-2</v>
      </c>
      <c r="F24" s="59">
        <f>'6.7'!H24</f>
        <v>5.7000000000000002E-2</v>
      </c>
      <c r="G24" s="22">
        <f t="shared" si="0"/>
        <v>6.0999999999999999E-2</v>
      </c>
      <c r="H24" s="28">
        <f t="shared" si="2"/>
        <v>6.0999999999999999E-2</v>
      </c>
      <c r="I24" s="58"/>
      <c r="J24" s="2"/>
      <c r="M24">
        <f t="shared" si="1"/>
        <v>25</v>
      </c>
    </row>
    <row r="25" spans="1:13" x14ac:dyDescent="0.2">
      <c r="A25" t="str">
        <f t="shared" si="3"/>
        <v>1994</v>
      </c>
      <c r="B25" s="21"/>
      <c r="C25" s="59">
        <f>'6.4'!H25</f>
        <v>3.0000000000000001E-3</v>
      </c>
      <c r="D25" s="59">
        <f>'6.5'!H25</f>
        <v>3.6999999999999998E-2</v>
      </c>
      <c r="E25" s="59">
        <f>'6.6'!H25</f>
        <v>0.19600000000000001</v>
      </c>
      <c r="F25" s="59">
        <f>'6.7'!H25</f>
        <v>7.9000000000000001E-2</v>
      </c>
      <c r="G25" s="22">
        <f t="shared" si="0"/>
        <v>8.8999999999999996E-2</v>
      </c>
      <c r="H25" s="28">
        <f t="shared" si="2"/>
        <v>8.8999999999999996E-2</v>
      </c>
      <c r="I25" s="58"/>
      <c r="J25" s="2"/>
      <c r="M25">
        <f t="shared" si="1"/>
        <v>24</v>
      </c>
    </row>
    <row r="26" spans="1:13" x14ac:dyDescent="0.2">
      <c r="A26" t="str">
        <f t="shared" si="3"/>
        <v>1995</v>
      </c>
      <c r="C26" s="59">
        <f>'6.4'!H26</f>
        <v>7.8E-2</v>
      </c>
      <c r="D26" s="59">
        <f>'6.5'!H26</f>
        <v>0.10299999999999999</v>
      </c>
      <c r="E26" s="59">
        <f>'6.6'!H26</f>
        <v>0.376</v>
      </c>
      <c r="F26" s="59">
        <f>'6.7'!H26</f>
        <v>0.20599999999999999</v>
      </c>
      <c r="G26" s="22">
        <f t="shared" si="0"/>
        <v>0.20399999999999999</v>
      </c>
      <c r="H26" s="28">
        <f t="shared" si="2"/>
        <v>0.20399999999999999</v>
      </c>
      <c r="I26" s="58"/>
      <c r="J26" s="2"/>
      <c r="M26">
        <f t="shared" si="1"/>
        <v>23</v>
      </c>
    </row>
    <row r="27" spans="1:13" x14ac:dyDescent="0.2">
      <c r="A27" t="str">
        <f t="shared" si="3"/>
        <v>1996</v>
      </c>
      <c r="C27" s="59">
        <f>'6.4'!H27</f>
        <v>1.4999999999999999E-2</v>
      </c>
      <c r="D27" s="59">
        <f>'6.5'!H27</f>
        <v>2.9000000000000001E-2</v>
      </c>
      <c r="E27" s="59">
        <f>'6.6'!H27</f>
        <v>3.1E-2</v>
      </c>
      <c r="F27" s="59">
        <f>'6.7'!H27</f>
        <v>6.6000000000000003E-2</v>
      </c>
      <c r="G27" s="22">
        <f t="shared" si="0"/>
        <v>2.5000000000000001E-2</v>
      </c>
      <c r="H27" s="28">
        <f t="shared" si="2"/>
        <v>2.5000000000000001E-2</v>
      </c>
      <c r="I27" s="58"/>
      <c r="J27" s="2"/>
      <c r="M27">
        <f t="shared" si="1"/>
        <v>22</v>
      </c>
    </row>
    <row r="28" spans="1:13" x14ac:dyDescent="0.2">
      <c r="A28" t="str">
        <f t="shared" si="3"/>
        <v>1997</v>
      </c>
      <c r="C28" s="59">
        <f>'6.4'!H28</f>
        <v>5.1999999999999998E-2</v>
      </c>
      <c r="D28" s="59">
        <f>'6.5'!H28</f>
        <v>0.02</v>
      </c>
      <c r="E28" s="59">
        <f>'6.6'!H28</f>
        <v>3.5999999999999997E-2</v>
      </c>
      <c r="F28" s="59">
        <f>'6.7'!H28</f>
        <v>0.09</v>
      </c>
      <c r="G28" s="22">
        <f t="shared" si="0"/>
        <v>3.9E-2</v>
      </c>
      <c r="H28" s="28">
        <f t="shared" si="2"/>
        <v>3.9E-2</v>
      </c>
      <c r="I28" s="58"/>
      <c r="J28" s="2"/>
      <c r="M28">
        <f t="shared" si="1"/>
        <v>21</v>
      </c>
    </row>
    <row r="29" spans="1:13" x14ac:dyDescent="0.2">
      <c r="A29" t="str">
        <f t="shared" si="3"/>
        <v>1998</v>
      </c>
      <c r="C29" s="59">
        <f>'6.4'!H29</f>
        <v>0.20699999999999999</v>
      </c>
      <c r="D29" s="59">
        <f>'6.5'!H29</f>
        <v>0.13700000000000001</v>
      </c>
      <c r="E29" s="59">
        <f>'6.6'!H29</f>
        <v>0.114</v>
      </c>
      <c r="F29" s="59">
        <f>'6.7'!H29</f>
        <v>0.09</v>
      </c>
      <c r="G29" s="22">
        <f t="shared" si="0"/>
        <v>0.153</v>
      </c>
      <c r="H29" s="28">
        <f t="shared" si="2"/>
        <v>0.153</v>
      </c>
      <c r="I29" s="58"/>
      <c r="J29" s="2"/>
      <c r="M29">
        <f t="shared" si="1"/>
        <v>20</v>
      </c>
    </row>
    <row r="30" spans="1:13" x14ac:dyDescent="0.2">
      <c r="A30" t="str">
        <f t="shared" si="3"/>
        <v>1999</v>
      </c>
      <c r="C30" s="59">
        <f>'6.4'!H30</f>
        <v>2.7E-2</v>
      </c>
      <c r="D30" s="59">
        <f>'6.5'!H30</f>
        <v>0.126</v>
      </c>
      <c r="E30" s="59">
        <f>'6.6'!H30</f>
        <v>0.11700000000000001</v>
      </c>
      <c r="F30" s="59">
        <f>'6.7'!H30</f>
        <v>8.8999999999999996E-2</v>
      </c>
      <c r="G30" s="22">
        <f t="shared" si="0"/>
        <v>8.5000000000000006E-2</v>
      </c>
      <c r="H30" s="28">
        <f t="shared" si="2"/>
        <v>8.5000000000000006E-2</v>
      </c>
      <c r="I30" s="58"/>
      <c r="J30" s="2"/>
      <c r="M30">
        <f t="shared" si="1"/>
        <v>19</v>
      </c>
    </row>
    <row r="31" spans="1:13" x14ac:dyDescent="0.2">
      <c r="A31" t="str">
        <f t="shared" si="3"/>
        <v>2000</v>
      </c>
      <c r="C31" s="59">
        <f>'6.4'!H31</f>
        <v>2.1000000000000001E-2</v>
      </c>
      <c r="D31" s="59">
        <f>'6.5'!H31</f>
        <v>0.02</v>
      </c>
      <c r="E31" s="59">
        <f>'6.6'!H31</f>
        <v>0.13800000000000001</v>
      </c>
      <c r="F31" s="59">
        <f>'6.7'!H31</f>
        <v>0.58899999999999997</v>
      </c>
      <c r="G31" s="22">
        <f t="shared" si="0"/>
        <v>7.1999999999999995E-2</v>
      </c>
      <c r="H31" s="28">
        <f t="shared" si="2"/>
        <v>7.1999999999999995E-2</v>
      </c>
      <c r="I31" s="58"/>
      <c r="J31" s="2"/>
      <c r="M31">
        <f t="shared" si="1"/>
        <v>18</v>
      </c>
    </row>
    <row r="32" spans="1:13" x14ac:dyDescent="0.2">
      <c r="A32" t="str">
        <f t="shared" si="3"/>
        <v>2001</v>
      </c>
      <c r="C32" s="59">
        <f>'6.4'!H32</f>
        <v>7.0000000000000007E-2</v>
      </c>
      <c r="D32" s="59">
        <f>'6.5'!H32</f>
        <v>3.2000000000000001E-2</v>
      </c>
      <c r="E32" s="59">
        <f>'6.6'!H32</f>
        <v>5.7000000000000002E-2</v>
      </c>
      <c r="F32" s="59">
        <f>'6.7'!H32</f>
        <v>0.28699999999999998</v>
      </c>
      <c r="G32" s="22">
        <f t="shared" si="0"/>
        <v>5.8000000000000003E-2</v>
      </c>
      <c r="H32" s="28">
        <f t="shared" si="2"/>
        <v>5.8000000000000003E-2</v>
      </c>
      <c r="I32" s="58"/>
      <c r="J32" s="2"/>
      <c r="M32">
        <f t="shared" si="1"/>
        <v>17</v>
      </c>
    </row>
    <row r="33" spans="1:13" x14ac:dyDescent="0.2">
      <c r="A33" t="str">
        <f t="shared" si="3"/>
        <v>2002</v>
      </c>
      <c r="C33" s="59">
        <f>'6.4'!H33</f>
        <v>0.11700000000000001</v>
      </c>
      <c r="D33" s="59">
        <f>'6.5'!H33</f>
        <v>0.313</v>
      </c>
      <c r="E33" s="59">
        <f>'6.6'!H33</f>
        <v>7.1999999999999995E-2</v>
      </c>
      <c r="F33" s="59">
        <f>'6.7'!H33</f>
        <v>9.6000000000000002E-2</v>
      </c>
      <c r="G33" s="22">
        <f t="shared" si="0"/>
        <v>0.14199999999999999</v>
      </c>
      <c r="H33" s="28">
        <f t="shared" si="2"/>
        <v>0.14199999999999999</v>
      </c>
      <c r="I33" s="58"/>
      <c r="J33" s="2"/>
      <c r="K33" t="s">
        <v>242</v>
      </c>
      <c r="M33">
        <f t="shared" si="1"/>
        <v>16</v>
      </c>
    </row>
    <row r="34" spans="1:13" x14ac:dyDescent="0.2">
      <c r="A34" t="str">
        <f t="shared" si="3"/>
        <v>2003</v>
      </c>
      <c r="B34" s="24"/>
      <c r="C34" s="59">
        <f>'6.4'!H34</f>
        <v>2.4E-2</v>
      </c>
      <c r="D34" s="59">
        <f>'6.5'!H34</f>
        <v>8.4000000000000005E-2</v>
      </c>
      <c r="E34" s="59">
        <f>'6.6'!H34</f>
        <v>0.49</v>
      </c>
      <c r="F34" s="59">
        <f>'6.7'!H34</f>
        <v>0.311</v>
      </c>
      <c r="G34" s="22">
        <f t="shared" si="0"/>
        <v>0.22600000000000001</v>
      </c>
      <c r="H34" s="28">
        <f t="shared" si="2"/>
        <v>0.22600000000000001</v>
      </c>
      <c r="I34" s="58"/>
      <c r="J34" s="2"/>
      <c r="K34" s="331">
        <f>'6.4'!L49</f>
        <v>43465</v>
      </c>
      <c r="M34">
        <f t="shared" si="1"/>
        <v>15</v>
      </c>
    </row>
    <row r="35" spans="1:13" x14ac:dyDescent="0.2">
      <c r="A35" t="str">
        <f t="shared" si="3"/>
        <v>2004</v>
      </c>
      <c r="B35" s="24"/>
      <c r="C35" s="59">
        <f>'6.4'!H35</f>
        <v>2.9000000000000001E-2</v>
      </c>
      <c r="D35" s="59">
        <f>'6.5'!H35</f>
        <v>6.0000000000000001E-3</v>
      </c>
      <c r="E35" s="59">
        <f>'6.6'!H35</f>
        <v>0.02</v>
      </c>
      <c r="F35" s="59">
        <f>'6.7'!H35</f>
        <v>3.1E-2</v>
      </c>
      <c r="G35" s="22">
        <f t="shared" si="0"/>
        <v>0.02</v>
      </c>
      <c r="H35" s="28">
        <f t="shared" si="2"/>
        <v>0.02</v>
      </c>
      <c r="I35" s="58"/>
      <c r="J35" s="2"/>
      <c r="M35">
        <f t="shared" si="1"/>
        <v>14</v>
      </c>
    </row>
    <row r="36" spans="1:13" x14ac:dyDescent="0.2">
      <c r="A36" t="str">
        <f t="shared" si="3"/>
        <v>2005</v>
      </c>
      <c r="B36" s="24"/>
      <c r="C36" s="59">
        <f>'6.4'!H36</f>
        <v>0.66600000000000004</v>
      </c>
      <c r="D36" s="59">
        <f>'6.5'!H36</f>
        <v>1.7000000000000001E-2</v>
      </c>
      <c r="E36" s="59">
        <f>'6.6'!H36</f>
        <v>3.782</v>
      </c>
      <c r="F36" s="59">
        <f>'6.7'!H36</f>
        <v>0.50900000000000001</v>
      </c>
      <c r="G36" s="22">
        <f t="shared" si="0"/>
        <v>1.7709999999999999</v>
      </c>
      <c r="H36" s="28">
        <f t="shared" si="2"/>
        <v>1.7709999999999999</v>
      </c>
      <c r="I36" s="58"/>
      <c r="J36" s="2"/>
      <c r="M36">
        <f t="shared" si="1"/>
        <v>13</v>
      </c>
    </row>
    <row r="37" spans="1:13" x14ac:dyDescent="0.2">
      <c r="A37" t="str">
        <f t="shared" si="3"/>
        <v>2006</v>
      </c>
      <c r="B37" s="48"/>
      <c r="C37" s="59">
        <f>'6.4'!H37</f>
        <v>2.3E-2</v>
      </c>
      <c r="D37" s="59">
        <f>'6.5'!H37</f>
        <v>0.01</v>
      </c>
      <c r="E37" s="59">
        <f>'6.6'!H37</f>
        <v>2.5999999999999999E-2</v>
      </c>
      <c r="F37" s="59">
        <f>'6.7'!H37</f>
        <v>5.8000000000000003E-2</v>
      </c>
      <c r="G37" s="22">
        <f t="shared" si="0"/>
        <v>2.1999999999999999E-2</v>
      </c>
      <c r="H37" s="28">
        <f t="shared" si="2"/>
        <v>2.1999999999999999E-2</v>
      </c>
      <c r="I37" s="58"/>
      <c r="J37" s="2"/>
      <c r="M37">
        <f t="shared" si="1"/>
        <v>12</v>
      </c>
    </row>
    <row r="38" spans="1:13" x14ac:dyDescent="0.2">
      <c r="A38" t="str">
        <f t="shared" si="3"/>
        <v>2007</v>
      </c>
      <c r="B38" s="48"/>
      <c r="C38" s="59">
        <f>'6.4'!H38</f>
        <v>1.6E-2</v>
      </c>
      <c r="D38" s="59">
        <f>'6.5'!H38</f>
        <v>0.56399999999999995</v>
      </c>
      <c r="E38" s="59">
        <f>'6.6'!H38</f>
        <v>5.8999999999999997E-2</v>
      </c>
      <c r="F38" s="59">
        <f>'6.7'!H38</f>
        <v>9.9000000000000005E-2</v>
      </c>
      <c r="G38" s="22">
        <f t="shared" si="0"/>
        <v>0.155</v>
      </c>
      <c r="H38" s="28">
        <f t="shared" si="2"/>
        <v>0.155</v>
      </c>
      <c r="I38" s="58"/>
      <c r="J38" s="2"/>
      <c r="M38">
        <f t="shared" si="1"/>
        <v>11</v>
      </c>
    </row>
    <row r="39" spans="1:13" x14ac:dyDescent="0.2">
      <c r="A39" t="str">
        <f t="shared" si="3"/>
        <v>2008</v>
      </c>
      <c r="B39" s="48"/>
      <c r="C39" s="59">
        <f>'6.4'!H39</f>
        <v>7.0090000000000003</v>
      </c>
      <c r="D39" s="59">
        <f>'6.5'!H39</f>
        <v>0.36499999999999999</v>
      </c>
      <c r="E39" s="59">
        <f>'6.6'!H39</f>
        <v>4.83</v>
      </c>
      <c r="F39" s="59">
        <f>'6.7'!H39</f>
        <v>4.9020000000000001</v>
      </c>
      <c r="G39" s="22">
        <f t="shared" si="0"/>
        <v>4.6479999999999997</v>
      </c>
      <c r="H39" s="28">
        <f t="shared" si="2"/>
        <v>4.6479999999999997</v>
      </c>
      <c r="I39" s="58"/>
      <c r="J39" s="2"/>
      <c r="M39">
        <f t="shared" si="1"/>
        <v>10</v>
      </c>
    </row>
    <row r="40" spans="1:13" x14ac:dyDescent="0.2">
      <c r="A40" t="str">
        <f t="shared" si="3"/>
        <v>2009</v>
      </c>
      <c r="C40" s="59">
        <f>'6.4'!H40</f>
        <v>2.5000000000000001E-2</v>
      </c>
      <c r="D40" s="59">
        <f>'6.5'!H40</f>
        <v>4.7E-2</v>
      </c>
      <c r="E40" s="59">
        <f>'6.6'!H40</f>
        <v>1.6E-2</v>
      </c>
      <c r="F40" s="59">
        <f>'6.7'!H40</f>
        <v>9.6000000000000002E-2</v>
      </c>
      <c r="G40" s="22">
        <f t="shared" si="0"/>
        <v>2.7E-2</v>
      </c>
      <c r="H40" s="62">
        <f>G40*'2.2'!D14</f>
        <v>2.7E-2</v>
      </c>
      <c r="I40" s="58"/>
      <c r="J40" s="2"/>
      <c r="M40">
        <f t="shared" si="1"/>
        <v>9</v>
      </c>
    </row>
    <row r="41" spans="1:13" x14ac:dyDescent="0.2">
      <c r="A41" t="str">
        <f t="shared" si="3"/>
        <v>2010</v>
      </c>
      <c r="C41" s="59">
        <f>'6.4'!H41</f>
        <v>1.4999999999999999E-2</v>
      </c>
      <c r="D41" s="59">
        <f>'6.5'!H41</f>
        <v>4.5999999999999999E-2</v>
      </c>
      <c r="E41" s="59">
        <f>'6.6'!H41</f>
        <v>6.0999999999999999E-2</v>
      </c>
      <c r="F41" s="59">
        <f>'6.7'!H41</f>
        <v>3.4000000000000002E-2</v>
      </c>
      <c r="G41" s="22">
        <f t="shared" si="0"/>
        <v>0.04</v>
      </c>
      <c r="H41" s="62">
        <f>G41*'2.2'!D15</f>
        <v>0.04</v>
      </c>
      <c r="I41" s="58"/>
      <c r="J41" s="2"/>
      <c r="M41">
        <f t="shared" si="1"/>
        <v>8</v>
      </c>
    </row>
    <row r="42" spans="1:13" x14ac:dyDescent="0.2">
      <c r="A42" t="str">
        <f t="shared" si="3"/>
        <v>2011</v>
      </c>
      <c r="C42" s="59">
        <f>'6.4'!H42</f>
        <v>3.9E-2</v>
      </c>
      <c r="D42" s="59">
        <f>'6.5'!H42</f>
        <v>0.311</v>
      </c>
      <c r="E42" s="59">
        <f>'6.6'!H42</f>
        <v>0.192</v>
      </c>
      <c r="F42" s="59">
        <f>'6.7'!H42</f>
        <v>0.189</v>
      </c>
      <c r="G42" s="22">
        <f t="shared" si="0"/>
        <v>0.16200000000000001</v>
      </c>
      <c r="H42" s="62">
        <f>G42*'2.2'!D16</f>
        <v>0.16200000000000001</v>
      </c>
      <c r="I42" s="58"/>
      <c r="J42" s="2"/>
      <c r="M42">
        <f t="shared" si="1"/>
        <v>7</v>
      </c>
    </row>
    <row r="43" spans="1:13" x14ac:dyDescent="0.2">
      <c r="A43" t="str">
        <f t="shared" si="3"/>
        <v>2012</v>
      </c>
      <c r="B43" s="47"/>
      <c r="C43" s="59">
        <f>'6.4'!H43</f>
        <v>0.19</v>
      </c>
      <c r="D43" s="59">
        <f>'6.5'!H43</f>
        <v>0.24299999999999999</v>
      </c>
      <c r="E43" s="59">
        <f>'6.6'!H43</f>
        <v>0.153</v>
      </c>
      <c r="F43" s="59">
        <f>'6.7'!H43</f>
        <v>0.109</v>
      </c>
      <c r="G43" s="22">
        <f t="shared" si="0"/>
        <v>0.186</v>
      </c>
      <c r="H43" s="62">
        <f>G43*'2.2'!D17</f>
        <v>0.186</v>
      </c>
      <c r="I43" s="58"/>
      <c r="J43" s="2"/>
      <c r="K43" t="s">
        <v>241</v>
      </c>
      <c r="M43">
        <f t="shared" si="1"/>
        <v>6</v>
      </c>
    </row>
    <row r="44" spans="1:13" x14ac:dyDescent="0.2">
      <c r="A44" t="str">
        <f t="shared" si="3"/>
        <v>2013</v>
      </c>
      <c r="B44" s="47"/>
      <c r="C44" s="59">
        <f>'6.4'!H44</f>
        <v>0.14199999999999999</v>
      </c>
      <c r="D44" s="59">
        <f>'6.5'!H44</f>
        <v>4.2999999999999997E-2</v>
      </c>
      <c r="E44" s="59">
        <f>'6.6'!H44</f>
        <v>1.2E-2</v>
      </c>
      <c r="F44" s="59">
        <f>'6.7'!H44</f>
        <v>7.2999999999999995E-2</v>
      </c>
      <c r="G44" s="22">
        <f t="shared" si="0"/>
        <v>6.7000000000000004E-2</v>
      </c>
      <c r="H44" s="62">
        <f>G44*'2.2'!D18</f>
        <v>6.7402000000000004E-2</v>
      </c>
      <c r="I44" s="58"/>
      <c r="J44" s="2"/>
      <c r="K44" s="94">
        <v>43465</v>
      </c>
      <c r="M44">
        <f t="shared" si="1"/>
        <v>5</v>
      </c>
    </row>
    <row r="45" spans="1:13" x14ac:dyDescent="0.2">
      <c r="A45" t="str">
        <f t="shared" si="3"/>
        <v>2014</v>
      </c>
      <c r="B45" s="47"/>
      <c r="C45" s="59">
        <f>'6.4'!H45</f>
        <v>6.0000000000000001E-3</v>
      </c>
      <c r="D45" s="59">
        <f>'6.5'!H45</f>
        <v>2.4E-2</v>
      </c>
      <c r="E45" s="59">
        <f>'6.6'!H45</f>
        <v>1.0999999999999999E-2</v>
      </c>
      <c r="F45" s="59">
        <f>'6.7'!H45</f>
        <v>4.5999999999999999E-2</v>
      </c>
      <c r="G45" s="50">
        <f t="shared" si="0"/>
        <v>1.2E-2</v>
      </c>
      <c r="H45" s="62">
        <f>G45*'2.2'!D19</f>
        <v>1.2264000000000001E-2</v>
      </c>
      <c r="I45" s="58"/>
      <c r="J45" s="2"/>
      <c r="K45" s="103"/>
      <c r="M45">
        <f t="shared" si="1"/>
        <v>4</v>
      </c>
    </row>
    <row r="46" spans="1:13" x14ac:dyDescent="0.2">
      <c r="A46" t="str">
        <f t="shared" si="3"/>
        <v>2015</v>
      </c>
      <c r="B46" s="47"/>
      <c r="C46" s="61">
        <f>'6.4'!H46</f>
        <v>0.121</v>
      </c>
      <c r="D46" s="61">
        <f>'6.5'!H46</f>
        <v>4.4999999999999998E-2</v>
      </c>
      <c r="E46" s="61">
        <f>'6.6'!H46</f>
        <v>0.222</v>
      </c>
      <c r="F46" s="61">
        <f>'6.7'!H46</f>
        <v>0.14199999999999999</v>
      </c>
      <c r="G46" s="50">
        <f>ROUND(SUMPRODUCT(C46:F46,$C$58:$F$58)/$G$58,3)</f>
        <v>0.14499999999999999</v>
      </c>
      <c r="H46" s="62">
        <f>G46*'2.2'!D20</f>
        <v>0.14876999999999999</v>
      </c>
      <c r="I46" s="58"/>
      <c r="J46" s="2"/>
      <c r="K46" s="103"/>
      <c r="M46">
        <f t="shared" si="1"/>
        <v>3</v>
      </c>
    </row>
    <row r="47" spans="1:13" x14ac:dyDescent="0.2">
      <c r="A47" s="48">
        <v>2016</v>
      </c>
      <c r="B47" s="47"/>
      <c r="C47" s="61">
        <f>'6.4'!H47</f>
        <v>8.9999999999999993E-3</v>
      </c>
      <c r="D47" s="61">
        <f>'6.5'!H47</f>
        <v>8.2000000000000003E-2</v>
      </c>
      <c r="E47" s="61">
        <f>'6.6'!H47</f>
        <v>3.7999999999999999E-2</v>
      </c>
      <c r="F47" s="61">
        <f>'6.7'!H47</f>
        <v>0.312</v>
      </c>
      <c r="G47" s="50">
        <f>ROUND(SUMPRODUCT(C47:F47,$C$58:$F$58)/$G$58,3)</f>
        <v>3.9E-2</v>
      </c>
      <c r="H47" s="62">
        <f>G47*'2.2'!D21</f>
        <v>4.1144999999999994E-2</v>
      </c>
      <c r="I47" s="58"/>
      <c r="J47" s="2"/>
      <c r="M47">
        <f t="shared" si="1"/>
        <v>2</v>
      </c>
    </row>
    <row r="48" spans="1:13" x14ac:dyDescent="0.2">
      <c r="A48" s="48">
        <v>2017</v>
      </c>
      <c r="B48" s="47"/>
      <c r="C48" s="61">
        <f>'6.4'!H48</f>
        <v>0.67100000000000004</v>
      </c>
      <c r="D48" s="61">
        <f>'6.5'!H48</f>
        <v>11.042</v>
      </c>
      <c r="E48" s="61">
        <f>'6.6'!H48</f>
        <v>4.2949999999999999</v>
      </c>
      <c r="F48" s="61">
        <f>'6.7'!H48</f>
        <v>1.3080000000000001</v>
      </c>
      <c r="G48" s="50">
        <f>ROUND(SUMPRODUCT(C48:F48,$C$58:$F$58)/$G$58,3)</f>
        <v>4.4260000000000002</v>
      </c>
      <c r="H48" s="62">
        <f>G48*1.05</f>
        <v>4.6473000000000004</v>
      </c>
      <c r="I48" s="58"/>
      <c r="J48" s="2"/>
      <c r="M48">
        <f t="shared" si="1"/>
        <v>1</v>
      </c>
    </row>
    <row r="49" spans="1:13" x14ac:dyDescent="0.2">
      <c r="A49" s="25">
        <v>2018</v>
      </c>
      <c r="B49" s="9"/>
      <c r="C49" s="66">
        <f>'6.4'!H49</f>
        <v>5.0000000000000001E-3</v>
      </c>
      <c r="D49" s="66">
        <f>'6.5'!H49</f>
        <v>1.2E-2</v>
      </c>
      <c r="E49" s="66">
        <f>'6.6'!H49</f>
        <v>1.6E-2</v>
      </c>
      <c r="F49" s="66">
        <f>'6.7'!H49</f>
        <v>0.188</v>
      </c>
      <c r="G49" s="67">
        <f>ROUND(SUMPRODUCT(C49:F49,$C$58:$F$58)/$G$58,3)</f>
        <v>1.2E-2</v>
      </c>
      <c r="H49" s="427">
        <f>G49*'2.2'!D23</f>
        <v>1.6500000000000001E-2</v>
      </c>
      <c r="I49" s="58"/>
      <c r="J49" s="2"/>
      <c r="M49">
        <f t="shared" si="1"/>
        <v>0</v>
      </c>
    </row>
    <row r="50" spans="1:13" x14ac:dyDescent="0.2">
      <c r="A50" t="s">
        <v>52</v>
      </c>
      <c r="C50" s="22">
        <f t="shared" ref="C50:H50" si="4">ROUND(AVERAGE(C14:C49),3)</f>
        <v>0.59599999999999997</v>
      </c>
      <c r="D50" s="22">
        <f t="shared" si="4"/>
        <v>0.39400000000000002</v>
      </c>
      <c r="E50" s="22">
        <f t="shared" si="4"/>
        <v>0.48099999999999998</v>
      </c>
      <c r="F50" s="22">
        <f t="shared" si="4"/>
        <v>0.33800000000000002</v>
      </c>
      <c r="G50" s="22">
        <f t="shared" si="4"/>
        <v>0.503</v>
      </c>
      <c r="H50" s="22">
        <f t="shared" si="4"/>
        <v>0.51</v>
      </c>
      <c r="I50" s="58"/>
      <c r="J50" s="2"/>
    </row>
    <row r="51" spans="1:13" x14ac:dyDescent="0.2">
      <c r="C51" s="22"/>
      <c r="D51" s="22"/>
      <c r="E51" s="22"/>
      <c r="F51" s="22"/>
      <c r="G51" s="22"/>
      <c r="J51" s="2"/>
    </row>
    <row r="52" spans="1:13" x14ac:dyDescent="0.2">
      <c r="J52" s="2"/>
    </row>
    <row r="53" spans="1:13" x14ac:dyDescent="0.2">
      <c r="C53" s="23" t="str">
        <f>"TWIA "&amp;YEAR($K$44)&amp;" Written Premium by Territory / Tier"</f>
        <v>TWIA 2018 Written Premium by Territory / Tier</v>
      </c>
      <c r="J53" s="2"/>
    </row>
    <row r="54" spans="1:13" x14ac:dyDescent="0.2">
      <c r="J54" s="2"/>
    </row>
    <row r="55" spans="1:13" x14ac:dyDescent="0.2">
      <c r="A55" s="9"/>
      <c r="B55" s="9"/>
      <c r="C55" s="9" t="s">
        <v>103</v>
      </c>
      <c r="D55" s="9" t="s">
        <v>104</v>
      </c>
      <c r="E55" s="9" t="s">
        <v>105</v>
      </c>
      <c r="F55" s="9" t="s">
        <v>23</v>
      </c>
      <c r="G55" s="9" t="s">
        <v>8</v>
      </c>
      <c r="J55" s="2"/>
    </row>
    <row r="56" spans="1:13" x14ac:dyDescent="0.2">
      <c r="J56" s="2"/>
    </row>
    <row r="57" spans="1:13" x14ac:dyDescent="0.2">
      <c r="A57" s="53" t="s">
        <v>95</v>
      </c>
      <c r="B57" t="s">
        <v>24</v>
      </c>
      <c r="C57" s="98">
        <f>ROUND('[2]TWIA 5'!$X$23,0)</f>
        <v>25650931</v>
      </c>
      <c r="D57" s="98">
        <f>ROUND('[2]TWIA 5'!$X$24,0)</f>
        <v>15358843</v>
      </c>
      <c r="E57" s="98">
        <f>ROUND('[2]TWIA 5'!$X$25,0)</f>
        <v>27829516</v>
      </c>
      <c r="F57" s="98">
        <f>ROUND('[2]TWIA 5'!$X$26,0)</f>
        <v>526533</v>
      </c>
      <c r="G57" s="29">
        <f>SUM(C57:F57)</f>
        <v>69365823</v>
      </c>
      <c r="J57" s="2"/>
    </row>
    <row r="58" spans="1:13" x14ac:dyDescent="0.2">
      <c r="A58" s="53" t="s">
        <v>94</v>
      </c>
      <c r="B58" t="s">
        <v>108</v>
      </c>
      <c r="C58" s="145">
        <f>C57/$G57</f>
        <v>0.36979206604382103</v>
      </c>
      <c r="D58" s="145">
        <f>D57/$G57</f>
        <v>0.22141801734263283</v>
      </c>
      <c r="E58" s="145">
        <f>E57/$G57</f>
        <v>0.40119924764678422</v>
      </c>
      <c r="F58" s="145">
        <f>F57/$G57</f>
        <v>7.5906689667619171E-3</v>
      </c>
      <c r="G58" s="145">
        <f>SUM(C58:F58)</f>
        <v>1</v>
      </c>
      <c r="J58" s="2"/>
    </row>
    <row r="59" spans="1:13" ht="12" thickBot="1" x14ac:dyDescent="0.25">
      <c r="A59" s="6"/>
      <c r="B59" s="6"/>
      <c r="C59" s="6"/>
      <c r="D59" s="6"/>
      <c r="E59" s="6"/>
      <c r="F59" s="6"/>
      <c r="G59" s="6"/>
      <c r="J59" s="2"/>
    </row>
    <row r="60" spans="1:13" ht="12" thickTop="1" x14ac:dyDescent="0.2">
      <c r="J60" s="2"/>
    </row>
    <row r="61" spans="1:13" x14ac:dyDescent="0.2">
      <c r="A61" t="s">
        <v>19</v>
      </c>
      <c r="F61" s="42"/>
      <c r="J61" s="2"/>
    </row>
    <row r="62" spans="1:13" x14ac:dyDescent="0.2">
      <c r="B62" s="21" t="str">
        <f>C12&amp;" "&amp;'6.4'!$J$1&amp;", "&amp;'6.4'!$J$2</f>
        <v>(2) Exhibit 6, Sheet 4</v>
      </c>
      <c r="J62" s="2"/>
    </row>
    <row r="63" spans="1:13" x14ac:dyDescent="0.2">
      <c r="B63" s="21" t="str">
        <f>D12&amp;" "&amp;'6.5'!$J$1&amp;", "&amp;'6.5'!$J$2</f>
        <v>(3) Exhibit 6, Sheet 5</v>
      </c>
      <c r="J63" s="2"/>
    </row>
    <row r="64" spans="1:13" x14ac:dyDescent="0.2">
      <c r="B64" s="21" t="str">
        <f>E12&amp;" "&amp;'6.6'!$J$1&amp;", "&amp;'6.6'!$J$2</f>
        <v>(4) Exhibit 6, Sheet 6</v>
      </c>
      <c r="J64" s="2"/>
    </row>
    <row r="65" spans="1:10" x14ac:dyDescent="0.2">
      <c r="B65" s="21" t="str">
        <f>F12&amp;" "&amp;'6.7'!$J$1&amp;", "&amp;'6.7'!$J$2</f>
        <v>(5) Exhibit 6, Sheet 7</v>
      </c>
      <c r="J65" s="2"/>
    </row>
    <row r="66" spans="1:10" x14ac:dyDescent="0.2">
      <c r="B66" s="21" t="str">
        <f>G12&amp;" = Weighted average of "&amp;C12&amp;" to "&amp;F12&amp;", using "&amp;A58</f>
        <v>(6) = Weighted average of (2) to (5), using (9)</v>
      </c>
      <c r="J66" s="2"/>
    </row>
    <row r="67" spans="1:10" x14ac:dyDescent="0.2">
      <c r="B67" t="s">
        <v>510</v>
      </c>
      <c r="D67" s="59"/>
      <c r="E67" s="59"/>
      <c r="F67" s="59"/>
      <c r="G67" s="22"/>
      <c r="J67" s="2"/>
    </row>
    <row r="68" spans="1:10" x14ac:dyDescent="0.2">
      <c r="B68" s="24" t="str">
        <f>A57&amp;" Provided by TWIA"</f>
        <v>(8) Provided by TWIA</v>
      </c>
      <c r="J68" s="2"/>
    </row>
    <row r="69" spans="1:10" x14ac:dyDescent="0.2">
      <c r="B69" s="24" t="str">
        <f>A58&amp;" = "&amp;A57&amp;" / "&amp;A57&amp;" Total"</f>
        <v>(9) = (8) / (8) Total</v>
      </c>
      <c r="J69" s="2"/>
    </row>
    <row r="70" spans="1:10" x14ac:dyDescent="0.2">
      <c r="J70" s="2"/>
    </row>
    <row r="71" spans="1:10" ht="12" thickBot="1" x14ac:dyDescent="0.25">
      <c r="J71" s="2"/>
    </row>
    <row r="72" spans="1:10" ht="12" thickBot="1" x14ac:dyDescent="0.25">
      <c r="A72" s="4"/>
      <c r="B72" s="5"/>
      <c r="C72" s="5"/>
      <c r="D72" s="5"/>
      <c r="E72" s="5"/>
      <c r="F72" s="5"/>
      <c r="G72" s="5"/>
      <c r="H72" s="5"/>
      <c r="I72" s="5"/>
      <c r="J72" s="3"/>
    </row>
  </sheetData>
  <phoneticPr fontId="0" type="noConversion"/>
  <pageMargins left="0.5" right="0.5" top="0.5" bottom="0.5" header="0.5" footer="0.5"/>
  <pageSetup scale="98" orientation="portrait" blackAndWhite="1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2"/>
  <dimension ref="A1:CY71"/>
  <sheetViews>
    <sheetView showGridLines="0" view="pageBreakPreview" topLeftCell="A22" zoomScale="60" zoomScaleNormal="100" workbookViewId="0">
      <selection activeCell="L47" sqref="L47"/>
    </sheetView>
  </sheetViews>
  <sheetFormatPr defaultColWidth="11.33203125" defaultRowHeight="11.25" x14ac:dyDescent="0.2"/>
  <cols>
    <col min="1" max="1" width="6.33203125" bestFit="1" customWidth="1"/>
    <col min="2" max="2" width="11.33203125" customWidth="1"/>
    <col min="3" max="5" width="15.33203125" customWidth="1"/>
    <col min="6" max="8" width="14" customWidth="1"/>
    <col min="9" max="9" width="11.33203125" customWidth="1"/>
    <col min="10" max="10" width="4.33203125" customWidth="1"/>
    <col min="11" max="19" width="11.33203125" customWidth="1"/>
    <col min="20" max="83" width="2.5" customWidth="1"/>
    <col min="84" max="84" width="2.33203125" customWidth="1"/>
    <col min="85" max="85" width="2.5" customWidth="1"/>
    <col min="86" max="89" width="2.33203125" customWidth="1"/>
    <col min="90" max="91" width="2.1640625" customWidth="1"/>
    <col min="92" max="92" width="2.5" customWidth="1"/>
    <col min="93" max="93" width="2.33203125" customWidth="1"/>
    <col min="94" max="95" width="2.5" customWidth="1"/>
    <col min="96" max="96" width="2" customWidth="1"/>
    <col min="97" max="97" width="2.5" customWidth="1"/>
    <col min="98" max="98" width="1.6640625" customWidth="1"/>
    <col min="99" max="99" width="1.83203125" customWidth="1"/>
    <col min="100" max="102" width="2.33203125" customWidth="1"/>
    <col min="103" max="103" width="2" customWidth="1"/>
  </cols>
  <sheetData>
    <row r="1" spans="1:12" x14ac:dyDescent="0.2">
      <c r="A1" s="8" t="str">
        <f>'1'!$A$1</f>
        <v>Texas Windstorm Insurance Association</v>
      </c>
      <c r="B1" s="12"/>
      <c r="I1" s="47"/>
      <c r="J1" s="7" t="s">
        <v>85</v>
      </c>
      <c r="K1" s="1"/>
    </row>
    <row r="2" spans="1:12" x14ac:dyDescent="0.2">
      <c r="A2" s="8" t="str">
        <f>'1'!$A$2</f>
        <v>Commercial Property - Wind &amp; Hail</v>
      </c>
      <c r="B2" s="12"/>
      <c r="I2" s="47"/>
      <c r="J2" s="7" t="s">
        <v>72</v>
      </c>
      <c r="K2" s="2"/>
    </row>
    <row r="3" spans="1:12" x14ac:dyDescent="0.2">
      <c r="A3" s="8" t="str">
        <f>'1'!$A$3</f>
        <v>Rate Level Review</v>
      </c>
      <c r="B3" s="12"/>
      <c r="I3" s="47"/>
      <c r="K3" s="2"/>
    </row>
    <row r="4" spans="1:12" x14ac:dyDescent="0.2">
      <c r="A4" t="s">
        <v>231</v>
      </c>
      <c r="B4" s="12"/>
      <c r="I4" s="47"/>
      <c r="K4" s="2"/>
    </row>
    <row r="5" spans="1:12" x14ac:dyDescent="0.2">
      <c r="A5" s="58" t="s">
        <v>27</v>
      </c>
      <c r="B5" s="21"/>
      <c r="C5" s="58"/>
      <c r="D5" s="58"/>
      <c r="E5" s="452"/>
      <c r="F5" s="452"/>
      <c r="G5" s="452"/>
      <c r="H5" s="452"/>
      <c r="I5" s="47"/>
      <c r="K5" s="2"/>
    </row>
    <row r="6" spans="1:12" x14ac:dyDescent="0.2">
      <c r="I6" s="47"/>
      <c r="K6" s="2"/>
    </row>
    <row r="7" spans="1:12" ht="12" thickBot="1" x14ac:dyDescent="0.25">
      <c r="A7" s="6"/>
      <c r="B7" s="6"/>
      <c r="C7" s="6"/>
      <c r="D7" s="6"/>
      <c r="E7" s="6"/>
      <c r="F7" s="6"/>
      <c r="G7" s="6"/>
      <c r="H7" s="6"/>
      <c r="I7" s="47"/>
      <c r="K7" s="2"/>
    </row>
    <row r="8" spans="1:12" ht="12" thickTop="1" x14ac:dyDescent="0.2">
      <c r="I8" s="47"/>
      <c r="K8" s="2"/>
    </row>
    <row r="9" spans="1:12" x14ac:dyDescent="0.2">
      <c r="C9" s="21"/>
      <c r="D9" t="s">
        <v>99</v>
      </c>
      <c r="E9" t="s">
        <v>234</v>
      </c>
      <c r="F9" t="s">
        <v>99</v>
      </c>
      <c r="I9" s="47"/>
      <c r="K9" s="2"/>
      <c r="L9" s="26"/>
    </row>
    <row r="10" spans="1:12" x14ac:dyDescent="0.2">
      <c r="A10" t="s">
        <v>42</v>
      </c>
      <c r="C10" t="s">
        <v>99</v>
      </c>
      <c r="D10" t="s">
        <v>100</v>
      </c>
      <c r="E10" t="s">
        <v>235</v>
      </c>
      <c r="F10" t="s">
        <v>236</v>
      </c>
      <c r="G10" t="s">
        <v>68</v>
      </c>
      <c r="H10" t="s">
        <v>68</v>
      </c>
      <c r="I10" s="47"/>
      <c r="K10" s="2"/>
      <c r="L10" s="21"/>
    </row>
    <row r="11" spans="1:12" x14ac:dyDescent="0.2">
      <c r="A11" s="9" t="s">
        <v>43</v>
      </c>
      <c r="B11" s="9"/>
      <c r="C11" s="9" t="s">
        <v>100</v>
      </c>
      <c r="D11" s="9" t="s">
        <v>233</v>
      </c>
      <c r="E11" s="9" t="s">
        <v>109</v>
      </c>
      <c r="F11" s="9" t="s">
        <v>237</v>
      </c>
      <c r="G11" s="9" t="s">
        <v>35</v>
      </c>
      <c r="H11" s="9" t="s">
        <v>59</v>
      </c>
      <c r="I11" s="47"/>
      <c r="K11" s="2"/>
      <c r="L11" s="49"/>
    </row>
    <row r="12" spans="1:12" x14ac:dyDescent="0.2">
      <c r="A12" s="13" t="str">
        <f>TEXT(COLUMN(),"(#)")</f>
        <v>(1)</v>
      </c>
      <c r="B12" s="13"/>
      <c r="C12" s="11" t="str">
        <f t="shared" ref="C12:H12" si="0">TEXT(COLUMN()-1,"(#)")</f>
        <v>(2)</v>
      </c>
      <c r="D12" s="11" t="str">
        <f t="shared" si="0"/>
        <v>(3)</v>
      </c>
      <c r="E12" s="11" t="str">
        <f t="shared" si="0"/>
        <v>(4)</v>
      </c>
      <c r="F12" s="11" t="str">
        <f t="shared" si="0"/>
        <v>(5)</v>
      </c>
      <c r="G12" s="11" t="str">
        <f t="shared" si="0"/>
        <v>(6)</v>
      </c>
      <c r="H12" s="11" t="str">
        <f t="shared" si="0"/>
        <v>(7)</v>
      </c>
      <c r="I12" s="134"/>
      <c r="K12" s="2"/>
    </row>
    <row r="13" spans="1:12" x14ac:dyDescent="0.2">
      <c r="I13" s="47"/>
      <c r="K13" s="2"/>
      <c r="L13" t="s">
        <v>112</v>
      </c>
    </row>
    <row r="14" spans="1:12" x14ac:dyDescent="0.2">
      <c r="A14" s="232" t="s">
        <v>443</v>
      </c>
      <c r="B14" s="58"/>
      <c r="C14" s="36">
        <v>913865</v>
      </c>
      <c r="D14" s="36">
        <v>968224</v>
      </c>
      <c r="E14" s="33">
        <f>ROUND($L$14,3)</f>
        <v>3.0979999999999999</v>
      </c>
      <c r="F14" s="29">
        <f>ROUND(D14*E14,0)</f>
        <v>2999558</v>
      </c>
      <c r="G14" s="36">
        <v>26357425</v>
      </c>
      <c r="H14" s="22">
        <f>ROUND(G14/F14,3)</f>
        <v>8.7870000000000008</v>
      </c>
      <c r="I14" s="50"/>
      <c r="K14" s="2"/>
      <c r="L14" s="33">
        <f>$Q$42</f>
        <v>3.0982344271115738</v>
      </c>
    </row>
    <row r="15" spans="1:12" x14ac:dyDescent="0.2">
      <c r="A15" s="24" t="s">
        <v>444</v>
      </c>
      <c r="B15" s="58"/>
      <c r="C15" s="36">
        <v>1195339</v>
      </c>
      <c r="D15" s="36">
        <v>1366667</v>
      </c>
      <c r="E15" s="33">
        <f>E$14</f>
        <v>3.0979999999999999</v>
      </c>
      <c r="F15" s="29">
        <f t="shared" ref="F15:F20" si="1">ROUND(D15*E15,0)</f>
        <v>4233934</v>
      </c>
      <c r="G15" s="36">
        <v>318455</v>
      </c>
      <c r="H15" s="22">
        <f t="shared" ref="H15:H47" si="2">ROUND(G15/F15,3)</f>
        <v>7.4999999999999997E-2</v>
      </c>
      <c r="I15" s="50"/>
      <c r="K15" s="2"/>
    </row>
    <row r="16" spans="1:12" x14ac:dyDescent="0.2">
      <c r="A16" s="24" t="s">
        <v>445</v>
      </c>
      <c r="B16" s="58"/>
      <c r="C16" s="36">
        <v>2581481</v>
      </c>
      <c r="D16" s="36">
        <v>2777593</v>
      </c>
      <c r="E16" s="33">
        <f t="shared" ref="E16:E27" si="3">E$14</f>
        <v>3.0979999999999999</v>
      </c>
      <c r="F16" s="29">
        <f t="shared" si="1"/>
        <v>8604983</v>
      </c>
      <c r="G16" s="36">
        <v>314878</v>
      </c>
      <c r="H16" s="22">
        <f t="shared" si="2"/>
        <v>3.6999999999999998E-2</v>
      </c>
      <c r="I16" s="50"/>
      <c r="K16" s="2"/>
      <c r="L16" t="s">
        <v>499</v>
      </c>
    </row>
    <row r="17" spans="1:19" x14ac:dyDescent="0.2">
      <c r="A17" s="24" t="s">
        <v>446</v>
      </c>
      <c r="B17" s="58"/>
      <c r="C17" s="36">
        <v>3013362</v>
      </c>
      <c r="D17" s="36">
        <v>2349181</v>
      </c>
      <c r="E17" s="33">
        <f t="shared" si="3"/>
        <v>3.0979999999999999</v>
      </c>
      <c r="F17" s="29">
        <f t="shared" si="1"/>
        <v>7277763</v>
      </c>
      <c r="G17" s="36">
        <v>211282</v>
      </c>
      <c r="H17" s="22">
        <f t="shared" si="2"/>
        <v>2.9000000000000001E-2</v>
      </c>
      <c r="I17" s="50"/>
      <c r="K17" s="2"/>
      <c r="L17" s="336">
        <f>'6.7'!L17</f>
        <v>1</v>
      </c>
    </row>
    <row r="18" spans="1:19" x14ac:dyDescent="0.2">
      <c r="A18" s="24" t="s">
        <v>447</v>
      </c>
      <c r="B18" s="58"/>
      <c r="C18" s="36">
        <v>3004153</v>
      </c>
      <c r="D18" s="36">
        <v>2585122</v>
      </c>
      <c r="E18" s="33">
        <f t="shared" si="3"/>
        <v>3.0979999999999999</v>
      </c>
      <c r="F18" s="29">
        <f>ROUND(D18*E18,0)</f>
        <v>8008708</v>
      </c>
      <c r="G18" s="36">
        <v>37480</v>
      </c>
      <c r="H18" s="22">
        <f t="shared" si="2"/>
        <v>5.0000000000000001E-3</v>
      </c>
      <c r="I18" s="50"/>
      <c r="K18" s="2"/>
    </row>
    <row r="19" spans="1:19" x14ac:dyDescent="0.2">
      <c r="A19" s="24" t="s">
        <v>448</v>
      </c>
      <c r="B19" s="58"/>
      <c r="C19" s="36">
        <v>2905355</v>
      </c>
      <c r="D19" s="36">
        <v>2728206</v>
      </c>
      <c r="E19" s="33">
        <f t="shared" si="3"/>
        <v>3.0979999999999999</v>
      </c>
      <c r="F19" s="29">
        <f t="shared" si="1"/>
        <v>8451982</v>
      </c>
      <c r="G19" s="36">
        <v>969836</v>
      </c>
      <c r="H19" s="22">
        <f t="shared" si="2"/>
        <v>0.115</v>
      </c>
      <c r="I19" s="50"/>
      <c r="K19" s="2"/>
      <c r="O19" s="10" t="s">
        <v>248</v>
      </c>
    </row>
    <row r="20" spans="1:19" x14ac:dyDescent="0.2">
      <c r="A20" s="24" t="s">
        <v>449</v>
      </c>
      <c r="B20" s="58"/>
      <c r="C20" s="36">
        <v>2825114</v>
      </c>
      <c r="D20" s="36">
        <v>3015974</v>
      </c>
      <c r="E20" s="33">
        <f t="shared" si="3"/>
        <v>3.0979999999999999</v>
      </c>
      <c r="F20" s="29">
        <f t="shared" si="1"/>
        <v>9343487</v>
      </c>
      <c r="G20" s="36">
        <v>1244199</v>
      </c>
      <c r="H20" s="22">
        <f t="shared" si="2"/>
        <v>0.13300000000000001</v>
      </c>
      <c r="I20" s="50"/>
      <c r="K20" s="2"/>
      <c r="O20" t="s">
        <v>199</v>
      </c>
      <c r="P20" t="s">
        <v>249</v>
      </c>
      <c r="Q20" t="s">
        <v>250</v>
      </c>
      <c r="R20" t="s">
        <v>55</v>
      </c>
    </row>
    <row r="21" spans="1:19" x14ac:dyDescent="0.2">
      <c r="A21" s="24" t="s">
        <v>450</v>
      </c>
      <c r="B21" s="58"/>
      <c r="C21" s="36">
        <v>2303321</v>
      </c>
      <c r="D21" s="36">
        <v>2474141</v>
      </c>
      <c r="E21" s="33">
        <f t="shared" si="3"/>
        <v>3.0979999999999999</v>
      </c>
      <c r="F21" s="29">
        <f>ROUND(D21*E21,0)</f>
        <v>7664889</v>
      </c>
      <c r="G21" s="36">
        <v>18053460</v>
      </c>
      <c r="H21" s="22">
        <f t="shared" si="2"/>
        <v>2.355</v>
      </c>
      <c r="I21" s="50"/>
      <c r="K21" s="2"/>
      <c r="O21" t="s">
        <v>200</v>
      </c>
      <c r="Q21" s="107">
        <v>1</v>
      </c>
      <c r="R21" s="40">
        <f>PRODUCT(Q$21:Q21)</f>
        <v>1</v>
      </c>
      <c r="S21" t="s">
        <v>16</v>
      </c>
    </row>
    <row r="22" spans="1:19" x14ac:dyDescent="0.2">
      <c r="A22" s="24" t="s">
        <v>451</v>
      </c>
      <c r="B22" s="58"/>
      <c r="C22" s="36">
        <v>2203500</v>
      </c>
      <c r="D22" s="36">
        <v>2080579</v>
      </c>
      <c r="E22" s="33">
        <f t="shared" si="3"/>
        <v>3.0979999999999999</v>
      </c>
      <c r="F22" s="29">
        <f>ROUND(D22*E22,0)</f>
        <v>6445634</v>
      </c>
      <c r="G22" s="36">
        <v>1371244</v>
      </c>
      <c r="H22" s="22">
        <f t="shared" si="2"/>
        <v>0.21299999999999999</v>
      </c>
      <c r="I22" s="50"/>
      <c r="K22" s="2"/>
      <c r="O22" s="307" t="str">
        <f>'10.3'!A28</f>
        <v>1/1/98</v>
      </c>
      <c r="P22" s="105">
        <f>'10.3'!C28</f>
        <v>-0.03</v>
      </c>
      <c r="Q22" s="106">
        <f t="shared" ref="Q22:Q27" si="4">1+P22</f>
        <v>0.97</v>
      </c>
      <c r="R22" s="40">
        <f>PRODUCT(Q$21:Q22)</f>
        <v>0.97</v>
      </c>
      <c r="S22" t="s">
        <v>17</v>
      </c>
    </row>
    <row r="23" spans="1:19" x14ac:dyDescent="0.2">
      <c r="A23" s="24" t="s">
        <v>452</v>
      </c>
      <c r="B23" s="21"/>
      <c r="C23" s="36">
        <v>2352391</v>
      </c>
      <c r="D23" s="36">
        <v>2012473</v>
      </c>
      <c r="E23" s="33">
        <f t="shared" si="3"/>
        <v>3.0979999999999999</v>
      </c>
      <c r="F23" s="29">
        <f>ROUND(D23*E23,0)</f>
        <v>6234641</v>
      </c>
      <c r="G23" s="36">
        <v>46331</v>
      </c>
      <c r="H23" s="22">
        <f t="shared" si="2"/>
        <v>7.0000000000000001E-3</v>
      </c>
      <c r="I23" s="50"/>
      <c r="K23" s="2"/>
      <c r="O23" s="307" t="str">
        <f>'10.3'!A29</f>
        <v>1/1/00</v>
      </c>
      <c r="P23" s="105">
        <f>'10.3'!C29</f>
        <v>0.09</v>
      </c>
      <c r="Q23" s="106">
        <f t="shared" si="4"/>
        <v>1.0900000000000001</v>
      </c>
      <c r="R23" s="40">
        <f>PRODUCT(Q$21:Q23)</f>
        <v>1.0573000000000001</v>
      </c>
      <c r="S23" t="s">
        <v>341</v>
      </c>
    </row>
    <row r="24" spans="1:19" x14ac:dyDescent="0.2">
      <c r="A24" s="24" t="s">
        <v>429</v>
      </c>
      <c r="B24" s="21"/>
      <c r="C24" s="36">
        <v>2406016</v>
      </c>
      <c r="D24" s="36"/>
      <c r="E24" s="33">
        <f t="shared" si="3"/>
        <v>3.0979999999999999</v>
      </c>
      <c r="F24" s="29">
        <f>ROUND(C24*E24,0)</f>
        <v>7453838</v>
      </c>
      <c r="G24" s="36">
        <v>1005945</v>
      </c>
      <c r="H24" s="22">
        <f t="shared" si="2"/>
        <v>0.13500000000000001</v>
      </c>
      <c r="I24" s="50"/>
      <c r="K24" s="2"/>
      <c r="O24" s="307" t="str">
        <f>'10.3'!A30</f>
        <v>1/1/01</v>
      </c>
      <c r="P24" s="105">
        <f>'10.3'!C30</f>
        <v>0.04</v>
      </c>
      <c r="Q24" s="106">
        <f t="shared" si="4"/>
        <v>1.04</v>
      </c>
      <c r="R24" s="40">
        <f>PRODUCT(Q$21:Q24)</f>
        <v>1.0995920000000001</v>
      </c>
      <c r="S24" t="s">
        <v>342</v>
      </c>
    </row>
    <row r="25" spans="1:19" x14ac:dyDescent="0.2">
      <c r="A25" s="24" t="s">
        <v>430</v>
      </c>
      <c r="B25" s="21"/>
      <c r="C25" s="36">
        <v>2807090</v>
      </c>
      <c r="D25" s="36"/>
      <c r="E25" s="33">
        <f t="shared" si="3"/>
        <v>3.0979999999999999</v>
      </c>
      <c r="F25" s="29">
        <f>ROUND(C25*E25,0)</f>
        <v>8696365</v>
      </c>
      <c r="G25" s="36">
        <v>28034</v>
      </c>
      <c r="H25" s="22">
        <f t="shared" si="2"/>
        <v>3.0000000000000001E-3</v>
      </c>
      <c r="I25" s="50"/>
      <c r="K25" s="2"/>
      <c r="O25" s="307" t="str">
        <f>'10.3'!A31</f>
        <v>1/1/02</v>
      </c>
      <c r="P25" s="105">
        <f>'10.3'!C31</f>
        <v>0.05</v>
      </c>
      <c r="Q25" s="106">
        <f t="shared" si="4"/>
        <v>1.05</v>
      </c>
      <c r="R25" s="40">
        <f>PRODUCT(Q$21:Q25)</f>
        <v>1.1545716000000001</v>
      </c>
      <c r="S25" t="s">
        <v>343</v>
      </c>
    </row>
    <row r="26" spans="1:19" x14ac:dyDescent="0.2">
      <c r="A26" s="24" t="s">
        <v>431</v>
      </c>
      <c r="B26" s="58"/>
      <c r="C26" s="36">
        <v>2645757</v>
      </c>
      <c r="D26" s="36"/>
      <c r="E26" s="33">
        <f t="shared" si="3"/>
        <v>3.0979999999999999</v>
      </c>
      <c r="F26" s="29">
        <f t="shared" ref="F26:F45" si="5">ROUND(C26*E26,0)</f>
        <v>8196555</v>
      </c>
      <c r="G26" s="36">
        <v>635625</v>
      </c>
      <c r="H26" s="22">
        <f t="shared" si="2"/>
        <v>7.8E-2</v>
      </c>
      <c r="I26" s="50"/>
      <c r="K26" s="2"/>
      <c r="O26" s="307" t="str">
        <f>'10.3'!A32</f>
        <v>1/1/03</v>
      </c>
      <c r="P26" s="105">
        <f>'10.3'!C32</f>
        <v>0.1</v>
      </c>
      <c r="Q26" s="106">
        <f t="shared" si="4"/>
        <v>1.1000000000000001</v>
      </c>
      <c r="R26" s="40">
        <f>PRODUCT(Q$21:Q26)</f>
        <v>1.2700287600000002</v>
      </c>
      <c r="S26" t="s">
        <v>344</v>
      </c>
    </row>
    <row r="27" spans="1:19" x14ac:dyDescent="0.2">
      <c r="A27" s="24" t="s">
        <v>432</v>
      </c>
      <c r="B27" s="58"/>
      <c r="C27" s="36">
        <v>5519716</v>
      </c>
      <c r="D27" s="36"/>
      <c r="E27" s="33">
        <f t="shared" si="3"/>
        <v>3.0979999999999999</v>
      </c>
      <c r="F27" s="29">
        <f>ROUND(C27*E27,0)</f>
        <v>17100080</v>
      </c>
      <c r="G27" s="36">
        <v>249644</v>
      </c>
      <c r="H27" s="22">
        <f t="shared" si="2"/>
        <v>1.4999999999999999E-2</v>
      </c>
      <c r="I27" s="50"/>
      <c r="K27" s="2"/>
      <c r="O27" s="307" t="str">
        <f>'10.3'!A33</f>
        <v>1/1/04</v>
      </c>
      <c r="P27" s="105">
        <f>'10.3'!C33</f>
        <v>0.1</v>
      </c>
      <c r="Q27" s="106">
        <f t="shared" si="4"/>
        <v>1.1000000000000001</v>
      </c>
      <c r="R27" s="40">
        <f>PRODUCT(Q$21:Q27)</f>
        <v>1.3970316360000004</v>
      </c>
      <c r="S27" t="s">
        <v>345</v>
      </c>
    </row>
    <row r="28" spans="1:19" x14ac:dyDescent="0.2">
      <c r="A28" s="24" t="s">
        <v>433</v>
      </c>
      <c r="B28" s="58"/>
      <c r="C28" s="36">
        <v>5461636</v>
      </c>
      <c r="D28" s="58"/>
      <c r="E28" s="33">
        <f>E$14</f>
        <v>3.0979999999999999</v>
      </c>
      <c r="F28" s="29">
        <f t="shared" si="5"/>
        <v>16920148</v>
      </c>
      <c r="G28" s="36">
        <v>886485</v>
      </c>
      <c r="H28" s="22">
        <f t="shared" si="2"/>
        <v>5.1999999999999998E-2</v>
      </c>
      <c r="I28" s="50"/>
      <c r="K28" s="2"/>
      <c r="O28" s="307" t="str">
        <f>'10.3'!A34</f>
        <v>1/1/05</v>
      </c>
      <c r="P28" s="105">
        <f>'10.3'!C34</f>
        <v>0.1</v>
      </c>
      <c r="Q28" s="106">
        <f t="shared" ref="Q28:Q36" si="6">1+P28</f>
        <v>1.1000000000000001</v>
      </c>
      <c r="R28" s="40">
        <f>PRODUCT(Q$21:Q28)</f>
        <v>1.5367347996000005</v>
      </c>
      <c r="S28" t="s">
        <v>61</v>
      </c>
    </row>
    <row r="29" spans="1:19" x14ac:dyDescent="0.2">
      <c r="A29" s="24" t="s">
        <v>434</v>
      </c>
      <c r="B29" s="58"/>
      <c r="C29" s="36">
        <v>6133105</v>
      </c>
      <c r="D29" s="36"/>
      <c r="E29" s="248">
        <f>ROUND($L$17*Q43*(1-$L$32)+Q43*$L$32,3)</f>
        <v>3.145</v>
      </c>
      <c r="F29" s="29">
        <f>ROUND(C29*E29,0)</f>
        <v>19288615</v>
      </c>
      <c r="G29" s="36">
        <v>3994564</v>
      </c>
      <c r="H29" s="22">
        <f>ROUND(G29/F29,3)</f>
        <v>0.20699999999999999</v>
      </c>
      <c r="I29" s="50"/>
      <c r="K29" s="2"/>
      <c r="N29" s="105"/>
      <c r="O29" s="307" t="str">
        <f>'10.3'!A35</f>
        <v>1/1/06</v>
      </c>
      <c r="P29" s="105">
        <f>'10.3'!C35</f>
        <v>0.05</v>
      </c>
      <c r="Q29" s="106">
        <f t="shared" si="6"/>
        <v>1.05</v>
      </c>
      <c r="R29" s="40">
        <f>PRODUCT(Q$21:Q29)</f>
        <v>1.6135715395800005</v>
      </c>
      <c r="S29" t="s">
        <v>346</v>
      </c>
    </row>
    <row r="30" spans="1:19" x14ac:dyDescent="0.2">
      <c r="A30" s="24" t="s">
        <v>435</v>
      </c>
      <c r="C30" s="36">
        <v>6706028</v>
      </c>
      <c r="D30" s="36"/>
      <c r="E30" s="248">
        <f t="shared" ref="E30:E47" si="7">ROUND($L$17*Q44*(1-$L$32)+Q44*$L$32,3)</f>
        <v>3.194</v>
      </c>
      <c r="F30" s="29">
        <f t="shared" si="5"/>
        <v>21419053</v>
      </c>
      <c r="G30" s="36">
        <v>575316</v>
      </c>
      <c r="H30" s="22">
        <f t="shared" si="2"/>
        <v>2.7E-2</v>
      </c>
      <c r="I30" s="50"/>
      <c r="K30" s="2"/>
      <c r="O30" s="307" t="str">
        <f>'10.3'!A36</f>
        <v>9/1/06</v>
      </c>
      <c r="P30" s="105">
        <f>'10.3'!C36</f>
        <v>0.08</v>
      </c>
      <c r="Q30" s="106">
        <f t="shared" si="6"/>
        <v>1.08</v>
      </c>
      <c r="R30" s="40">
        <f>PRODUCT(Q$21:Q30)</f>
        <v>1.7426572627464008</v>
      </c>
      <c r="S30" t="s">
        <v>347</v>
      </c>
    </row>
    <row r="31" spans="1:19" x14ac:dyDescent="0.2">
      <c r="A31" s="24" t="s">
        <v>436</v>
      </c>
      <c r="C31" s="36">
        <v>4997201</v>
      </c>
      <c r="D31" s="135"/>
      <c r="E31" s="248">
        <f>ROUND($L$17*Q45*(1-$L$32)+Q45*$L$32,3)</f>
        <v>3.0569999999999999</v>
      </c>
      <c r="F31" s="29">
        <f t="shared" si="5"/>
        <v>15276443</v>
      </c>
      <c r="G31" s="36">
        <v>320131</v>
      </c>
      <c r="H31" s="22">
        <f t="shared" si="2"/>
        <v>2.1000000000000001E-2</v>
      </c>
      <c r="I31" s="50"/>
      <c r="K31" s="2"/>
      <c r="L31" t="s">
        <v>238</v>
      </c>
      <c r="O31" s="307" t="str">
        <f>'10.3'!A37</f>
        <v>1/1/07</v>
      </c>
      <c r="P31" s="105">
        <f>'10.3'!C37</f>
        <v>3.7000000000000005E-2</v>
      </c>
      <c r="Q31" s="106">
        <f t="shared" si="6"/>
        <v>1.0369999999999999</v>
      </c>
      <c r="R31" s="40">
        <f>PRODUCT(Q$21:Q31)</f>
        <v>1.8071355814680174</v>
      </c>
      <c r="S31" t="s">
        <v>348</v>
      </c>
    </row>
    <row r="32" spans="1:19" x14ac:dyDescent="0.2">
      <c r="A32" s="24" t="s">
        <v>437</v>
      </c>
      <c r="C32" s="36">
        <v>4785262</v>
      </c>
      <c r="D32" s="135"/>
      <c r="E32" s="248">
        <f t="shared" si="7"/>
        <v>2.8730000000000002</v>
      </c>
      <c r="F32" s="29">
        <f>ROUND(C32*E32,0)</f>
        <v>13748058</v>
      </c>
      <c r="G32" s="36">
        <v>962576</v>
      </c>
      <c r="H32" s="22">
        <f t="shared" si="2"/>
        <v>7.0000000000000007E-2</v>
      </c>
      <c r="I32" s="50"/>
      <c r="K32" s="2"/>
      <c r="L32" s="110">
        <f>[2]ISO!$O$65/[2]ISO!$O$66</f>
        <v>0.88835234880783698</v>
      </c>
      <c r="O32" s="307" t="str">
        <f>'10.3'!A38</f>
        <v>2/1/08</v>
      </c>
      <c r="P32" s="105">
        <f>'10.3'!C38</f>
        <v>5.3999999999999999E-2</v>
      </c>
      <c r="Q32" s="106">
        <f t="shared" si="6"/>
        <v>1.054</v>
      </c>
      <c r="R32" s="40">
        <f>PRODUCT(Q$21:Q32)</f>
        <v>1.9047209028672905</v>
      </c>
      <c r="S32" t="s">
        <v>375</v>
      </c>
    </row>
    <row r="33" spans="1:103" x14ac:dyDescent="0.2">
      <c r="A33" s="24" t="s">
        <v>438</v>
      </c>
      <c r="C33" s="36">
        <v>8206069</v>
      </c>
      <c r="D33" s="135"/>
      <c r="E33" s="248">
        <f t="shared" si="7"/>
        <v>2.7490000000000001</v>
      </c>
      <c r="F33" s="29">
        <f t="shared" si="5"/>
        <v>22558484</v>
      </c>
      <c r="G33" s="36">
        <v>2632325</v>
      </c>
      <c r="H33" s="22">
        <f t="shared" si="2"/>
        <v>0.11700000000000001</v>
      </c>
      <c r="I33" s="50"/>
      <c r="K33" s="2"/>
      <c r="O33" s="307" t="str">
        <f>'10.3'!A39</f>
        <v>2/1/09</v>
      </c>
      <c r="P33" s="105">
        <f>'10.3'!C39</f>
        <v>0.156</v>
      </c>
      <c r="Q33" s="106">
        <f t="shared" si="6"/>
        <v>1.1559999999999999</v>
      </c>
      <c r="R33" s="40">
        <f>PRODUCT(Q$21:Q33)</f>
        <v>2.2018573637145877</v>
      </c>
      <c r="S33" t="s">
        <v>380</v>
      </c>
    </row>
    <row r="34" spans="1:103" x14ac:dyDescent="0.2">
      <c r="A34" s="24" t="s">
        <v>439</v>
      </c>
      <c r="C34" s="245">
        <v>8793047</v>
      </c>
      <c r="D34" s="135"/>
      <c r="E34" s="248">
        <f t="shared" si="7"/>
        <v>2.556</v>
      </c>
      <c r="F34" s="29">
        <f t="shared" si="5"/>
        <v>22475028</v>
      </c>
      <c r="G34" s="245">
        <v>529845</v>
      </c>
      <c r="H34" s="22">
        <f t="shared" si="2"/>
        <v>2.4E-2</v>
      </c>
      <c r="I34" s="50"/>
      <c r="K34" s="2"/>
      <c r="O34" s="307" t="str">
        <f>'10.3'!A40</f>
        <v>1/1/11</v>
      </c>
      <c r="P34" s="105">
        <f>'10.3'!C40</f>
        <v>0.05</v>
      </c>
      <c r="Q34" s="106">
        <f t="shared" si="6"/>
        <v>1.05</v>
      </c>
      <c r="R34" s="40">
        <f>PRODUCT(Q$21:Q34)</f>
        <v>2.3119502319003171</v>
      </c>
      <c r="S34" t="s">
        <v>404</v>
      </c>
    </row>
    <row r="35" spans="1:103" x14ac:dyDescent="0.2">
      <c r="A35" s="24" t="s">
        <v>440</v>
      </c>
      <c r="B35" s="24"/>
      <c r="C35" s="245">
        <v>12425339</v>
      </c>
      <c r="D35" s="136"/>
      <c r="E35" s="248">
        <f t="shared" si="7"/>
        <v>2.323</v>
      </c>
      <c r="F35" s="29">
        <f t="shared" si="5"/>
        <v>28864062</v>
      </c>
      <c r="G35" s="245">
        <v>830387</v>
      </c>
      <c r="H35" s="22">
        <f t="shared" si="2"/>
        <v>2.9000000000000001E-2</v>
      </c>
      <c r="I35" s="50"/>
      <c r="K35" s="2"/>
      <c r="O35" s="307" t="str">
        <f>'10.3'!A41</f>
        <v>1/1/12</v>
      </c>
      <c r="P35" s="105">
        <f>'10.3'!C41</f>
        <v>0.05</v>
      </c>
      <c r="Q35" s="106">
        <f t="shared" si="6"/>
        <v>1.05</v>
      </c>
      <c r="R35" s="40">
        <f>PRODUCT(Q$21:Q35)</f>
        <v>2.427547743495333</v>
      </c>
      <c r="S35" t="s">
        <v>419</v>
      </c>
      <c r="T35" s="13">
        <v>1998</v>
      </c>
      <c r="U35" s="13"/>
      <c r="V35" s="13"/>
      <c r="W35" s="13"/>
      <c r="X35" s="13">
        <v>1999</v>
      </c>
      <c r="Y35" s="13"/>
      <c r="Z35" s="13"/>
      <c r="AA35" s="13"/>
      <c r="AB35" s="13">
        <v>2000</v>
      </c>
      <c r="AC35" s="13"/>
      <c r="AD35" s="13"/>
      <c r="AE35" s="13"/>
      <c r="AF35" s="13">
        <v>2001</v>
      </c>
      <c r="AG35" s="13"/>
      <c r="AH35" s="13"/>
      <c r="AI35" s="13"/>
      <c r="AJ35" s="13">
        <v>2002</v>
      </c>
      <c r="AK35" s="13"/>
      <c r="AL35" s="13"/>
      <c r="AM35" s="13"/>
      <c r="AN35" s="13">
        <v>2003</v>
      </c>
      <c r="AO35" s="13"/>
      <c r="AP35" s="13"/>
      <c r="AQ35" s="13"/>
      <c r="AR35" s="13">
        <v>2004</v>
      </c>
      <c r="AS35" s="13"/>
      <c r="AT35" s="13"/>
      <c r="AU35" s="13"/>
      <c r="AV35" s="13">
        <v>2005</v>
      </c>
      <c r="AW35" s="13"/>
      <c r="AX35" s="13"/>
      <c r="AY35" s="13"/>
      <c r="AZ35" s="13">
        <v>2006</v>
      </c>
      <c r="BA35" s="13"/>
      <c r="BB35" s="13"/>
      <c r="BC35" s="13"/>
      <c r="BD35" s="13">
        <v>2007</v>
      </c>
      <c r="BE35" s="13"/>
      <c r="BF35" s="13"/>
      <c r="BG35" s="13"/>
      <c r="BH35" s="13">
        <v>2008</v>
      </c>
      <c r="BI35" s="13"/>
      <c r="BJ35" s="13"/>
      <c r="BK35" s="13"/>
      <c r="BL35" s="13">
        <v>2009</v>
      </c>
      <c r="BM35" s="13"/>
      <c r="BN35" s="13"/>
      <c r="BO35" s="13"/>
      <c r="BP35" s="13">
        <v>2010</v>
      </c>
      <c r="BQ35" s="13"/>
      <c r="BR35" s="13"/>
      <c r="BS35" s="13"/>
      <c r="BT35" s="13">
        <v>2011</v>
      </c>
      <c r="BU35" s="13"/>
      <c r="BV35" s="13"/>
      <c r="BW35" s="13"/>
      <c r="BX35" s="13">
        <v>2012</v>
      </c>
      <c r="BY35" s="13"/>
      <c r="BZ35" s="13"/>
      <c r="CA35" s="13"/>
      <c r="CB35" s="13">
        <v>2013</v>
      </c>
      <c r="CC35" s="13"/>
      <c r="CD35" s="13"/>
      <c r="CE35" s="13"/>
      <c r="CF35" s="13">
        <v>2014</v>
      </c>
      <c r="CG35" s="13"/>
      <c r="CH35" s="13"/>
      <c r="CI35" s="13"/>
      <c r="CJ35" s="13">
        <v>2015</v>
      </c>
      <c r="CK35" s="13"/>
      <c r="CL35" s="13"/>
      <c r="CM35" s="13"/>
      <c r="CN35" s="13">
        <v>2016</v>
      </c>
      <c r="CO35" s="13"/>
      <c r="CP35" s="13"/>
      <c r="CQ35" s="13"/>
      <c r="CR35" s="13">
        <v>2017</v>
      </c>
      <c r="CS35" s="13"/>
      <c r="CT35" s="13"/>
      <c r="CU35" s="13"/>
      <c r="CV35" s="13">
        <v>2018</v>
      </c>
      <c r="CW35" s="13"/>
      <c r="CX35" s="13"/>
      <c r="CY35" s="13"/>
    </row>
    <row r="36" spans="1:103" s="58" customFormat="1" x14ac:dyDescent="0.2">
      <c r="A36" s="24" t="s">
        <v>329</v>
      </c>
      <c r="C36" s="278">
        <v>13839253</v>
      </c>
      <c r="D36" s="279"/>
      <c r="E36" s="248">
        <f t="shared" si="7"/>
        <v>2.1120000000000001</v>
      </c>
      <c r="F36" s="29">
        <f t="shared" si="5"/>
        <v>29228502</v>
      </c>
      <c r="G36" s="245">
        <v>19469845</v>
      </c>
      <c r="H36" s="22">
        <f t="shared" si="2"/>
        <v>0.66600000000000004</v>
      </c>
      <c r="I36" s="50"/>
      <c r="K36" s="2"/>
      <c r="O36" s="307" t="str">
        <f>'10.3'!A42</f>
        <v>1/1/13</v>
      </c>
      <c r="P36" s="105">
        <v>0.05</v>
      </c>
      <c r="Q36" s="106">
        <f t="shared" si="6"/>
        <v>1.05</v>
      </c>
      <c r="R36" s="40">
        <f>PRODUCT(Q$21:Q36)</f>
        <v>2.5489251306700997</v>
      </c>
      <c r="S36" t="s">
        <v>420</v>
      </c>
      <c r="T36" s="210"/>
      <c r="U36" s="211"/>
      <c r="V36" s="211"/>
      <c r="W36" s="217"/>
      <c r="X36" s="210"/>
      <c r="Y36" s="211"/>
      <c r="Z36" s="211"/>
      <c r="AA36" s="214"/>
      <c r="AB36" s="210"/>
      <c r="AC36" s="211"/>
      <c r="AD36" s="211"/>
      <c r="AE36" s="217"/>
      <c r="AF36" s="210"/>
      <c r="AG36" s="211"/>
      <c r="AH36" s="211"/>
      <c r="AI36" s="217"/>
      <c r="AJ36" s="210"/>
      <c r="AK36" s="211"/>
      <c r="AL36" s="211"/>
      <c r="AM36" s="217"/>
      <c r="AN36" s="210"/>
      <c r="AO36" s="211"/>
      <c r="AP36" s="211"/>
      <c r="AQ36" s="217"/>
      <c r="AR36" s="210"/>
      <c r="AS36" s="211"/>
      <c r="AT36" s="211"/>
      <c r="AU36" s="217"/>
      <c r="AV36" s="210"/>
      <c r="AW36" s="211"/>
      <c r="AX36" s="211"/>
      <c r="AY36" s="217"/>
      <c r="AZ36" s="210"/>
      <c r="BA36" s="211"/>
      <c r="BB36" s="211"/>
      <c r="BC36" s="217"/>
      <c r="BD36" s="210"/>
      <c r="BE36" s="211"/>
      <c r="BF36" s="211"/>
      <c r="BG36" s="217"/>
      <c r="BH36" s="210"/>
      <c r="BI36" s="211"/>
      <c r="BJ36" s="211"/>
      <c r="BK36" s="214"/>
      <c r="BL36" s="210"/>
      <c r="BM36" s="211"/>
      <c r="BN36" s="211"/>
      <c r="BO36" s="214"/>
      <c r="BP36" s="210"/>
      <c r="BQ36" s="211"/>
      <c r="BR36" s="211"/>
      <c r="BS36" s="214"/>
      <c r="BT36" s="210"/>
      <c r="BU36" s="211"/>
      <c r="BV36" s="211"/>
      <c r="BW36" s="217"/>
      <c r="BX36" s="210"/>
      <c r="BY36" s="211"/>
      <c r="BZ36" s="211"/>
      <c r="CA36" s="217"/>
      <c r="CB36" s="210"/>
      <c r="CC36" s="211"/>
      <c r="CD36" s="211"/>
      <c r="CE36" s="217"/>
      <c r="CF36" s="210"/>
      <c r="CG36" s="211"/>
      <c r="CH36" s="211"/>
      <c r="CI36" s="217"/>
      <c r="CJ36" s="210"/>
      <c r="CK36" s="211"/>
      <c r="CL36" s="211"/>
      <c r="CM36" s="217"/>
      <c r="CN36" s="210"/>
      <c r="CO36" s="211"/>
      <c r="CP36" s="211"/>
      <c r="CQ36" s="217"/>
      <c r="CR36" s="210"/>
      <c r="CS36" s="211"/>
      <c r="CT36" s="211"/>
      <c r="CU36" s="214"/>
      <c r="CV36" s="210"/>
      <c r="CW36" s="211"/>
      <c r="CX36" s="211"/>
      <c r="CY36" s="217"/>
    </row>
    <row r="37" spans="1:103" s="58" customFormat="1" x14ac:dyDescent="0.2">
      <c r="A37" s="24" t="s">
        <v>416</v>
      </c>
      <c r="C37" s="278">
        <v>18414310</v>
      </c>
      <c r="D37" s="279"/>
      <c r="E37" s="248">
        <f t="shared" si="7"/>
        <v>1.958</v>
      </c>
      <c r="F37" s="29">
        <f t="shared" si="5"/>
        <v>36055219</v>
      </c>
      <c r="G37" s="245">
        <v>812370</v>
      </c>
      <c r="H37" s="22">
        <f t="shared" si="2"/>
        <v>2.3E-2</v>
      </c>
      <c r="I37" s="50"/>
      <c r="K37" s="2"/>
      <c r="O37" s="307" t="str">
        <f>'10.3'!A43</f>
        <v>1/1/14</v>
      </c>
      <c r="P37" s="105">
        <v>0.05</v>
      </c>
      <c r="Q37" s="106">
        <f>1+P37</f>
        <v>1.05</v>
      </c>
      <c r="R37" s="40">
        <f>PRODUCT(Q$21:Q37)</f>
        <v>2.6763713872036048</v>
      </c>
      <c r="S37" t="s">
        <v>423</v>
      </c>
      <c r="T37" s="219"/>
      <c r="U37" s="220" t="s">
        <v>16</v>
      </c>
      <c r="V37" s="221"/>
      <c r="W37" s="222"/>
      <c r="X37" s="219"/>
      <c r="Y37" s="223" t="s">
        <v>17</v>
      </c>
      <c r="Z37" s="220"/>
      <c r="AA37" s="222"/>
      <c r="AB37" s="219"/>
      <c r="AC37" s="223" t="s">
        <v>17</v>
      </c>
      <c r="AD37" s="221"/>
      <c r="AE37" s="222"/>
      <c r="AF37" s="219"/>
      <c r="AG37" s="223" t="s">
        <v>341</v>
      </c>
      <c r="AH37" s="221"/>
      <c r="AI37" s="222"/>
      <c r="AJ37" s="219"/>
      <c r="AK37" s="223" t="s">
        <v>342</v>
      </c>
      <c r="AL37" s="221"/>
      <c r="AM37" s="222"/>
      <c r="AN37" s="219"/>
      <c r="AO37" s="223" t="s">
        <v>343</v>
      </c>
      <c r="AP37" s="221"/>
      <c r="AQ37" s="222"/>
      <c r="AR37" s="219"/>
      <c r="AS37" s="223" t="s">
        <v>344</v>
      </c>
      <c r="AT37" s="221"/>
      <c r="AU37" s="222"/>
      <c r="AV37" s="219"/>
      <c r="AW37" s="223" t="s">
        <v>345</v>
      </c>
      <c r="AX37" s="221"/>
      <c r="AY37" s="222"/>
      <c r="AZ37" s="219"/>
      <c r="BA37" s="220" t="s">
        <v>61</v>
      </c>
      <c r="BB37" s="221"/>
      <c r="BC37" s="222"/>
      <c r="BD37" s="219" t="s">
        <v>346</v>
      </c>
      <c r="BE37" s="218" t="s">
        <v>347</v>
      </c>
      <c r="BF37" s="221"/>
      <c r="BG37" s="222"/>
      <c r="BH37" s="219"/>
      <c r="BI37" s="218" t="s">
        <v>348</v>
      </c>
      <c r="BJ37" s="220"/>
      <c r="BK37" s="222"/>
      <c r="BL37" s="219"/>
      <c r="BM37" s="218" t="s">
        <v>375</v>
      </c>
      <c r="BN37" s="220"/>
      <c r="BO37" s="222"/>
      <c r="BP37" s="219"/>
      <c r="BQ37" s="223" t="s">
        <v>380</v>
      </c>
      <c r="BR37" s="220"/>
      <c r="BS37" s="222"/>
      <c r="BT37" s="219"/>
      <c r="BU37" s="218" t="s">
        <v>380</v>
      </c>
      <c r="BV37" s="221"/>
      <c r="BW37" s="222"/>
      <c r="BX37" s="219"/>
      <c r="BY37" s="218" t="s">
        <v>404</v>
      </c>
      <c r="BZ37" s="221"/>
      <c r="CA37" s="222"/>
      <c r="CB37" s="219"/>
      <c r="CC37" s="218" t="s">
        <v>419</v>
      </c>
      <c r="CD37" s="221"/>
      <c r="CE37" s="222"/>
      <c r="CF37" s="219"/>
      <c r="CG37" s="218" t="s">
        <v>420</v>
      </c>
      <c r="CH37" s="221"/>
      <c r="CI37" s="222"/>
      <c r="CJ37" s="219"/>
      <c r="CK37" s="218" t="s">
        <v>423</v>
      </c>
      <c r="CL37" s="221"/>
      <c r="CM37" s="222"/>
      <c r="CN37" s="219"/>
      <c r="CO37" s="218" t="s">
        <v>424</v>
      </c>
      <c r="CP37" s="221"/>
      <c r="CQ37" s="222"/>
      <c r="CR37" s="219"/>
      <c r="CS37" s="223"/>
      <c r="CT37" s="220" t="s">
        <v>456</v>
      </c>
      <c r="CU37" s="222"/>
      <c r="CV37" s="219"/>
      <c r="CW37" s="218" t="s">
        <v>472</v>
      </c>
      <c r="CX37" s="221"/>
      <c r="CY37" s="222"/>
    </row>
    <row r="38" spans="1:103" x14ac:dyDescent="0.2">
      <c r="A38" s="24" t="s">
        <v>376</v>
      </c>
      <c r="B38" s="58"/>
      <c r="C38" s="278">
        <v>24924710</v>
      </c>
      <c r="D38" s="279"/>
      <c r="E38" s="248">
        <f t="shared" si="7"/>
        <v>1.774</v>
      </c>
      <c r="F38" s="29">
        <f t="shared" si="5"/>
        <v>44216436</v>
      </c>
      <c r="G38" s="278">
        <v>710669</v>
      </c>
      <c r="H38" s="22">
        <f t="shared" si="2"/>
        <v>1.6E-2</v>
      </c>
      <c r="I38" s="50"/>
      <c r="K38" s="2"/>
      <c r="O38" s="330" t="str">
        <f>'10.3'!A44</f>
        <v>1/1/15</v>
      </c>
      <c r="P38" s="105">
        <v>0.05</v>
      </c>
      <c r="Q38">
        <v>1.05</v>
      </c>
      <c r="R38" s="40">
        <f>PRODUCT(Q$21:Q38)</f>
        <v>2.8101899565637853</v>
      </c>
      <c r="S38" t="s">
        <v>424</v>
      </c>
      <c r="T38" s="224"/>
      <c r="U38" s="225"/>
      <c r="V38" s="226" t="s">
        <v>17</v>
      </c>
      <c r="W38" s="227"/>
      <c r="X38" s="224"/>
      <c r="Y38" s="226"/>
      <c r="Z38" s="226"/>
      <c r="AA38" s="227"/>
      <c r="AB38" s="224"/>
      <c r="AC38" s="225"/>
      <c r="AD38" s="226" t="s">
        <v>341</v>
      </c>
      <c r="AE38" s="227"/>
      <c r="AF38" s="224"/>
      <c r="AG38" s="225"/>
      <c r="AH38" s="226" t="s">
        <v>342</v>
      </c>
      <c r="AI38" s="227"/>
      <c r="AJ38" s="224"/>
      <c r="AK38" s="225"/>
      <c r="AL38" s="226" t="s">
        <v>343</v>
      </c>
      <c r="AM38" s="227"/>
      <c r="AN38" s="224"/>
      <c r="AO38" s="225"/>
      <c r="AP38" s="226" t="s">
        <v>344</v>
      </c>
      <c r="AQ38" s="227"/>
      <c r="AR38" s="224"/>
      <c r="AS38" s="225"/>
      <c r="AT38" s="226" t="s">
        <v>345</v>
      </c>
      <c r="AU38" s="227"/>
      <c r="AV38" s="224"/>
      <c r="AW38" s="225"/>
      <c r="AX38" s="226" t="s">
        <v>61</v>
      </c>
      <c r="AY38" s="227"/>
      <c r="AZ38" s="224"/>
      <c r="BA38" s="225"/>
      <c r="BB38" s="226" t="s">
        <v>346</v>
      </c>
      <c r="BC38" s="227"/>
      <c r="BD38" s="224"/>
      <c r="BE38" s="225"/>
      <c r="BF38" s="226" t="s">
        <v>348</v>
      </c>
      <c r="BG38" s="227"/>
      <c r="BH38" s="224"/>
      <c r="BI38" s="226"/>
      <c r="BJ38" s="226" t="s">
        <v>375</v>
      </c>
      <c r="BK38" s="227"/>
      <c r="BL38" s="224"/>
      <c r="BM38" s="226"/>
      <c r="BN38" s="226" t="s">
        <v>380</v>
      </c>
      <c r="BO38" s="227"/>
      <c r="BP38" s="224"/>
      <c r="BQ38" s="226"/>
      <c r="BR38" s="226"/>
      <c r="BS38" s="227"/>
      <c r="BT38" s="224"/>
      <c r="BU38" s="225"/>
      <c r="BV38" s="226" t="s">
        <v>404</v>
      </c>
      <c r="BW38" s="227"/>
      <c r="BX38" s="224"/>
      <c r="BY38" s="225"/>
      <c r="BZ38" s="226" t="s">
        <v>419</v>
      </c>
      <c r="CA38" s="227"/>
      <c r="CB38" s="224"/>
      <c r="CC38" s="225"/>
      <c r="CD38" s="226" t="s">
        <v>420</v>
      </c>
      <c r="CE38" s="227"/>
      <c r="CF38" s="224"/>
      <c r="CG38" s="225"/>
      <c r="CH38" s="226" t="s">
        <v>423</v>
      </c>
      <c r="CI38" s="227"/>
      <c r="CJ38" s="224"/>
      <c r="CK38" s="225"/>
      <c r="CL38" s="226" t="s">
        <v>424</v>
      </c>
      <c r="CM38" s="227"/>
      <c r="CN38" s="224"/>
      <c r="CO38" s="225"/>
      <c r="CP38" s="226" t="s">
        <v>456</v>
      </c>
      <c r="CQ38" s="227"/>
      <c r="CR38" s="224"/>
      <c r="CS38" s="226"/>
      <c r="CT38" s="226"/>
      <c r="CU38" s="227"/>
      <c r="CV38" s="224"/>
      <c r="CW38" s="225"/>
      <c r="CX38" s="226" t="s">
        <v>473</v>
      </c>
      <c r="CY38" s="227"/>
    </row>
    <row r="39" spans="1:103" x14ac:dyDescent="0.2">
      <c r="A39" s="24" t="s">
        <v>381</v>
      </c>
      <c r="B39" s="58"/>
      <c r="C39" s="278">
        <v>24970117</v>
      </c>
      <c r="D39" s="279"/>
      <c r="E39" s="248">
        <f t="shared" si="7"/>
        <v>1.6759999999999999</v>
      </c>
      <c r="F39" s="29">
        <f t="shared" si="5"/>
        <v>41849916</v>
      </c>
      <c r="G39" s="278">
        <v>293310706.44950092</v>
      </c>
      <c r="H39" s="22">
        <f>ROUND(G39/F39,3)</f>
        <v>7.0090000000000003</v>
      </c>
      <c r="I39" s="50"/>
      <c r="K39" s="2"/>
      <c r="L39" s="368"/>
      <c r="M39" s="47"/>
      <c r="N39" s="47"/>
      <c r="O39" s="369" t="str">
        <f>'10.3'!A45</f>
        <v>1/1/16</v>
      </c>
      <c r="P39" s="370">
        <v>0.05</v>
      </c>
      <c r="Q39" s="47">
        <v>1.05</v>
      </c>
      <c r="R39" s="123">
        <f>PRODUCT(Q$21:Q39)</f>
        <v>2.9506994543919749</v>
      </c>
      <c r="S39" s="47" t="s">
        <v>456</v>
      </c>
      <c r="T39" s="216"/>
      <c r="U39" s="372"/>
      <c r="V39" s="372"/>
      <c r="W39" s="373"/>
      <c r="X39" s="374"/>
      <c r="Y39" s="372"/>
      <c r="Z39" s="372"/>
      <c r="AA39" s="373"/>
      <c r="AB39" s="371"/>
      <c r="AC39" s="372"/>
      <c r="AD39" s="372"/>
      <c r="AE39" s="373"/>
      <c r="AF39" s="371"/>
      <c r="AG39" s="372"/>
      <c r="AH39" s="372"/>
      <c r="AI39" s="373"/>
      <c r="AJ39" s="371"/>
      <c r="AK39" s="372"/>
      <c r="AL39" s="372"/>
      <c r="AM39" s="373"/>
      <c r="AN39" s="371"/>
      <c r="AO39" s="372"/>
      <c r="AP39" s="372"/>
      <c r="AQ39" s="373"/>
      <c r="AR39" s="371"/>
      <c r="AS39" s="372"/>
      <c r="AT39" s="372"/>
      <c r="AU39" s="373"/>
      <c r="AV39" s="371"/>
      <c r="AW39" s="372"/>
      <c r="AX39" s="372"/>
      <c r="AY39" s="373"/>
      <c r="AZ39" s="371"/>
      <c r="BA39" s="372"/>
      <c r="BB39" s="372"/>
      <c r="BC39" s="375" t="s">
        <v>347</v>
      </c>
      <c r="BD39" s="371"/>
      <c r="BE39" s="372"/>
      <c r="BF39" s="372"/>
      <c r="BG39" s="373"/>
      <c r="BH39" s="374"/>
      <c r="BI39" s="372"/>
      <c r="BJ39" s="372"/>
      <c r="BK39" s="373"/>
      <c r="BL39" s="374"/>
      <c r="BM39" s="372"/>
      <c r="BN39" s="372"/>
      <c r="BO39" s="373"/>
      <c r="BP39" s="374"/>
      <c r="BQ39" s="372"/>
      <c r="BR39" s="372"/>
      <c r="BS39" s="373"/>
      <c r="BT39" s="371"/>
      <c r="BU39" s="372"/>
      <c r="BV39" s="372"/>
      <c r="BW39" s="373"/>
      <c r="BX39" s="371"/>
      <c r="BY39" s="372"/>
      <c r="BZ39" s="372"/>
      <c r="CA39" s="373"/>
      <c r="CB39" s="371"/>
      <c r="CC39" s="372"/>
      <c r="CD39" s="372"/>
      <c r="CE39" s="373"/>
      <c r="CF39" s="371"/>
      <c r="CG39" s="372"/>
      <c r="CH39" s="372"/>
      <c r="CI39" s="215"/>
      <c r="CJ39" s="216"/>
      <c r="CK39" s="213"/>
      <c r="CL39" s="213"/>
      <c r="CM39" s="215"/>
      <c r="CN39" s="216"/>
      <c r="CO39" s="213"/>
      <c r="CP39" s="213"/>
      <c r="CQ39" s="215"/>
      <c r="CR39" s="212"/>
      <c r="CS39" s="213"/>
      <c r="CT39" s="213"/>
      <c r="CU39" s="215"/>
      <c r="CV39" s="216"/>
      <c r="CW39" s="213"/>
      <c r="CX39" s="213"/>
      <c r="CY39" s="215"/>
    </row>
    <row r="40" spans="1:103" x14ac:dyDescent="0.2">
      <c r="A40" s="24" t="s">
        <v>417</v>
      </c>
      <c r="B40" s="42"/>
      <c r="C40" s="90">
        <f>[2]ISO!$O54</f>
        <v>29363002</v>
      </c>
      <c r="D40" s="280"/>
      <c r="E40" s="248">
        <f t="shared" si="7"/>
        <v>1.5269999999999999</v>
      </c>
      <c r="F40" s="29">
        <f t="shared" si="5"/>
        <v>44837304</v>
      </c>
      <c r="G40" s="90">
        <f>[2]ISO!$T54</f>
        <v>1140669</v>
      </c>
      <c r="H40" s="22">
        <f>ROUND(G40/F40,3)</f>
        <v>2.5000000000000001E-2</v>
      </c>
      <c r="I40" s="50"/>
      <c r="J40" s="58"/>
      <c r="K40" s="2"/>
      <c r="L40" s="9"/>
      <c r="M40" s="9"/>
      <c r="N40" s="9"/>
      <c r="O40" s="327" t="str">
        <f>'10.3'!A47</f>
        <v>1/1/18</v>
      </c>
      <c r="P40" s="328">
        <v>0.05</v>
      </c>
      <c r="Q40" s="9">
        <v>1.05</v>
      </c>
      <c r="R40" s="329">
        <f>PRODUCT(Q$21:Q40)</f>
        <v>3.0982344271115738</v>
      </c>
      <c r="S40" s="9" t="s">
        <v>473</v>
      </c>
      <c r="T40" s="376"/>
      <c r="U40" s="376"/>
      <c r="V40" s="376"/>
      <c r="W40" s="376"/>
      <c r="X40" s="376"/>
      <c r="Y40" s="376"/>
      <c r="Z40" s="376"/>
      <c r="AA40" s="376"/>
      <c r="AB40" s="376"/>
      <c r="AC40" s="376"/>
      <c r="AD40" s="376"/>
      <c r="AE40" s="376"/>
      <c r="AF40" s="376"/>
      <c r="AG40" s="376"/>
      <c r="AH40" s="376"/>
      <c r="AI40" s="376"/>
      <c r="AJ40" s="376"/>
      <c r="AK40" s="376"/>
      <c r="AL40" s="376"/>
      <c r="AM40" s="376"/>
      <c r="AN40" s="376"/>
      <c r="AO40" s="376"/>
      <c r="AP40" s="376"/>
      <c r="AQ40" s="376"/>
      <c r="AR40" s="376"/>
      <c r="AS40" s="376"/>
      <c r="AT40" s="376"/>
      <c r="AU40" s="376"/>
      <c r="AV40" s="376"/>
      <c r="AW40" s="376"/>
      <c r="AX40" s="376"/>
      <c r="AY40" s="376"/>
      <c r="AZ40" s="376"/>
      <c r="BA40" s="376"/>
      <c r="BB40" s="376"/>
      <c r="BC40" s="376"/>
      <c r="BD40" s="376"/>
      <c r="BE40" s="376"/>
      <c r="BF40" s="376"/>
      <c r="BG40" s="376"/>
      <c r="BH40" s="376"/>
      <c r="BI40" s="376"/>
      <c r="BJ40" s="376"/>
      <c r="BK40" s="376"/>
      <c r="BL40" s="376"/>
      <c r="BM40" s="376"/>
      <c r="BN40" s="376"/>
      <c r="BO40" s="376"/>
      <c r="BP40" s="376"/>
      <c r="BQ40" s="376"/>
      <c r="BR40" s="376"/>
      <c r="BS40" s="376"/>
      <c r="BT40" s="376"/>
      <c r="BU40" s="376"/>
      <c r="BV40" s="376"/>
      <c r="BW40" s="376"/>
      <c r="BX40" s="376"/>
      <c r="BY40" s="376"/>
      <c r="BZ40" s="376"/>
      <c r="CA40" s="376"/>
      <c r="CB40" s="376"/>
      <c r="CC40" s="376"/>
      <c r="CD40" s="376"/>
      <c r="CE40" s="376"/>
      <c r="CF40" s="376"/>
      <c r="CG40" s="376"/>
      <c r="CH40" s="376"/>
    </row>
    <row r="41" spans="1:103" x14ac:dyDescent="0.2">
      <c r="A41" s="24" t="s">
        <v>418</v>
      </c>
      <c r="B41" s="42"/>
      <c r="C41" s="90">
        <f>[2]ISO!$O55</f>
        <v>31702630</v>
      </c>
      <c r="D41" s="280"/>
      <c r="E41" s="248">
        <f t="shared" si="7"/>
        <v>1.407</v>
      </c>
      <c r="F41" s="29">
        <f>ROUND(C41*E41,0)</f>
        <v>44605600</v>
      </c>
      <c r="G41" s="90">
        <f>[2]ISO!$T55</f>
        <v>669882</v>
      </c>
      <c r="H41" s="22">
        <f t="shared" si="2"/>
        <v>1.4999999999999999E-2</v>
      </c>
      <c r="I41" s="50"/>
      <c r="J41" s="58"/>
      <c r="K41" s="2"/>
      <c r="L41" t="s">
        <v>426</v>
      </c>
      <c r="M41" s="18"/>
      <c r="O41" t="s">
        <v>43</v>
      </c>
      <c r="P41" s="7" t="s">
        <v>349</v>
      </c>
      <c r="Q41" s="7" t="s">
        <v>251</v>
      </c>
      <c r="R41" s="58"/>
    </row>
    <row r="42" spans="1:103" x14ac:dyDescent="0.2">
      <c r="A42" s="24" t="s">
        <v>421</v>
      </c>
      <c r="B42" s="42"/>
      <c r="C42" s="90">
        <f>[2]ISO!$O56</f>
        <v>31272385</v>
      </c>
      <c r="D42" s="280"/>
      <c r="E42" s="248">
        <f t="shared" si="7"/>
        <v>1.373</v>
      </c>
      <c r="F42" s="29">
        <f t="shared" si="5"/>
        <v>42936985</v>
      </c>
      <c r="G42" s="90">
        <f>[2]ISO!$T56</f>
        <v>1675264</v>
      </c>
      <c r="H42" s="22">
        <f t="shared" si="2"/>
        <v>3.9E-2</v>
      </c>
      <c r="I42" s="50"/>
      <c r="K42" s="2"/>
      <c r="L42" s="296">
        <v>99433916.550499082</v>
      </c>
      <c r="O42" t="s">
        <v>200</v>
      </c>
      <c r="P42" s="207">
        <f>$R21</f>
        <v>1</v>
      </c>
      <c r="Q42" s="40">
        <f>$R$40/P42</f>
        <v>3.0982344271115738</v>
      </c>
      <c r="R42" s="58"/>
    </row>
    <row r="43" spans="1:103" x14ac:dyDescent="0.2">
      <c r="A43" s="48" t="s">
        <v>441</v>
      </c>
      <c r="B43" s="48"/>
      <c r="C43" s="90">
        <f>[2]ISO!$O57</f>
        <v>35126663</v>
      </c>
      <c r="D43" s="281"/>
      <c r="E43" s="248">
        <f t="shared" si="7"/>
        <v>1.3069999999999999</v>
      </c>
      <c r="F43" s="180">
        <f t="shared" si="5"/>
        <v>45910549</v>
      </c>
      <c r="G43" s="90">
        <f>[2]ISO!$T57</f>
        <v>8709842</v>
      </c>
      <c r="H43" s="50">
        <f>ROUND(G43/F43,3)</f>
        <v>0.19</v>
      </c>
      <c r="I43" s="50"/>
      <c r="J43" s="58"/>
      <c r="K43" s="2"/>
      <c r="L43" s="96"/>
      <c r="M43" s="96"/>
      <c r="O43" s="24" t="str">
        <f t="shared" ref="O43:O60" si="8">A29</f>
        <v>1998</v>
      </c>
      <c r="P43" s="40">
        <f>AVERAGE($R22,$R21)</f>
        <v>0.98499999999999999</v>
      </c>
      <c r="Q43" s="40">
        <f t="shared" ref="Q43:Q61" si="9">$R$40/P43</f>
        <v>3.1454156620422071</v>
      </c>
    </row>
    <row r="44" spans="1:103" x14ac:dyDescent="0.2">
      <c r="A44" s="48" t="s">
        <v>442</v>
      </c>
      <c r="B44" s="48"/>
      <c r="C44" s="90">
        <f>[2]ISO!$O58</f>
        <v>37667656</v>
      </c>
      <c r="D44" s="281"/>
      <c r="E44" s="248">
        <f t="shared" si="7"/>
        <v>1.2450000000000001</v>
      </c>
      <c r="F44" s="180">
        <f t="shared" si="5"/>
        <v>46896232</v>
      </c>
      <c r="G44" s="90">
        <f>[2]ISO!$T58</f>
        <v>6670061</v>
      </c>
      <c r="H44" s="50">
        <f>ROUND(G44/F44,3)</f>
        <v>0.14199999999999999</v>
      </c>
      <c r="I44" s="50"/>
      <c r="J44" s="58"/>
      <c r="K44" s="2"/>
      <c r="O44" s="24" t="str">
        <f t="shared" si="8"/>
        <v>1999</v>
      </c>
      <c r="P44" s="207">
        <f>$R22</f>
        <v>0.97</v>
      </c>
      <c r="Q44" s="40">
        <f t="shared" si="9"/>
        <v>3.1940561104243028</v>
      </c>
    </row>
    <row r="45" spans="1:103" x14ac:dyDescent="0.2">
      <c r="A45" s="48">
        <v>2014</v>
      </c>
      <c r="B45" s="48"/>
      <c r="C45" s="90">
        <f>[2]ISO!$O59</f>
        <v>38291181</v>
      </c>
      <c r="D45" s="281"/>
      <c r="E45" s="248">
        <f t="shared" si="7"/>
        <v>1.1859999999999999</v>
      </c>
      <c r="F45" s="180">
        <f t="shared" si="5"/>
        <v>45413341</v>
      </c>
      <c r="G45" s="90">
        <f>[2]ISO!$T59</f>
        <v>258179</v>
      </c>
      <c r="H45" s="50">
        <f t="shared" si="2"/>
        <v>6.0000000000000001E-3</v>
      </c>
      <c r="I45" s="50"/>
      <c r="K45" s="2"/>
      <c r="O45" s="24" t="str">
        <f t="shared" si="8"/>
        <v>2000</v>
      </c>
      <c r="P45" s="40">
        <f t="shared" ref="P45:P50" si="10">AVERAGE($R23,$R22)</f>
        <v>1.0136500000000002</v>
      </c>
      <c r="Q45" s="40">
        <f t="shared" si="9"/>
        <v>3.056513024329476</v>
      </c>
    </row>
    <row r="46" spans="1:103" x14ac:dyDescent="0.2">
      <c r="A46" s="48">
        <v>2015</v>
      </c>
      <c r="B46" s="48"/>
      <c r="C46" s="90">
        <f>[2]ISO!$O60</f>
        <v>36812479</v>
      </c>
      <c r="D46" s="281"/>
      <c r="E46" s="248">
        <f t="shared" si="7"/>
        <v>1.129</v>
      </c>
      <c r="F46" s="180">
        <f>ROUND(C46*E46,0)</f>
        <v>41561289</v>
      </c>
      <c r="G46" s="90">
        <f>[2]ISO!$T60</f>
        <v>5022267</v>
      </c>
      <c r="H46" s="50">
        <f t="shared" si="2"/>
        <v>0.121</v>
      </c>
      <c r="I46" s="50"/>
      <c r="K46" s="2"/>
      <c r="L46" t="s">
        <v>242</v>
      </c>
      <c r="M46" t="s">
        <v>243</v>
      </c>
      <c r="O46" s="24" t="str">
        <f t="shared" si="8"/>
        <v>2001</v>
      </c>
      <c r="P46" s="40">
        <f t="shared" si="10"/>
        <v>1.078446</v>
      </c>
      <c r="Q46" s="40">
        <f t="shared" si="9"/>
        <v>2.8728693204032227</v>
      </c>
    </row>
    <row r="47" spans="1:103" s="58" customFormat="1" x14ac:dyDescent="0.2">
      <c r="A47" s="48">
        <v>2016</v>
      </c>
      <c r="B47" s="48"/>
      <c r="C47" s="90">
        <f>[2]ISO!$O61</f>
        <v>36198819</v>
      </c>
      <c r="D47" s="281"/>
      <c r="E47" s="248">
        <f t="shared" si="7"/>
        <v>1.0760000000000001</v>
      </c>
      <c r="F47" s="180">
        <f>ROUND(C47*E47,0)</f>
        <v>38949929</v>
      </c>
      <c r="G47" s="90">
        <f>[2]ISO!$T61</f>
        <v>334194</v>
      </c>
      <c r="H47" s="50">
        <f t="shared" si="2"/>
        <v>8.9999999999999993E-3</v>
      </c>
      <c r="I47" s="31"/>
      <c r="K47" s="2"/>
      <c r="L47" s="103">
        <v>34607</v>
      </c>
      <c r="M47" s="103">
        <v>36525</v>
      </c>
      <c r="N47" t="s">
        <v>244</v>
      </c>
      <c r="O47" s="24" t="str">
        <f t="shared" si="8"/>
        <v>2002</v>
      </c>
      <c r="P47" s="40">
        <f t="shared" si="10"/>
        <v>1.1270818</v>
      </c>
      <c r="Q47" s="40">
        <f t="shared" si="9"/>
        <v>2.7488993497291623</v>
      </c>
      <c r="R47"/>
      <c r="S47"/>
      <c r="T47"/>
      <c r="U47"/>
      <c r="V47"/>
      <c r="W47"/>
      <c r="X47"/>
      <c r="Y47"/>
      <c r="Z47"/>
      <c r="AA47"/>
      <c r="AB47"/>
      <c r="AC47"/>
    </row>
    <row r="48" spans="1:103" x14ac:dyDescent="0.2">
      <c r="A48" s="102">
        <v>2017</v>
      </c>
      <c r="B48" s="47"/>
      <c r="C48" s="90">
        <f>[2]ISO!$O62</f>
        <v>33019317</v>
      </c>
      <c r="D48" s="47"/>
      <c r="E48" s="248">
        <f>ROUND($L$17*Q62*(1-$L$32)+Q62*$L$32,3)</f>
        <v>1.05</v>
      </c>
      <c r="F48" s="180">
        <f>ROUND(C48*E48,0)</f>
        <v>34670283</v>
      </c>
      <c r="G48" s="90">
        <f>[2]ISO!$T62</f>
        <v>23262415</v>
      </c>
      <c r="H48" s="50">
        <f>ROUND(G48/F48,3)</f>
        <v>0.67100000000000004</v>
      </c>
      <c r="I48" s="50"/>
      <c r="K48" s="2"/>
      <c r="M48" s="100">
        <v>43100</v>
      </c>
      <c r="O48" s="24" t="str">
        <f t="shared" si="8"/>
        <v>2003</v>
      </c>
      <c r="P48" s="40">
        <f t="shared" si="10"/>
        <v>1.2123001800000002</v>
      </c>
      <c r="Q48" s="40">
        <f t="shared" si="9"/>
        <v>2.5556660621064773</v>
      </c>
      <c r="R48" s="58"/>
      <c r="T48" s="58"/>
      <c r="U48" s="58"/>
      <c r="V48" s="58"/>
      <c r="W48" s="58"/>
      <c r="X48" s="58"/>
      <c r="Y48" s="58"/>
      <c r="Z48" s="58"/>
      <c r="AA48" s="58"/>
      <c r="AB48" s="58"/>
      <c r="AC48" s="58"/>
    </row>
    <row r="49" spans="1:47" x14ac:dyDescent="0.2">
      <c r="A49" s="55">
        <v>2018</v>
      </c>
      <c r="B49" s="9"/>
      <c r="C49" s="89">
        <f>[2]ISO!$O63</f>
        <v>31415090</v>
      </c>
      <c r="D49" s="9"/>
      <c r="E49" s="109">
        <f>ROUND($L$17*Q63*(1-$L$32)+Q63*$L$32,3)</f>
        <v>1.024</v>
      </c>
      <c r="F49" s="30">
        <f>ROUND(C49*E49,0)</f>
        <v>32169052</v>
      </c>
      <c r="G49" s="89">
        <f>[2]ISO!$T63</f>
        <v>148796</v>
      </c>
      <c r="H49" s="67">
        <f>ROUND(G49/F49,3)</f>
        <v>5.0000000000000001E-3</v>
      </c>
      <c r="K49" s="2"/>
      <c r="L49" s="100">
        <f>[2]ISO!$E$1</f>
        <v>43465</v>
      </c>
      <c r="M49" s="100">
        <f>[2]ISO!$E$2</f>
        <v>43465</v>
      </c>
      <c r="N49" t="s">
        <v>245</v>
      </c>
      <c r="O49" s="24" t="str">
        <f t="shared" si="8"/>
        <v>2004</v>
      </c>
      <c r="P49" s="40">
        <f t="shared" si="10"/>
        <v>1.3335301980000003</v>
      </c>
      <c r="Q49" s="40">
        <f t="shared" si="9"/>
        <v>2.3233327837331608</v>
      </c>
    </row>
    <row r="50" spans="1:47" x14ac:dyDescent="0.2">
      <c r="C50" s="18"/>
      <c r="D50" s="18"/>
      <c r="E50" s="12"/>
      <c r="F50" s="18"/>
      <c r="G50" s="90"/>
      <c r="H50" s="19"/>
      <c r="I50" s="47"/>
      <c r="K50" s="2"/>
      <c r="O50" s="24" t="str">
        <f t="shared" si="8"/>
        <v>2005</v>
      </c>
      <c r="P50" s="40">
        <f t="shared" si="10"/>
        <v>1.4668832178000004</v>
      </c>
      <c r="Q50" s="40">
        <f t="shared" si="9"/>
        <v>2.1121207124846917</v>
      </c>
    </row>
    <row r="51" spans="1:47" x14ac:dyDescent="0.2">
      <c r="A51" t="s">
        <v>8</v>
      </c>
      <c r="C51" s="69">
        <f>SUM(C14:C49)</f>
        <v>517201759</v>
      </c>
      <c r="D51" s="69"/>
      <c r="E51" s="69"/>
      <c r="F51" s="69">
        <f>SUM(F14:F49)</f>
        <v>840562945</v>
      </c>
      <c r="G51" s="69">
        <f>SUM(G14:G49)</f>
        <v>423770626.44950092</v>
      </c>
      <c r="H51" s="22">
        <f>ROUND(G51/F51,3)</f>
        <v>0.504</v>
      </c>
      <c r="I51" s="47"/>
      <c r="K51" s="2"/>
      <c r="O51" s="24" t="str">
        <f t="shared" si="8"/>
        <v>2006</v>
      </c>
      <c r="P51" s="207">
        <f>SUM(72*$R28,64*$R29,8*$R30)/144</f>
        <v>1.5823245986548007</v>
      </c>
      <c r="Q51" s="40">
        <f t="shared" si="9"/>
        <v>1.9580270885920061</v>
      </c>
    </row>
    <row r="52" spans="1:47" ht="12" thickBot="1" x14ac:dyDescent="0.25">
      <c r="A52" s="6"/>
      <c r="B52" s="6"/>
      <c r="C52" s="6"/>
      <c r="D52" s="6"/>
      <c r="E52" s="6"/>
      <c r="F52" s="6"/>
      <c r="G52" s="6"/>
      <c r="H52" s="6"/>
      <c r="I52" s="47"/>
      <c r="K52" s="2"/>
      <c r="O52" s="24" t="str">
        <f t="shared" si="8"/>
        <v>2007</v>
      </c>
      <c r="P52" s="207">
        <f>SUM(32*$R29,40*$R30,72*$R31)/144</f>
        <v>1.7462107058480092</v>
      </c>
      <c r="Q52" s="40">
        <f t="shared" si="9"/>
        <v>1.7742615004796822</v>
      </c>
    </row>
    <row r="53" spans="1:47" ht="12" thickTop="1" x14ac:dyDescent="0.2">
      <c r="I53" s="47"/>
      <c r="K53" s="2"/>
      <c r="O53" s="24" t="str">
        <f t="shared" si="8"/>
        <v>2008</v>
      </c>
      <c r="P53" s="40">
        <f>SUM(83.5*$R31,60.5*$R32)/144</f>
        <v>1.8481349699725733</v>
      </c>
      <c r="Q53" s="40">
        <f t="shared" si="9"/>
        <v>1.6764113430295366</v>
      </c>
    </row>
    <row r="54" spans="1:47" x14ac:dyDescent="0.2">
      <c r="A54" t="s">
        <v>19</v>
      </c>
      <c r="F54" s="42"/>
      <c r="I54" s="47"/>
      <c r="K54" s="2"/>
      <c r="O54" s="24" t="str">
        <f t="shared" si="8"/>
        <v>2009</v>
      </c>
      <c r="P54" s="40">
        <f>SUM(83.5*$R32,60.5*$R33)/144</f>
        <v>2.0295594853760508</v>
      </c>
      <c r="Q54" s="40">
        <f t="shared" si="9"/>
        <v>1.5265551216585858</v>
      </c>
    </row>
    <row r="55" spans="1:47" x14ac:dyDescent="0.2">
      <c r="B55" s="21" t="str">
        <f>C12&amp;" Provided by TDI. "&amp;A14&amp;" - "&amp;A26&amp;" are year ending "&amp;TEXT($L$47,"m/d/xx")&amp;" as of "&amp;TEXT($M$47,"m/d/yy")&amp;"; "&amp;A27&amp;" - "&amp;A49&amp;" are year ending "&amp;TEXT($L$49,"m/d/xx")&amp;" as of "&amp;TEXT($M$49,"m/d/yy")</f>
        <v>(2) Provided by TDI. 1983 - 1995 are year ending 9/30/xx as of 12/31/99; 1996 - 2018 are year ending 12/31/xx as of 12/31/18</v>
      </c>
      <c r="I55" s="47"/>
      <c r="K55" s="2"/>
      <c r="L55" s="58"/>
      <c r="M55" s="58"/>
      <c r="N55" s="58"/>
      <c r="O55" s="24" t="str">
        <f t="shared" si="8"/>
        <v>2010</v>
      </c>
      <c r="P55" s="207">
        <f>R33</f>
        <v>2.2018573637145877</v>
      </c>
      <c r="Q55" s="40">
        <f t="shared" si="9"/>
        <v>1.4071004226562505</v>
      </c>
      <c r="AD55" s="58"/>
      <c r="AE55" s="58"/>
      <c r="AF55" s="58"/>
      <c r="AG55" s="58"/>
      <c r="AH55" s="58"/>
      <c r="AI55" s="58"/>
      <c r="AJ55" s="58"/>
      <c r="AK55" s="58"/>
      <c r="AL55" s="58"/>
      <c r="AM55" s="58"/>
      <c r="AN55" s="58"/>
      <c r="AO55" s="58"/>
      <c r="AP55" s="58"/>
      <c r="AQ55" s="58"/>
      <c r="AR55" s="58"/>
      <c r="AS55" s="58"/>
      <c r="AT55" s="58"/>
      <c r="AU55" s="58"/>
    </row>
    <row r="56" spans="1:47" s="58" customFormat="1" x14ac:dyDescent="0.2">
      <c r="A56"/>
      <c r="B56" s="21" t="str">
        <f>D12&amp;" Provided by TDI (1992 MR = 1992 manual rates)"</f>
        <v>(3) Provided by TDI (1992 MR = 1992 manual rates)</v>
      </c>
      <c r="C56" s="21"/>
      <c r="D56"/>
      <c r="E56"/>
      <c r="F56"/>
      <c r="G56"/>
      <c r="H56"/>
      <c r="I56" s="131"/>
      <c r="J56"/>
      <c r="K56" s="2"/>
      <c r="O56" s="24" t="str">
        <f t="shared" si="8"/>
        <v>2011</v>
      </c>
      <c r="P56" s="40">
        <f t="shared" ref="P56:P61" si="11">AVERAGE(R33:R34)</f>
        <v>2.2569037978074524</v>
      </c>
      <c r="Q56" s="40">
        <f t="shared" si="9"/>
        <v>1.3727809001524396</v>
      </c>
      <c r="R56"/>
      <c r="S56"/>
    </row>
    <row r="57" spans="1:47" s="58" customFormat="1" x14ac:dyDescent="0.2">
      <c r="A57"/>
      <c r="B57" s="21" t="str">
        <f>E12&amp;" Represents "&amp;$O$22&amp;" through "&amp;$O$40&amp;" rate changes for TWIA; factors assume uniform earning of written premium"</f>
        <v>(4) Represents 1/1/98 through 1/1/18 rate changes for TWIA; factors assume uniform earning of written premium</v>
      </c>
      <c r="C57"/>
      <c r="D57"/>
      <c r="E57"/>
      <c r="F57"/>
      <c r="G57"/>
      <c r="H57"/>
      <c r="I57" s="47"/>
      <c r="J57"/>
      <c r="K57" s="2"/>
      <c r="O57" s="24" t="str">
        <f t="shared" si="8"/>
        <v>2012</v>
      </c>
      <c r="P57" s="40">
        <f t="shared" si="11"/>
        <v>2.3697489876978253</v>
      </c>
      <c r="Q57" s="40">
        <f t="shared" si="9"/>
        <v>1.3074103810975612</v>
      </c>
      <c r="R57"/>
      <c r="S57"/>
    </row>
    <row r="58" spans="1:47" s="58" customFormat="1" x14ac:dyDescent="0.2">
      <c r="A58"/>
      <c r="B58" s="101" t="str">
        <f>"      and that TWIA premium represents "&amp;TEXT(L32,"0.0%")&amp;" of industry data in "&amp;LEFT(A5,FIND("(",A5)-2)</f>
        <v xml:space="preserve">      and that TWIA premium represents 88.8% of industry data in Tier 1 -- Territory 8</v>
      </c>
      <c r="C58" s="87"/>
      <c r="D58" s="87"/>
      <c r="E58" s="87"/>
      <c r="F58" s="87"/>
      <c r="G58" s="87"/>
      <c r="H58" s="87"/>
      <c r="I58" s="47"/>
      <c r="J58"/>
      <c r="K58" s="2"/>
      <c r="L58" s="34"/>
      <c r="O58" s="24" t="str">
        <f t="shared" si="8"/>
        <v>2013</v>
      </c>
      <c r="P58" s="40">
        <f t="shared" si="11"/>
        <v>2.4882364370827164</v>
      </c>
      <c r="Q58" s="40">
        <f t="shared" si="9"/>
        <v>1.2451527439024395</v>
      </c>
      <c r="S58"/>
    </row>
    <row r="59" spans="1:47" s="58" customFormat="1" x14ac:dyDescent="0.2">
      <c r="A59"/>
      <c r="B59" s="21" t="str">
        <f>F12&amp;" = "&amp;D12&amp;" * "&amp;E12&amp;" for "&amp;A14&amp;" - "&amp;A23&amp;"; "&amp;C12&amp;" * "&amp;E12&amp;" for "&amp;A24&amp;" - "&amp;A49</f>
        <v>(5) = (3) * (4) for 1983 - 1992; (2) * (4) for 1993 - 2018</v>
      </c>
      <c r="C59"/>
      <c r="D59"/>
      <c r="E59"/>
      <c r="F59"/>
      <c r="G59"/>
      <c r="H59"/>
      <c r="I59" s="47"/>
      <c r="J59"/>
      <c r="K59" s="2"/>
      <c r="O59" s="24">
        <f t="shared" si="8"/>
        <v>2014</v>
      </c>
      <c r="P59" s="40">
        <f t="shared" si="11"/>
        <v>2.6126482589368525</v>
      </c>
      <c r="Q59" s="40">
        <f t="shared" si="9"/>
        <v>1.1858597560975612</v>
      </c>
      <c r="S59"/>
    </row>
    <row r="60" spans="1:47" s="58" customFormat="1" x14ac:dyDescent="0.2">
      <c r="A60"/>
      <c r="B60" s="21" t="str">
        <f>G12&amp;" Provided by TDI. "&amp;A14&amp;" - "&amp;A26&amp;" are year ending "&amp;TEXT($L$47,"m/d/xx")&amp;" as of "&amp;TEXT($M$47,"m/d/yy")&amp;"; "&amp;A27&amp;" - "&amp;A39&amp;" are year ending "&amp;TEXT($L$49,"m/d/xx")&amp;" as of "&amp;TEXT($M$48,"m/d/yy")</f>
        <v>(6) Provided by TDI. 1983 - 1995 are year ending 9/30/xx as of 12/31/99; 1996 - 2008 are year ending 12/31/xx as of 12/31/17</v>
      </c>
      <c r="C60"/>
      <c r="D60" s="59"/>
      <c r="E60" s="59"/>
      <c r="F60" s="59"/>
      <c r="G60" s="22"/>
      <c r="H60"/>
      <c r="I60" s="47"/>
      <c r="K60" s="2"/>
      <c r="O60" s="24">
        <f t="shared" si="8"/>
        <v>2015</v>
      </c>
      <c r="P60" s="40">
        <f t="shared" si="11"/>
        <v>2.7432806718836948</v>
      </c>
      <c r="Q60" s="40">
        <f t="shared" si="9"/>
        <v>1.1293902439024393</v>
      </c>
      <c r="S60"/>
    </row>
    <row r="61" spans="1:47" s="58" customFormat="1" x14ac:dyDescent="0.2">
      <c r="A61"/>
      <c r="B61" s="58" t="str">
        <f>"    2009 - 2018 are year ending 12/31/xx as of 12/31/2018"&amp;"; "&amp;" 2008 IKE incurred loss was adjusted down by $99,433,917"</f>
        <v xml:space="preserve">    2009 - 2018 are year ending 12/31/xx as of 12/31/2018;  2008 IKE incurred loss was adjusted down by $99,433,917</v>
      </c>
      <c r="D61"/>
      <c r="E61"/>
      <c r="F61"/>
      <c r="G61"/>
      <c r="H61"/>
      <c r="I61" s="42"/>
      <c r="K61" s="2"/>
      <c r="O61" s="24">
        <v>2016</v>
      </c>
      <c r="P61" s="40">
        <f t="shared" si="11"/>
        <v>2.8804447054778803</v>
      </c>
      <c r="Q61" s="40">
        <f t="shared" si="9"/>
        <v>1.075609756097561</v>
      </c>
      <c r="S61"/>
    </row>
    <row r="62" spans="1:47" s="58" customFormat="1" x14ac:dyDescent="0.2">
      <c r="A62"/>
      <c r="B62" s="21" t="str">
        <f>H12&amp;" = "&amp;G12&amp;" / "&amp;F12</f>
        <v>(7) = (6) / (5)</v>
      </c>
      <c r="C62"/>
      <c r="D62"/>
      <c r="E62"/>
      <c r="F62"/>
      <c r="G62"/>
      <c r="H62"/>
      <c r="I62" s="31"/>
      <c r="K62" s="2"/>
      <c r="O62" s="54">
        <v>2017</v>
      </c>
      <c r="P62" s="40">
        <f>AVERAGE(R39)</f>
        <v>2.9506994543919749</v>
      </c>
      <c r="Q62" s="40">
        <f>$R$40/P62</f>
        <v>1.05</v>
      </c>
      <c r="S62"/>
    </row>
    <row r="63" spans="1:47" s="58" customFormat="1" x14ac:dyDescent="0.2">
      <c r="A63" s="68"/>
      <c r="C63"/>
      <c r="D63" s="36"/>
      <c r="E63" s="36"/>
      <c r="F63" s="36"/>
      <c r="G63" s="31"/>
      <c r="H63" s="31"/>
      <c r="I63" s="31"/>
      <c r="K63" s="2"/>
      <c r="O63" s="54">
        <v>2018</v>
      </c>
      <c r="P63" s="34">
        <f>AVERAGE(R39:R40)</f>
        <v>3.0244669407517746</v>
      </c>
      <c r="Q63" s="34">
        <f>$R$40/P63</f>
        <v>1.024390243902439</v>
      </c>
      <c r="S63"/>
    </row>
    <row r="64" spans="1:47" s="58" customFormat="1" x14ac:dyDescent="0.2">
      <c r="A64" s="68"/>
      <c r="C64" s="36"/>
      <c r="D64" s="36"/>
      <c r="E64" s="36"/>
      <c r="F64" s="36"/>
      <c r="G64" s="31"/>
      <c r="H64" s="31"/>
      <c r="I64" s="31"/>
      <c r="K64" s="2"/>
      <c r="S64"/>
    </row>
    <row r="65" spans="1:47" s="58" customFormat="1" x14ac:dyDescent="0.2">
      <c r="A65" s="68"/>
      <c r="C65" s="36"/>
      <c r="D65" s="36"/>
      <c r="E65" s="36"/>
      <c r="F65" s="36"/>
      <c r="G65" s="31"/>
      <c r="H65" s="31"/>
      <c r="I65" s="31"/>
      <c r="K65" s="2"/>
      <c r="S65"/>
    </row>
    <row r="66" spans="1:47" s="58" customFormat="1" x14ac:dyDescent="0.2">
      <c r="A66" s="68"/>
      <c r="C66" s="36"/>
      <c r="D66" s="36"/>
      <c r="E66" s="36"/>
      <c r="F66" s="36"/>
      <c r="G66" s="31"/>
      <c r="H66" s="31"/>
      <c r="I66" s="31"/>
      <c r="K66" s="2"/>
      <c r="L66"/>
      <c r="M66"/>
      <c r="N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</row>
    <row r="67" spans="1:47" x14ac:dyDescent="0.2">
      <c r="A67" s="68"/>
      <c r="B67" s="58"/>
      <c r="C67" s="36"/>
      <c r="D67" s="36"/>
      <c r="E67" s="36"/>
      <c r="F67" s="36"/>
      <c r="G67" s="31"/>
      <c r="H67" s="31"/>
      <c r="I67" s="28"/>
      <c r="J67" s="58"/>
      <c r="K67" s="2"/>
      <c r="O67" s="58"/>
      <c r="P67" s="58"/>
      <c r="Q67" s="58"/>
      <c r="R67" s="58"/>
    </row>
    <row r="68" spans="1:47" x14ac:dyDescent="0.2">
      <c r="A68" s="68"/>
      <c r="B68" s="58"/>
      <c r="C68" s="28"/>
      <c r="D68" s="28"/>
      <c r="E68" s="28"/>
      <c r="F68" s="28"/>
      <c r="G68" s="28"/>
      <c r="H68" s="28"/>
      <c r="K68" s="2"/>
      <c r="O68" s="58"/>
      <c r="P68" s="58"/>
      <c r="Q68" s="58"/>
      <c r="R68" s="58"/>
    </row>
    <row r="69" spans="1:47" x14ac:dyDescent="0.2">
      <c r="B69" s="24"/>
      <c r="C69" s="59"/>
      <c r="D69" s="59"/>
      <c r="E69" s="59"/>
      <c r="F69" s="59"/>
      <c r="G69" s="22"/>
      <c r="K69" s="2"/>
    </row>
    <row r="70" spans="1:47" ht="12" thickBot="1" x14ac:dyDescent="0.25">
      <c r="B70" s="24"/>
      <c r="C70" s="59"/>
      <c r="D70" s="59"/>
      <c r="E70" s="59"/>
      <c r="F70" s="59"/>
      <c r="G70" s="22"/>
      <c r="K70" s="2"/>
    </row>
    <row r="71" spans="1:47" ht="12" thickBot="1" x14ac:dyDescent="0.25">
      <c r="A71" s="4"/>
      <c r="B71" s="5"/>
      <c r="C71" s="5"/>
      <c r="D71" s="5"/>
      <c r="E71" s="5"/>
      <c r="F71" s="5"/>
      <c r="G71" s="5"/>
      <c r="H71" s="5"/>
      <c r="I71" s="5"/>
      <c r="J71" s="5"/>
      <c r="K71" s="3"/>
    </row>
  </sheetData>
  <mergeCells count="1">
    <mergeCell ref="E5:H5"/>
  </mergeCells>
  <phoneticPr fontId="0" type="noConversion"/>
  <pageMargins left="0.5" right="0.5" top="0.5" bottom="0.5" header="0.5" footer="0.5"/>
  <pageSetup orientation="portrait" blackAndWhite="1" r:id="rId1"/>
  <headerFooter alignWithMargins="0"/>
  <drawing r:id="rId2"/>
  <legacyDrawing r:id="rId3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3"/>
  <dimension ref="A1:Q71"/>
  <sheetViews>
    <sheetView showGridLines="0" view="pageBreakPreview" zoomScale="60" zoomScaleNormal="100" workbookViewId="0">
      <selection activeCell="O60" sqref="O60"/>
    </sheetView>
  </sheetViews>
  <sheetFormatPr defaultColWidth="11.33203125" defaultRowHeight="11.25" x14ac:dyDescent="0.2"/>
  <cols>
    <col min="1" max="1" width="6.33203125" bestFit="1" customWidth="1"/>
    <col min="2" max="2" width="11.33203125" customWidth="1"/>
    <col min="3" max="5" width="15.33203125" customWidth="1"/>
    <col min="6" max="8" width="14" customWidth="1"/>
    <col min="9" max="9" width="11.33203125" customWidth="1"/>
    <col min="10" max="10" width="4.33203125" customWidth="1"/>
  </cols>
  <sheetData>
    <row r="1" spans="1:12" x14ac:dyDescent="0.2">
      <c r="A1" s="8" t="str">
        <f>'1'!$A$1</f>
        <v>Texas Windstorm Insurance Association</v>
      </c>
      <c r="B1" s="12"/>
      <c r="I1" s="47"/>
      <c r="J1" s="7" t="s">
        <v>85</v>
      </c>
      <c r="K1" s="1"/>
    </row>
    <row r="2" spans="1:12" x14ac:dyDescent="0.2">
      <c r="A2" s="8" t="str">
        <f>'1'!$A$2</f>
        <v>Commercial Property - Wind &amp; Hail</v>
      </c>
      <c r="B2" s="12"/>
      <c r="I2" s="47"/>
      <c r="J2" s="7" t="s">
        <v>74</v>
      </c>
      <c r="K2" s="2"/>
    </row>
    <row r="3" spans="1:12" x14ac:dyDescent="0.2">
      <c r="A3" s="8" t="str">
        <f>'1'!$A$3</f>
        <v>Rate Level Review</v>
      </c>
      <c r="B3" s="12"/>
      <c r="I3" s="47"/>
      <c r="K3" s="2"/>
    </row>
    <row r="4" spans="1:12" x14ac:dyDescent="0.2">
      <c r="A4" t="s">
        <v>231</v>
      </c>
      <c r="B4" s="12"/>
      <c r="I4" s="47"/>
      <c r="K4" s="2"/>
    </row>
    <row r="5" spans="1:12" x14ac:dyDescent="0.2">
      <c r="A5" s="58" t="s">
        <v>39</v>
      </c>
      <c r="B5" s="21"/>
      <c r="C5" s="58"/>
      <c r="D5" s="58"/>
      <c r="E5" s="58"/>
      <c r="I5" s="47"/>
      <c r="K5" s="2"/>
    </row>
    <row r="6" spans="1:12" x14ac:dyDescent="0.2">
      <c r="I6" s="47"/>
      <c r="K6" s="2"/>
    </row>
    <row r="7" spans="1:12" ht="12" thickBot="1" x14ac:dyDescent="0.25">
      <c r="A7" s="6"/>
      <c r="B7" s="6"/>
      <c r="C7" s="6"/>
      <c r="D7" s="6"/>
      <c r="E7" s="6"/>
      <c r="F7" s="6"/>
      <c r="G7" s="6"/>
      <c r="H7" s="6"/>
      <c r="I7" s="47"/>
      <c r="K7" s="2"/>
    </row>
    <row r="8" spans="1:12" ht="12" thickTop="1" x14ac:dyDescent="0.2">
      <c r="I8" s="47"/>
      <c r="K8" s="2"/>
    </row>
    <row r="9" spans="1:12" x14ac:dyDescent="0.2">
      <c r="C9" s="21"/>
      <c r="D9" t="s">
        <v>99</v>
      </c>
      <c r="E9" t="s">
        <v>234</v>
      </c>
      <c r="F9" t="s">
        <v>99</v>
      </c>
      <c r="I9" s="47"/>
      <c r="K9" s="2"/>
      <c r="L9" s="26"/>
    </row>
    <row r="10" spans="1:12" x14ac:dyDescent="0.2">
      <c r="A10" t="s">
        <v>42</v>
      </c>
      <c r="C10" t="s">
        <v>99</v>
      </c>
      <c r="D10" t="s">
        <v>100</v>
      </c>
      <c r="E10" t="s">
        <v>235</v>
      </c>
      <c r="F10" t="s">
        <v>236</v>
      </c>
      <c r="G10" t="s">
        <v>68</v>
      </c>
      <c r="H10" t="s">
        <v>68</v>
      </c>
      <c r="I10" s="47"/>
      <c r="K10" s="2"/>
      <c r="L10" s="21"/>
    </row>
    <row r="11" spans="1:12" x14ac:dyDescent="0.2">
      <c r="A11" s="9" t="s">
        <v>43</v>
      </c>
      <c r="B11" s="9"/>
      <c r="C11" s="9" t="s">
        <v>100</v>
      </c>
      <c r="D11" s="9" t="s">
        <v>233</v>
      </c>
      <c r="E11" s="9" t="s">
        <v>109</v>
      </c>
      <c r="F11" s="9" t="s">
        <v>237</v>
      </c>
      <c r="G11" s="9" t="s">
        <v>35</v>
      </c>
      <c r="H11" s="9" t="s">
        <v>59</v>
      </c>
      <c r="I11" s="47"/>
      <c r="K11" s="2"/>
      <c r="L11" s="49"/>
    </row>
    <row r="12" spans="1:12" x14ac:dyDescent="0.2">
      <c r="A12" s="13" t="str">
        <f>TEXT(COLUMN(),"(#)")</f>
        <v>(1)</v>
      </c>
      <c r="B12" s="13"/>
      <c r="C12" s="11" t="str">
        <f t="shared" ref="C12:H12" si="0">TEXT(COLUMN()-1,"(#)")</f>
        <v>(2)</v>
      </c>
      <c r="D12" s="11" t="str">
        <f t="shared" si="0"/>
        <v>(3)</v>
      </c>
      <c r="E12" s="11" t="str">
        <f t="shared" si="0"/>
        <v>(4)</v>
      </c>
      <c r="F12" s="11" t="str">
        <f t="shared" si="0"/>
        <v>(5)</v>
      </c>
      <c r="G12" s="11" t="str">
        <f t="shared" si="0"/>
        <v>(6)</v>
      </c>
      <c r="H12" s="11" t="str">
        <f t="shared" si="0"/>
        <v>(7)</v>
      </c>
      <c r="I12" s="134"/>
      <c r="K12" s="2"/>
    </row>
    <row r="13" spans="1:12" x14ac:dyDescent="0.2">
      <c r="I13" s="47"/>
      <c r="K13" s="2"/>
      <c r="L13" t="s">
        <v>112</v>
      </c>
    </row>
    <row r="14" spans="1:12" x14ac:dyDescent="0.2">
      <c r="A14" s="326" t="s">
        <v>443</v>
      </c>
      <c r="C14" s="36">
        <v>745985</v>
      </c>
      <c r="D14" s="36">
        <v>820826</v>
      </c>
      <c r="E14" s="33">
        <f>ROUND($L$14,3)</f>
        <v>3.0979999999999999</v>
      </c>
      <c r="F14" s="29">
        <f>ROUND(D14*E14,0)</f>
        <v>2542919</v>
      </c>
      <c r="G14" s="36">
        <v>96051</v>
      </c>
      <c r="H14" s="22">
        <f>ROUND(G14/F14,3)</f>
        <v>3.7999999999999999E-2</v>
      </c>
      <c r="I14" s="50"/>
      <c r="K14" s="2"/>
      <c r="L14" s="40">
        <f>'6.4'!L14</f>
        <v>3.0982344271115738</v>
      </c>
    </row>
    <row r="15" spans="1:12" x14ac:dyDescent="0.2">
      <c r="A15" s="87" t="s">
        <v>444</v>
      </c>
      <c r="C15" s="36">
        <v>558639</v>
      </c>
      <c r="D15" s="36">
        <v>652809</v>
      </c>
      <c r="E15" s="33">
        <f>E$14</f>
        <v>3.0979999999999999</v>
      </c>
      <c r="F15" s="29">
        <f t="shared" ref="F15:F22" si="1">ROUND(D15*E15,0)</f>
        <v>2022402</v>
      </c>
      <c r="G15" s="36">
        <v>76481</v>
      </c>
      <c r="H15" s="22">
        <f t="shared" ref="H15:H45" si="2">ROUND(G15/F15,3)</f>
        <v>3.7999999999999999E-2</v>
      </c>
      <c r="I15" s="50"/>
      <c r="K15" s="2"/>
    </row>
    <row r="16" spans="1:12" x14ac:dyDescent="0.2">
      <c r="A16" s="87" t="s">
        <v>445</v>
      </c>
      <c r="C16" s="36">
        <v>1235059</v>
      </c>
      <c r="D16" s="36">
        <v>1383103</v>
      </c>
      <c r="E16" s="33">
        <f t="shared" ref="E16:E28" si="3">E$14</f>
        <v>3.0979999999999999</v>
      </c>
      <c r="F16" s="29">
        <f t="shared" si="1"/>
        <v>4284853</v>
      </c>
      <c r="G16" s="36">
        <v>106148</v>
      </c>
      <c r="H16" s="22">
        <f t="shared" si="2"/>
        <v>2.5000000000000001E-2</v>
      </c>
      <c r="I16" s="50"/>
      <c r="K16" s="2"/>
      <c r="L16" t="s">
        <v>464</v>
      </c>
    </row>
    <row r="17" spans="1:16" x14ac:dyDescent="0.2">
      <c r="A17" s="87" t="s">
        <v>446</v>
      </c>
      <c r="C17" s="36">
        <v>2228911</v>
      </c>
      <c r="D17" s="36">
        <v>1849840</v>
      </c>
      <c r="E17" s="33">
        <f t="shared" si="3"/>
        <v>3.0979999999999999</v>
      </c>
      <c r="F17" s="29">
        <f t="shared" si="1"/>
        <v>5730804</v>
      </c>
      <c r="G17" s="36">
        <v>56387</v>
      </c>
      <c r="H17" s="22">
        <f t="shared" si="2"/>
        <v>0.01</v>
      </c>
      <c r="I17" s="50"/>
      <c r="K17" s="2"/>
      <c r="L17" s="336">
        <f>'6.7'!L17</f>
        <v>1</v>
      </c>
    </row>
    <row r="18" spans="1:16" x14ac:dyDescent="0.2">
      <c r="A18" s="87" t="s">
        <v>447</v>
      </c>
      <c r="C18" s="36">
        <v>2381538</v>
      </c>
      <c r="D18" s="36">
        <v>2086940</v>
      </c>
      <c r="E18" s="33">
        <f t="shared" si="3"/>
        <v>3.0979999999999999</v>
      </c>
      <c r="F18" s="29">
        <f t="shared" si="1"/>
        <v>6465340</v>
      </c>
      <c r="G18" s="36">
        <v>105275</v>
      </c>
      <c r="H18" s="22">
        <f t="shared" si="2"/>
        <v>1.6E-2</v>
      </c>
      <c r="I18" s="50"/>
      <c r="K18" s="2"/>
    </row>
    <row r="19" spans="1:16" x14ac:dyDescent="0.2">
      <c r="A19" s="87" t="s">
        <v>448</v>
      </c>
      <c r="C19" s="36">
        <v>1796653</v>
      </c>
      <c r="D19" s="36">
        <v>1719227</v>
      </c>
      <c r="E19" s="33">
        <f t="shared" si="3"/>
        <v>3.0979999999999999</v>
      </c>
      <c r="F19" s="29">
        <f t="shared" si="1"/>
        <v>5326165</v>
      </c>
      <c r="G19" s="36">
        <v>181414</v>
      </c>
      <c r="H19" s="22">
        <f t="shared" si="2"/>
        <v>3.4000000000000002E-2</v>
      </c>
      <c r="I19" s="50"/>
      <c r="K19" s="2"/>
    </row>
    <row r="20" spans="1:16" x14ac:dyDescent="0.2">
      <c r="A20" s="87" t="s">
        <v>449</v>
      </c>
      <c r="C20" s="36">
        <v>1632453</v>
      </c>
      <c r="D20" s="36">
        <v>1826430</v>
      </c>
      <c r="E20" s="33">
        <f t="shared" si="3"/>
        <v>3.0979999999999999</v>
      </c>
      <c r="F20" s="29">
        <f t="shared" si="1"/>
        <v>5658280</v>
      </c>
      <c r="G20" s="36">
        <v>98116</v>
      </c>
      <c r="H20" s="22">
        <f t="shared" si="2"/>
        <v>1.7000000000000001E-2</v>
      </c>
      <c r="I20" s="50"/>
      <c r="K20" s="2"/>
    </row>
    <row r="21" spans="1:16" x14ac:dyDescent="0.2">
      <c r="A21" s="87" t="s">
        <v>450</v>
      </c>
      <c r="C21" s="36">
        <v>1429526</v>
      </c>
      <c r="D21" s="36">
        <v>1769972</v>
      </c>
      <c r="E21" s="33">
        <f t="shared" si="3"/>
        <v>3.0979999999999999</v>
      </c>
      <c r="F21" s="29">
        <f t="shared" si="1"/>
        <v>5483373</v>
      </c>
      <c r="G21" s="36">
        <v>135678</v>
      </c>
      <c r="H21" s="22">
        <f t="shared" si="2"/>
        <v>2.5000000000000001E-2</v>
      </c>
      <c r="I21" s="50"/>
      <c r="K21" s="2"/>
    </row>
    <row r="22" spans="1:16" x14ac:dyDescent="0.2">
      <c r="A22" s="87" t="s">
        <v>451</v>
      </c>
      <c r="C22" s="36">
        <v>1390109</v>
      </c>
      <c r="D22" s="36">
        <v>1555310</v>
      </c>
      <c r="E22" s="33">
        <f t="shared" si="3"/>
        <v>3.0979999999999999</v>
      </c>
      <c r="F22" s="29">
        <f t="shared" si="1"/>
        <v>4818350</v>
      </c>
      <c r="G22" s="36">
        <v>1013636</v>
      </c>
      <c r="H22" s="22">
        <f t="shared" si="2"/>
        <v>0.21</v>
      </c>
      <c r="I22" s="50"/>
      <c r="K22" s="2"/>
    </row>
    <row r="23" spans="1:16" x14ac:dyDescent="0.2">
      <c r="A23" s="87" t="s">
        <v>452</v>
      </c>
      <c r="B23" s="21"/>
      <c r="C23" s="36">
        <v>1571433</v>
      </c>
      <c r="D23" s="36">
        <v>1629721</v>
      </c>
      <c r="E23" s="33">
        <f t="shared" si="3"/>
        <v>3.0979999999999999</v>
      </c>
      <c r="F23" s="29">
        <f>ROUND(D23*E23,0)</f>
        <v>5048876</v>
      </c>
      <c r="G23" s="36">
        <v>49512</v>
      </c>
      <c r="H23" s="22">
        <f t="shared" si="2"/>
        <v>0.01</v>
      </c>
      <c r="I23" s="50"/>
      <c r="K23" s="2"/>
    </row>
    <row r="24" spans="1:16" x14ac:dyDescent="0.2">
      <c r="A24" s="87" t="s">
        <v>429</v>
      </c>
      <c r="B24" s="21"/>
      <c r="C24" s="36">
        <v>1587772</v>
      </c>
      <c r="D24" s="36"/>
      <c r="E24" s="33">
        <f t="shared" si="3"/>
        <v>3.0979999999999999</v>
      </c>
      <c r="F24" s="29">
        <f>ROUND(C24*E24,0)</f>
        <v>4918918</v>
      </c>
      <c r="G24" s="36">
        <v>86000</v>
      </c>
      <c r="H24" s="22">
        <f t="shared" si="2"/>
        <v>1.7000000000000001E-2</v>
      </c>
      <c r="I24" s="50"/>
      <c r="K24" s="2"/>
    </row>
    <row r="25" spans="1:16" x14ac:dyDescent="0.2">
      <c r="A25" s="87" t="s">
        <v>430</v>
      </c>
      <c r="B25" s="21"/>
      <c r="C25" s="36">
        <v>2203514</v>
      </c>
      <c r="D25" s="36"/>
      <c r="E25" s="33">
        <f t="shared" si="3"/>
        <v>3.0979999999999999</v>
      </c>
      <c r="F25" s="29">
        <f>ROUND(C25*E25,0)</f>
        <v>6826486</v>
      </c>
      <c r="G25" s="36">
        <v>254088</v>
      </c>
      <c r="H25" s="22">
        <f t="shared" si="2"/>
        <v>3.6999999999999998E-2</v>
      </c>
      <c r="I25" s="50"/>
      <c r="K25" s="2"/>
    </row>
    <row r="26" spans="1:16" x14ac:dyDescent="0.2">
      <c r="A26" s="87" t="s">
        <v>431</v>
      </c>
      <c r="C26" s="36">
        <v>2669951</v>
      </c>
      <c r="D26" s="36"/>
      <c r="E26" s="33">
        <f t="shared" si="3"/>
        <v>3.0979999999999999</v>
      </c>
      <c r="F26" s="29">
        <f>ROUND(C26*E26,0)</f>
        <v>8271508</v>
      </c>
      <c r="G26" s="36">
        <v>854753</v>
      </c>
      <c r="H26" s="22">
        <f t="shared" si="2"/>
        <v>0.10299999999999999</v>
      </c>
      <c r="I26" s="50"/>
      <c r="K26" s="2"/>
    </row>
    <row r="27" spans="1:16" x14ac:dyDescent="0.2">
      <c r="A27" s="87" t="s">
        <v>432</v>
      </c>
      <c r="C27" s="36">
        <v>5639923</v>
      </c>
      <c r="D27" s="36"/>
      <c r="E27" s="33">
        <f t="shared" si="3"/>
        <v>3.0979999999999999</v>
      </c>
      <c r="F27" s="29">
        <f t="shared" ref="F27:F49" si="4">ROUND(C27*E27,0)</f>
        <v>17472481</v>
      </c>
      <c r="G27" s="36">
        <v>502177</v>
      </c>
      <c r="H27" s="22">
        <f t="shared" si="2"/>
        <v>2.9000000000000001E-2</v>
      </c>
      <c r="I27" s="50"/>
      <c r="K27" s="2"/>
    </row>
    <row r="28" spans="1:16" x14ac:dyDescent="0.2">
      <c r="A28" s="87" t="s">
        <v>433</v>
      </c>
      <c r="B28" s="58"/>
      <c r="C28" s="36">
        <v>3183758</v>
      </c>
      <c r="D28" s="58"/>
      <c r="E28" s="33">
        <f t="shared" si="3"/>
        <v>3.0979999999999999</v>
      </c>
      <c r="F28" s="29">
        <f t="shared" si="4"/>
        <v>9863282</v>
      </c>
      <c r="G28" s="36">
        <v>199390</v>
      </c>
      <c r="H28" s="22">
        <f t="shared" si="2"/>
        <v>0.02</v>
      </c>
      <c r="I28" s="50"/>
      <c r="K28" s="2"/>
    </row>
    <row r="29" spans="1:16" x14ac:dyDescent="0.2">
      <c r="A29" s="87" t="s">
        <v>434</v>
      </c>
      <c r="C29" s="36">
        <v>3613310</v>
      </c>
      <c r="D29" s="36"/>
      <c r="E29" s="248">
        <f>ROUND($L$17*P32*(1-$L$32)+P32*$L$32,3)</f>
        <v>3.145</v>
      </c>
      <c r="F29" s="29">
        <f t="shared" si="4"/>
        <v>11363860</v>
      </c>
      <c r="G29" s="36">
        <v>1561275</v>
      </c>
      <c r="H29" s="22">
        <f t="shared" si="2"/>
        <v>0.13700000000000001</v>
      </c>
      <c r="I29" s="50"/>
      <c r="K29" s="2"/>
    </row>
    <row r="30" spans="1:16" x14ac:dyDescent="0.2">
      <c r="A30" s="87" t="s">
        <v>435</v>
      </c>
      <c r="C30" s="36">
        <v>6808428</v>
      </c>
      <c r="D30" s="36"/>
      <c r="E30" s="248">
        <f t="shared" ref="E30:E49" si="5">ROUND($L$17*P33*(1-$L$32)+P33*$L$32,3)</f>
        <v>3.194</v>
      </c>
      <c r="F30" s="29">
        <f t="shared" si="4"/>
        <v>21746119</v>
      </c>
      <c r="G30" s="36">
        <v>2735082</v>
      </c>
      <c r="H30" s="22">
        <f t="shared" si="2"/>
        <v>0.126</v>
      </c>
      <c r="I30" s="50"/>
      <c r="K30" s="2"/>
    </row>
    <row r="31" spans="1:16" x14ac:dyDescent="0.2">
      <c r="A31" s="87" t="s">
        <v>436</v>
      </c>
      <c r="C31" s="36">
        <v>5167158</v>
      </c>
      <c r="D31" s="36"/>
      <c r="E31" s="248">
        <f t="shared" si="5"/>
        <v>3.0569999999999999</v>
      </c>
      <c r="F31" s="29">
        <f t="shared" si="4"/>
        <v>15796002</v>
      </c>
      <c r="G31" s="36">
        <v>317804</v>
      </c>
      <c r="H31" s="22">
        <f t="shared" si="2"/>
        <v>0.02</v>
      </c>
      <c r="I31" s="50"/>
      <c r="K31" s="2"/>
      <c r="L31" t="s">
        <v>238</v>
      </c>
      <c r="O31" t="s">
        <v>43</v>
      </c>
      <c r="P31" t="s">
        <v>252</v>
      </c>
    </row>
    <row r="32" spans="1:16" x14ac:dyDescent="0.2">
      <c r="A32" s="87" t="s">
        <v>437</v>
      </c>
      <c r="C32" s="36">
        <v>4763324</v>
      </c>
      <c r="D32" s="36"/>
      <c r="E32" s="248">
        <f t="shared" si="5"/>
        <v>2.8730000000000002</v>
      </c>
      <c r="F32" s="29">
        <f t="shared" si="4"/>
        <v>13685030</v>
      </c>
      <c r="G32" s="36">
        <v>431244</v>
      </c>
      <c r="H32" s="22">
        <f t="shared" si="2"/>
        <v>3.2000000000000001E-2</v>
      </c>
      <c r="I32" s="50"/>
      <c r="K32" s="2"/>
      <c r="L32" s="110">
        <f>[2]ISO!$P$65/[2]ISO!$P$66</f>
        <v>0.89185622923350982</v>
      </c>
      <c r="O32" s="233" t="str">
        <f>'6.4'!O43</f>
        <v>1998</v>
      </c>
      <c r="P32" s="40">
        <f>'6.4'!Q43</f>
        <v>3.1454156620422071</v>
      </c>
    </row>
    <row r="33" spans="1:16" x14ac:dyDescent="0.2">
      <c r="A33" s="87" t="s">
        <v>438</v>
      </c>
      <c r="C33" s="36">
        <v>8479915</v>
      </c>
      <c r="D33" s="36"/>
      <c r="E33" s="248">
        <f t="shared" si="5"/>
        <v>2.7490000000000001</v>
      </c>
      <c r="F33" s="29">
        <f t="shared" si="4"/>
        <v>23311286</v>
      </c>
      <c r="G33" s="36">
        <v>7300265</v>
      </c>
      <c r="H33" s="22">
        <f t="shared" si="2"/>
        <v>0.313</v>
      </c>
      <c r="I33" s="50"/>
      <c r="K33" s="2"/>
      <c r="O33" s="233" t="str">
        <f>'6.4'!O44</f>
        <v>1999</v>
      </c>
      <c r="P33" s="40">
        <f>'6.4'!Q44</f>
        <v>3.1940561104243028</v>
      </c>
    </row>
    <row r="34" spans="1:16" x14ac:dyDescent="0.2">
      <c r="A34" s="87" t="s">
        <v>439</v>
      </c>
      <c r="C34" s="245">
        <v>9934549</v>
      </c>
      <c r="D34" s="36"/>
      <c r="E34" s="248">
        <f t="shared" si="5"/>
        <v>2.556</v>
      </c>
      <c r="F34" s="29">
        <f t="shared" si="4"/>
        <v>25392707</v>
      </c>
      <c r="G34" s="245">
        <v>2122879</v>
      </c>
      <c r="H34" s="22">
        <f t="shared" si="2"/>
        <v>8.4000000000000005E-2</v>
      </c>
      <c r="I34" s="50"/>
      <c r="K34" s="2"/>
      <c r="O34" s="233" t="str">
        <f>'6.4'!O45</f>
        <v>2000</v>
      </c>
      <c r="P34" s="40">
        <f>'6.4'!Q45</f>
        <v>3.056513024329476</v>
      </c>
    </row>
    <row r="35" spans="1:16" x14ac:dyDescent="0.2">
      <c r="A35" s="87" t="s">
        <v>440</v>
      </c>
      <c r="B35" s="24"/>
      <c r="C35" s="245">
        <v>14597450</v>
      </c>
      <c r="D35" s="59"/>
      <c r="E35" s="248">
        <f t="shared" si="5"/>
        <v>2.323</v>
      </c>
      <c r="F35" s="29">
        <f t="shared" si="4"/>
        <v>33909876</v>
      </c>
      <c r="G35" s="245">
        <v>212644</v>
      </c>
      <c r="H35" s="22">
        <f t="shared" si="2"/>
        <v>6.0000000000000001E-3</v>
      </c>
      <c r="I35" s="50"/>
      <c r="K35" s="2"/>
      <c r="O35" s="233" t="str">
        <f>'6.4'!O46</f>
        <v>2001</v>
      </c>
      <c r="P35" s="40">
        <f>'6.4'!Q46</f>
        <v>2.8728693204032227</v>
      </c>
    </row>
    <row r="36" spans="1:16" s="58" customFormat="1" x14ac:dyDescent="0.2">
      <c r="A36" s="87" t="s">
        <v>329</v>
      </c>
      <c r="B36" s="42"/>
      <c r="C36" s="245">
        <v>16137249</v>
      </c>
      <c r="D36" s="42"/>
      <c r="E36" s="248">
        <f t="shared" si="5"/>
        <v>2.1120000000000001</v>
      </c>
      <c r="F36" s="29">
        <f t="shared" si="4"/>
        <v>34081870</v>
      </c>
      <c r="G36" s="245">
        <v>566758</v>
      </c>
      <c r="H36" s="22">
        <f t="shared" si="2"/>
        <v>1.7000000000000001E-2</v>
      </c>
      <c r="I36" s="50"/>
      <c r="K36" s="2"/>
      <c r="O36" s="233" t="str">
        <f>'6.4'!O47</f>
        <v>2002</v>
      </c>
      <c r="P36" s="40">
        <f>'6.4'!Q47</f>
        <v>2.7488993497291623</v>
      </c>
    </row>
    <row r="37" spans="1:16" s="58" customFormat="1" x14ac:dyDescent="0.2">
      <c r="A37" s="87" t="s">
        <v>416</v>
      </c>
      <c r="C37" s="245">
        <v>21249313</v>
      </c>
      <c r="E37" s="248">
        <f t="shared" si="5"/>
        <v>1.958</v>
      </c>
      <c r="F37" s="29">
        <f t="shared" si="4"/>
        <v>41606155</v>
      </c>
      <c r="G37" s="245">
        <v>434362</v>
      </c>
      <c r="H37" s="22">
        <f t="shared" si="2"/>
        <v>0.01</v>
      </c>
      <c r="I37" s="50"/>
      <c r="K37" s="2"/>
      <c r="O37" s="233" t="str">
        <f>'6.4'!O48</f>
        <v>2003</v>
      </c>
      <c r="P37" s="40">
        <f>'6.4'!Q48</f>
        <v>2.5556660621064773</v>
      </c>
    </row>
    <row r="38" spans="1:16" x14ac:dyDescent="0.2">
      <c r="A38" s="87" t="s">
        <v>376</v>
      </c>
      <c r="B38" s="58"/>
      <c r="C38" s="278">
        <v>27752523</v>
      </c>
      <c r="D38" s="58"/>
      <c r="E38" s="248">
        <f t="shared" si="5"/>
        <v>1.774</v>
      </c>
      <c r="F38" s="29">
        <f t="shared" si="4"/>
        <v>49232976</v>
      </c>
      <c r="G38" s="245">
        <v>27752523</v>
      </c>
      <c r="H38" s="22">
        <f t="shared" si="2"/>
        <v>0.56399999999999995</v>
      </c>
      <c r="I38" s="50"/>
      <c r="K38" s="2"/>
      <c r="O38" s="233" t="str">
        <f>'6.4'!O49</f>
        <v>2004</v>
      </c>
      <c r="P38" s="40">
        <f>'6.4'!Q49</f>
        <v>2.3233327837331608</v>
      </c>
    </row>
    <row r="39" spans="1:16" x14ac:dyDescent="0.2">
      <c r="A39" s="87" t="s">
        <v>381</v>
      </c>
      <c r="B39" s="58"/>
      <c r="C39" s="278">
        <v>27990909</v>
      </c>
      <c r="D39" s="58"/>
      <c r="E39" s="248">
        <f t="shared" si="5"/>
        <v>1.6759999999999999</v>
      </c>
      <c r="F39" s="29">
        <f t="shared" si="4"/>
        <v>46912763</v>
      </c>
      <c r="G39" s="245">
        <v>17103924</v>
      </c>
      <c r="H39" s="22">
        <f>ROUND(G39/F39,3)</f>
        <v>0.36499999999999999</v>
      </c>
      <c r="I39" s="50"/>
      <c r="K39" s="2"/>
      <c r="O39" s="233" t="str">
        <f>'6.4'!O50</f>
        <v>2005</v>
      </c>
      <c r="P39" s="40">
        <f>'6.4'!Q50</f>
        <v>2.1121207124846917</v>
      </c>
    </row>
    <row r="40" spans="1:16" x14ac:dyDescent="0.2">
      <c r="A40" s="87" t="s">
        <v>417</v>
      </c>
      <c r="C40" s="90">
        <f>[2]ISO!$P54</f>
        <v>29085395</v>
      </c>
      <c r="E40" s="248">
        <f t="shared" si="5"/>
        <v>1.5269999999999999</v>
      </c>
      <c r="F40" s="29">
        <f t="shared" si="4"/>
        <v>44413398</v>
      </c>
      <c r="G40" s="98">
        <f>[2]ISO!$U54</f>
        <v>2074340</v>
      </c>
      <c r="H40" s="22">
        <f t="shared" si="2"/>
        <v>4.7E-2</v>
      </c>
      <c r="I40" s="47"/>
      <c r="J40" s="58"/>
      <c r="K40" s="2"/>
      <c r="O40" s="233" t="str">
        <f>'6.4'!O51</f>
        <v>2006</v>
      </c>
      <c r="P40" s="40">
        <f>'6.4'!Q51</f>
        <v>1.9580270885920061</v>
      </c>
    </row>
    <row r="41" spans="1:16" x14ac:dyDescent="0.2">
      <c r="A41" s="87" t="s">
        <v>418</v>
      </c>
      <c r="C41" s="90">
        <f>[2]ISO!$P55</f>
        <v>27312652</v>
      </c>
      <c r="E41" s="248">
        <f t="shared" si="5"/>
        <v>1.407</v>
      </c>
      <c r="F41" s="29">
        <f t="shared" si="4"/>
        <v>38428901</v>
      </c>
      <c r="G41" s="98">
        <f>[2]ISO!$U55</f>
        <v>1768194</v>
      </c>
      <c r="H41" s="22">
        <f t="shared" si="2"/>
        <v>4.5999999999999999E-2</v>
      </c>
      <c r="I41" s="42"/>
      <c r="J41" s="58"/>
      <c r="K41" s="2"/>
      <c r="O41" s="233" t="str">
        <f>'6.4'!O52</f>
        <v>2007</v>
      </c>
      <c r="P41" s="40">
        <f>'6.4'!Q52</f>
        <v>1.7742615004796822</v>
      </c>
    </row>
    <row r="42" spans="1:16" x14ac:dyDescent="0.2">
      <c r="A42" s="87" t="s">
        <v>421</v>
      </c>
      <c r="B42" s="47"/>
      <c r="C42" s="90">
        <f>[2]ISO!$P56</f>
        <v>24704656</v>
      </c>
      <c r="D42" s="47"/>
      <c r="E42" s="248">
        <f t="shared" si="5"/>
        <v>1.373</v>
      </c>
      <c r="F42" s="29">
        <f t="shared" si="4"/>
        <v>33919493</v>
      </c>
      <c r="G42" s="98">
        <f>[2]ISO!$U56</f>
        <v>10534288</v>
      </c>
      <c r="H42" s="22">
        <f t="shared" si="2"/>
        <v>0.311</v>
      </c>
      <c r="I42" s="50"/>
      <c r="K42" s="2"/>
      <c r="O42" s="233" t="str">
        <f>'6.4'!O53</f>
        <v>2008</v>
      </c>
      <c r="P42" s="40">
        <f>'6.4'!Q53</f>
        <v>1.6764113430295366</v>
      </c>
    </row>
    <row r="43" spans="1:16" x14ac:dyDescent="0.2">
      <c r="A43" s="87" t="s">
        <v>441</v>
      </c>
      <c r="B43" s="47"/>
      <c r="C43" s="90">
        <f>[2]ISO!$P57</f>
        <v>26050123</v>
      </c>
      <c r="D43" s="47"/>
      <c r="E43" s="248">
        <f t="shared" si="5"/>
        <v>1.3069999999999999</v>
      </c>
      <c r="F43" s="29">
        <f t="shared" si="4"/>
        <v>34047511</v>
      </c>
      <c r="G43" s="98">
        <f>[2]ISO!$U57</f>
        <v>8260210</v>
      </c>
      <c r="H43" s="50">
        <f t="shared" si="2"/>
        <v>0.24299999999999999</v>
      </c>
      <c r="I43" s="42"/>
      <c r="J43" s="58"/>
      <c r="K43" s="2"/>
      <c r="O43" s="233" t="str">
        <f>'6.4'!O54</f>
        <v>2009</v>
      </c>
      <c r="P43" s="40">
        <f>'6.4'!Q54</f>
        <v>1.5265551216585858</v>
      </c>
    </row>
    <row r="44" spans="1:16" x14ac:dyDescent="0.2">
      <c r="A44" s="87" t="s">
        <v>442</v>
      </c>
      <c r="B44" s="47"/>
      <c r="C44" s="90">
        <f>[2]ISO!$P58</f>
        <v>27637008</v>
      </c>
      <c r="D44" s="47"/>
      <c r="E44" s="248">
        <f t="shared" si="5"/>
        <v>1.2450000000000001</v>
      </c>
      <c r="F44" s="29">
        <f t="shared" si="4"/>
        <v>34408075</v>
      </c>
      <c r="G44" s="98">
        <f>[2]ISO!$U58</f>
        <v>1473733</v>
      </c>
      <c r="H44" s="50">
        <f t="shared" si="2"/>
        <v>4.2999999999999997E-2</v>
      </c>
      <c r="I44" s="42"/>
      <c r="J44" s="58"/>
      <c r="K44" s="2"/>
      <c r="O44" s="233" t="str">
        <f>'6.4'!O55</f>
        <v>2010</v>
      </c>
      <c r="P44" s="40">
        <f>'6.4'!Q55</f>
        <v>1.4071004226562505</v>
      </c>
    </row>
    <row r="45" spans="1:16" x14ac:dyDescent="0.2">
      <c r="A45" s="87" t="s">
        <v>477</v>
      </c>
      <c r="B45" s="47"/>
      <c r="C45" s="90">
        <f>[2]ISO!$P59</f>
        <v>27448076</v>
      </c>
      <c r="D45" s="47"/>
      <c r="E45" s="248">
        <f t="shared" si="5"/>
        <v>1.1859999999999999</v>
      </c>
      <c r="F45" s="29">
        <f t="shared" si="4"/>
        <v>32553418</v>
      </c>
      <c r="G45" s="98">
        <f>[2]ISO!$U59</f>
        <v>766708</v>
      </c>
      <c r="H45" s="50">
        <f t="shared" si="2"/>
        <v>2.4E-2</v>
      </c>
      <c r="I45" s="182"/>
      <c r="K45" s="2"/>
      <c r="L45" t="s">
        <v>242</v>
      </c>
      <c r="M45" t="s">
        <v>243</v>
      </c>
      <c r="O45" s="233" t="str">
        <f>'6.4'!O56</f>
        <v>2011</v>
      </c>
      <c r="P45" s="40">
        <f>'6.4'!Q56</f>
        <v>1.3727809001524396</v>
      </c>
    </row>
    <row r="46" spans="1:16" x14ac:dyDescent="0.2">
      <c r="A46" s="87" t="s">
        <v>478</v>
      </c>
      <c r="B46" s="47"/>
      <c r="C46" s="90">
        <f>[2]ISO!$P60</f>
        <v>26022455</v>
      </c>
      <c r="D46" s="47"/>
      <c r="E46" s="248">
        <f t="shared" si="5"/>
        <v>1.129</v>
      </c>
      <c r="F46" s="29">
        <f t="shared" si="4"/>
        <v>29379352</v>
      </c>
      <c r="G46" s="98">
        <f>[2]ISO!$U60</f>
        <v>1323614</v>
      </c>
      <c r="H46" s="50">
        <f>ROUND(G46/F46,3)</f>
        <v>4.4999999999999998E-2</v>
      </c>
      <c r="I46" s="182"/>
      <c r="K46" s="2"/>
      <c r="L46" s="96">
        <f>'6.4'!L47</f>
        <v>34607</v>
      </c>
      <c r="M46" s="96">
        <f>'6.4'!M47</f>
        <v>36525</v>
      </c>
      <c r="N46" t="s">
        <v>244</v>
      </c>
      <c r="O46" s="233" t="str">
        <f>'6.4'!O57</f>
        <v>2012</v>
      </c>
      <c r="P46" s="40">
        <f>'6.4'!Q57</f>
        <v>1.3074103810975612</v>
      </c>
    </row>
    <row r="47" spans="1:16" s="58" customFormat="1" x14ac:dyDescent="0.2">
      <c r="A47" s="131" t="s">
        <v>479</v>
      </c>
      <c r="B47" s="47"/>
      <c r="C47" s="90">
        <f>[2]ISO!$P61</f>
        <v>22165422</v>
      </c>
      <c r="D47" s="47"/>
      <c r="E47" s="248">
        <f t="shared" si="5"/>
        <v>1.0760000000000001</v>
      </c>
      <c r="F47" s="180">
        <f t="shared" si="4"/>
        <v>23849994</v>
      </c>
      <c r="G47" s="98">
        <f>[2]ISO!$U61</f>
        <v>1964437</v>
      </c>
      <c r="H47" s="50">
        <f>ROUND(G47/F47,3)</f>
        <v>8.2000000000000003E-2</v>
      </c>
      <c r="I47" s="42"/>
      <c r="K47" s="2"/>
      <c r="L47" s="96"/>
      <c r="M47" s="96">
        <f>'6.4'!M48</f>
        <v>43100</v>
      </c>
      <c r="N47" t="s">
        <v>245</v>
      </c>
      <c r="O47" s="233" t="str">
        <f>'6.4'!O58</f>
        <v>2013</v>
      </c>
      <c r="P47" s="40">
        <f>'6.4'!Q58</f>
        <v>1.2451527439024395</v>
      </c>
    </row>
    <row r="48" spans="1:16" x14ac:dyDescent="0.2">
      <c r="A48" s="131" t="s">
        <v>480</v>
      </c>
      <c r="B48" s="47"/>
      <c r="C48" s="90">
        <f>[2]ISO!$P62</f>
        <v>18980915</v>
      </c>
      <c r="D48" s="56"/>
      <c r="E48" s="248">
        <f t="shared" si="5"/>
        <v>1.05</v>
      </c>
      <c r="F48" s="180">
        <f t="shared" si="4"/>
        <v>19929961</v>
      </c>
      <c r="G48" s="90">
        <f>[2]ISO!$U62</f>
        <v>220070408</v>
      </c>
      <c r="H48" s="50">
        <f>ROUND(G48/F48,3)</f>
        <v>11.042</v>
      </c>
      <c r="I48" s="50"/>
      <c r="K48" s="2"/>
      <c r="L48" s="96">
        <f>'6.4'!L49</f>
        <v>43465</v>
      </c>
      <c r="M48" s="96">
        <f>'6.4'!M49</f>
        <v>43465</v>
      </c>
      <c r="N48" t="s">
        <v>245</v>
      </c>
      <c r="O48" s="233">
        <f>'6.4'!O59</f>
        <v>2014</v>
      </c>
      <c r="P48" s="40">
        <f>'6.4'!Q59</f>
        <v>1.1858597560975612</v>
      </c>
    </row>
    <row r="49" spans="1:17" x14ac:dyDescent="0.2">
      <c r="A49" s="25">
        <v>2018</v>
      </c>
      <c r="B49" s="9"/>
      <c r="C49" s="89">
        <f>[2]ISO!$P63</f>
        <v>17672846</v>
      </c>
      <c r="D49" s="9"/>
      <c r="E49" s="109">
        <f t="shared" si="5"/>
        <v>1.024</v>
      </c>
      <c r="F49" s="30">
        <f t="shared" si="4"/>
        <v>18096994</v>
      </c>
      <c r="G49" s="89">
        <f>[2]ISO!$U63</f>
        <v>213537</v>
      </c>
      <c r="H49" s="67">
        <f>ROUND(G49/F49,3)</f>
        <v>1.2E-2</v>
      </c>
      <c r="K49" s="2"/>
      <c r="O49" s="24">
        <v>2015</v>
      </c>
      <c r="P49" s="40">
        <f>'6.4'!Q60</f>
        <v>1.1293902439024393</v>
      </c>
    </row>
    <row r="50" spans="1:17" x14ac:dyDescent="0.2">
      <c r="K50" s="2"/>
      <c r="O50" s="24">
        <v>2016</v>
      </c>
      <c r="P50" s="40">
        <f>'6.4'!Q61</f>
        <v>1.075609756097561</v>
      </c>
    </row>
    <row r="51" spans="1:17" x14ac:dyDescent="0.2">
      <c r="A51" t="s">
        <v>8</v>
      </c>
      <c r="C51" s="69">
        <f>SUM(C14:C49)</f>
        <v>423828900</v>
      </c>
      <c r="D51" s="69"/>
      <c r="E51" s="69"/>
      <c r="F51" s="69">
        <f>SUM(F14:F49)</f>
        <v>720799778</v>
      </c>
      <c r="G51" s="69">
        <f>SUM(G14:G49)</f>
        <v>312803335</v>
      </c>
      <c r="H51" s="22">
        <f>ROUND(G51/F51,3)</f>
        <v>0.434</v>
      </c>
      <c r="I51" s="47"/>
      <c r="K51" s="2"/>
      <c r="O51" s="24">
        <v>2017</v>
      </c>
      <c r="P51" s="40">
        <f>'6.4'!Q62</f>
        <v>1.05</v>
      </c>
    </row>
    <row r="52" spans="1:17" ht="12" thickBot="1" x14ac:dyDescent="0.25">
      <c r="A52" s="6"/>
      <c r="B52" s="6"/>
      <c r="C52" s="6"/>
      <c r="D52" s="6"/>
      <c r="E52" s="6"/>
      <c r="F52" s="6"/>
      <c r="G52" s="6"/>
      <c r="H52" s="6"/>
      <c r="I52" s="47"/>
      <c r="K52" s="2"/>
      <c r="O52" s="24">
        <v>2018</v>
      </c>
      <c r="P52" s="40">
        <f>'6.4'!Q63</f>
        <v>1.024390243902439</v>
      </c>
    </row>
    <row r="53" spans="1:17" ht="12" thickTop="1" x14ac:dyDescent="0.2">
      <c r="I53" s="47"/>
      <c r="K53" s="2"/>
    </row>
    <row r="54" spans="1:17" x14ac:dyDescent="0.2">
      <c r="A54" t="s">
        <v>19</v>
      </c>
      <c r="F54" s="42"/>
      <c r="I54" s="47"/>
      <c r="K54" s="2"/>
      <c r="O54" s="58"/>
      <c r="P54" s="58"/>
    </row>
    <row r="55" spans="1:17" x14ac:dyDescent="0.2">
      <c r="B55" s="21" t="str">
        <f>C12&amp;" Provided by TDI. "&amp;A14&amp;" - "&amp;A26&amp;" are year ending "&amp;TEXT($L$46,"m/d/xx")&amp;" as of "&amp;TEXT($M$46,"m/d/yy")&amp;"; "&amp;A27&amp;" - "&amp;A48&amp;" are year ending "&amp;TEXT($L$47,"m/d/xx")&amp;" as of "&amp;TEXT($M$47,"m/d/yy")</f>
        <v>(2) Provided by TDI. 1983 - 1995 are year ending 9/30/xx as of 12/31/99; 1996 - 2017 are year ending 1/0/xx as of 12/31/17</v>
      </c>
      <c r="I55" s="47"/>
      <c r="K55" s="2"/>
      <c r="L55" s="58"/>
      <c r="M55" s="58"/>
      <c r="N55" s="58"/>
      <c r="O55" s="58"/>
      <c r="P55" s="58"/>
      <c r="Q55" s="58"/>
    </row>
    <row r="56" spans="1:17" s="58" customFormat="1" x14ac:dyDescent="0.2">
      <c r="A56"/>
      <c r="B56" s="21" t="str">
        <f>D12&amp;" Provided by TDI (1992 MR = 1992 manual rates)"</f>
        <v>(3) Provided by TDI (1992 MR = 1992 manual rates)</v>
      </c>
      <c r="C56" s="21"/>
      <c r="D56"/>
      <c r="E56"/>
      <c r="F56"/>
      <c r="G56"/>
      <c r="H56"/>
      <c r="I56" s="47"/>
      <c r="J56"/>
      <c r="K56" s="2"/>
    </row>
    <row r="57" spans="1:17" s="58" customFormat="1" x14ac:dyDescent="0.2">
      <c r="A57"/>
      <c r="B57" s="21" t="str">
        <f>'6.4'!B57</f>
        <v>(4) Represents 1/1/98 through 1/1/18 rate changes for TWIA; factors assume uniform earning of written premium</v>
      </c>
      <c r="C57"/>
      <c r="D57"/>
      <c r="E57"/>
      <c r="F57"/>
      <c r="G57"/>
      <c r="H57"/>
      <c r="I57" s="131"/>
      <c r="J57"/>
      <c r="K57" s="2"/>
    </row>
    <row r="58" spans="1:17" s="58" customFormat="1" x14ac:dyDescent="0.2">
      <c r="A58"/>
      <c r="B58" s="101" t="str">
        <f>"      and that TWIA premium represents "&amp;TEXT(L32,"0.0%")&amp;" of industry data in "&amp;LEFT(A5,FIND("(",A5)-2)</f>
        <v xml:space="preserve">      and that TWIA premium represents 89.2% of industry data in Tier 1 -- Territory 9</v>
      </c>
      <c r="C58" s="87"/>
      <c r="D58" s="87"/>
      <c r="E58" s="87"/>
      <c r="F58" s="87"/>
      <c r="G58" s="87"/>
      <c r="H58" s="87"/>
      <c r="I58" s="47"/>
      <c r="J58"/>
      <c r="K58" s="2"/>
    </row>
    <row r="59" spans="1:17" s="58" customFormat="1" x14ac:dyDescent="0.2">
      <c r="A59"/>
      <c r="B59" s="21" t="str">
        <f>F12&amp;" = "&amp;D12&amp;" * "&amp;E12&amp;" for "&amp;A14&amp;" - "&amp;A23&amp;"; "&amp;C12&amp;" * "&amp;E12&amp;" for "&amp;A24&amp;" - "&amp;A49</f>
        <v>(5) = (3) * (4) for 1983 - 1992; (2) * (4) for 1993 - 2018</v>
      </c>
      <c r="D59"/>
      <c r="E59"/>
      <c r="F59"/>
      <c r="G59"/>
      <c r="H59"/>
      <c r="I59" s="47"/>
      <c r="J59"/>
      <c r="K59" s="2"/>
    </row>
    <row r="60" spans="1:17" s="58" customFormat="1" x14ac:dyDescent="0.2">
      <c r="A60"/>
      <c r="B60" s="21" t="str">
        <f>G12&amp;" Provided by TDI. "&amp;A14&amp;" - "&amp;A26&amp;" are year ending "&amp;TEXT($L$46,"m/d/xx")&amp;" as of "&amp;TEXT($M$46,"m/d/yy")&amp;"; "&amp;A27&amp;" - "&amp;A39&amp;" are year ending "&amp;TEXT($L$48,"m/d/xx")&amp;" as of "&amp;TEXT($M$47,"m/d/yy")</f>
        <v>(6) Provided by TDI. 1983 - 1995 are year ending 9/30/xx as of 12/31/99; 1996 - 2008 are year ending 12/31/xx as of 12/31/17</v>
      </c>
      <c r="C60"/>
      <c r="D60" s="59"/>
      <c r="E60" s="59"/>
      <c r="F60" s="59"/>
      <c r="G60" s="22"/>
      <c r="H60"/>
      <c r="I60" s="47"/>
      <c r="J60"/>
      <c r="K60" s="2"/>
    </row>
    <row r="61" spans="1:17" s="58" customFormat="1" x14ac:dyDescent="0.2">
      <c r="A61"/>
      <c r="B61" s="58" t="str">
        <f>"    2009 - 2018 are year ending 12/31/xx as of 12/31/2018"</f>
        <v xml:space="preserve">    2009 - 2018 are year ending 12/31/xx as of 12/31/2018</v>
      </c>
      <c r="C61"/>
      <c r="D61"/>
      <c r="E61"/>
      <c r="F61"/>
      <c r="G61"/>
      <c r="H61"/>
      <c r="I61" s="47"/>
      <c r="K61" s="2"/>
    </row>
    <row r="62" spans="1:17" s="58" customFormat="1" x14ac:dyDescent="0.2">
      <c r="B62" s="21" t="str">
        <f>H12&amp;" = "&amp;G12&amp;" / "&amp;F12</f>
        <v>(7) = (6) / (5)</v>
      </c>
      <c r="I62" s="42"/>
      <c r="K62" s="2"/>
    </row>
    <row r="63" spans="1:17" s="58" customFormat="1" x14ac:dyDescent="0.2">
      <c r="I63" s="42"/>
      <c r="K63" s="2"/>
    </row>
    <row r="64" spans="1:17" s="58" customFormat="1" x14ac:dyDescent="0.2">
      <c r="I64" s="42"/>
      <c r="K64" s="2"/>
    </row>
    <row r="65" spans="1:17" s="58" customFormat="1" x14ac:dyDescent="0.2">
      <c r="I65" s="42"/>
      <c r="K65" s="2"/>
    </row>
    <row r="66" spans="1:17" s="58" customFormat="1" x14ac:dyDescent="0.2">
      <c r="I66" s="42"/>
      <c r="K66" s="2"/>
      <c r="O66"/>
      <c r="P66"/>
    </row>
    <row r="67" spans="1:17" s="58" customFormat="1" x14ac:dyDescent="0.2">
      <c r="I67" s="31"/>
      <c r="K67" s="2"/>
      <c r="L67"/>
      <c r="M67"/>
      <c r="N67"/>
      <c r="O67"/>
      <c r="P67"/>
      <c r="Q67"/>
    </row>
    <row r="68" spans="1:17" x14ac:dyDescent="0.2">
      <c r="A68" s="68"/>
      <c r="B68" s="58"/>
      <c r="C68" s="36"/>
      <c r="D68" s="36"/>
      <c r="E68" s="36"/>
      <c r="F68" s="36"/>
      <c r="G68" s="31"/>
      <c r="H68" s="31"/>
      <c r="I68" s="28"/>
      <c r="J68" s="58"/>
      <c r="K68" s="2"/>
    </row>
    <row r="69" spans="1:17" x14ac:dyDescent="0.2">
      <c r="A69" s="68"/>
      <c r="B69" s="58"/>
      <c r="C69" s="28"/>
      <c r="D69" s="28"/>
      <c r="E69" s="28"/>
      <c r="F69" s="28"/>
      <c r="G69" s="28"/>
      <c r="H69" s="28"/>
      <c r="K69" s="2"/>
    </row>
    <row r="70" spans="1:17" ht="12" thickBot="1" x14ac:dyDescent="0.25">
      <c r="B70" s="24"/>
      <c r="C70" s="59"/>
      <c r="D70" s="59"/>
      <c r="E70" s="59"/>
      <c r="F70" s="59"/>
      <c r="G70" s="22"/>
      <c r="K70" s="2"/>
    </row>
    <row r="71" spans="1:17" ht="12" thickBot="1" x14ac:dyDescent="0.25">
      <c r="A71" s="4"/>
      <c r="B71" s="5"/>
      <c r="C71" s="5"/>
      <c r="D71" s="5"/>
      <c r="E71" s="5"/>
      <c r="F71" s="5"/>
      <c r="G71" s="5"/>
      <c r="H71" s="5"/>
      <c r="I71" s="5"/>
      <c r="J71" s="5"/>
      <c r="K71" s="3"/>
    </row>
  </sheetData>
  <phoneticPr fontId="0" type="noConversion"/>
  <pageMargins left="0.5" right="0.5" top="0.5" bottom="0.5" header="0.5" footer="0.5"/>
  <pageSetup orientation="portrait" blackAndWhite="1" r:id="rId1"/>
  <headerFooter alignWithMargins="0"/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4"/>
  <dimension ref="A1:P71"/>
  <sheetViews>
    <sheetView showGridLines="0" view="pageBreakPreview" zoomScale="60" zoomScaleNormal="100" workbookViewId="0">
      <selection activeCell="D65" sqref="D65"/>
    </sheetView>
  </sheetViews>
  <sheetFormatPr defaultColWidth="11.33203125" defaultRowHeight="11.25" x14ac:dyDescent="0.2"/>
  <cols>
    <col min="1" max="1" width="6.33203125" bestFit="1" customWidth="1"/>
    <col min="2" max="2" width="11.33203125" customWidth="1"/>
    <col min="3" max="5" width="15.33203125" customWidth="1"/>
    <col min="6" max="8" width="14" customWidth="1"/>
    <col min="9" max="9" width="11.33203125" customWidth="1"/>
    <col min="10" max="10" width="4.33203125" customWidth="1"/>
  </cols>
  <sheetData>
    <row r="1" spans="1:12" x14ac:dyDescent="0.2">
      <c r="A1" s="8" t="str">
        <f>'1'!$A$1</f>
        <v>Texas Windstorm Insurance Association</v>
      </c>
      <c r="B1" s="12"/>
      <c r="J1" s="7" t="s">
        <v>85</v>
      </c>
      <c r="K1" s="1"/>
    </row>
    <row r="2" spans="1:12" x14ac:dyDescent="0.2">
      <c r="A2" s="8" t="str">
        <f>'1'!$A$2</f>
        <v>Commercial Property - Wind &amp; Hail</v>
      </c>
      <c r="B2" s="12"/>
      <c r="J2" s="7" t="s">
        <v>110</v>
      </c>
      <c r="K2" s="2"/>
    </row>
    <row r="3" spans="1:12" x14ac:dyDescent="0.2">
      <c r="A3" s="8" t="str">
        <f>'1'!$A$3</f>
        <v>Rate Level Review</v>
      </c>
      <c r="B3" s="12"/>
      <c r="K3" s="2"/>
    </row>
    <row r="4" spans="1:12" x14ac:dyDescent="0.2">
      <c r="A4" t="s">
        <v>231</v>
      </c>
      <c r="B4" s="12"/>
      <c r="K4" s="2"/>
    </row>
    <row r="5" spans="1:12" x14ac:dyDescent="0.2">
      <c r="A5" s="58" t="s">
        <v>40</v>
      </c>
      <c r="B5" s="21"/>
      <c r="C5" s="58"/>
      <c r="D5" s="58"/>
      <c r="E5" s="58"/>
      <c r="K5" s="2"/>
    </row>
    <row r="6" spans="1:12" x14ac:dyDescent="0.2">
      <c r="K6" s="2"/>
    </row>
    <row r="7" spans="1:12" ht="12" thickBot="1" x14ac:dyDescent="0.25">
      <c r="A7" s="6"/>
      <c r="B7" s="6"/>
      <c r="C7" s="6"/>
      <c r="D7" s="6"/>
      <c r="E7" s="6"/>
      <c r="F7" s="6"/>
      <c r="G7" s="6"/>
      <c r="H7" s="6"/>
      <c r="I7" s="47"/>
      <c r="K7" s="2"/>
    </row>
    <row r="8" spans="1:12" ht="12" thickTop="1" x14ac:dyDescent="0.2">
      <c r="K8" s="2"/>
    </row>
    <row r="9" spans="1:12" x14ac:dyDescent="0.2">
      <c r="C9" s="21"/>
      <c r="D9" t="s">
        <v>99</v>
      </c>
      <c r="E9" t="s">
        <v>234</v>
      </c>
      <c r="F9" t="s">
        <v>99</v>
      </c>
      <c r="K9" s="2"/>
      <c r="L9" s="26"/>
    </row>
    <row r="10" spans="1:12" x14ac:dyDescent="0.2">
      <c r="A10" t="s">
        <v>42</v>
      </c>
      <c r="C10" t="s">
        <v>99</v>
      </c>
      <c r="D10" t="s">
        <v>100</v>
      </c>
      <c r="E10" t="s">
        <v>235</v>
      </c>
      <c r="F10" t="s">
        <v>236</v>
      </c>
      <c r="G10" t="s">
        <v>68</v>
      </c>
      <c r="H10" t="s">
        <v>68</v>
      </c>
      <c r="K10" s="2"/>
      <c r="L10" s="21"/>
    </row>
    <row r="11" spans="1:12" x14ac:dyDescent="0.2">
      <c r="A11" s="9" t="s">
        <v>43</v>
      </c>
      <c r="B11" s="9"/>
      <c r="C11" s="9" t="s">
        <v>100</v>
      </c>
      <c r="D11" s="9" t="s">
        <v>233</v>
      </c>
      <c r="E11" s="9" t="s">
        <v>109</v>
      </c>
      <c r="F11" s="9" t="s">
        <v>237</v>
      </c>
      <c r="G11" s="9" t="s">
        <v>35</v>
      </c>
      <c r="H11" s="9" t="s">
        <v>59</v>
      </c>
      <c r="I11" s="47"/>
      <c r="K11" s="2"/>
      <c r="L11" s="49"/>
    </row>
    <row r="12" spans="1:12" x14ac:dyDescent="0.2">
      <c r="A12" s="13" t="str">
        <f>TEXT(COLUMN(),"(#)")</f>
        <v>(1)</v>
      </c>
      <c r="B12" s="13"/>
      <c r="C12" s="11" t="str">
        <f t="shared" ref="C12:H12" si="0">TEXT(COLUMN()-1,"(#)")</f>
        <v>(2)</v>
      </c>
      <c r="D12" s="11" t="str">
        <f t="shared" si="0"/>
        <v>(3)</v>
      </c>
      <c r="E12" s="11" t="str">
        <f t="shared" si="0"/>
        <v>(4)</v>
      </c>
      <c r="F12" s="11" t="str">
        <f t="shared" si="0"/>
        <v>(5)</v>
      </c>
      <c r="G12" s="11" t="str">
        <f t="shared" si="0"/>
        <v>(6)</v>
      </c>
      <c r="H12" s="11" t="str">
        <f t="shared" si="0"/>
        <v>(7)</v>
      </c>
      <c r="I12" s="11"/>
      <c r="K12" s="2"/>
    </row>
    <row r="13" spans="1:12" x14ac:dyDescent="0.2">
      <c r="K13" s="2"/>
      <c r="L13" t="s">
        <v>112</v>
      </c>
    </row>
    <row r="14" spans="1:12" x14ac:dyDescent="0.2">
      <c r="A14" s="232" t="s">
        <v>443</v>
      </c>
      <c r="C14" s="36">
        <v>3769988</v>
      </c>
      <c r="D14" s="36">
        <v>4139464</v>
      </c>
      <c r="E14" s="33">
        <f>ROUND($L$14,3)</f>
        <v>3.0979999999999999</v>
      </c>
      <c r="F14" s="29">
        <f t="shared" ref="F14:F23" si="1">ROUND(D14*E14,0)</f>
        <v>12824059</v>
      </c>
      <c r="G14" s="36">
        <v>5242728</v>
      </c>
      <c r="H14" s="22">
        <f t="shared" ref="H14:H47" si="2">ROUND(G14/F14,3)</f>
        <v>0.40899999999999997</v>
      </c>
      <c r="I14" s="22"/>
      <c r="K14" s="2"/>
      <c r="L14" s="338">
        <f>'6.4'!L14</f>
        <v>3.0982344271115738</v>
      </c>
    </row>
    <row r="15" spans="1:12" x14ac:dyDescent="0.2">
      <c r="A15" t="s">
        <v>444</v>
      </c>
      <c r="C15" s="36">
        <v>4835650</v>
      </c>
      <c r="D15" s="36">
        <v>5883059</v>
      </c>
      <c r="E15" s="33">
        <f>E$14</f>
        <v>3.0979999999999999</v>
      </c>
      <c r="F15" s="29">
        <f t="shared" si="1"/>
        <v>18225717</v>
      </c>
      <c r="G15" s="36">
        <v>1759233</v>
      </c>
      <c r="H15" s="22">
        <f t="shared" si="2"/>
        <v>9.7000000000000003E-2</v>
      </c>
      <c r="I15" s="22"/>
      <c r="K15" s="2"/>
    </row>
    <row r="16" spans="1:12" x14ac:dyDescent="0.2">
      <c r="A16" t="s">
        <v>445</v>
      </c>
      <c r="C16" s="36">
        <v>3637366</v>
      </c>
      <c r="D16" s="36">
        <v>3997227</v>
      </c>
      <c r="E16" s="33">
        <f t="shared" ref="E16:E28" si="3">E$14</f>
        <v>3.0979999999999999</v>
      </c>
      <c r="F16" s="29">
        <f t="shared" si="1"/>
        <v>12383409</v>
      </c>
      <c r="G16" s="36">
        <v>534724</v>
      </c>
      <c r="H16" s="22">
        <f t="shared" si="2"/>
        <v>4.2999999999999997E-2</v>
      </c>
      <c r="I16" s="22"/>
      <c r="K16" s="2"/>
      <c r="L16" t="s">
        <v>474</v>
      </c>
    </row>
    <row r="17" spans="1:16" x14ac:dyDescent="0.2">
      <c r="A17" t="s">
        <v>446</v>
      </c>
      <c r="C17" s="36">
        <v>4787352</v>
      </c>
      <c r="D17" s="36">
        <v>3948102</v>
      </c>
      <c r="E17" s="33">
        <f t="shared" si="3"/>
        <v>3.0979999999999999</v>
      </c>
      <c r="F17" s="29">
        <f t="shared" si="1"/>
        <v>12231220</v>
      </c>
      <c r="G17" s="36">
        <v>1943819</v>
      </c>
      <c r="H17" s="22">
        <f t="shared" si="2"/>
        <v>0.159</v>
      </c>
      <c r="I17" s="22"/>
      <c r="K17" s="2"/>
      <c r="L17" s="336">
        <f>'6.7'!L17</f>
        <v>1</v>
      </c>
    </row>
    <row r="18" spans="1:16" x14ac:dyDescent="0.2">
      <c r="A18" t="s">
        <v>447</v>
      </c>
      <c r="C18" s="36">
        <v>5996981</v>
      </c>
      <c r="D18" s="36">
        <v>5352970</v>
      </c>
      <c r="E18" s="33">
        <f t="shared" si="3"/>
        <v>3.0979999999999999</v>
      </c>
      <c r="F18" s="29">
        <f>ROUND(D18*E18,0)</f>
        <v>16583501</v>
      </c>
      <c r="G18" s="36">
        <v>338938</v>
      </c>
      <c r="H18" s="22">
        <f t="shared" si="2"/>
        <v>0.02</v>
      </c>
      <c r="I18" s="22"/>
      <c r="K18" s="2"/>
    </row>
    <row r="19" spans="1:16" x14ac:dyDescent="0.2">
      <c r="A19" t="s">
        <v>448</v>
      </c>
      <c r="C19" s="36">
        <v>5872305</v>
      </c>
      <c r="D19" s="36">
        <v>5768621</v>
      </c>
      <c r="E19" s="33">
        <f t="shared" si="3"/>
        <v>3.0979999999999999</v>
      </c>
      <c r="F19" s="29">
        <f t="shared" si="1"/>
        <v>17871188</v>
      </c>
      <c r="G19" s="36">
        <v>1442599</v>
      </c>
      <c r="H19" s="22">
        <f t="shared" si="2"/>
        <v>8.1000000000000003E-2</v>
      </c>
      <c r="I19" s="22"/>
      <c r="K19" s="2"/>
    </row>
    <row r="20" spans="1:16" x14ac:dyDescent="0.2">
      <c r="A20" t="s">
        <v>449</v>
      </c>
      <c r="C20" s="36">
        <v>5125436</v>
      </c>
      <c r="D20" s="36">
        <v>5918163</v>
      </c>
      <c r="E20" s="33">
        <f t="shared" si="3"/>
        <v>3.0979999999999999</v>
      </c>
      <c r="F20" s="29">
        <f t="shared" si="1"/>
        <v>18334469</v>
      </c>
      <c r="G20" s="36">
        <v>349413</v>
      </c>
      <c r="H20" s="22">
        <f t="shared" si="2"/>
        <v>1.9E-2</v>
      </c>
      <c r="I20" s="22"/>
      <c r="K20" s="2"/>
    </row>
    <row r="21" spans="1:16" x14ac:dyDescent="0.2">
      <c r="A21" t="s">
        <v>450</v>
      </c>
      <c r="C21" s="36">
        <v>3842130</v>
      </c>
      <c r="D21" s="36">
        <v>4624825</v>
      </c>
      <c r="E21" s="33">
        <f t="shared" si="3"/>
        <v>3.0979999999999999</v>
      </c>
      <c r="F21" s="29">
        <f t="shared" si="1"/>
        <v>14327708</v>
      </c>
      <c r="G21" s="36">
        <v>1263817</v>
      </c>
      <c r="H21" s="22">
        <f t="shared" si="2"/>
        <v>8.7999999999999995E-2</v>
      </c>
      <c r="I21" s="22"/>
      <c r="K21" s="2"/>
    </row>
    <row r="22" spans="1:16" x14ac:dyDescent="0.2">
      <c r="A22" t="s">
        <v>451</v>
      </c>
      <c r="C22" s="36">
        <v>4253902</v>
      </c>
      <c r="D22" s="36">
        <v>4765878</v>
      </c>
      <c r="E22" s="33">
        <f t="shared" si="3"/>
        <v>3.0979999999999999</v>
      </c>
      <c r="F22" s="29">
        <f t="shared" si="1"/>
        <v>14764690</v>
      </c>
      <c r="G22" s="36">
        <v>14752702</v>
      </c>
      <c r="H22" s="22">
        <f t="shared" si="2"/>
        <v>0.999</v>
      </c>
      <c r="I22" s="22"/>
      <c r="K22" s="2"/>
    </row>
    <row r="23" spans="1:16" x14ac:dyDescent="0.2">
      <c r="A23" t="s">
        <v>452</v>
      </c>
      <c r="B23" s="21"/>
      <c r="C23" s="36">
        <v>4034147</v>
      </c>
      <c r="D23" s="36">
        <v>4187015</v>
      </c>
      <c r="E23" s="33">
        <f t="shared" si="3"/>
        <v>3.0979999999999999</v>
      </c>
      <c r="F23" s="29">
        <f t="shared" si="1"/>
        <v>12971372</v>
      </c>
      <c r="G23" s="36">
        <v>276158</v>
      </c>
      <c r="H23" s="22">
        <f t="shared" si="2"/>
        <v>2.1000000000000001E-2</v>
      </c>
      <c r="I23" s="22"/>
      <c r="K23" s="2"/>
    </row>
    <row r="24" spans="1:16" x14ac:dyDescent="0.2">
      <c r="A24" t="s">
        <v>429</v>
      </c>
      <c r="B24" s="21"/>
      <c r="C24" s="36">
        <v>4540606</v>
      </c>
      <c r="D24" s="36"/>
      <c r="E24" s="33">
        <f t="shared" si="3"/>
        <v>3.0979999999999999</v>
      </c>
      <c r="F24" s="29">
        <f>ROUND(C24*E24,0)</f>
        <v>14066797</v>
      </c>
      <c r="G24" s="36">
        <v>245603</v>
      </c>
      <c r="H24" s="22">
        <f t="shared" si="2"/>
        <v>1.7000000000000001E-2</v>
      </c>
      <c r="I24" s="22"/>
      <c r="K24" s="2"/>
    </row>
    <row r="25" spans="1:16" x14ac:dyDescent="0.2">
      <c r="A25" t="s">
        <v>430</v>
      </c>
      <c r="B25" s="21"/>
      <c r="C25" s="36">
        <v>5145260</v>
      </c>
      <c r="D25" s="36"/>
      <c r="E25" s="33">
        <f t="shared" si="3"/>
        <v>3.0979999999999999</v>
      </c>
      <c r="F25" s="29">
        <f>ROUND(C25*E25,0)</f>
        <v>15940015</v>
      </c>
      <c r="G25" s="36">
        <v>3130886</v>
      </c>
      <c r="H25" s="22">
        <f t="shared" si="2"/>
        <v>0.19600000000000001</v>
      </c>
      <c r="I25" s="22"/>
      <c r="K25" s="2"/>
    </row>
    <row r="26" spans="1:16" x14ac:dyDescent="0.2">
      <c r="A26" t="s">
        <v>431</v>
      </c>
      <c r="C26" s="36">
        <v>9324050</v>
      </c>
      <c r="D26" s="36"/>
      <c r="E26" s="33">
        <f t="shared" si="3"/>
        <v>3.0979999999999999</v>
      </c>
      <c r="F26" s="29">
        <f>ROUND(C26*E26,0)</f>
        <v>28885907</v>
      </c>
      <c r="G26" s="36">
        <v>10852486</v>
      </c>
      <c r="H26" s="22">
        <f t="shared" si="2"/>
        <v>0.376</v>
      </c>
      <c r="I26" s="22"/>
      <c r="K26" s="2"/>
    </row>
    <row r="27" spans="1:16" x14ac:dyDescent="0.2">
      <c r="A27" t="s">
        <v>432</v>
      </c>
      <c r="C27" s="36">
        <v>15331047</v>
      </c>
      <c r="D27" s="36"/>
      <c r="E27" s="33">
        <f t="shared" si="3"/>
        <v>3.0979999999999999</v>
      </c>
      <c r="F27" s="29">
        <f t="shared" ref="F27:F46" si="4">ROUND(C27*E27,0)</f>
        <v>47495584</v>
      </c>
      <c r="G27" s="36">
        <v>1478175</v>
      </c>
      <c r="H27" s="22">
        <f t="shared" si="2"/>
        <v>3.1E-2</v>
      </c>
      <c r="I27" s="22"/>
      <c r="K27" s="2"/>
    </row>
    <row r="28" spans="1:16" x14ac:dyDescent="0.2">
      <c r="A28" t="s">
        <v>433</v>
      </c>
      <c r="B28" s="42"/>
      <c r="C28" s="36">
        <v>17116368</v>
      </c>
      <c r="D28" s="42"/>
      <c r="E28" s="33">
        <f t="shared" si="3"/>
        <v>3.0979999999999999</v>
      </c>
      <c r="F28" s="29">
        <f t="shared" si="4"/>
        <v>53026508</v>
      </c>
      <c r="G28" s="36">
        <v>1911482</v>
      </c>
      <c r="H28" s="22">
        <f t="shared" si="2"/>
        <v>3.5999999999999997E-2</v>
      </c>
      <c r="I28" s="22"/>
      <c r="K28" s="2"/>
    </row>
    <row r="29" spans="1:16" x14ac:dyDescent="0.2">
      <c r="A29" t="s">
        <v>434</v>
      </c>
      <c r="C29" s="36">
        <v>17623413</v>
      </c>
      <c r="D29" s="36"/>
      <c r="E29" s="248">
        <f>ROUND($L$17*P32*(1-$L$32)+P32*$L$32,3)</f>
        <v>3.145</v>
      </c>
      <c r="F29" s="29">
        <f t="shared" si="4"/>
        <v>55425634</v>
      </c>
      <c r="G29" s="36">
        <v>6340723</v>
      </c>
      <c r="H29" s="22">
        <f t="shared" si="2"/>
        <v>0.114</v>
      </c>
      <c r="I29" s="22"/>
      <c r="K29" s="2"/>
    </row>
    <row r="30" spans="1:16" x14ac:dyDescent="0.2">
      <c r="A30" t="s">
        <v>435</v>
      </c>
      <c r="C30" s="36">
        <v>15019386</v>
      </c>
      <c r="D30" s="36"/>
      <c r="E30" s="248">
        <f t="shared" ref="E30:E49" si="5">ROUND($L$17*P33*(1-$L$32)+P33*$L$32,3)</f>
        <v>3.194</v>
      </c>
      <c r="F30" s="29">
        <f t="shared" si="4"/>
        <v>47971919</v>
      </c>
      <c r="G30" s="36">
        <v>5614569</v>
      </c>
      <c r="H30" s="22">
        <f t="shared" si="2"/>
        <v>0.11700000000000001</v>
      </c>
      <c r="I30" s="22"/>
      <c r="K30" s="2"/>
    </row>
    <row r="31" spans="1:16" x14ac:dyDescent="0.2">
      <c r="A31" t="s">
        <v>436</v>
      </c>
      <c r="C31" s="36">
        <v>11756138</v>
      </c>
      <c r="D31" s="36"/>
      <c r="E31" s="248">
        <f t="shared" si="5"/>
        <v>3.0569999999999999</v>
      </c>
      <c r="F31" s="29">
        <f t="shared" si="4"/>
        <v>35938514</v>
      </c>
      <c r="G31" s="36">
        <v>4969254</v>
      </c>
      <c r="H31" s="22">
        <f t="shared" si="2"/>
        <v>0.13800000000000001</v>
      </c>
      <c r="I31" s="22"/>
      <c r="K31" s="2"/>
      <c r="L31" t="s">
        <v>238</v>
      </c>
      <c r="O31" t="s">
        <v>43</v>
      </c>
      <c r="P31" t="s">
        <v>252</v>
      </c>
    </row>
    <row r="32" spans="1:16" x14ac:dyDescent="0.2">
      <c r="A32" t="s">
        <v>437</v>
      </c>
      <c r="C32" s="36">
        <v>11140104</v>
      </c>
      <c r="D32" s="36"/>
      <c r="E32" s="248">
        <f t="shared" si="5"/>
        <v>2.8730000000000002</v>
      </c>
      <c r="F32" s="29">
        <f t="shared" si="4"/>
        <v>32005519</v>
      </c>
      <c r="G32" s="36">
        <v>1824700</v>
      </c>
      <c r="H32" s="22">
        <f t="shared" si="2"/>
        <v>5.7000000000000002E-2</v>
      </c>
      <c r="I32" s="22"/>
      <c r="K32" s="2"/>
      <c r="L32" s="110">
        <f>[2]ISO!$Q$65/[2]ISO!$Q$66</f>
        <v>0.74612486430995839</v>
      </c>
      <c r="O32" s="233" t="str">
        <f>'6.4'!O43</f>
        <v>1998</v>
      </c>
      <c r="P32" s="40">
        <f>'6.4'!Q43</f>
        <v>3.1454156620422071</v>
      </c>
    </row>
    <row r="33" spans="1:16" x14ac:dyDescent="0.2">
      <c r="A33" t="s">
        <v>438</v>
      </c>
      <c r="C33" s="36">
        <v>20528832</v>
      </c>
      <c r="D33" s="36"/>
      <c r="E33" s="248">
        <f t="shared" si="5"/>
        <v>2.7490000000000001</v>
      </c>
      <c r="F33" s="29">
        <f t="shared" si="4"/>
        <v>56433759</v>
      </c>
      <c r="G33" s="36">
        <v>4053342</v>
      </c>
      <c r="H33" s="22">
        <f t="shared" si="2"/>
        <v>7.1999999999999995E-2</v>
      </c>
      <c r="I33" s="22"/>
      <c r="K33" s="2"/>
      <c r="O33" s="233" t="str">
        <f>'6.4'!O44</f>
        <v>1999</v>
      </c>
      <c r="P33" s="40">
        <f>'6.4'!Q44</f>
        <v>3.1940561104243028</v>
      </c>
    </row>
    <row r="34" spans="1:16" x14ac:dyDescent="0.2">
      <c r="A34" t="s">
        <v>439</v>
      </c>
      <c r="C34" s="245">
        <v>23885668</v>
      </c>
      <c r="D34" s="36"/>
      <c r="E34" s="248">
        <f t="shared" si="5"/>
        <v>2.556</v>
      </c>
      <c r="F34" s="29">
        <f t="shared" si="4"/>
        <v>61051767</v>
      </c>
      <c r="G34" s="245">
        <v>29908218</v>
      </c>
      <c r="H34" s="22">
        <f t="shared" si="2"/>
        <v>0.49</v>
      </c>
      <c r="I34" s="50"/>
      <c r="K34" s="2"/>
      <c r="O34" s="233" t="str">
        <f>'6.4'!O45</f>
        <v>2000</v>
      </c>
      <c r="P34" s="40">
        <f>'6.4'!Q45</f>
        <v>3.056513024329476</v>
      </c>
    </row>
    <row r="35" spans="1:16" x14ac:dyDescent="0.2">
      <c r="A35" t="s">
        <v>440</v>
      </c>
      <c r="B35" s="48"/>
      <c r="C35" s="278">
        <v>31412192</v>
      </c>
      <c r="D35" s="61"/>
      <c r="E35" s="248">
        <f t="shared" si="5"/>
        <v>2.323</v>
      </c>
      <c r="F35" s="29">
        <f t="shared" si="4"/>
        <v>72970522</v>
      </c>
      <c r="G35" s="278">
        <v>1462655</v>
      </c>
      <c r="H35" s="22">
        <f t="shared" si="2"/>
        <v>0.02</v>
      </c>
      <c r="I35" s="50"/>
      <c r="K35" s="2"/>
      <c r="O35" s="233" t="str">
        <f>'6.4'!O46</f>
        <v>2001</v>
      </c>
      <c r="P35" s="40">
        <f>'6.4'!Q46</f>
        <v>2.8728693204032227</v>
      </c>
    </row>
    <row r="36" spans="1:16" s="58" customFormat="1" x14ac:dyDescent="0.2">
      <c r="A36" t="s">
        <v>329</v>
      </c>
      <c r="B36" s="42"/>
      <c r="C36" s="278">
        <v>34104704</v>
      </c>
      <c r="D36" s="42"/>
      <c r="E36" s="248">
        <f t="shared" si="5"/>
        <v>2.1120000000000001</v>
      </c>
      <c r="F36" s="29">
        <f>ROUND(C36*E36,0)</f>
        <v>72029135</v>
      </c>
      <c r="G36" s="278">
        <v>272418664</v>
      </c>
      <c r="H36" s="22">
        <f t="shared" si="2"/>
        <v>3.782</v>
      </c>
      <c r="I36" s="50"/>
      <c r="K36" s="2"/>
      <c r="O36" s="233" t="str">
        <f>'6.4'!O47</f>
        <v>2002</v>
      </c>
      <c r="P36" s="40">
        <f>'6.4'!Q47</f>
        <v>2.7488993497291623</v>
      </c>
    </row>
    <row r="37" spans="1:16" s="58" customFormat="1" x14ac:dyDescent="0.2">
      <c r="A37" t="s">
        <v>416</v>
      </c>
      <c r="B37" s="42"/>
      <c r="C37" s="278">
        <v>46246638</v>
      </c>
      <c r="D37" s="42"/>
      <c r="E37" s="248">
        <f t="shared" si="5"/>
        <v>1.958</v>
      </c>
      <c r="F37" s="29">
        <f t="shared" si="4"/>
        <v>90550917</v>
      </c>
      <c r="G37" s="278">
        <v>2315133</v>
      </c>
      <c r="H37" s="22">
        <f t="shared" si="2"/>
        <v>2.5999999999999999E-2</v>
      </c>
      <c r="I37" s="50"/>
      <c r="K37" s="2"/>
      <c r="O37" s="233" t="str">
        <f>'6.4'!O48</f>
        <v>2003</v>
      </c>
      <c r="P37" s="40">
        <f>'6.4'!Q48</f>
        <v>2.5556660621064773</v>
      </c>
    </row>
    <row r="38" spans="1:16" x14ac:dyDescent="0.2">
      <c r="A38" t="s">
        <v>376</v>
      </c>
      <c r="B38" s="42"/>
      <c r="C38" s="278">
        <v>71922575</v>
      </c>
      <c r="D38" s="42"/>
      <c r="E38" s="248">
        <f t="shared" si="5"/>
        <v>1.774</v>
      </c>
      <c r="F38" s="29">
        <f t="shared" si="4"/>
        <v>127590648</v>
      </c>
      <c r="G38" s="278">
        <v>7479422</v>
      </c>
      <c r="H38" s="22">
        <f t="shared" si="2"/>
        <v>5.8999999999999997E-2</v>
      </c>
      <c r="I38" s="50"/>
      <c r="K38" s="2"/>
      <c r="O38" s="233" t="str">
        <f>'6.4'!O49</f>
        <v>2004</v>
      </c>
      <c r="P38" s="40">
        <f>'6.4'!Q49</f>
        <v>2.3233327837331608</v>
      </c>
    </row>
    <row r="39" spans="1:16" x14ac:dyDescent="0.2">
      <c r="A39" t="s">
        <v>381</v>
      </c>
      <c r="B39" s="42"/>
      <c r="C39" s="278">
        <v>66558177</v>
      </c>
      <c r="D39" s="42"/>
      <c r="E39" s="248">
        <f t="shared" si="5"/>
        <v>1.6759999999999999</v>
      </c>
      <c r="F39" s="29">
        <f t="shared" si="4"/>
        <v>111551505</v>
      </c>
      <c r="G39" s="278">
        <v>538764477</v>
      </c>
      <c r="H39" s="22">
        <f>ROUND(G39/F39,3)</f>
        <v>4.83</v>
      </c>
      <c r="I39" s="50"/>
      <c r="K39" s="2"/>
      <c r="O39" s="233" t="str">
        <f>'6.4'!O50</f>
        <v>2005</v>
      </c>
      <c r="P39" s="40">
        <f>'6.4'!Q50</f>
        <v>2.1121207124846917</v>
      </c>
    </row>
    <row r="40" spans="1:16" x14ac:dyDescent="0.2">
      <c r="A40" t="s">
        <v>417</v>
      </c>
      <c r="B40" s="42"/>
      <c r="C40" s="90">
        <f>[2]ISO!$Q54</f>
        <v>64583344</v>
      </c>
      <c r="D40" s="42"/>
      <c r="E40" s="248">
        <f t="shared" si="5"/>
        <v>1.5269999999999999</v>
      </c>
      <c r="F40" s="29">
        <f t="shared" si="4"/>
        <v>98618766</v>
      </c>
      <c r="G40" s="90">
        <f>[2]ISO!$V54</f>
        <v>1576316</v>
      </c>
      <c r="H40" s="22">
        <f t="shared" si="2"/>
        <v>1.6E-2</v>
      </c>
      <c r="I40" s="42"/>
      <c r="J40" s="58"/>
      <c r="K40" s="2"/>
      <c r="O40" s="233" t="str">
        <f>'6.4'!O51</f>
        <v>2006</v>
      </c>
      <c r="P40" s="40">
        <f>'6.4'!Q51</f>
        <v>1.9580270885920061</v>
      </c>
    </row>
    <row r="41" spans="1:16" x14ac:dyDescent="0.2">
      <c r="A41" t="s">
        <v>418</v>
      </c>
      <c r="B41" s="42"/>
      <c r="C41" s="90">
        <f>[2]ISO!$Q55</f>
        <v>63193636</v>
      </c>
      <c r="D41" s="42"/>
      <c r="E41" s="248">
        <f t="shared" si="5"/>
        <v>1.407</v>
      </c>
      <c r="F41" s="29">
        <f t="shared" si="4"/>
        <v>88913446</v>
      </c>
      <c r="G41" s="90">
        <f>[2]ISO!$V55</f>
        <v>5418624</v>
      </c>
      <c r="H41" s="22">
        <f t="shared" si="2"/>
        <v>6.0999999999999999E-2</v>
      </c>
      <c r="I41" s="58"/>
      <c r="J41" s="58"/>
      <c r="K41" s="2"/>
      <c r="O41" s="233" t="str">
        <f>'6.4'!O52</f>
        <v>2007</v>
      </c>
      <c r="P41" s="40">
        <f>'6.4'!Q52</f>
        <v>1.7742615004796822</v>
      </c>
    </row>
    <row r="42" spans="1:16" x14ac:dyDescent="0.2">
      <c r="A42" t="s">
        <v>421</v>
      </c>
      <c r="B42" s="42"/>
      <c r="C42" s="90">
        <f>[2]ISO!$Q56</f>
        <v>61496296</v>
      </c>
      <c r="D42" s="42"/>
      <c r="E42" s="248">
        <f t="shared" si="5"/>
        <v>1.373</v>
      </c>
      <c r="F42" s="29">
        <f t="shared" si="4"/>
        <v>84434414</v>
      </c>
      <c r="G42" s="90">
        <f>[2]ISO!$V56</f>
        <v>16245334</v>
      </c>
      <c r="H42" s="22">
        <f t="shared" si="2"/>
        <v>0.192</v>
      </c>
      <c r="I42" s="50"/>
      <c r="K42" s="2"/>
      <c r="O42" s="233" t="str">
        <f>'6.4'!O53</f>
        <v>2008</v>
      </c>
      <c r="P42" s="40">
        <f>'6.4'!Q53</f>
        <v>1.6764113430295366</v>
      </c>
    </row>
    <row r="43" spans="1:16" x14ac:dyDescent="0.2">
      <c r="A43" t="s">
        <v>441</v>
      </c>
      <c r="B43" s="42"/>
      <c r="C43" s="90">
        <f>[2]ISO!$Q57</f>
        <v>66730115</v>
      </c>
      <c r="D43" s="42"/>
      <c r="E43" s="248">
        <f t="shared" si="5"/>
        <v>1.3069999999999999</v>
      </c>
      <c r="F43" s="180">
        <f t="shared" si="4"/>
        <v>87216260</v>
      </c>
      <c r="G43" s="90">
        <f>[2]ISO!$V57</f>
        <v>13373921</v>
      </c>
      <c r="H43" s="50">
        <f t="shared" si="2"/>
        <v>0.153</v>
      </c>
      <c r="J43" s="58"/>
      <c r="K43" s="2"/>
      <c r="O43" s="233" t="str">
        <f>'6.4'!O54</f>
        <v>2009</v>
      </c>
      <c r="P43" s="40">
        <f>'6.4'!Q54</f>
        <v>1.5265551216585858</v>
      </c>
    </row>
    <row r="44" spans="1:16" x14ac:dyDescent="0.2">
      <c r="A44" t="s">
        <v>442</v>
      </c>
      <c r="B44" s="42"/>
      <c r="C44" s="90">
        <f>[2]ISO!$Q58</f>
        <v>71999970</v>
      </c>
      <c r="D44" s="42"/>
      <c r="E44" s="248">
        <f t="shared" si="5"/>
        <v>1.2450000000000001</v>
      </c>
      <c r="F44" s="180">
        <f t="shared" si="4"/>
        <v>89639963</v>
      </c>
      <c r="G44" s="90">
        <f>[2]ISO!$V58</f>
        <v>1108700</v>
      </c>
      <c r="H44" s="50">
        <f t="shared" si="2"/>
        <v>1.2E-2</v>
      </c>
      <c r="I44" s="182"/>
      <c r="K44" s="2"/>
      <c r="L44" t="s">
        <v>242</v>
      </c>
      <c r="M44" t="s">
        <v>243</v>
      </c>
      <c r="O44" s="233" t="str">
        <f>'6.4'!O55</f>
        <v>2010</v>
      </c>
      <c r="P44" s="40">
        <f>'6.4'!Q55</f>
        <v>1.4071004226562505</v>
      </c>
    </row>
    <row r="45" spans="1:16" x14ac:dyDescent="0.2">
      <c r="A45" t="s">
        <v>477</v>
      </c>
      <c r="B45" s="42"/>
      <c r="C45" s="90">
        <f>[2]ISO!$Q59</f>
        <v>67421762</v>
      </c>
      <c r="D45" s="42"/>
      <c r="E45" s="248">
        <f t="shared" si="5"/>
        <v>1.1859999999999999</v>
      </c>
      <c r="F45" s="180">
        <f t="shared" si="4"/>
        <v>79962210</v>
      </c>
      <c r="G45" s="90">
        <f>[2]ISO!$V59</f>
        <v>908975</v>
      </c>
      <c r="H45" s="50">
        <f t="shared" si="2"/>
        <v>1.0999999999999999E-2</v>
      </c>
      <c r="I45" s="182"/>
      <c r="K45" s="2"/>
      <c r="L45" s="96">
        <f>'6.4'!L47</f>
        <v>34607</v>
      </c>
      <c r="M45" s="96">
        <f>'6.4'!M47</f>
        <v>36525</v>
      </c>
      <c r="N45" t="s">
        <v>244</v>
      </c>
      <c r="O45" s="233" t="str">
        <f>'6.4'!O56</f>
        <v>2011</v>
      </c>
      <c r="P45" s="40">
        <f>'6.4'!Q56</f>
        <v>1.3727809001524396</v>
      </c>
    </row>
    <row r="46" spans="1:16" x14ac:dyDescent="0.2">
      <c r="A46" t="s">
        <v>478</v>
      </c>
      <c r="B46" s="42"/>
      <c r="C46" s="90">
        <f>[2]ISO!$Q60</f>
        <v>61735174</v>
      </c>
      <c r="D46" s="42"/>
      <c r="E46" s="248">
        <f t="shared" si="5"/>
        <v>1.129</v>
      </c>
      <c r="F46" s="180">
        <f t="shared" si="4"/>
        <v>69699011</v>
      </c>
      <c r="G46" s="90">
        <f>[2]ISO!$V60</f>
        <v>15485267</v>
      </c>
      <c r="H46" s="50">
        <f t="shared" si="2"/>
        <v>0.222</v>
      </c>
      <c r="I46" s="182"/>
      <c r="K46" s="2"/>
      <c r="L46" s="96">
        <f>'6.4'!L49</f>
        <v>43465</v>
      </c>
      <c r="M46" s="96">
        <f>'6.4'!M49</f>
        <v>43465</v>
      </c>
      <c r="N46" t="s">
        <v>245</v>
      </c>
      <c r="O46" s="233" t="str">
        <f>'6.4'!O57</f>
        <v>2012</v>
      </c>
      <c r="P46" s="40">
        <f>'6.4'!Q57</f>
        <v>1.3074103810975612</v>
      </c>
    </row>
    <row r="47" spans="1:16" x14ac:dyDescent="0.2">
      <c r="A47" s="47" t="s">
        <v>479</v>
      </c>
      <c r="B47" s="42"/>
      <c r="C47" s="90">
        <f>[2]ISO!$Q61</f>
        <v>56479197</v>
      </c>
      <c r="D47" s="42"/>
      <c r="E47" s="248">
        <f t="shared" si="5"/>
        <v>1.0760000000000001</v>
      </c>
      <c r="F47" s="180">
        <f>ROUND(C47*E47,0)</f>
        <v>60771616</v>
      </c>
      <c r="G47" s="90">
        <f>[2]ISO!$V61</f>
        <v>2286047</v>
      </c>
      <c r="H47" s="50">
        <f t="shared" si="2"/>
        <v>3.7999999999999999E-2</v>
      </c>
      <c r="I47" s="31"/>
      <c r="J47" s="58"/>
      <c r="K47" s="2"/>
      <c r="O47" s="233" t="str">
        <f>'6.4'!O58</f>
        <v>2013</v>
      </c>
      <c r="P47" s="40">
        <f>'6.4'!Q58</f>
        <v>1.2451527439024395</v>
      </c>
    </row>
    <row r="48" spans="1:16" x14ac:dyDescent="0.2">
      <c r="A48" s="47" t="s">
        <v>480</v>
      </c>
      <c r="B48" s="47"/>
      <c r="C48" s="90">
        <f>[2]ISO!$Q62</f>
        <v>46087983</v>
      </c>
      <c r="D48" s="56"/>
      <c r="E48" s="248">
        <f t="shared" si="5"/>
        <v>1.05</v>
      </c>
      <c r="F48" s="180">
        <f>ROUND(C48*E48,0)</f>
        <v>48392382</v>
      </c>
      <c r="G48" s="90">
        <f>[2]ISO!$V62</f>
        <v>207827234</v>
      </c>
      <c r="H48" s="50">
        <f>ROUND(G48/F48,3)</f>
        <v>4.2949999999999999</v>
      </c>
      <c r="I48" s="50"/>
      <c r="K48" s="2"/>
      <c r="O48" s="233">
        <f>'6.4'!O59</f>
        <v>2014</v>
      </c>
      <c r="P48" s="40">
        <f>'6.4'!Q59</f>
        <v>1.1858597560975612</v>
      </c>
    </row>
    <row r="49" spans="1:16" x14ac:dyDescent="0.2">
      <c r="A49" s="25">
        <v>2018</v>
      </c>
      <c r="B49" s="9"/>
      <c r="C49" s="89">
        <f>[2]ISO!$Q63</f>
        <v>41901972</v>
      </c>
      <c r="D49" s="9"/>
      <c r="E49" s="109">
        <f t="shared" si="5"/>
        <v>1.024</v>
      </c>
      <c r="F49" s="30">
        <f>ROUND(C49*E49,0)</f>
        <v>42907619</v>
      </c>
      <c r="G49" s="89">
        <f>[2]ISO!$V63</f>
        <v>701124</v>
      </c>
      <c r="H49" s="67">
        <f>ROUND(G49/F49,3)</f>
        <v>1.6E-2</v>
      </c>
      <c r="K49" s="2"/>
      <c r="O49" s="24">
        <v>2015</v>
      </c>
      <c r="P49" s="40">
        <f>'6.4'!Q60</f>
        <v>1.1293902439024393</v>
      </c>
    </row>
    <row r="50" spans="1:16" x14ac:dyDescent="0.2">
      <c r="K50" s="2"/>
      <c r="O50" s="24">
        <v>2016</v>
      </c>
      <c r="P50" s="40">
        <f>'6.4'!Q61</f>
        <v>1.075609756097561</v>
      </c>
    </row>
    <row r="51" spans="1:16" x14ac:dyDescent="0.2">
      <c r="A51" t="s">
        <v>8</v>
      </c>
      <c r="C51" s="69">
        <f>SUM(C14:C49)</f>
        <v>1049439864</v>
      </c>
      <c r="D51" s="69"/>
      <c r="E51" s="69"/>
      <c r="F51" s="69">
        <f>SUM(F14:F49)</f>
        <v>1824007670</v>
      </c>
      <c r="G51" s="69">
        <f>SUM(G14:G49)</f>
        <v>1185605462</v>
      </c>
      <c r="H51" s="22">
        <f>ROUND(G51/F51,3)</f>
        <v>0.65</v>
      </c>
      <c r="I51" s="47"/>
      <c r="K51" s="2"/>
      <c r="O51" s="24">
        <v>2017</v>
      </c>
      <c r="P51" s="40">
        <f>'6.4'!Q62</f>
        <v>1.05</v>
      </c>
    </row>
    <row r="52" spans="1:16" ht="12" thickBot="1" x14ac:dyDescent="0.25">
      <c r="A52" s="6"/>
      <c r="B52" s="6"/>
      <c r="C52" s="6"/>
      <c r="D52" s="6"/>
      <c r="E52" s="6"/>
      <c r="F52" s="6"/>
      <c r="G52" s="6"/>
      <c r="H52" s="6"/>
      <c r="K52" s="2"/>
      <c r="O52" s="24">
        <v>2018</v>
      </c>
      <c r="P52" s="40">
        <f>'6.4'!Q63</f>
        <v>1.024390243902439</v>
      </c>
    </row>
    <row r="53" spans="1:16" ht="12" thickTop="1" x14ac:dyDescent="0.2">
      <c r="K53" s="2"/>
    </row>
    <row r="54" spans="1:16" x14ac:dyDescent="0.2">
      <c r="A54" t="s">
        <v>19</v>
      </c>
      <c r="F54" s="42"/>
      <c r="K54" s="2"/>
      <c r="L54" s="58"/>
      <c r="M54" s="58"/>
      <c r="N54" s="58"/>
      <c r="O54" s="58"/>
      <c r="P54" s="58"/>
    </row>
    <row r="55" spans="1:16" x14ac:dyDescent="0.2">
      <c r="B55" s="21" t="str">
        <f>C12&amp;" Provided by TDI. "&amp;A14&amp;" - "&amp;A26&amp;" are year ending "&amp;TEXT($L$45,"m/d/xx")&amp;" as of "&amp;TEXT($M$45,"m/d/yy")&amp;"; "&amp;A27&amp;" - "&amp;A48&amp;" are year ending "&amp;TEXT($L$46,"m/d/xx")&amp;" as of "&amp;TEXT($M$46,"m/d/yy")</f>
        <v>(2) Provided by TDI. 1983 - 1995 are year ending 9/30/xx as of 12/31/99; 1996 - 2017 are year ending 12/31/xx as of 12/31/18</v>
      </c>
      <c r="K55" s="2"/>
      <c r="L55" s="58"/>
      <c r="M55" s="58"/>
      <c r="N55" s="58"/>
      <c r="O55" s="58"/>
      <c r="P55" s="58"/>
    </row>
    <row r="56" spans="1:16" s="58" customFormat="1" x14ac:dyDescent="0.2">
      <c r="A56"/>
      <c r="B56" s="21" t="str">
        <f>D12&amp;" Provided by TDI (1992 MR = 1992 manual rates)"</f>
        <v>(3) Provided by TDI (1992 MR = 1992 manual rates)</v>
      </c>
      <c r="C56" s="21"/>
      <c r="D56"/>
      <c r="E56"/>
      <c r="F56"/>
      <c r="G56"/>
      <c r="H56"/>
      <c r="I56"/>
      <c r="J56"/>
      <c r="K56" s="2"/>
    </row>
    <row r="57" spans="1:16" s="58" customFormat="1" x14ac:dyDescent="0.2">
      <c r="A57"/>
      <c r="B57" s="21" t="str">
        <f>'6.4'!B57</f>
        <v>(4) Represents 1/1/98 through 1/1/18 rate changes for TWIA; factors assume uniform earning of written premium</v>
      </c>
      <c r="C57"/>
      <c r="D57"/>
      <c r="E57"/>
      <c r="F57"/>
      <c r="G57"/>
      <c r="H57"/>
      <c r="I57" s="87"/>
      <c r="J57"/>
      <c r="K57" s="2"/>
    </row>
    <row r="58" spans="1:16" s="58" customFormat="1" x14ac:dyDescent="0.2">
      <c r="A58"/>
      <c r="B58" s="101" t="str">
        <f>"      and that TWIA premium represents "&amp;TEXT(L32,"0.0%")&amp;" of industry data in "&amp;LEFT(A5,FIND("(",A5)-2)</f>
        <v xml:space="preserve">      and that TWIA premium represents 74.6% of industry data in Tier 1 -- Territory 10</v>
      </c>
      <c r="C58" s="87"/>
      <c r="D58" s="87"/>
      <c r="E58" s="87"/>
      <c r="F58" s="87"/>
      <c r="G58" s="87"/>
      <c r="H58" s="87"/>
      <c r="I58"/>
      <c r="J58"/>
      <c r="K58" s="2"/>
    </row>
    <row r="59" spans="1:16" s="58" customFormat="1" x14ac:dyDescent="0.2">
      <c r="A59"/>
      <c r="B59" s="21" t="str">
        <f>F12&amp;" = "&amp;D12&amp;" * "&amp;E12&amp;" for "&amp;A14&amp;" - "&amp;A23&amp;"; "&amp;C12&amp;" * "&amp;E12&amp;" for "&amp;A24&amp;" - "&amp;A49</f>
        <v>(5) = (3) * (4) for 1983 - 1992; (2) * (4) for 1993 - 2018</v>
      </c>
      <c r="D59"/>
      <c r="E59"/>
      <c r="F59"/>
      <c r="G59"/>
      <c r="H59"/>
      <c r="I59"/>
      <c r="J59"/>
      <c r="K59" s="2"/>
    </row>
    <row r="60" spans="1:16" s="58" customFormat="1" x14ac:dyDescent="0.2">
      <c r="A60"/>
      <c r="B60" s="21" t="str">
        <f>'6.5'!B60</f>
        <v>(6) Provided by TDI. 1983 - 1995 are year ending 9/30/xx as of 12/31/99; 1996 - 2008 are year ending 12/31/xx as of 12/31/17</v>
      </c>
      <c r="C60"/>
      <c r="D60" s="59"/>
      <c r="E60" s="59"/>
      <c r="F60" s="59"/>
      <c r="G60" s="22"/>
      <c r="H60"/>
      <c r="I60"/>
      <c r="K60" s="2"/>
    </row>
    <row r="61" spans="1:16" s="58" customFormat="1" x14ac:dyDescent="0.2">
      <c r="A61"/>
      <c r="B61" s="21" t="str">
        <f>'6.5'!B61</f>
        <v xml:space="preserve">    2009 - 2018 are year ending 12/31/xx as of 12/31/2018</v>
      </c>
      <c r="C61"/>
      <c r="D61"/>
      <c r="E61"/>
      <c r="F61"/>
      <c r="G61"/>
      <c r="H61"/>
      <c r="I61"/>
      <c r="K61" s="2"/>
    </row>
    <row r="62" spans="1:16" s="58" customFormat="1" x14ac:dyDescent="0.2">
      <c r="B62" s="21" t="str">
        <f>'6.5'!B62</f>
        <v>(7) = (6) / (5)</v>
      </c>
      <c r="I62" s="31"/>
      <c r="K62" s="2"/>
    </row>
    <row r="63" spans="1:16" s="58" customFormat="1" x14ac:dyDescent="0.2">
      <c r="A63" s="68"/>
      <c r="C63" s="36"/>
      <c r="D63" s="36"/>
      <c r="E63" s="36"/>
      <c r="F63" s="36"/>
      <c r="G63" s="31"/>
      <c r="H63" s="31"/>
      <c r="I63" s="31"/>
      <c r="K63" s="2"/>
    </row>
    <row r="64" spans="1:16" s="58" customFormat="1" x14ac:dyDescent="0.2">
      <c r="A64" s="68"/>
      <c r="C64" s="36"/>
      <c r="D64" s="36"/>
      <c r="E64" s="36"/>
      <c r="F64" s="36"/>
      <c r="G64" s="31"/>
      <c r="H64" s="31"/>
      <c r="I64" s="31"/>
      <c r="K64" s="2"/>
    </row>
    <row r="65" spans="1:16" s="58" customFormat="1" x14ac:dyDescent="0.2">
      <c r="A65" s="68"/>
      <c r="C65" s="36"/>
      <c r="D65" s="36"/>
      <c r="E65" s="36"/>
      <c r="F65" s="36"/>
      <c r="G65" s="31"/>
      <c r="H65" s="31"/>
      <c r="I65" s="31"/>
      <c r="K65" s="2"/>
    </row>
    <row r="66" spans="1:16" s="58" customFormat="1" x14ac:dyDescent="0.2">
      <c r="A66" s="68"/>
      <c r="C66" s="36"/>
      <c r="D66" s="36"/>
      <c r="E66" s="36"/>
      <c r="F66" s="36"/>
      <c r="G66" s="31"/>
      <c r="H66" s="31"/>
      <c r="I66" s="31"/>
      <c r="K66" s="2"/>
      <c r="L66"/>
      <c r="M66"/>
      <c r="N66"/>
      <c r="O66"/>
      <c r="P66"/>
    </row>
    <row r="67" spans="1:16" s="58" customFormat="1" x14ac:dyDescent="0.2">
      <c r="A67" s="68"/>
      <c r="C67" s="36"/>
      <c r="D67" s="36"/>
      <c r="E67" s="36"/>
      <c r="F67" s="36"/>
      <c r="G67" s="31"/>
      <c r="H67" s="31"/>
      <c r="I67" s="28"/>
      <c r="K67" s="2"/>
      <c r="L67"/>
      <c r="M67"/>
      <c r="N67"/>
      <c r="O67"/>
      <c r="P67"/>
    </row>
    <row r="68" spans="1:16" x14ac:dyDescent="0.2">
      <c r="A68" s="68"/>
      <c r="B68" s="58"/>
      <c r="C68" s="28"/>
      <c r="D68" s="28"/>
      <c r="E68" s="28"/>
      <c r="F68" s="28"/>
      <c r="G68" s="28"/>
      <c r="H68" s="28"/>
      <c r="K68" s="2"/>
    </row>
    <row r="69" spans="1:16" x14ac:dyDescent="0.2">
      <c r="B69" s="24"/>
      <c r="C69" s="59"/>
      <c r="D69" s="59"/>
      <c r="E69" s="59"/>
      <c r="F69" s="59"/>
      <c r="G69" s="22"/>
      <c r="K69" s="2"/>
    </row>
    <row r="70" spans="1:16" ht="12" thickBot="1" x14ac:dyDescent="0.25">
      <c r="B70" s="24"/>
      <c r="C70" s="59"/>
      <c r="D70" s="59"/>
      <c r="E70" s="59"/>
      <c r="F70" s="59"/>
      <c r="G70" s="22"/>
      <c r="K70" s="2"/>
    </row>
    <row r="71" spans="1:16" ht="12" thickBot="1" x14ac:dyDescent="0.25">
      <c r="A71" s="4"/>
      <c r="B71" s="5"/>
      <c r="C71" s="5"/>
      <c r="D71" s="5"/>
      <c r="E71" s="5"/>
      <c r="F71" s="5"/>
      <c r="G71" s="5"/>
      <c r="H71" s="5"/>
      <c r="I71" s="5"/>
      <c r="J71" s="5"/>
      <c r="K71" s="3"/>
    </row>
  </sheetData>
  <phoneticPr fontId="0" type="noConversion"/>
  <pageMargins left="0.5" right="0.5" top="0.5" bottom="0.5" header="0.5" footer="0.5"/>
  <pageSetup orientation="portrait" blackAndWhite="1" r:id="rId1"/>
  <headerFooter alignWithMargins="0"/>
  <legacy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5"/>
  <dimension ref="A1:P70"/>
  <sheetViews>
    <sheetView showGridLines="0" view="pageBreakPreview" topLeftCell="B1" zoomScale="60" zoomScaleNormal="100" workbookViewId="0">
      <selection activeCell="R66" sqref="R66"/>
    </sheetView>
  </sheetViews>
  <sheetFormatPr defaultColWidth="11.33203125" defaultRowHeight="11.25" x14ac:dyDescent="0.2"/>
  <cols>
    <col min="1" max="1" width="6.33203125" bestFit="1" customWidth="1"/>
    <col min="2" max="2" width="11.33203125" customWidth="1"/>
    <col min="3" max="5" width="15.33203125" customWidth="1"/>
    <col min="6" max="8" width="14" customWidth="1"/>
    <col min="9" max="9" width="11.33203125" customWidth="1"/>
    <col min="10" max="10" width="4.33203125" customWidth="1"/>
  </cols>
  <sheetData>
    <row r="1" spans="1:12" x14ac:dyDescent="0.2">
      <c r="A1" s="8" t="str">
        <f>'1'!$A$1</f>
        <v>Texas Windstorm Insurance Association</v>
      </c>
      <c r="B1" s="12"/>
      <c r="J1" s="7" t="s">
        <v>85</v>
      </c>
      <c r="K1" s="1"/>
    </row>
    <row r="2" spans="1:12" x14ac:dyDescent="0.2">
      <c r="A2" s="8" t="str">
        <f>'1'!$A$2</f>
        <v>Commercial Property - Wind &amp; Hail</v>
      </c>
      <c r="B2" s="12"/>
      <c r="J2" s="7" t="s">
        <v>111</v>
      </c>
      <c r="K2" s="2"/>
    </row>
    <row r="3" spans="1:12" x14ac:dyDescent="0.2">
      <c r="A3" s="8" t="str">
        <f>'1'!$A$3</f>
        <v>Rate Level Review</v>
      </c>
      <c r="B3" s="12"/>
      <c r="K3" s="2"/>
    </row>
    <row r="4" spans="1:12" x14ac:dyDescent="0.2">
      <c r="A4" t="s">
        <v>231</v>
      </c>
      <c r="B4" s="12"/>
      <c r="K4" s="2"/>
    </row>
    <row r="5" spans="1:12" x14ac:dyDescent="0.2">
      <c r="A5" s="58" t="s">
        <v>374</v>
      </c>
      <c r="B5" s="21"/>
      <c r="C5" s="58"/>
      <c r="D5" s="58"/>
      <c r="E5" s="58"/>
      <c r="K5" s="2"/>
    </row>
    <row r="6" spans="1:12" x14ac:dyDescent="0.2">
      <c r="K6" s="2"/>
      <c r="L6" t="s">
        <v>465</v>
      </c>
    </row>
    <row r="7" spans="1:12" ht="12" thickBot="1" x14ac:dyDescent="0.25">
      <c r="A7" s="6"/>
      <c r="B7" s="6"/>
      <c r="C7" s="6"/>
      <c r="D7" s="6"/>
      <c r="E7" s="6"/>
      <c r="F7" s="6"/>
      <c r="G7" s="6"/>
      <c r="H7" s="6"/>
      <c r="I7" s="47"/>
      <c r="K7" s="2"/>
      <c r="L7">
        <f>'1'!H15</f>
        <v>0.5</v>
      </c>
    </row>
    <row r="8" spans="1:12" ht="12" thickTop="1" x14ac:dyDescent="0.2">
      <c r="K8" s="2"/>
    </row>
    <row r="9" spans="1:12" x14ac:dyDescent="0.2">
      <c r="C9" s="21"/>
      <c r="D9" t="s">
        <v>99</v>
      </c>
      <c r="E9" t="s">
        <v>234</v>
      </c>
      <c r="F9" t="s">
        <v>99</v>
      </c>
      <c r="K9" s="2"/>
      <c r="L9" s="26"/>
    </row>
    <row r="10" spans="1:12" x14ac:dyDescent="0.2">
      <c r="A10" t="s">
        <v>232</v>
      </c>
      <c r="C10" t="s">
        <v>99</v>
      </c>
      <c r="D10" t="s">
        <v>100</v>
      </c>
      <c r="E10" t="s">
        <v>235</v>
      </c>
      <c r="F10" t="s">
        <v>236</v>
      </c>
      <c r="G10" t="s">
        <v>68</v>
      </c>
      <c r="H10" t="s">
        <v>68</v>
      </c>
      <c r="K10" s="2"/>
      <c r="L10" s="21"/>
    </row>
    <row r="11" spans="1:12" x14ac:dyDescent="0.2">
      <c r="A11" s="9" t="s">
        <v>28</v>
      </c>
      <c r="B11" s="9"/>
      <c r="C11" s="9" t="s">
        <v>100</v>
      </c>
      <c r="D11" s="9" t="s">
        <v>233</v>
      </c>
      <c r="E11" s="9" t="s">
        <v>109</v>
      </c>
      <c r="F11" s="9" t="s">
        <v>237</v>
      </c>
      <c r="G11" s="9" t="s">
        <v>35</v>
      </c>
      <c r="H11" s="9" t="s">
        <v>59</v>
      </c>
      <c r="I11" s="47"/>
      <c r="K11" s="2"/>
      <c r="L11" s="49"/>
    </row>
    <row r="12" spans="1:12" x14ac:dyDescent="0.2">
      <c r="A12" s="13" t="str">
        <f>TEXT(COLUMN(),"(#)")</f>
        <v>(1)</v>
      </c>
      <c r="B12" s="13"/>
      <c r="C12" s="11" t="str">
        <f t="shared" ref="C12:H12" si="0">TEXT(COLUMN()-1,"(#)")</f>
        <v>(2)</v>
      </c>
      <c r="D12" s="11" t="str">
        <f t="shared" si="0"/>
        <v>(3)</v>
      </c>
      <c r="E12" s="11" t="str">
        <f t="shared" si="0"/>
        <v>(4)</v>
      </c>
      <c r="F12" s="11" t="str">
        <f t="shared" si="0"/>
        <v>(5)</v>
      </c>
      <c r="G12" s="11" t="str">
        <f t="shared" si="0"/>
        <v>(6)</v>
      </c>
      <c r="H12" s="11" t="str">
        <f t="shared" si="0"/>
        <v>(7)</v>
      </c>
      <c r="I12" s="11"/>
      <c r="K12" s="2"/>
    </row>
    <row r="13" spans="1:12" x14ac:dyDescent="0.2">
      <c r="K13" s="2"/>
      <c r="L13" t="s">
        <v>463</v>
      </c>
    </row>
    <row r="14" spans="1:12" x14ac:dyDescent="0.2">
      <c r="A14" s="337">
        <v>1983</v>
      </c>
      <c r="C14" s="245">
        <v>7250559</v>
      </c>
      <c r="D14" s="36">
        <v>7334192</v>
      </c>
      <c r="E14" s="33">
        <f>ROUND($L$14,3)</f>
        <v>3.0979999999999999</v>
      </c>
      <c r="F14" s="29">
        <f>D14*E14</f>
        <v>22721326.816</v>
      </c>
      <c r="G14" s="245">
        <v>33451768</v>
      </c>
      <c r="H14" s="22">
        <f t="shared" ref="H14:H45" si="1">ROUND(G14/F14,3)</f>
        <v>1.472</v>
      </c>
      <c r="I14" s="22"/>
      <c r="K14" s="2"/>
      <c r="L14" s="338">
        <f>'6.4'!L14</f>
        <v>3.0982344271115738</v>
      </c>
    </row>
    <row r="15" spans="1:12" x14ac:dyDescent="0.2">
      <c r="A15" s="233">
        <f>A14+1</f>
        <v>1984</v>
      </c>
      <c r="C15" s="245">
        <v>6146403</v>
      </c>
      <c r="D15" s="36">
        <v>7090092</v>
      </c>
      <c r="E15" s="33">
        <f>E$14</f>
        <v>3.0979999999999999</v>
      </c>
      <c r="F15" s="29">
        <f t="shared" ref="F15:F20" si="2">D15*E15</f>
        <v>21965105.015999999</v>
      </c>
      <c r="G15" s="245">
        <v>3096573</v>
      </c>
      <c r="H15" s="22">
        <f t="shared" si="1"/>
        <v>0.14099999999999999</v>
      </c>
      <c r="I15" s="22"/>
      <c r="K15" s="2"/>
    </row>
    <row r="16" spans="1:12" x14ac:dyDescent="0.2">
      <c r="A16" s="233">
        <f t="shared" ref="A16:A47" si="3">A15+1</f>
        <v>1985</v>
      </c>
      <c r="C16" s="245">
        <v>7715669</v>
      </c>
      <c r="D16" s="36">
        <v>8264972</v>
      </c>
      <c r="E16" s="33">
        <f t="shared" ref="E16:E28" si="4">E$14</f>
        <v>3.0979999999999999</v>
      </c>
      <c r="F16" s="29">
        <f t="shared" si="2"/>
        <v>25604883.255999997</v>
      </c>
      <c r="G16" s="245">
        <v>2019280</v>
      </c>
      <c r="H16" s="22">
        <f t="shared" si="1"/>
        <v>7.9000000000000001E-2</v>
      </c>
      <c r="I16" s="22"/>
      <c r="K16" s="2"/>
      <c r="L16" t="s">
        <v>474</v>
      </c>
    </row>
    <row r="17" spans="1:16" x14ac:dyDescent="0.2">
      <c r="A17" s="233">
        <f t="shared" si="3"/>
        <v>1986</v>
      </c>
      <c r="C17" s="245">
        <v>11101057</v>
      </c>
      <c r="D17" s="36">
        <v>8943773</v>
      </c>
      <c r="E17" s="33">
        <f t="shared" si="4"/>
        <v>3.0979999999999999</v>
      </c>
      <c r="F17" s="29">
        <f t="shared" si="2"/>
        <v>27707808.754000001</v>
      </c>
      <c r="G17" s="245">
        <v>3439343</v>
      </c>
      <c r="H17" s="22">
        <f t="shared" si="1"/>
        <v>0.124</v>
      </c>
      <c r="I17" s="22"/>
      <c r="K17" s="2"/>
      <c r="L17" s="336">
        <v>1</v>
      </c>
    </row>
    <row r="18" spans="1:16" x14ac:dyDescent="0.2">
      <c r="A18" s="233">
        <f t="shared" si="3"/>
        <v>1987</v>
      </c>
      <c r="C18" s="245">
        <v>19731857</v>
      </c>
      <c r="D18" s="36">
        <v>16746125</v>
      </c>
      <c r="E18" s="33">
        <f t="shared" si="4"/>
        <v>3.0979999999999999</v>
      </c>
      <c r="F18" s="29">
        <f t="shared" si="2"/>
        <v>51879495.25</v>
      </c>
      <c r="G18" s="245">
        <v>1552595</v>
      </c>
      <c r="H18" s="22">
        <f t="shared" si="1"/>
        <v>0.03</v>
      </c>
      <c r="I18" s="22"/>
      <c r="K18" s="2"/>
    </row>
    <row r="19" spans="1:16" x14ac:dyDescent="0.2">
      <c r="A19" s="233">
        <f t="shared" si="3"/>
        <v>1988</v>
      </c>
      <c r="C19" s="245">
        <v>14491218</v>
      </c>
      <c r="D19" s="36">
        <v>13901265</v>
      </c>
      <c r="E19" s="33">
        <f t="shared" si="4"/>
        <v>3.0979999999999999</v>
      </c>
      <c r="F19" s="29">
        <f t="shared" si="2"/>
        <v>43066118.969999999</v>
      </c>
      <c r="G19" s="245">
        <v>2041063</v>
      </c>
      <c r="H19" s="22">
        <f t="shared" si="1"/>
        <v>4.7E-2</v>
      </c>
      <c r="I19" s="22"/>
      <c r="K19" s="2"/>
    </row>
    <row r="20" spans="1:16" x14ac:dyDescent="0.2">
      <c r="A20" s="233">
        <f t="shared" si="3"/>
        <v>1989</v>
      </c>
      <c r="C20" s="245">
        <v>14584082</v>
      </c>
      <c r="D20" s="36">
        <v>16324747</v>
      </c>
      <c r="E20" s="33">
        <f t="shared" si="4"/>
        <v>3.0979999999999999</v>
      </c>
      <c r="F20" s="29">
        <f t="shared" si="2"/>
        <v>50574066.206</v>
      </c>
      <c r="G20" s="245">
        <v>2746147</v>
      </c>
      <c r="H20" s="22">
        <f t="shared" si="1"/>
        <v>5.3999999999999999E-2</v>
      </c>
      <c r="I20" s="22"/>
      <c r="K20" s="2"/>
    </row>
    <row r="21" spans="1:16" x14ac:dyDescent="0.2">
      <c r="A21" s="233">
        <f t="shared" si="3"/>
        <v>1990</v>
      </c>
      <c r="C21" s="245">
        <v>12102427</v>
      </c>
      <c r="D21" s="36">
        <v>14172295</v>
      </c>
      <c r="E21" s="33">
        <f t="shared" si="4"/>
        <v>3.0979999999999999</v>
      </c>
      <c r="F21" s="29">
        <f>D21*E21</f>
        <v>43905769.909999996</v>
      </c>
      <c r="G21" s="245">
        <v>2967816</v>
      </c>
      <c r="H21" s="22">
        <f t="shared" si="1"/>
        <v>6.8000000000000005E-2</v>
      </c>
      <c r="I21" s="22"/>
      <c r="K21" s="2"/>
    </row>
    <row r="22" spans="1:16" x14ac:dyDescent="0.2">
      <c r="A22" s="233">
        <f t="shared" si="3"/>
        <v>1991</v>
      </c>
      <c r="C22" s="245">
        <v>13947169</v>
      </c>
      <c r="D22" s="36">
        <v>17133114</v>
      </c>
      <c r="E22" s="33">
        <f t="shared" si="4"/>
        <v>3.0979999999999999</v>
      </c>
      <c r="F22" s="29">
        <f>D22*E22</f>
        <v>53078387.171999998</v>
      </c>
      <c r="G22" s="245">
        <v>2440246</v>
      </c>
      <c r="H22" s="22">
        <f t="shared" si="1"/>
        <v>4.5999999999999999E-2</v>
      </c>
      <c r="I22" s="22"/>
      <c r="K22" s="2"/>
    </row>
    <row r="23" spans="1:16" x14ac:dyDescent="0.2">
      <c r="A23" s="233">
        <f t="shared" si="3"/>
        <v>1992</v>
      </c>
      <c r="B23" s="21"/>
      <c r="C23" s="245">
        <v>15779782</v>
      </c>
      <c r="D23" s="36">
        <v>19121264</v>
      </c>
      <c r="E23" s="33">
        <f t="shared" si="4"/>
        <v>3.0979999999999999</v>
      </c>
      <c r="F23" s="29">
        <f>D23*E23</f>
        <v>59237675.871999994</v>
      </c>
      <c r="G23" s="245">
        <v>2232412</v>
      </c>
      <c r="H23" s="22">
        <f t="shared" si="1"/>
        <v>3.7999999999999999E-2</v>
      </c>
      <c r="I23" s="22"/>
      <c r="K23" s="2"/>
    </row>
    <row r="24" spans="1:16" x14ac:dyDescent="0.2">
      <c r="A24" s="233">
        <f t="shared" si="3"/>
        <v>1993</v>
      </c>
      <c r="B24" s="21"/>
      <c r="C24" s="245">
        <v>13455788</v>
      </c>
      <c r="E24" s="33">
        <f t="shared" si="4"/>
        <v>3.0979999999999999</v>
      </c>
      <c r="F24" s="29">
        <f>C24*E24</f>
        <v>41686031.223999999</v>
      </c>
      <c r="G24" s="245">
        <v>2357383</v>
      </c>
      <c r="H24" s="22">
        <f t="shared" si="1"/>
        <v>5.7000000000000002E-2</v>
      </c>
      <c r="I24" s="22"/>
      <c r="K24" s="2"/>
    </row>
    <row r="25" spans="1:16" x14ac:dyDescent="0.2">
      <c r="A25" s="233">
        <f t="shared" si="3"/>
        <v>1994</v>
      </c>
      <c r="B25" s="21"/>
      <c r="C25" s="245">
        <v>6449086</v>
      </c>
      <c r="D25" s="36"/>
      <c r="E25" s="33">
        <f t="shared" si="4"/>
        <v>3.0979999999999999</v>
      </c>
      <c r="F25" s="29">
        <f t="shared" ref="F25:F49" si="5">C25*E25</f>
        <v>19979268.427999999</v>
      </c>
      <c r="G25" s="245">
        <v>1579205</v>
      </c>
      <c r="H25" s="22">
        <f t="shared" si="1"/>
        <v>7.9000000000000001E-2</v>
      </c>
      <c r="I25" s="22"/>
      <c r="K25" s="2"/>
    </row>
    <row r="26" spans="1:16" x14ac:dyDescent="0.2">
      <c r="A26" s="233">
        <f t="shared" si="3"/>
        <v>1995</v>
      </c>
      <c r="C26" s="245">
        <v>17734471</v>
      </c>
      <c r="D26" s="36"/>
      <c r="E26" s="33">
        <f t="shared" si="4"/>
        <v>3.0979999999999999</v>
      </c>
      <c r="F26" s="29">
        <f t="shared" si="5"/>
        <v>54941391.158</v>
      </c>
      <c r="G26" s="245">
        <v>11314057</v>
      </c>
      <c r="H26" s="22">
        <f t="shared" si="1"/>
        <v>0.20599999999999999</v>
      </c>
      <c r="I26" s="22"/>
      <c r="K26" s="2"/>
    </row>
    <row r="27" spans="1:16" x14ac:dyDescent="0.2">
      <c r="A27" s="233">
        <f t="shared" si="3"/>
        <v>1996</v>
      </c>
      <c r="C27" s="245">
        <v>28876403</v>
      </c>
      <c r="D27" s="58"/>
      <c r="E27" s="33">
        <f t="shared" si="4"/>
        <v>3.0979999999999999</v>
      </c>
      <c r="F27" s="29">
        <f t="shared" si="5"/>
        <v>89459096.494000003</v>
      </c>
      <c r="G27" s="245">
        <v>5938855</v>
      </c>
      <c r="H27" s="22">
        <f t="shared" si="1"/>
        <v>6.6000000000000003E-2</v>
      </c>
      <c r="I27" s="22"/>
      <c r="K27" s="2"/>
    </row>
    <row r="28" spans="1:16" x14ac:dyDescent="0.2">
      <c r="A28" s="233">
        <f t="shared" si="3"/>
        <v>1997</v>
      </c>
      <c r="B28" s="58"/>
      <c r="C28" s="245">
        <v>27434262</v>
      </c>
      <c r="D28" s="36"/>
      <c r="E28" s="33">
        <f t="shared" si="4"/>
        <v>3.0979999999999999</v>
      </c>
      <c r="F28" s="29">
        <f t="shared" si="5"/>
        <v>84991343.675999999</v>
      </c>
      <c r="G28" s="245">
        <v>7691121</v>
      </c>
      <c r="H28" s="22">
        <f t="shared" si="1"/>
        <v>0.09</v>
      </c>
      <c r="I28" s="22"/>
      <c r="K28" s="2"/>
    </row>
    <row r="29" spans="1:16" x14ac:dyDescent="0.2">
      <c r="A29" s="233">
        <f t="shared" si="3"/>
        <v>1998</v>
      </c>
      <c r="C29" s="245">
        <v>26616230</v>
      </c>
      <c r="D29" s="36"/>
      <c r="E29" s="108">
        <f>ROUND($L$17*P31*(1-$L$32)+P31*$L$32,3)</f>
        <v>3.145</v>
      </c>
      <c r="F29" s="29">
        <f t="shared" si="5"/>
        <v>83708043.349999994</v>
      </c>
      <c r="G29" s="245">
        <v>7574576</v>
      </c>
      <c r="H29" s="22">
        <f t="shared" si="1"/>
        <v>0.09</v>
      </c>
      <c r="I29" s="22"/>
      <c r="K29" s="2"/>
    </row>
    <row r="30" spans="1:16" x14ac:dyDescent="0.2">
      <c r="A30" s="233">
        <f t="shared" si="3"/>
        <v>1999</v>
      </c>
      <c r="C30" s="245">
        <v>23901401</v>
      </c>
      <c r="D30" s="36"/>
      <c r="E30" s="108">
        <f t="shared" ref="E30:E49" si="6">ROUND($L$17*P32*(1-$L$32)+P32*$L$32,3)</f>
        <v>3.194</v>
      </c>
      <c r="F30" s="29">
        <f t="shared" si="5"/>
        <v>76341074.794</v>
      </c>
      <c r="G30" s="245">
        <v>6821707</v>
      </c>
      <c r="H30" s="22">
        <f t="shared" si="1"/>
        <v>8.8999999999999996E-2</v>
      </c>
      <c r="I30" s="22"/>
      <c r="K30" s="2"/>
      <c r="O30" t="s">
        <v>43</v>
      </c>
      <c r="P30" t="s">
        <v>252</v>
      </c>
    </row>
    <row r="31" spans="1:16" x14ac:dyDescent="0.2">
      <c r="A31" s="233">
        <f t="shared" si="3"/>
        <v>2000</v>
      </c>
      <c r="C31" s="245">
        <v>19819200</v>
      </c>
      <c r="D31" s="36"/>
      <c r="E31" s="108">
        <f t="shared" si="6"/>
        <v>3.0569999999999999</v>
      </c>
      <c r="F31" s="29">
        <f t="shared" si="5"/>
        <v>60587294.399999999</v>
      </c>
      <c r="G31" s="245">
        <v>35670537</v>
      </c>
      <c r="H31" s="22">
        <f t="shared" si="1"/>
        <v>0.58899999999999997</v>
      </c>
      <c r="I31" s="22"/>
      <c r="K31" s="2"/>
      <c r="L31" t="s">
        <v>238</v>
      </c>
      <c r="O31" s="233" t="str">
        <f>'6.4'!O43</f>
        <v>1998</v>
      </c>
      <c r="P31" s="40">
        <f>'6.4'!Q43</f>
        <v>3.1454156620422071</v>
      </c>
    </row>
    <row r="32" spans="1:16" x14ac:dyDescent="0.2">
      <c r="A32" s="233">
        <f t="shared" si="3"/>
        <v>2001</v>
      </c>
      <c r="C32" s="245">
        <v>21641352</v>
      </c>
      <c r="D32" s="36"/>
      <c r="E32" s="108">
        <f t="shared" si="6"/>
        <v>2.8730000000000002</v>
      </c>
      <c r="F32" s="29">
        <f t="shared" si="5"/>
        <v>62175604.296000004</v>
      </c>
      <c r="G32" s="245">
        <v>17852673</v>
      </c>
      <c r="H32" s="22">
        <f t="shared" si="1"/>
        <v>0.28699999999999998</v>
      </c>
      <c r="I32" s="22"/>
      <c r="K32" s="2"/>
      <c r="L32" s="110">
        <f>[2]ISO!$R$65/[2]ISO!$R$66</f>
        <v>1.0106823257069316E-2</v>
      </c>
      <c r="N32" s="73"/>
      <c r="O32" s="233" t="str">
        <f>'6.4'!O44</f>
        <v>1999</v>
      </c>
      <c r="P32" s="40">
        <f>'6.4'!Q44</f>
        <v>3.1940561104243028</v>
      </c>
    </row>
    <row r="33" spans="1:16" x14ac:dyDescent="0.2">
      <c r="A33" s="233">
        <f t="shared" si="3"/>
        <v>2002</v>
      </c>
      <c r="C33" s="245">
        <v>31941586</v>
      </c>
      <c r="D33" s="36"/>
      <c r="E33" s="108">
        <f t="shared" si="6"/>
        <v>2.7490000000000001</v>
      </c>
      <c r="F33" s="29">
        <f t="shared" si="5"/>
        <v>87807419.914000005</v>
      </c>
      <c r="G33" s="245">
        <v>8461924</v>
      </c>
      <c r="H33" s="22">
        <f t="shared" si="1"/>
        <v>9.6000000000000002E-2</v>
      </c>
      <c r="I33" s="22"/>
      <c r="K33" s="2"/>
      <c r="N33" s="88"/>
      <c r="O33" s="233" t="str">
        <f>'6.4'!O45</f>
        <v>2000</v>
      </c>
      <c r="P33" s="40">
        <f>'6.4'!Q45</f>
        <v>3.056513024329476</v>
      </c>
    </row>
    <row r="34" spans="1:16" x14ac:dyDescent="0.2">
      <c r="A34" s="233">
        <f t="shared" si="3"/>
        <v>2003</v>
      </c>
      <c r="C34" s="245">
        <v>35755041</v>
      </c>
      <c r="D34" s="36"/>
      <c r="E34" s="108">
        <f t="shared" si="6"/>
        <v>2.556</v>
      </c>
      <c r="F34" s="29">
        <f t="shared" si="5"/>
        <v>91389884.796000004</v>
      </c>
      <c r="G34" s="245">
        <v>28411179</v>
      </c>
      <c r="H34" s="22">
        <f t="shared" si="1"/>
        <v>0.311</v>
      </c>
      <c r="I34" s="22"/>
      <c r="K34" s="2"/>
      <c r="N34" s="73"/>
      <c r="O34" s="233" t="str">
        <f>'6.4'!O46</f>
        <v>2001</v>
      </c>
      <c r="P34" s="40">
        <f>'6.4'!Q46</f>
        <v>2.8728693204032227</v>
      </c>
    </row>
    <row r="35" spans="1:16" x14ac:dyDescent="0.2">
      <c r="A35" s="233">
        <f t="shared" si="3"/>
        <v>2004</v>
      </c>
      <c r="B35" s="24"/>
      <c r="C35" s="245">
        <v>54522810</v>
      </c>
      <c r="D35" s="59"/>
      <c r="E35" s="108">
        <f t="shared" si="6"/>
        <v>2.323</v>
      </c>
      <c r="F35" s="29">
        <f t="shared" si="5"/>
        <v>126656487.63</v>
      </c>
      <c r="G35" s="278">
        <v>3982223</v>
      </c>
      <c r="H35" s="22">
        <f t="shared" si="1"/>
        <v>3.1E-2</v>
      </c>
      <c r="I35" s="22"/>
      <c r="K35" s="2"/>
      <c r="O35" s="233" t="str">
        <f>'6.4'!O47</f>
        <v>2002</v>
      </c>
      <c r="P35" s="40">
        <f>'6.4'!Q47</f>
        <v>2.7488993497291623</v>
      </c>
    </row>
    <row r="36" spans="1:16" s="58" customFormat="1" x14ac:dyDescent="0.2">
      <c r="A36" s="233">
        <f t="shared" si="3"/>
        <v>2005</v>
      </c>
      <c r="B36" s="42"/>
      <c r="C36" s="245">
        <v>55697704</v>
      </c>
      <c r="D36" s="42"/>
      <c r="E36" s="108">
        <f t="shared" si="6"/>
        <v>2.1120000000000001</v>
      </c>
      <c r="F36" s="29">
        <f t="shared" si="5"/>
        <v>117633550.848</v>
      </c>
      <c r="G36" s="278">
        <v>59821556</v>
      </c>
      <c r="H36" s="22">
        <f t="shared" si="1"/>
        <v>0.50900000000000001</v>
      </c>
      <c r="I36" s="22"/>
      <c r="K36" s="2"/>
      <c r="O36" s="233" t="str">
        <f>'6.4'!O48</f>
        <v>2003</v>
      </c>
      <c r="P36" s="40">
        <f>'6.4'!Q48</f>
        <v>2.5556660621064773</v>
      </c>
    </row>
    <row r="37" spans="1:16" s="58" customFormat="1" x14ac:dyDescent="0.2">
      <c r="A37" s="233">
        <f t="shared" si="3"/>
        <v>2006</v>
      </c>
      <c r="C37" s="245">
        <v>61057252</v>
      </c>
      <c r="E37" s="108">
        <f t="shared" si="6"/>
        <v>1.958</v>
      </c>
      <c r="F37" s="29">
        <f t="shared" si="5"/>
        <v>119550099.41599999</v>
      </c>
      <c r="G37" s="278">
        <v>6946289</v>
      </c>
      <c r="H37" s="22">
        <f t="shared" si="1"/>
        <v>5.8000000000000003E-2</v>
      </c>
      <c r="I37" s="22"/>
      <c r="K37" s="2"/>
      <c r="O37" s="233" t="str">
        <f>'6.4'!O49</f>
        <v>2004</v>
      </c>
      <c r="P37" s="40">
        <f>'6.4'!Q49</f>
        <v>2.3233327837331608</v>
      </c>
    </row>
    <row r="38" spans="1:16" x14ac:dyDescent="0.2">
      <c r="A38" s="233">
        <f t="shared" si="3"/>
        <v>2007</v>
      </c>
      <c r="B38" s="58"/>
      <c r="C38" s="245">
        <v>61608161</v>
      </c>
      <c r="D38" s="58"/>
      <c r="E38" s="108">
        <f t="shared" si="6"/>
        <v>1.774</v>
      </c>
      <c r="F38" s="29">
        <f t="shared" si="5"/>
        <v>109292877.61400001</v>
      </c>
      <c r="G38" s="278">
        <v>10794322</v>
      </c>
      <c r="H38" s="22">
        <f t="shared" si="1"/>
        <v>9.9000000000000005E-2</v>
      </c>
      <c r="I38" s="50"/>
      <c r="K38" s="2"/>
      <c r="N38" s="73"/>
      <c r="O38" s="233" t="str">
        <f>'6.4'!O50</f>
        <v>2005</v>
      </c>
      <c r="P38" s="40">
        <f>'6.4'!Q50</f>
        <v>2.1121207124846917</v>
      </c>
    </row>
    <row r="39" spans="1:16" s="58" customFormat="1" x14ac:dyDescent="0.2">
      <c r="A39" s="233">
        <f t="shared" si="3"/>
        <v>2008</v>
      </c>
      <c r="C39" s="245">
        <v>58154456</v>
      </c>
      <c r="E39" s="108">
        <f t="shared" si="6"/>
        <v>1.6759999999999999</v>
      </c>
      <c r="F39" s="29">
        <f t="shared" si="5"/>
        <v>97466868.255999997</v>
      </c>
      <c r="G39" s="278">
        <v>477796637</v>
      </c>
      <c r="H39" s="22">
        <f t="shared" si="1"/>
        <v>4.9020000000000001</v>
      </c>
      <c r="K39" s="2"/>
      <c r="O39" s="233" t="str">
        <f>'6.4'!O51</f>
        <v>2006</v>
      </c>
      <c r="P39" s="40">
        <f>'6.4'!Q51</f>
        <v>1.9580270885920061</v>
      </c>
    </row>
    <row r="40" spans="1:16" x14ac:dyDescent="0.2">
      <c r="A40" s="233">
        <f t="shared" si="3"/>
        <v>2009</v>
      </c>
      <c r="B40" s="58"/>
      <c r="C40" s="98">
        <f>[2]ISO!$R54</f>
        <v>62172956</v>
      </c>
      <c r="D40" s="58"/>
      <c r="E40" s="108">
        <f t="shared" si="6"/>
        <v>1.5269999999999999</v>
      </c>
      <c r="F40" s="29">
        <f t="shared" si="5"/>
        <v>94938103.811999992</v>
      </c>
      <c r="G40" s="90">
        <f>[2]ISO!$W54</f>
        <v>9127735</v>
      </c>
      <c r="H40" s="22">
        <f t="shared" si="1"/>
        <v>9.6000000000000002E-2</v>
      </c>
      <c r="I40" s="58"/>
      <c r="J40" s="58"/>
      <c r="K40" s="2"/>
      <c r="N40" s="73"/>
      <c r="O40" s="233" t="str">
        <f>'6.4'!O52</f>
        <v>2007</v>
      </c>
      <c r="P40" s="40">
        <f>'6.4'!Q52</f>
        <v>1.7742615004796822</v>
      </c>
    </row>
    <row r="41" spans="1:16" s="58" customFormat="1" x14ac:dyDescent="0.2">
      <c r="A41" s="233">
        <f t="shared" si="3"/>
        <v>2010</v>
      </c>
      <c r="C41" s="98">
        <f>[2]ISO!$R55</f>
        <v>70229705</v>
      </c>
      <c r="D41" s="36"/>
      <c r="E41" s="108">
        <f t="shared" si="6"/>
        <v>1.407</v>
      </c>
      <c r="F41" s="29">
        <f t="shared" si="5"/>
        <v>98813194.935000002</v>
      </c>
      <c r="G41" s="90">
        <f>[2]ISO!$W55</f>
        <v>3349546</v>
      </c>
      <c r="H41" s="22">
        <f t="shared" si="1"/>
        <v>3.4000000000000002E-2</v>
      </c>
      <c r="I41" s="31"/>
      <c r="K41" s="2"/>
      <c r="O41" s="233" t="str">
        <f>'6.4'!O53</f>
        <v>2008</v>
      </c>
      <c r="P41" s="40">
        <f>'6.4'!Q53</f>
        <v>1.6764113430295366</v>
      </c>
    </row>
    <row r="42" spans="1:16" x14ac:dyDescent="0.2">
      <c r="A42" s="233">
        <f t="shared" si="3"/>
        <v>2011</v>
      </c>
      <c r="B42" s="42"/>
      <c r="C42" s="98">
        <f>[2]ISO!$R56</f>
        <v>68835250</v>
      </c>
      <c r="D42" s="44"/>
      <c r="E42" s="108">
        <f t="shared" si="6"/>
        <v>1.373</v>
      </c>
      <c r="F42" s="29">
        <f t="shared" si="5"/>
        <v>94510798.25</v>
      </c>
      <c r="G42" s="90">
        <f>[2]ISO!$W56</f>
        <v>17847819</v>
      </c>
      <c r="H42" s="22">
        <f t="shared" si="1"/>
        <v>0.189</v>
      </c>
      <c r="I42" s="22"/>
      <c r="K42" s="2"/>
      <c r="O42" s="233" t="str">
        <f>'6.4'!O54</f>
        <v>2009</v>
      </c>
      <c r="P42" s="40">
        <f>'6.4'!Q54</f>
        <v>1.5265551216585858</v>
      </c>
    </row>
    <row r="43" spans="1:16" ht="10.5" customHeight="1" x14ac:dyDescent="0.2">
      <c r="A43" s="233">
        <f t="shared" si="3"/>
        <v>2012</v>
      </c>
      <c r="B43" s="42"/>
      <c r="C43" s="98">
        <f>[2]ISO!$R57</f>
        <v>76595910</v>
      </c>
      <c r="D43" s="44"/>
      <c r="E43" s="108">
        <f t="shared" si="6"/>
        <v>1.3069999999999999</v>
      </c>
      <c r="F43" s="29">
        <f t="shared" si="5"/>
        <v>100110854.36999999</v>
      </c>
      <c r="G43" s="90">
        <f>[2]ISO!$W57</f>
        <v>10913315</v>
      </c>
      <c r="H43" s="50">
        <f t="shared" si="1"/>
        <v>0.109</v>
      </c>
      <c r="I43" s="28"/>
      <c r="J43" s="58"/>
      <c r="K43" s="2"/>
      <c r="O43" s="233" t="str">
        <f>'6.4'!O55</f>
        <v>2010</v>
      </c>
      <c r="P43" s="40">
        <f>'6.4'!Q55</f>
        <v>1.4071004226562505</v>
      </c>
    </row>
    <row r="44" spans="1:16" x14ac:dyDescent="0.2">
      <c r="A44" s="233">
        <f t="shared" si="3"/>
        <v>2013</v>
      </c>
      <c r="B44" s="42"/>
      <c r="C44" s="98">
        <f>[2]ISO!$R58</f>
        <v>88953062</v>
      </c>
      <c r="D44" s="44"/>
      <c r="E44" s="108">
        <f t="shared" si="6"/>
        <v>1.2450000000000001</v>
      </c>
      <c r="F44" s="29">
        <f t="shared" si="5"/>
        <v>110746562.19000001</v>
      </c>
      <c r="G44" s="90">
        <f>[2]ISO!$W58</f>
        <v>8032548</v>
      </c>
      <c r="H44" s="50">
        <f t="shared" si="1"/>
        <v>7.2999999999999995E-2</v>
      </c>
      <c r="I44" s="19"/>
      <c r="K44" s="2"/>
      <c r="O44" s="233" t="str">
        <f>'6.4'!O56</f>
        <v>2011</v>
      </c>
      <c r="P44" s="40">
        <f>'6.4'!Q56</f>
        <v>1.3727809001524396</v>
      </c>
    </row>
    <row r="45" spans="1:16" x14ac:dyDescent="0.2">
      <c r="A45" s="233">
        <f t="shared" si="3"/>
        <v>2014</v>
      </c>
      <c r="B45" s="42"/>
      <c r="C45" s="98">
        <f>[2]ISO!$R59</f>
        <v>103639645</v>
      </c>
      <c r="D45" s="44"/>
      <c r="E45" s="108">
        <f t="shared" si="6"/>
        <v>1.1859999999999999</v>
      </c>
      <c r="F45" s="29">
        <f t="shared" si="5"/>
        <v>122916618.97</v>
      </c>
      <c r="G45" s="90">
        <f>[2]ISO!$W59</f>
        <v>5625255</v>
      </c>
      <c r="H45" s="50">
        <f t="shared" si="1"/>
        <v>4.5999999999999999E-2</v>
      </c>
      <c r="I45" s="22"/>
      <c r="K45" s="2"/>
      <c r="L45" t="s">
        <v>242</v>
      </c>
      <c r="M45" t="s">
        <v>243</v>
      </c>
      <c r="O45" s="233" t="str">
        <f>'6.4'!O57</f>
        <v>2012</v>
      </c>
      <c r="P45" s="40">
        <f>'6.4'!Q57</f>
        <v>1.3074103810975612</v>
      </c>
    </row>
    <row r="46" spans="1:16" x14ac:dyDescent="0.2">
      <c r="A46" s="233">
        <f t="shared" si="3"/>
        <v>2015</v>
      </c>
      <c r="B46" s="42"/>
      <c r="C46" s="98">
        <f>[2]ISO!$R60</f>
        <v>104805017</v>
      </c>
      <c r="D46" s="44"/>
      <c r="E46" s="108">
        <f t="shared" si="6"/>
        <v>1.129</v>
      </c>
      <c r="F46" s="29">
        <f t="shared" si="5"/>
        <v>118324864.193</v>
      </c>
      <c r="G46" s="90">
        <f>[2]ISO!$W60</f>
        <v>16825917</v>
      </c>
      <c r="H46" s="50">
        <f>ROUND(G46/F46,3)</f>
        <v>0.14199999999999999</v>
      </c>
      <c r="I46" s="22"/>
      <c r="K46" s="2"/>
      <c r="O46" s="233" t="str">
        <f>'6.4'!O58</f>
        <v>2013</v>
      </c>
      <c r="P46" s="40">
        <f>'6.4'!Q58</f>
        <v>1.2451527439024395</v>
      </c>
    </row>
    <row r="47" spans="1:16" x14ac:dyDescent="0.2">
      <c r="A47" s="308">
        <f t="shared" si="3"/>
        <v>2016</v>
      </c>
      <c r="B47" s="42"/>
      <c r="C47" s="98">
        <f>[2]ISO!$R61</f>
        <v>97761451</v>
      </c>
      <c r="D47" s="44"/>
      <c r="E47" s="248">
        <f t="shared" si="6"/>
        <v>1.0760000000000001</v>
      </c>
      <c r="F47" s="180">
        <f t="shared" si="5"/>
        <v>105191321.27600001</v>
      </c>
      <c r="G47" s="90">
        <f>[2]ISO!$W61</f>
        <v>32844176</v>
      </c>
      <c r="H47" s="50">
        <f>ROUND(G47/F47,3)</f>
        <v>0.312</v>
      </c>
      <c r="I47" s="28"/>
      <c r="J47" s="58"/>
      <c r="K47" s="2"/>
      <c r="L47" s="96">
        <f>'6.4'!L47</f>
        <v>34607</v>
      </c>
      <c r="M47" s="96">
        <f>'6.4'!M47</f>
        <v>36525</v>
      </c>
      <c r="N47" t="s">
        <v>244</v>
      </c>
      <c r="O47" s="233">
        <f>'6.4'!O59</f>
        <v>2014</v>
      </c>
      <c r="P47" s="40">
        <f>'6.4'!Q59</f>
        <v>1.1858597560975612</v>
      </c>
    </row>
    <row r="48" spans="1:16" s="58" customFormat="1" x14ac:dyDescent="0.2">
      <c r="A48" s="48">
        <v>2017</v>
      </c>
      <c r="B48" s="47"/>
      <c r="C48" s="90">
        <f>[2]ISO!$R62</f>
        <v>89809431</v>
      </c>
      <c r="D48" s="56"/>
      <c r="E48" s="248">
        <f t="shared" si="6"/>
        <v>1.05</v>
      </c>
      <c r="F48" s="180">
        <f t="shared" si="5"/>
        <v>94299902.549999997</v>
      </c>
      <c r="G48" s="90">
        <f>[2]ISO!$W62</f>
        <v>123339558</v>
      </c>
      <c r="H48" s="50">
        <f>ROUND(G48/F48,3)</f>
        <v>1.3080000000000001</v>
      </c>
      <c r="I48" s="47"/>
      <c r="J48"/>
      <c r="K48" s="2"/>
      <c r="L48" s="96">
        <f>'6.4'!L49</f>
        <v>43465</v>
      </c>
      <c r="M48" s="96">
        <f>'6.4'!M49</f>
        <v>43465</v>
      </c>
      <c r="N48" t="s">
        <v>245</v>
      </c>
      <c r="O48" s="54">
        <v>2015</v>
      </c>
      <c r="P48" s="40">
        <f>'6.4'!Q60</f>
        <v>1.1293902439024393</v>
      </c>
    </row>
    <row r="49" spans="1:16" s="58" customFormat="1" x14ac:dyDescent="0.2">
      <c r="A49" s="55">
        <v>2018</v>
      </c>
      <c r="B49" s="139"/>
      <c r="C49" s="89">
        <f>[2]ISO!$R63</f>
        <v>92634418</v>
      </c>
      <c r="D49" s="139"/>
      <c r="E49" s="109">
        <f t="shared" si="6"/>
        <v>1.024</v>
      </c>
      <c r="F49" s="30">
        <f t="shared" si="5"/>
        <v>94857644.032000005</v>
      </c>
      <c r="G49" s="89">
        <f>[2]ISO!$W63</f>
        <v>17867459</v>
      </c>
      <c r="H49" s="67">
        <f>ROUND(G49/F49,3)</f>
        <v>0.188</v>
      </c>
      <c r="I49"/>
      <c r="J49"/>
      <c r="K49" s="2"/>
      <c r="O49" s="24">
        <v>2016</v>
      </c>
      <c r="P49" s="40">
        <f>'6.4'!Q61</f>
        <v>1.075609756097561</v>
      </c>
    </row>
    <row r="50" spans="1:16" x14ac:dyDescent="0.2">
      <c r="K50" s="2"/>
      <c r="O50" s="24">
        <v>2017</v>
      </c>
      <c r="P50" s="40">
        <f>'6.4'!Q62</f>
        <v>1.05</v>
      </c>
    </row>
    <row r="51" spans="1:16" x14ac:dyDescent="0.2">
      <c r="A51" t="s">
        <v>8</v>
      </c>
      <c r="C51" s="69">
        <f>SUM(C14:C49)</f>
        <v>1522952271</v>
      </c>
      <c r="D51" s="69"/>
      <c r="E51" s="22"/>
      <c r="F51" s="69">
        <f>SUM(F14:F49)</f>
        <v>2758116838.0939999</v>
      </c>
      <c r="G51" s="69">
        <f>SUM(G14:G49)</f>
        <v>994774815</v>
      </c>
      <c r="H51" s="22">
        <f>ROUND(G51/F51,3)</f>
        <v>0.36099999999999999</v>
      </c>
      <c r="K51" s="2"/>
      <c r="O51" s="24">
        <v>2018</v>
      </c>
      <c r="P51" s="40">
        <f>'6.4'!Q63</f>
        <v>1.024390243902439</v>
      </c>
    </row>
    <row r="52" spans="1:16" ht="12" thickBot="1" x14ac:dyDescent="0.25">
      <c r="A52" s="6"/>
      <c r="B52" s="6"/>
      <c r="C52" s="6"/>
      <c r="D52" s="6"/>
      <c r="E52" s="6"/>
      <c r="F52" s="6"/>
      <c r="G52" s="6"/>
      <c r="H52" s="6"/>
      <c r="K52" s="2"/>
    </row>
    <row r="53" spans="1:16" ht="12" thickTop="1" x14ac:dyDescent="0.2">
      <c r="K53" s="2"/>
    </row>
    <row r="54" spans="1:16" x14ac:dyDescent="0.2">
      <c r="A54" t="s">
        <v>19</v>
      </c>
      <c r="F54" s="42"/>
      <c r="K54" s="2"/>
    </row>
    <row r="55" spans="1:16" x14ac:dyDescent="0.2">
      <c r="B55" s="21" t="str">
        <f>C12&amp;" Provided by TDI. "&amp;A14&amp;" - "&amp;A26&amp;" are year ending "&amp;TEXT($L$47,"m/d/xx")&amp;" as of "&amp;TEXT($M$47,"m/d/yy")&amp;"; "&amp;A27&amp;" - "&amp;A49&amp;" are year ending "&amp;TEXT($L$48,"m/d/xx")&amp;" as of "&amp;TEXT($M$48,"m/d/yy")</f>
        <v>(2) Provided by TDI. 1983 - 1995 are year ending 9/30/xx as of 12/31/99; 1996 - 2018 are year ending 12/31/xx as of 12/31/18</v>
      </c>
      <c r="I55" s="87"/>
      <c r="K55" s="2"/>
    </row>
    <row r="56" spans="1:16" x14ac:dyDescent="0.2">
      <c r="B56" s="21" t="str">
        <f>D12&amp;" Provided by TDI (1992 MR = 1992 manual rates)"</f>
        <v>(3) Provided by TDI (1992 MR = 1992 manual rates)</v>
      </c>
      <c r="C56" s="21"/>
      <c r="K56" s="2"/>
      <c r="O56" s="58"/>
      <c r="P56" s="58"/>
    </row>
    <row r="57" spans="1:16" s="58" customFormat="1" x14ac:dyDescent="0.2">
      <c r="A57"/>
      <c r="B57" s="21" t="str">
        <f>'6.4'!B57</f>
        <v>(4) Represents 1/1/98 through 1/1/18 rate changes for TWIA; factors assume uniform earning of written premium</v>
      </c>
      <c r="C57"/>
      <c r="D57"/>
      <c r="E57"/>
      <c r="F57"/>
      <c r="G57"/>
      <c r="H57"/>
      <c r="I57"/>
      <c r="J57"/>
      <c r="K57" s="2"/>
    </row>
    <row r="58" spans="1:16" s="58" customFormat="1" x14ac:dyDescent="0.2">
      <c r="A58"/>
      <c r="B58" s="101" t="str">
        <f>"      and that TWIA premium represents "&amp;TEXT(L32,"0.0%")&amp;" of industry data in "&amp;LEFT(A5,FIND("(",A5)-2)</f>
        <v xml:space="preserve">      and that TWIA premium represents 1.0% of industry data in Tier 2</v>
      </c>
      <c r="C58" s="87"/>
      <c r="D58" s="87"/>
      <c r="E58" s="87"/>
      <c r="F58" s="87"/>
      <c r="G58" s="87"/>
      <c r="H58" s="87"/>
      <c r="I58"/>
      <c r="K58" s="2"/>
      <c r="O58"/>
      <c r="P58"/>
    </row>
    <row r="59" spans="1:16" x14ac:dyDescent="0.2">
      <c r="B59" s="21" t="str">
        <f>F12&amp;" = "&amp;D12&amp;" * "&amp;E12&amp;" for "&amp;A14&amp;" - "&amp;A23&amp;"; "&amp;C12&amp;" * "&amp;E12&amp;" for "&amp;A24&amp;" - "&amp;A49</f>
        <v>(5) = (3) * (4) for 1983 - 1992; (2) * (4) for 1993 - 2018</v>
      </c>
      <c r="J59" s="58"/>
      <c r="K59" s="2"/>
    </row>
    <row r="60" spans="1:16" x14ac:dyDescent="0.2">
      <c r="B60" s="21" t="str">
        <f>'6.5'!B60</f>
        <v>(6) Provided by TDI. 1983 - 1995 are year ending 9/30/xx as of 12/31/99; 1996 - 2008 are year ending 12/31/xx as of 12/31/17</v>
      </c>
      <c r="D60" s="59"/>
      <c r="E60" s="59"/>
      <c r="F60" s="59"/>
      <c r="G60" s="22"/>
      <c r="I60" s="42"/>
      <c r="J60" s="58"/>
      <c r="K60" s="2"/>
    </row>
    <row r="61" spans="1:16" x14ac:dyDescent="0.2">
      <c r="B61" s="21" t="str">
        <f>'6.5'!B61</f>
        <v xml:space="preserve">    2009 - 2018 are year ending 12/31/xx as of 12/31/2018</v>
      </c>
      <c r="I61" s="28"/>
      <c r="J61" s="58"/>
      <c r="K61" s="2"/>
    </row>
    <row r="62" spans="1:16" x14ac:dyDescent="0.2">
      <c r="B62" s="21" t="str">
        <f>'6.5'!B62</f>
        <v>(7) = (6) / (5)</v>
      </c>
      <c r="I62" s="28"/>
      <c r="J62" s="58"/>
      <c r="K62" s="2"/>
    </row>
    <row r="63" spans="1:16" x14ac:dyDescent="0.2">
      <c r="A63" s="68"/>
      <c r="B63" s="58"/>
      <c r="C63" s="31"/>
      <c r="D63" s="31"/>
      <c r="E63" s="28"/>
      <c r="F63" s="28"/>
      <c r="G63" s="28"/>
      <c r="H63" s="28"/>
      <c r="I63" s="28"/>
      <c r="J63" s="58"/>
      <c r="K63" s="2"/>
    </row>
    <row r="64" spans="1:16" x14ac:dyDescent="0.2">
      <c r="A64" s="68"/>
      <c r="B64" s="58"/>
      <c r="C64" s="31"/>
      <c r="D64" s="31"/>
      <c r="E64" s="28"/>
      <c r="F64" s="28"/>
      <c r="G64" s="28"/>
      <c r="H64" s="28"/>
      <c r="I64" s="28"/>
      <c r="J64" s="58"/>
      <c r="K64" s="2"/>
    </row>
    <row r="65" spans="1:11" x14ac:dyDescent="0.2">
      <c r="A65" s="68"/>
      <c r="B65" s="58"/>
      <c r="C65" s="31"/>
      <c r="D65" s="31"/>
      <c r="E65" s="28"/>
      <c r="F65" s="28"/>
      <c r="G65" s="28"/>
      <c r="H65" s="28"/>
      <c r="K65" s="2"/>
    </row>
    <row r="66" spans="1:11" x14ac:dyDescent="0.2">
      <c r="A66" s="68"/>
      <c r="B66" s="58"/>
      <c r="C66" s="31"/>
      <c r="D66" s="28"/>
      <c r="E66" s="28"/>
      <c r="F66" s="28"/>
      <c r="G66" s="28"/>
      <c r="H66" s="28"/>
      <c r="K66" s="2"/>
    </row>
    <row r="67" spans="1:11" x14ac:dyDescent="0.2">
      <c r="B67" s="24"/>
      <c r="C67" s="59"/>
      <c r="D67" s="59"/>
      <c r="E67" s="59"/>
      <c r="F67" s="59"/>
      <c r="G67" s="22"/>
      <c r="K67" s="2"/>
    </row>
    <row r="68" spans="1:11" x14ac:dyDescent="0.2">
      <c r="B68" s="24"/>
      <c r="C68" s="59"/>
      <c r="D68" s="59"/>
      <c r="E68" s="59"/>
      <c r="F68" s="59"/>
      <c r="G68" s="22"/>
      <c r="K68" s="2"/>
    </row>
    <row r="69" spans="1:11" ht="12" thickBot="1" x14ac:dyDescent="0.25">
      <c r="B69" s="24"/>
      <c r="C69" s="59"/>
      <c r="D69" s="59"/>
      <c r="E69" s="59"/>
      <c r="F69" s="59"/>
      <c r="G69" s="22"/>
      <c r="K69" s="2"/>
    </row>
    <row r="70" spans="1:11" ht="12" thickBot="1" x14ac:dyDescent="0.25">
      <c r="A70" s="4"/>
      <c r="B70" s="5"/>
      <c r="C70" s="5"/>
      <c r="D70" s="5"/>
      <c r="E70" s="5"/>
      <c r="F70" s="5"/>
      <c r="G70" s="5"/>
      <c r="H70" s="5"/>
      <c r="I70" s="5"/>
      <c r="J70" s="5"/>
      <c r="K70" s="3"/>
    </row>
  </sheetData>
  <phoneticPr fontId="0" type="noConversion"/>
  <pageMargins left="0.5" right="0.5" top="0.5" bottom="0.5" header="0.5" footer="0.5"/>
  <pageSetup orientation="portrait" blackAndWhite="1" r:id="rId1"/>
  <headerFooter alignWithMargins="0"/>
  <legacy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28"/>
  <dimension ref="A1:O69"/>
  <sheetViews>
    <sheetView showGridLines="0" view="pageBreakPreview" zoomScale="60" zoomScaleNormal="100" workbookViewId="0">
      <selection activeCell="R69" sqref="R69"/>
    </sheetView>
  </sheetViews>
  <sheetFormatPr defaultColWidth="11.33203125" defaultRowHeight="11.25" x14ac:dyDescent="0.2"/>
  <cols>
    <col min="1" max="1" width="3.5" bestFit="1" customWidth="1"/>
    <col min="2" max="2" width="11.33203125" customWidth="1"/>
    <col min="3" max="3" width="14" customWidth="1"/>
    <col min="4" max="4" width="20.5" customWidth="1"/>
    <col min="5" max="5" width="15.33203125" customWidth="1"/>
    <col min="6" max="9" width="11.33203125" customWidth="1"/>
    <col min="10" max="10" width="5.1640625" customWidth="1"/>
    <col min="12" max="12" width="15" customWidth="1"/>
  </cols>
  <sheetData>
    <row r="1" spans="1:12" x14ac:dyDescent="0.2">
      <c r="A1" s="8" t="str">
        <f>'1'!$A$1</f>
        <v>Texas Windstorm Insurance Association</v>
      </c>
      <c r="B1" s="12"/>
      <c r="J1" s="7" t="s">
        <v>368</v>
      </c>
      <c r="K1" s="1"/>
    </row>
    <row r="2" spans="1:12" x14ac:dyDescent="0.2">
      <c r="A2" s="8" t="str">
        <f>'1'!$A$2</f>
        <v>Commercial Property - Wind &amp; Hail</v>
      </c>
      <c r="B2" s="12"/>
      <c r="J2" s="7" t="s">
        <v>22</v>
      </c>
      <c r="K2" s="2"/>
    </row>
    <row r="3" spans="1:12" x14ac:dyDescent="0.2">
      <c r="A3" s="8" t="str">
        <f>'1'!$A$3</f>
        <v>Rate Level Review</v>
      </c>
      <c r="B3" s="12"/>
      <c r="K3" s="2"/>
    </row>
    <row r="4" spans="1:12" x14ac:dyDescent="0.2">
      <c r="A4" t="s">
        <v>141</v>
      </c>
      <c r="B4" s="12"/>
      <c r="K4" s="2"/>
    </row>
    <row r="5" spans="1:12" x14ac:dyDescent="0.2">
      <c r="A5" s="58"/>
      <c r="B5" s="21"/>
      <c r="C5" s="58"/>
      <c r="D5" s="58"/>
      <c r="E5" s="58"/>
      <c r="K5" s="2"/>
    </row>
    <row r="6" spans="1:12" x14ac:dyDescent="0.2">
      <c r="K6" s="2"/>
    </row>
    <row r="7" spans="1:12" ht="12" thickBot="1" x14ac:dyDescent="0.25">
      <c r="A7" s="6"/>
      <c r="B7" s="6"/>
      <c r="C7" s="6"/>
      <c r="D7" s="6"/>
      <c r="E7" s="6"/>
      <c r="K7" s="2"/>
    </row>
    <row r="8" spans="1:12" ht="12" thickTop="1" x14ac:dyDescent="0.2">
      <c r="K8" s="2"/>
    </row>
    <row r="9" spans="1:12" x14ac:dyDescent="0.2">
      <c r="C9" s="49" t="s">
        <v>115</v>
      </c>
      <c r="K9" s="2"/>
      <c r="L9" s="26"/>
    </row>
    <row r="10" spans="1:12" x14ac:dyDescent="0.2">
      <c r="C10" t="s">
        <v>116</v>
      </c>
      <c r="D10" s="11" t="s">
        <v>117</v>
      </c>
      <c r="E10" t="s">
        <v>120</v>
      </c>
      <c r="K10" s="2"/>
      <c r="L10" s="21" t="s">
        <v>137</v>
      </c>
    </row>
    <row r="11" spans="1:12" x14ac:dyDescent="0.2">
      <c r="A11" s="9" t="s">
        <v>114</v>
      </c>
      <c r="B11" s="9"/>
      <c r="C11" s="9" t="str">
        <f>"as of "&amp;TEXT($L$11,"m/d/yy")</f>
        <v>as of 11/30/18</v>
      </c>
      <c r="D11" s="383" t="s">
        <v>118</v>
      </c>
      <c r="E11" s="9" t="s">
        <v>119</v>
      </c>
      <c r="K11" s="2"/>
      <c r="L11" s="99">
        <f>'8.1'!L11</f>
        <v>43434</v>
      </c>
    </row>
    <row r="12" spans="1:12" x14ac:dyDescent="0.2">
      <c r="A12" s="13" t="str">
        <f>TEXT(COLUMN(),"(#)")</f>
        <v>(1)</v>
      </c>
      <c r="B12" s="13"/>
      <c r="C12" s="11" t="str">
        <f>TEXT(COLUMN()-1,"(#)")</f>
        <v>(2)</v>
      </c>
      <c r="D12" s="11" t="str">
        <f>TEXT(COLUMN()-1,"(#)")</f>
        <v>(3)</v>
      </c>
      <c r="E12" s="11" t="str">
        <f>TEXT(COLUMN()-1,"(#)")</f>
        <v>(4)</v>
      </c>
      <c r="K12" s="2"/>
    </row>
    <row r="13" spans="1:12" x14ac:dyDescent="0.2">
      <c r="D13" s="11"/>
      <c r="K13" s="2"/>
    </row>
    <row r="14" spans="1:12" x14ac:dyDescent="0.2">
      <c r="A14" t="s">
        <v>122</v>
      </c>
      <c r="C14" s="276">
        <f>'7.2'!C14</f>
        <v>277830</v>
      </c>
      <c r="D14" s="396">
        <f>'7.2'!F14</f>
        <v>3.4729999999999999</v>
      </c>
      <c r="E14" s="29">
        <f t="shared" ref="E14:E28" si="0">ROUND(C14*D14,0)</f>
        <v>964904</v>
      </c>
      <c r="K14" s="2"/>
    </row>
    <row r="15" spans="1:12" x14ac:dyDescent="0.2">
      <c r="A15" t="s">
        <v>123</v>
      </c>
      <c r="C15" s="276">
        <f>'7.2'!C15</f>
        <v>493586</v>
      </c>
      <c r="D15" s="396">
        <f>'7.2'!F15</f>
        <v>2.9159999999999999</v>
      </c>
      <c r="E15" s="29">
        <f t="shared" si="0"/>
        <v>1439297</v>
      </c>
      <c r="K15" s="2"/>
    </row>
    <row r="16" spans="1:12" x14ac:dyDescent="0.2">
      <c r="A16" t="s">
        <v>124</v>
      </c>
      <c r="C16" s="276">
        <f>'7.2'!C16</f>
        <v>112097</v>
      </c>
      <c r="D16" s="396">
        <f>'7.2'!F16</f>
        <v>3.246</v>
      </c>
      <c r="E16" s="29">
        <f>ROUND(C16*D16,0)</f>
        <v>363867</v>
      </c>
      <c r="K16" s="2"/>
    </row>
    <row r="17" spans="1:15" x14ac:dyDescent="0.2">
      <c r="A17" t="s">
        <v>125</v>
      </c>
      <c r="C17" s="276">
        <f>'7.2'!C17</f>
        <v>999634</v>
      </c>
      <c r="D17" s="396">
        <f>'7.2'!F17</f>
        <v>3.4039999999999999</v>
      </c>
      <c r="E17" s="29">
        <f t="shared" si="0"/>
        <v>3402754</v>
      </c>
      <c r="K17" s="2"/>
    </row>
    <row r="18" spans="1:15" x14ac:dyDescent="0.2">
      <c r="A18" t="s">
        <v>126</v>
      </c>
      <c r="C18" s="276">
        <f>'7.2'!C18</f>
        <v>58987</v>
      </c>
      <c r="D18" s="396">
        <f>'7.2'!F18</f>
        <v>2.532</v>
      </c>
      <c r="E18" s="29">
        <f t="shared" si="0"/>
        <v>149355</v>
      </c>
      <c r="K18" s="2"/>
    </row>
    <row r="19" spans="1:15" x14ac:dyDescent="0.2">
      <c r="A19" t="s">
        <v>127</v>
      </c>
      <c r="C19" s="276">
        <f>'7.2'!C19</f>
        <v>2382030</v>
      </c>
      <c r="D19" s="396">
        <f>'7.2'!F19</f>
        <v>8.6669999999999998</v>
      </c>
      <c r="E19" s="29">
        <f t="shared" si="0"/>
        <v>20645054</v>
      </c>
      <c r="K19" s="2"/>
    </row>
    <row r="20" spans="1:15" x14ac:dyDescent="0.2">
      <c r="A20" t="s">
        <v>128</v>
      </c>
      <c r="C20" s="276">
        <f>'7.2'!C20</f>
        <v>38105</v>
      </c>
      <c r="D20" s="396">
        <f>'7.2'!F20</f>
        <v>5.883</v>
      </c>
      <c r="E20" s="29">
        <f t="shared" si="0"/>
        <v>224172</v>
      </c>
      <c r="K20" s="2"/>
    </row>
    <row r="21" spans="1:15" x14ac:dyDescent="0.2">
      <c r="A21" t="s">
        <v>129</v>
      </c>
      <c r="C21" s="276">
        <f>'7.2'!C21</f>
        <v>397141</v>
      </c>
      <c r="D21" s="396">
        <f>'7.2'!F21</f>
        <v>2.65</v>
      </c>
      <c r="E21" s="29">
        <f>ROUND(C21*D21,0)</f>
        <v>1052424</v>
      </c>
      <c r="K21" s="2"/>
    </row>
    <row r="22" spans="1:15" x14ac:dyDescent="0.2">
      <c r="A22" t="s">
        <v>130</v>
      </c>
      <c r="C22" s="276">
        <f>'7.2'!C22</f>
        <v>694</v>
      </c>
      <c r="D22" s="396">
        <f>'7.2'!F22</f>
        <v>1.194</v>
      </c>
      <c r="E22" s="29">
        <f t="shared" si="0"/>
        <v>829</v>
      </c>
      <c r="K22" s="2"/>
    </row>
    <row r="23" spans="1:15" x14ac:dyDescent="0.2">
      <c r="A23" t="s">
        <v>131</v>
      </c>
      <c r="B23" s="21"/>
      <c r="C23" s="276">
        <f>'7.2'!C23</f>
        <v>17254</v>
      </c>
      <c r="D23" s="396">
        <f>'7.2'!F23</f>
        <v>1.091</v>
      </c>
      <c r="E23" s="29">
        <f t="shared" si="0"/>
        <v>18824</v>
      </c>
      <c r="K23" s="2"/>
    </row>
    <row r="24" spans="1:15" x14ac:dyDescent="0.2">
      <c r="A24" t="s">
        <v>132</v>
      </c>
      <c r="B24" s="21"/>
      <c r="C24" s="276">
        <f>'7.2'!C24</f>
        <v>93289</v>
      </c>
      <c r="D24" s="396">
        <f>'7.2'!F24</f>
        <v>3.0779999999999998</v>
      </c>
      <c r="E24" s="29">
        <f t="shared" si="0"/>
        <v>287144</v>
      </c>
      <c r="K24" s="2"/>
    </row>
    <row r="25" spans="1:15" x14ac:dyDescent="0.2">
      <c r="A25" t="s">
        <v>133</v>
      </c>
      <c r="B25" s="21"/>
      <c r="C25" s="276">
        <f>'7.2'!C25</f>
        <v>1584979</v>
      </c>
      <c r="D25" s="396">
        <f>'7.2'!F25</f>
        <v>3.601</v>
      </c>
      <c r="E25" s="29">
        <f t="shared" si="0"/>
        <v>5707509</v>
      </c>
      <c r="K25" s="2"/>
      <c r="M25" s="18"/>
      <c r="N25" s="18"/>
      <c r="O25" s="18"/>
    </row>
    <row r="26" spans="1:15" x14ac:dyDescent="0.2">
      <c r="A26" t="s">
        <v>134</v>
      </c>
      <c r="C26" s="276">
        <f>'7.2'!C26</f>
        <v>21241</v>
      </c>
      <c r="D26" s="396">
        <f>'7.2'!F26</f>
        <v>1.4470000000000001</v>
      </c>
      <c r="E26" s="29">
        <f t="shared" si="0"/>
        <v>30736</v>
      </c>
      <c r="K26" s="2"/>
      <c r="M26" s="18"/>
      <c r="N26" s="18"/>
      <c r="O26" s="18"/>
    </row>
    <row r="27" spans="1:15" x14ac:dyDescent="0.2">
      <c r="A27" t="s">
        <v>135</v>
      </c>
      <c r="C27" s="276">
        <f>'7.2'!C27</f>
        <v>136263</v>
      </c>
      <c r="D27" s="396">
        <f>'7.2'!F27</f>
        <v>2.3090000000000002</v>
      </c>
      <c r="E27" s="29">
        <f t="shared" si="0"/>
        <v>314631</v>
      </c>
      <c r="K27" s="2"/>
      <c r="M27" s="18"/>
      <c r="N27" s="18"/>
      <c r="O27" s="18"/>
    </row>
    <row r="28" spans="1:15" x14ac:dyDescent="0.2">
      <c r="A28" t="s">
        <v>136</v>
      </c>
      <c r="C28" s="276">
        <f>'7.2'!C28</f>
        <v>14648</v>
      </c>
      <c r="D28" s="396">
        <f>'7.2'!F28</f>
        <v>2.5190000000000001</v>
      </c>
      <c r="E28" s="29">
        <f t="shared" si="0"/>
        <v>36898</v>
      </c>
      <c r="K28" s="2"/>
      <c r="M28" s="18"/>
      <c r="N28" s="18"/>
      <c r="O28" s="18"/>
    </row>
    <row r="29" spans="1:15" x14ac:dyDescent="0.2">
      <c r="A29" s="9"/>
      <c r="B29" s="25"/>
      <c r="C29" s="277"/>
      <c r="D29" s="38"/>
      <c r="E29" s="30"/>
      <c r="K29" s="2"/>
    </row>
    <row r="30" spans="1:15" x14ac:dyDescent="0.2">
      <c r="C30" s="18"/>
      <c r="D30" s="18"/>
      <c r="E30" s="12"/>
      <c r="K30" s="2"/>
    </row>
    <row r="31" spans="1:15" x14ac:dyDescent="0.2">
      <c r="A31" t="s">
        <v>8</v>
      </c>
      <c r="C31" s="29">
        <f>SUM(C14:C28)</f>
        <v>6627778</v>
      </c>
      <c r="D31" s="37">
        <f>E31/C31</f>
        <v>5.2262459605617444</v>
      </c>
      <c r="E31" s="29">
        <f>SUM(E14:E28)</f>
        <v>34638398</v>
      </c>
      <c r="K31" s="2"/>
    </row>
    <row r="32" spans="1:15" x14ac:dyDescent="0.2">
      <c r="K32" s="2"/>
    </row>
    <row r="33" spans="1:13" x14ac:dyDescent="0.2">
      <c r="A33" s="53" t="s">
        <v>93</v>
      </c>
      <c r="B33" t="str">
        <f>"Inforce-Premium as of Nov 30, 2018 at Present Rates"</f>
        <v>Inforce-Premium as of Nov 30, 2018 at Present Rates</v>
      </c>
      <c r="E33" s="29">
        <v>64955934</v>
      </c>
      <c r="K33" s="2"/>
      <c r="M33" s="58"/>
    </row>
    <row r="34" spans="1:13" x14ac:dyDescent="0.2">
      <c r="A34" s="53" t="s">
        <v>97</v>
      </c>
      <c r="B34" t="s">
        <v>121</v>
      </c>
      <c r="E34" s="19">
        <f>ROUND(E31/E33,3)</f>
        <v>0.53300000000000003</v>
      </c>
      <c r="F34" s="42"/>
      <c r="K34" s="2"/>
      <c r="M34" s="58"/>
    </row>
    <row r="35" spans="1:13" ht="12" thickBot="1" x14ac:dyDescent="0.25">
      <c r="A35" s="6"/>
      <c r="B35" s="6"/>
      <c r="C35" s="6"/>
      <c r="D35" s="6"/>
      <c r="E35" s="6"/>
      <c r="K35" s="2"/>
      <c r="M35" s="58"/>
    </row>
    <row r="36" spans="1:13" ht="12" thickTop="1" x14ac:dyDescent="0.2">
      <c r="K36" s="2"/>
    </row>
    <row r="37" spans="1:13" x14ac:dyDescent="0.2">
      <c r="A37" t="s">
        <v>19</v>
      </c>
      <c r="K37" s="2"/>
    </row>
    <row r="38" spans="1:13" x14ac:dyDescent="0.2">
      <c r="B38" s="21" t="str">
        <f>C12&amp;" Provided by TWIA"</f>
        <v>(2) Provided by TWIA</v>
      </c>
      <c r="K38" s="2"/>
    </row>
    <row r="39" spans="1:13" x14ac:dyDescent="0.2">
      <c r="B39" s="21" t="str">
        <f>D12&amp;" "&amp;'7.2'!$K$1&amp;", "&amp;'7.2'!$K$2</f>
        <v>(3) Exhibit 7, Sheet 2</v>
      </c>
      <c r="K39" s="2"/>
    </row>
    <row r="40" spans="1:13" x14ac:dyDescent="0.2">
      <c r="B40" s="21" t="str">
        <f>E12&amp;" = "&amp;C12&amp;" * "&amp;D12</f>
        <v>(4) = (2) * (3)</v>
      </c>
      <c r="F40" s="59"/>
      <c r="G40" s="22"/>
      <c r="H40" s="22"/>
      <c r="K40" s="2"/>
    </row>
    <row r="41" spans="1:13" x14ac:dyDescent="0.2">
      <c r="B41" s="21" t="str">
        <f>A33&amp;" Provided by TWIA"</f>
        <v>(5) Provided by TWIA</v>
      </c>
      <c r="K41" s="2"/>
    </row>
    <row r="42" spans="1:13" x14ac:dyDescent="0.2">
      <c r="B42" s="21" t="str">
        <f>A34&amp;" = "&amp;E12&amp;" Total / "&amp;A33&amp;""</f>
        <v>(6) = (4) Total / (5)</v>
      </c>
      <c r="K42" s="2"/>
    </row>
    <row r="43" spans="1:13" s="58" customFormat="1" x14ac:dyDescent="0.2">
      <c r="A43" s="42"/>
      <c r="B43" s="42"/>
      <c r="C43" s="42"/>
      <c r="D43" s="42"/>
      <c r="E43" s="42"/>
      <c r="F43" s="42"/>
      <c r="G43" s="42"/>
      <c r="H43" s="42"/>
      <c r="I43" s="42"/>
      <c r="K43" s="2"/>
    </row>
    <row r="44" spans="1:13" s="58" customFormat="1" x14ac:dyDescent="0.2">
      <c r="K44" s="2"/>
    </row>
    <row r="45" spans="1:13" x14ac:dyDescent="0.2">
      <c r="K45" s="2"/>
    </row>
    <row r="46" spans="1:13" x14ac:dyDescent="0.2">
      <c r="K46" s="2"/>
    </row>
    <row r="47" spans="1:13" x14ac:dyDescent="0.2">
      <c r="K47" s="2"/>
    </row>
    <row r="48" spans="1:13" x14ac:dyDescent="0.2">
      <c r="K48" s="2"/>
    </row>
    <row r="49" spans="1:11" x14ac:dyDescent="0.2">
      <c r="K49" s="2"/>
    </row>
    <row r="50" spans="1:11" x14ac:dyDescent="0.2">
      <c r="K50" s="2"/>
    </row>
    <row r="51" spans="1:11" s="58" customFormat="1" x14ac:dyDescent="0.2">
      <c r="A51"/>
      <c r="B51"/>
      <c r="C51"/>
      <c r="D51"/>
      <c r="E51"/>
      <c r="K51" s="2"/>
    </row>
    <row r="52" spans="1:11" s="58" customFormat="1" x14ac:dyDescent="0.2">
      <c r="K52" s="2"/>
    </row>
    <row r="53" spans="1:11" s="58" customFormat="1" x14ac:dyDescent="0.2">
      <c r="A53" s="42"/>
      <c r="B53" s="42"/>
      <c r="C53" s="42"/>
      <c r="D53" s="42"/>
      <c r="E53" s="42"/>
      <c r="F53" s="42"/>
      <c r="G53" s="42"/>
      <c r="H53" s="42"/>
      <c r="I53" s="42"/>
      <c r="K53" s="2"/>
    </row>
    <row r="54" spans="1:11" s="58" customFormat="1" x14ac:dyDescent="0.2">
      <c r="K54" s="2"/>
    </row>
    <row r="55" spans="1:11" s="58" customFormat="1" x14ac:dyDescent="0.2">
      <c r="K55" s="2"/>
    </row>
    <row r="56" spans="1:11" s="58" customFormat="1" x14ac:dyDescent="0.2">
      <c r="K56" s="2"/>
    </row>
    <row r="57" spans="1:11" s="58" customFormat="1" x14ac:dyDescent="0.2">
      <c r="K57" s="2"/>
    </row>
    <row r="58" spans="1:11" s="58" customFormat="1" x14ac:dyDescent="0.2">
      <c r="K58" s="2"/>
    </row>
    <row r="59" spans="1:11" s="58" customFormat="1" x14ac:dyDescent="0.2">
      <c r="K59" s="2"/>
    </row>
    <row r="60" spans="1:11" s="58" customFormat="1" x14ac:dyDescent="0.2">
      <c r="K60" s="2"/>
    </row>
    <row r="61" spans="1:11" s="58" customFormat="1" x14ac:dyDescent="0.2">
      <c r="K61" s="2"/>
    </row>
    <row r="62" spans="1:11" s="58" customFormat="1" x14ac:dyDescent="0.2">
      <c r="K62" s="2"/>
    </row>
    <row r="63" spans="1:11" s="58" customFormat="1" x14ac:dyDescent="0.2">
      <c r="A63" s="68"/>
      <c r="C63" s="36"/>
      <c r="D63" s="36"/>
      <c r="E63" s="36"/>
      <c r="F63" s="36"/>
      <c r="G63" s="31"/>
      <c r="H63" s="31"/>
      <c r="I63" s="31"/>
      <c r="K63" s="2"/>
    </row>
    <row r="64" spans="1:11" s="58" customFormat="1" x14ac:dyDescent="0.2">
      <c r="A64" s="68"/>
      <c r="C64" s="28"/>
      <c r="D64" s="28"/>
      <c r="E64" s="28"/>
      <c r="F64" s="28"/>
      <c r="G64" s="28"/>
      <c r="H64" s="28"/>
      <c r="I64" s="28"/>
      <c r="K64" s="2"/>
    </row>
    <row r="65" spans="1:11" x14ac:dyDescent="0.2">
      <c r="B65" s="24"/>
      <c r="C65" s="59"/>
      <c r="D65" s="59"/>
      <c r="E65" s="59"/>
      <c r="F65" s="59"/>
      <c r="G65" s="22"/>
      <c r="H65" s="22"/>
      <c r="K65" s="2"/>
    </row>
    <row r="66" spans="1:11" x14ac:dyDescent="0.2">
      <c r="B66" s="24"/>
      <c r="C66" s="59"/>
      <c r="D66" s="59"/>
      <c r="E66" s="59"/>
      <c r="F66" s="59"/>
      <c r="G66" s="22"/>
      <c r="H66" s="22"/>
      <c r="K66" s="2"/>
    </row>
    <row r="67" spans="1:11" x14ac:dyDescent="0.2">
      <c r="B67" s="24"/>
      <c r="C67" s="59"/>
      <c r="D67" s="59"/>
      <c r="E67" s="59"/>
      <c r="F67" s="59"/>
      <c r="G67" s="22"/>
      <c r="H67" s="22"/>
      <c r="K67" s="2"/>
    </row>
    <row r="68" spans="1:11" ht="12" thickBot="1" x14ac:dyDescent="0.25">
      <c r="B68" s="24"/>
      <c r="C68" s="59"/>
      <c r="D68" s="59"/>
      <c r="E68" s="59"/>
      <c r="F68" s="59"/>
      <c r="G68" s="22"/>
      <c r="H68" s="22"/>
      <c r="K68" s="2"/>
    </row>
    <row r="69" spans="1:11" ht="12" thickBot="1" x14ac:dyDescent="0.25">
      <c r="A69" s="4"/>
      <c r="B69" s="5"/>
      <c r="C69" s="5"/>
      <c r="D69" s="5"/>
      <c r="E69" s="5"/>
      <c r="F69" s="5"/>
      <c r="G69" s="5"/>
      <c r="H69" s="5"/>
      <c r="I69" s="5"/>
      <c r="J69" s="5"/>
      <c r="K69" s="3"/>
    </row>
  </sheetData>
  <phoneticPr fontId="0" type="noConversion"/>
  <pageMargins left="0.5" right="0.5" top="0.5" bottom="0.5" header="0.5" footer="0.5"/>
  <pageSetup orientation="portrait" blackAndWhite="1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29"/>
  <dimension ref="A1:N69"/>
  <sheetViews>
    <sheetView showGridLines="0" view="pageBreakPreview" zoomScale="60" zoomScaleNormal="100" workbookViewId="0">
      <selection activeCell="G28" sqref="G28"/>
    </sheetView>
  </sheetViews>
  <sheetFormatPr defaultColWidth="11.33203125" defaultRowHeight="11.25" x14ac:dyDescent="0.2"/>
  <cols>
    <col min="1" max="1" width="2.5" bestFit="1" customWidth="1"/>
    <col min="2" max="2" width="11.33203125" customWidth="1"/>
    <col min="3" max="5" width="15.33203125" customWidth="1"/>
    <col min="6" max="10" width="11.33203125" customWidth="1"/>
    <col min="11" max="11" width="4.6640625" customWidth="1"/>
  </cols>
  <sheetData>
    <row r="1" spans="1:13" x14ac:dyDescent="0.2">
      <c r="A1" s="8" t="str">
        <f>'1'!$A$1</f>
        <v>Texas Windstorm Insurance Association</v>
      </c>
      <c r="B1" s="12"/>
      <c r="K1" s="7" t="s">
        <v>368</v>
      </c>
      <c r="L1" s="1"/>
    </row>
    <row r="2" spans="1:13" x14ac:dyDescent="0.2">
      <c r="A2" s="8" t="str">
        <f>'1'!$A$2</f>
        <v>Commercial Property - Wind &amp; Hail</v>
      </c>
      <c r="B2" s="12"/>
      <c r="K2" s="7" t="s">
        <v>66</v>
      </c>
      <c r="L2" s="2"/>
    </row>
    <row r="3" spans="1:13" x14ac:dyDescent="0.2">
      <c r="A3" s="8" t="str">
        <f>'1'!$A$3</f>
        <v>Rate Level Review</v>
      </c>
      <c r="B3" s="12"/>
      <c r="L3" s="2"/>
    </row>
    <row r="4" spans="1:13" x14ac:dyDescent="0.2">
      <c r="A4" t="s">
        <v>142</v>
      </c>
      <c r="B4" s="12"/>
      <c r="L4" s="2"/>
    </row>
    <row r="5" spans="1:13" x14ac:dyDescent="0.2">
      <c r="A5" s="58"/>
      <c r="B5" s="21"/>
      <c r="C5" s="58"/>
      <c r="D5" s="58"/>
      <c r="E5" s="58"/>
      <c r="L5" s="2"/>
    </row>
    <row r="6" spans="1:13" x14ac:dyDescent="0.2">
      <c r="L6" s="2"/>
    </row>
    <row r="7" spans="1:13" ht="12" thickBot="1" x14ac:dyDescent="0.25">
      <c r="A7" s="6"/>
      <c r="B7" s="6"/>
      <c r="C7" s="6"/>
      <c r="D7" s="6"/>
      <c r="E7" s="6"/>
      <c r="F7" s="6"/>
      <c r="L7" s="2"/>
    </row>
    <row r="8" spans="1:13" ht="12" thickTop="1" x14ac:dyDescent="0.2">
      <c r="L8" s="2"/>
    </row>
    <row r="9" spans="1:13" x14ac:dyDescent="0.2">
      <c r="C9" s="49" t="s">
        <v>115</v>
      </c>
      <c r="D9" t="s">
        <v>52</v>
      </c>
      <c r="L9" s="2"/>
      <c r="M9" s="26"/>
    </row>
    <row r="10" spans="1:13" x14ac:dyDescent="0.2">
      <c r="C10" t="s">
        <v>116</v>
      </c>
      <c r="D10" t="s">
        <v>138</v>
      </c>
      <c r="E10" t="s">
        <v>406</v>
      </c>
      <c r="F10" t="s">
        <v>117</v>
      </c>
      <c r="L10" s="2"/>
      <c r="M10" s="21" t="s">
        <v>137</v>
      </c>
    </row>
    <row r="11" spans="1:13" x14ac:dyDescent="0.2">
      <c r="A11" s="9" t="s">
        <v>114</v>
      </c>
      <c r="B11" s="9"/>
      <c r="C11" s="9" t="str">
        <f>"as of "&amp;TEXT($M$11,"m/d/yy")</f>
        <v>as of 11/30/18</v>
      </c>
      <c r="D11" s="9" t="s">
        <v>139</v>
      </c>
      <c r="E11" s="9" t="s">
        <v>407</v>
      </c>
      <c r="F11" s="9" t="s">
        <v>118</v>
      </c>
      <c r="L11" s="2"/>
      <c r="M11" s="99">
        <f>'[2]Hurr Models'!$C$1</f>
        <v>43434</v>
      </c>
    </row>
    <row r="12" spans="1:13" x14ac:dyDescent="0.2">
      <c r="A12" s="13" t="str">
        <f>TEXT(COLUMN(),"(#)")</f>
        <v>(1)</v>
      </c>
      <c r="B12" s="13"/>
      <c r="C12" s="11" t="str">
        <f>TEXT(COLUMN()-1,"(#)")</f>
        <v>(2)</v>
      </c>
      <c r="D12" s="11" t="str">
        <f>TEXT(COLUMN()-1,"(#)")</f>
        <v>(3)</v>
      </c>
      <c r="E12" s="11" t="str">
        <f>TEXT(COLUMN()-1,"(#)")</f>
        <v>(4)</v>
      </c>
      <c r="F12" s="11" t="str">
        <f>TEXT(COLUMN()-1,"(#)")</f>
        <v>(5)</v>
      </c>
      <c r="L12" s="2"/>
    </row>
    <row r="13" spans="1:13" x14ac:dyDescent="0.2">
      <c r="L13" s="2"/>
    </row>
    <row r="14" spans="1:13" x14ac:dyDescent="0.2">
      <c r="A14" t="s">
        <v>122</v>
      </c>
      <c r="C14" s="98">
        <f>ROUND('[2]Hurr Models'!$E30/1000,0)</f>
        <v>277830</v>
      </c>
      <c r="D14" s="98">
        <f>ROUND('[2]Hurr Models'!$K30,0)</f>
        <v>961004</v>
      </c>
      <c r="E14" s="37">
        <f>$M$37/10+1</f>
        <v>1.004</v>
      </c>
      <c r="F14" s="37">
        <f>ROUND(D14/C14*E14,3)</f>
        <v>3.4729999999999999</v>
      </c>
      <c r="H14" s="12"/>
      <c r="L14" s="2"/>
    </row>
    <row r="15" spans="1:13" x14ac:dyDescent="0.2">
      <c r="A15" t="s">
        <v>123</v>
      </c>
      <c r="C15" s="98">
        <f>ROUND('[2]Hurr Models'!$E31/1000,0)</f>
        <v>493586</v>
      </c>
      <c r="D15" s="98">
        <f>ROUND('[2]Hurr Models'!$K31,0)</f>
        <v>1433581</v>
      </c>
      <c r="E15" s="37">
        <f t="shared" ref="E15:E31" si="0">$M$37/10+1</f>
        <v>1.004</v>
      </c>
      <c r="F15" s="37">
        <f t="shared" ref="F15:F31" si="1">ROUND(D15/C15*E15,3)</f>
        <v>2.9159999999999999</v>
      </c>
      <c r="H15" s="12"/>
      <c r="L15" s="2"/>
    </row>
    <row r="16" spans="1:13" x14ac:dyDescent="0.2">
      <c r="A16" t="s">
        <v>124</v>
      </c>
      <c r="C16" s="98">
        <f>ROUND('[2]Hurr Models'!$E32/1000,0)</f>
        <v>112097</v>
      </c>
      <c r="D16" s="98">
        <f>ROUND('[2]Hurr Models'!$K32,0)</f>
        <v>362453</v>
      </c>
      <c r="E16" s="37">
        <f t="shared" si="0"/>
        <v>1.004</v>
      </c>
      <c r="F16" s="37">
        <f t="shared" si="1"/>
        <v>3.246</v>
      </c>
      <c r="H16" s="12"/>
      <c r="L16" s="2"/>
    </row>
    <row r="17" spans="1:13" x14ac:dyDescent="0.2">
      <c r="A17" t="s">
        <v>125</v>
      </c>
      <c r="C17" s="98">
        <f>ROUND('[2]Hurr Models'!$E33/1000,0)</f>
        <v>999634</v>
      </c>
      <c r="D17" s="98">
        <f>ROUND('[2]Hurr Models'!$K33,0)</f>
        <v>3388873</v>
      </c>
      <c r="E17" s="37">
        <f t="shared" si="0"/>
        <v>1.004</v>
      </c>
      <c r="F17" s="37">
        <f t="shared" si="1"/>
        <v>3.4039999999999999</v>
      </c>
      <c r="H17" s="12"/>
      <c r="L17" s="2"/>
    </row>
    <row r="18" spans="1:13" x14ac:dyDescent="0.2">
      <c r="A18" t="s">
        <v>126</v>
      </c>
      <c r="C18" s="98">
        <f>ROUND('[2]Hurr Models'!$E34/1000,0)</f>
        <v>58987</v>
      </c>
      <c r="D18" s="98">
        <f>ROUND('[2]Hurr Models'!$K34,0)</f>
        <v>148771</v>
      </c>
      <c r="E18" s="37">
        <f t="shared" si="0"/>
        <v>1.004</v>
      </c>
      <c r="F18" s="37">
        <f t="shared" si="1"/>
        <v>2.532</v>
      </c>
      <c r="H18" s="12"/>
      <c r="L18" s="2"/>
    </row>
    <row r="19" spans="1:13" x14ac:dyDescent="0.2">
      <c r="A19" t="s">
        <v>127</v>
      </c>
      <c r="C19" s="98">
        <f>ROUND('[2]Hurr Models'!$E35/1000,0)</f>
        <v>2382030</v>
      </c>
      <c r="D19" s="98">
        <f>ROUND('[2]Hurr Models'!$K35,0)</f>
        <v>20563119</v>
      </c>
      <c r="E19" s="37">
        <f t="shared" si="0"/>
        <v>1.004</v>
      </c>
      <c r="F19" s="37">
        <f t="shared" si="1"/>
        <v>8.6669999999999998</v>
      </c>
      <c r="H19" s="12"/>
      <c r="L19" s="2"/>
    </row>
    <row r="20" spans="1:13" x14ac:dyDescent="0.2">
      <c r="A20" t="s">
        <v>128</v>
      </c>
      <c r="C20" s="98">
        <f>ROUND('[2]Hurr Models'!$E36/1000,0)</f>
        <v>38105</v>
      </c>
      <c r="D20" s="98">
        <f>ROUND('[2]Hurr Models'!$K36,0)</f>
        <v>223260</v>
      </c>
      <c r="E20" s="37">
        <f t="shared" si="0"/>
        <v>1.004</v>
      </c>
      <c r="F20" s="37">
        <f t="shared" si="1"/>
        <v>5.883</v>
      </c>
      <c r="H20" s="12"/>
      <c r="L20" s="2"/>
    </row>
    <row r="21" spans="1:13" x14ac:dyDescent="0.2">
      <c r="A21" t="s">
        <v>129</v>
      </c>
      <c r="C21" s="98">
        <f>ROUND('[2]Hurr Models'!$E37/1000,0)</f>
        <v>397141</v>
      </c>
      <c r="D21" s="98">
        <f>ROUND('[2]Hurr Models'!$K37,0)</f>
        <v>1048149</v>
      </c>
      <c r="E21" s="37">
        <f t="shared" si="0"/>
        <v>1.004</v>
      </c>
      <c r="F21" s="37">
        <f t="shared" si="1"/>
        <v>2.65</v>
      </c>
      <c r="H21" s="12"/>
      <c r="L21" s="2"/>
    </row>
    <row r="22" spans="1:13" x14ac:dyDescent="0.2">
      <c r="A22" t="s">
        <v>130</v>
      </c>
      <c r="C22" s="98">
        <f>ROUND('[2]Hurr Models'!$E38/1000,0)</f>
        <v>694</v>
      </c>
      <c r="D22" s="98">
        <f>ROUND('[2]Hurr Models'!$K38,0)</f>
        <v>825</v>
      </c>
      <c r="E22" s="37">
        <f t="shared" si="0"/>
        <v>1.004</v>
      </c>
      <c r="F22" s="37">
        <f t="shared" si="1"/>
        <v>1.194</v>
      </c>
      <c r="H22" s="12"/>
      <c r="L22" s="2"/>
    </row>
    <row r="23" spans="1:13" x14ac:dyDescent="0.2">
      <c r="A23" t="s">
        <v>131</v>
      </c>
      <c r="B23" s="21"/>
      <c r="C23" s="98">
        <f>ROUND('[2]Hurr Models'!$E39/1000,0)</f>
        <v>17254</v>
      </c>
      <c r="D23" s="98">
        <f>ROUND('[2]Hurr Models'!$K39,0)</f>
        <v>18741</v>
      </c>
      <c r="E23" s="37">
        <f t="shared" si="0"/>
        <v>1.004</v>
      </c>
      <c r="F23" s="37">
        <f t="shared" si="1"/>
        <v>1.091</v>
      </c>
      <c r="H23" s="12"/>
      <c r="L23" s="2"/>
    </row>
    <row r="24" spans="1:13" x14ac:dyDescent="0.2">
      <c r="A24" t="s">
        <v>132</v>
      </c>
      <c r="B24" s="21"/>
      <c r="C24" s="98">
        <f>ROUND('[2]Hurr Models'!$E40/1000,0)</f>
        <v>93289</v>
      </c>
      <c r="D24" s="98">
        <f>ROUND('[2]Hurr Models'!$K40,0)</f>
        <v>286002</v>
      </c>
      <c r="E24" s="37">
        <f t="shared" si="0"/>
        <v>1.004</v>
      </c>
      <c r="F24" s="37">
        <f t="shared" si="1"/>
        <v>3.0779999999999998</v>
      </c>
      <c r="H24" s="12"/>
      <c r="L24" s="2"/>
    </row>
    <row r="25" spans="1:13" x14ac:dyDescent="0.2">
      <c r="A25" t="s">
        <v>133</v>
      </c>
      <c r="B25" s="21"/>
      <c r="C25" s="98">
        <f>ROUND('[2]Hurr Models'!$E41/1000,0)</f>
        <v>1584979</v>
      </c>
      <c r="D25" s="98">
        <f>ROUND('[2]Hurr Models'!$K41,0)</f>
        <v>5685529</v>
      </c>
      <c r="E25" s="37">
        <f t="shared" si="0"/>
        <v>1.004</v>
      </c>
      <c r="F25" s="37">
        <f>ROUND(D25/C25*E25,3)</f>
        <v>3.601</v>
      </c>
      <c r="H25" s="12"/>
      <c r="L25" s="2"/>
    </row>
    <row r="26" spans="1:13" x14ac:dyDescent="0.2">
      <c r="A26" t="s">
        <v>134</v>
      </c>
      <c r="C26" s="98">
        <f>ROUND('[2]Hurr Models'!$E42/1000,0)</f>
        <v>21241</v>
      </c>
      <c r="D26" s="98">
        <f>ROUND('[2]Hurr Models'!$K42,0)</f>
        <v>30606</v>
      </c>
      <c r="E26" s="37">
        <f t="shared" si="0"/>
        <v>1.004</v>
      </c>
      <c r="F26" s="37">
        <f t="shared" si="1"/>
        <v>1.4470000000000001</v>
      </c>
      <c r="H26" s="12"/>
      <c r="L26" s="2"/>
    </row>
    <row r="27" spans="1:13" x14ac:dyDescent="0.2">
      <c r="A27" t="s">
        <v>135</v>
      </c>
      <c r="C27" s="98">
        <f>ROUND('[2]Hurr Models'!$E43/1000,0)</f>
        <v>136263</v>
      </c>
      <c r="D27" s="98">
        <f>ROUND('[2]Hurr Models'!$K43,0)</f>
        <v>313443</v>
      </c>
      <c r="E27" s="37">
        <f t="shared" si="0"/>
        <v>1.004</v>
      </c>
      <c r="F27" s="37">
        <f t="shared" si="1"/>
        <v>2.3090000000000002</v>
      </c>
      <c r="H27" s="12"/>
      <c r="L27" s="2"/>
      <c r="M27" s="40"/>
    </row>
    <row r="28" spans="1:13" x14ac:dyDescent="0.2">
      <c r="A28" t="s">
        <v>136</v>
      </c>
      <c r="C28" s="98">
        <f>ROUND('[2]Hurr Models'!$E44/1000,0)</f>
        <v>14648</v>
      </c>
      <c r="D28" s="98">
        <f>ROUND('[2]Hurr Models'!$K44,0)</f>
        <v>36754</v>
      </c>
      <c r="E28" s="37">
        <f t="shared" si="0"/>
        <v>1.004</v>
      </c>
      <c r="F28" s="37">
        <f t="shared" si="1"/>
        <v>2.5190000000000001</v>
      </c>
      <c r="H28" s="12"/>
      <c r="L28" s="2"/>
      <c r="M28" s="40"/>
    </row>
    <row r="29" spans="1:13" x14ac:dyDescent="0.2">
      <c r="A29" s="9"/>
      <c r="B29" s="25"/>
      <c r="C29" s="89"/>
      <c r="D29" s="89"/>
      <c r="E29" s="38"/>
      <c r="F29" s="38"/>
      <c r="G29" s="42"/>
      <c r="H29" s="42"/>
      <c r="I29" s="42"/>
      <c r="J29" s="42"/>
      <c r="K29" s="58"/>
      <c r="L29" s="2"/>
    </row>
    <row r="30" spans="1:13" x14ac:dyDescent="0.2">
      <c r="C30" s="18"/>
      <c r="D30" s="18"/>
      <c r="E30" s="12"/>
      <c r="F30" s="12"/>
      <c r="L30" s="2"/>
    </row>
    <row r="31" spans="1:13" x14ac:dyDescent="0.2">
      <c r="A31" t="s">
        <v>8</v>
      </c>
      <c r="C31" s="29">
        <f>SUM(C14:C28)</f>
        <v>6627778</v>
      </c>
      <c r="D31" s="29">
        <f>SUM(D14:D28)</f>
        <v>34501110</v>
      </c>
      <c r="E31" s="37">
        <f t="shared" si="0"/>
        <v>1.004</v>
      </c>
      <c r="F31" s="37">
        <f t="shared" si="1"/>
        <v>5.226</v>
      </c>
      <c r="L31" s="2"/>
    </row>
    <row r="32" spans="1:13" ht="12" thickBot="1" x14ac:dyDescent="0.25">
      <c r="A32" s="6"/>
      <c r="B32" s="6"/>
      <c r="C32" s="6"/>
      <c r="D32" s="6"/>
      <c r="E32" s="6"/>
      <c r="F32" s="6"/>
      <c r="L32" s="2"/>
    </row>
    <row r="33" spans="1:14" ht="12" thickTop="1" x14ac:dyDescent="0.2">
      <c r="L33" s="2"/>
    </row>
    <row r="34" spans="1:14" x14ac:dyDescent="0.2">
      <c r="A34" t="s">
        <v>19</v>
      </c>
      <c r="L34" s="2"/>
    </row>
    <row r="35" spans="1:14" x14ac:dyDescent="0.2">
      <c r="B35" s="21" t="str">
        <f>C12&amp;" Provided by TWIA and Geo-coded by AIR"</f>
        <v>(2) Provided by TWIA and Geo-coded by AIR</v>
      </c>
      <c r="L35" s="2"/>
    </row>
    <row r="36" spans="1:14" x14ac:dyDescent="0.2">
      <c r="B36" s="21" t="str">
        <f>D12&amp;" Provided by AIR"</f>
        <v>(3) Provided by AIR</v>
      </c>
      <c r="L36" s="2"/>
    </row>
    <row r="37" spans="1:14" x14ac:dyDescent="0.2">
      <c r="B37" s="21" t="str">
        <f>E12&amp;" = 10% of modeled storm surge increase, estimated to be "&amp;TEXT($M$37,"0.0%")</f>
        <v>(4) = 10% of modeled storm surge increase, estimated to be 4.0%</v>
      </c>
      <c r="F37" s="59"/>
      <c r="G37" s="22"/>
      <c r="H37" s="22"/>
      <c r="I37" s="22"/>
      <c r="L37" s="2"/>
      <c r="M37" s="110">
        <v>0.04</v>
      </c>
      <c r="N37" t="s">
        <v>408</v>
      </c>
    </row>
    <row r="38" spans="1:14" x14ac:dyDescent="0.2">
      <c r="B38" s="21" t="str">
        <f>F12&amp;" = "&amp;D12&amp;" / "&amp;C12&amp;" * "&amp;E12</f>
        <v>(5) = (3) / (2) * (4)</v>
      </c>
      <c r="L38" s="2"/>
    </row>
    <row r="39" spans="1:14" x14ac:dyDescent="0.2">
      <c r="L39" s="2"/>
    </row>
    <row r="40" spans="1:14" x14ac:dyDescent="0.2">
      <c r="A40" s="58"/>
      <c r="B40" s="58"/>
      <c r="C40" s="58"/>
      <c r="D40" s="58"/>
      <c r="E40" s="58"/>
      <c r="F40" s="58"/>
      <c r="G40" s="58"/>
      <c r="H40" s="58"/>
      <c r="I40" s="58"/>
      <c r="J40" s="58"/>
      <c r="K40" s="58"/>
      <c r="L40" s="2"/>
    </row>
    <row r="41" spans="1:14" x14ac:dyDescent="0.2">
      <c r="L41" s="2"/>
    </row>
    <row r="42" spans="1:14" s="58" customFormat="1" x14ac:dyDescent="0.2">
      <c r="A42"/>
      <c r="B42"/>
      <c r="C42"/>
      <c r="D42"/>
      <c r="E42"/>
      <c r="F42"/>
      <c r="G42"/>
      <c r="H42"/>
      <c r="I42"/>
      <c r="J42"/>
      <c r="K42"/>
      <c r="L42" s="2"/>
    </row>
    <row r="43" spans="1:14" s="58" customFormat="1" x14ac:dyDescent="0.2">
      <c r="A43"/>
      <c r="B43"/>
      <c r="C43"/>
      <c r="D43"/>
      <c r="E43"/>
      <c r="F43" s="42"/>
      <c r="G43"/>
      <c r="H43"/>
      <c r="I43"/>
      <c r="J43"/>
      <c r="K43"/>
      <c r="L43" s="2"/>
    </row>
    <row r="44" spans="1:14" x14ac:dyDescent="0.2">
      <c r="L44" s="2"/>
    </row>
    <row r="45" spans="1:14" x14ac:dyDescent="0.2">
      <c r="L45" s="2"/>
    </row>
    <row r="46" spans="1:14" x14ac:dyDescent="0.2">
      <c r="L46" s="2"/>
    </row>
    <row r="47" spans="1:14" x14ac:dyDescent="0.2">
      <c r="L47" s="2"/>
    </row>
    <row r="48" spans="1:14" x14ac:dyDescent="0.2">
      <c r="L48" s="2"/>
    </row>
    <row r="49" spans="1:12" x14ac:dyDescent="0.2">
      <c r="L49" s="2"/>
    </row>
    <row r="50" spans="1:12" x14ac:dyDescent="0.2">
      <c r="L50" s="2"/>
    </row>
    <row r="51" spans="1:12" s="58" customFormat="1" x14ac:dyDescent="0.2">
      <c r="A51"/>
      <c r="B51"/>
      <c r="C51"/>
      <c r="D51"/>
      <c r="E51"/>
      <c r="L51" s="2"/>
    </row>
    <row r="52" spans="1:12" s="58" customFormat="1" x14ac:dyDescent="0.2">
      <c r="L52" s="2"/>
    </row>
    <row r="53" spans="1:12" s="58" customFormat="1" x14ac:dyDescent="0.2">
      <c r="A53" s="42"/>
      <c r="B53" s="42"/>
      <c r="C53" s="42"/>
      <c r="D53" s="42"/>
      <c r="E53" s="42"/>
      <c r="F53" s="42"/>
      <c r="G53" s="42"/>
      <c r="H53" s="42"/>
      <c r="I53" s="42"/>
      <c r="J53" s="42"/>
      <c r="L53" s="2"/>
    </row>
    <row r="54" spans="1:12" s="58" customFormat="1" x14ac:dyDescent="0.2">
      <c r="L54" s="2"/>
    </row>
    <row r="55" spans="1:12" s="58" customFormat="1" x14ac:dyDescent="0.2">
      <c r="L55" s="2"/>
    </row>
    <row r="56" spans="1:12" s="58" customFormat="1" x14ac:dyDescent="0.2">
      <c r="L56" s="2"/>
    </row>
    <row r="57" spans="1:12" s="58" customFormat="1" x14ac:dyDescent="0.2">
      <c r="L57" s="2"/>
    </row>
    <row r="58" spans="1:12" s="58" customFormat="1" x14ac:dyDescent="0.2">
      <c r="L58" s="2"/>
    </row>
    <row r="59" spans="1:12" s="58" customFormat="1" x14ac:dyDescent="0.2">
      <c r="L59" s="2"/>
    </row>
    <row r="60" spans="1:12" s="58" customFormat="1" x14ac:dyDescent="0.2">
      <c r="L60" s="2"/>
    </row>
    <row r="61" spans="1:12" s="58" customFormat="1" x14ac:dyDescent="0.2">
      <c r="L61" s="2"/>
    </row>
    <row r="62" spans="1:12" s="58" customFormat="1" x14ac:dyDescent="0.2">
      <c r="L62" s="2"/>
    </row>
    <row r="63" spans="1:12" s="58" customFormat="1" x14ac:dyDescent="0.2">
      <c r="A63" s="68"/>
      <c r="C63" s="36"/>
      <c r="D63" s="36"/>
      <c r="E63" s="36"/>
      <c r="F63" s="36"/>
      <c r="G63" s="31"/>
      <c r="H63" s="31"/>
      <c r="I63" s="31"/>
      <c r="J63" s="31"/>
      <c r="L63" s="2"/>
    </row>
    <row r="64" spans="1:12" s="58" customFormat="1" x14ac:dyDescent="0.2">
      <c r="A64" s="68"/>
      <c r="C64" s="28"/>
      <c r="D64" s="28"/>
      <c r="E64" s="28"/>
      <c r="F64" s="28"/>
      <c r="G64" s="28"/>
      <c r="H64" s="28"/>
      <c r="I64" s="28"/>
      <c r="J64" s="28"/>
      <c r="L64" s="2"/>
    </row>
    <row r="65" spans="1:12" x14ac:dyDescent="0.2">
      <c r="B65" s="24"/>
      <c r="C65" s="59"/>
      <c r="D65" s="59"/>
      <c r="E65" s="59"/>
      <c r="F65" s="59"/>
      <c r="G65" s="22"/>
      <c r="H65" s="22"/>
      <c r="I65" s="22"/>
      <c r="L65" s="2"/>
    </row>
    <row r="66" spans="1:12" x14ac:dyDescent="0.2">
      <c r="B66" s="24"/>
      <c r="C66" s="59"/>
      <c r="D66" s="59"/>
      <c r="E66" s="59"/>
      <c r="F66" s="59"/>
      <c r="G66" s="22"/>
      <c r="H66" s="22"/>
      <c r="I66" s="22"/>
      <c r="L66" s="2"/>
    </row>
    <row r="67" spans="1:12" x14ac:dyDescent="0.2">
      <c r="B67" s="24"/>
      <c r="C67" s="59"/>
      <c r="D67" s="59"/>
      <c r="E67" s="59"/>
      <c r="F67" s="59"/>
      <c r="G67" s="22"/>
      <c r="H67" s="22"/>
      <c r="I67" s="22"/>
      <c r="L67" s="2"/>
    </row>
    <row r="68" spans="1:12" ht="12" thickBot="1" x14ac:dyDescent="0.25">
      <c r="B68" s="24"/>
      <c r="C68" s="59"/>
      <c r="D68" s="59"/>
      <c r="E68" s="59"/>
      <c r="F68" s="59"/>
      <c r="G68" s="22"/>
      <c r="H68" s="22"/>
      <c r="I68" s="22"/>
      <c r="L68" s="2"/>
    </row>
    <row r="69" spans="1:12" ht="12" thickBot="1" x14ac:dyDescent="0.25">
      <c r="A69" s="4"/>
      <c r="B69" s="5"/>
      <c r="C69" s="5"/>
      <c r="D69" s="5"/>
      <c r="E69" s="5"/>
      <c r="F69" s="5"/>
      <c r="G69" s="5"/>
      <c r="H69" s="5"/>
      <c r="I69" s="5"/>
      <c r="J69" s="5"/>
      <c r="K69" s="5"/>
      <c r="L69" s="3"/>
    </row>
  </sheetData>
  <phoneticPr fontId="0" type="noConversion"/>
  <pageMargins left="0.5" right="0.5" top="0.5" bottom="0.5" header="0.5" footer="0.5"/>
  <pageSetup orientation="portrait" blackAndWhite="1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30"/>
  <dimension ref="A1:L69"/>
  <sheetViews>
    <sheetView showGridLines="0" view="pageBreakPreview" zoomScale="60" zoomScaleNormal="100" workbookViewId="0">
      <selection activeCell="E31" sqref="E31"/>
    </sheetView>
  </sheetViews>
  <sheetFormatPr defaultColWidth="11.33203125" defaultRowHeight="11.25" x14ac:dyDescent="0.2"/>
  <cols>
    <col min="1" max="1" width="3.5" bestFit="1" customWidth="1"/>
    <col min="2" max="2" width="11.33203125" customWidth="1"/>
    <col min="3" max="3" width="14" customWidth="1"/>
    <col min="4" max="4" width="19.5" customWidth="1"/>
    <col min="5" max="5" width="15.33203125" customWidth="1"/>
    <col min="6" max="9" width="11.33203125" customWidth="1"/>
    <col min="10" max="10" width="5.1640625" customWidth="1"/>
  </cols>
  <sheetData>
    <row r="1" spans="1:12" x14ac:dyDescent="0.2">
      <c r="A1" s="8" t="str">
        <f>'1'!$A$1</f>
        <v>Texas Windstorm Insurance Association</v>
      </c>
      <c r="B1" s="12"/>
      <c r="J1" s="7" t="s">
        <v>140</v>
      </c>
      <c r="K1" s="1"/>
    </row>
    <row r="2" spans="1:12" x14ac:dyDescent="0.2">
      <c r="A2" s="8" t="str">
        <f>'1'!$A$2</f>
        <v>Commercial Property - Wind &amp; Hail</v>
      </c>
      <c r="B2" s="12"/>
      <c r="J2" s="7" t="s">
        <v>22</v>
      </c>
      <c r="K2" s="2"/>
    </row>
    <row r="3" spans="1:12" x14ac:dyDescent="0.2">
      <c r="A3" s="8" t="str">
        <f>'1'!$A$3</f>
        <v>Rate Level Review</v>
      </c>
      <c r="B3" s="12"/>
      <c r="K3" s="2"/>
    </row>
    <row r="4" spans="1:12" x14ac:dyDescent="0.2">
      <c r="A4" t="s">
        <v>144</v>
      </c>
      <c r="B4" s="12"/>
      <c r="K4" s="2"/>
    </row>
    <row r="5" spans="1:12" x14ac:dyDescent="0.2">
      <c r="A5" s="58"/>
      <c r="B5" s="21"/>
      <c r="C5" s="58"/>
      <c r="D5" s="58"/>
      <c r="E5" s="58"/>
      <c r="K5" s="2"/>
    </row>
    <row r="6" spans="1:12" x14ac:dyDescent="0.2">
      <c r="K6" s="2"/>
    </row>
    <row r="7" spans="1:12" ht="12" thickBot="1" x14ac:dyDescent="0.25">
      <c r="A7" s="6"/>
      <c r="B7" s="6"/>
      <c r="C7" s="6"/>
      <c r="D7" s="6"/>
      <c r="E7" s="6"/>
      <c r="K7" s="2"/>
    </row>
    <row r="8" spans="1:12" ht="12" thickTop="1" x14ac:dyDescent="0.2">
      <c r="K8" s="2"/>
    </row>
    <row r="9" spans="1:12" x14ac:dyDescent="0.2">
      <c r="C9" s="49" t="s">
        <v>115</v>
      </c>
      <c r="D9" s="11"/>
      <c r="K9" s="2"/>
      <c r="L9" s="26"/>
    </row>
    <row r="10" spans="1:12" x14ac:dyDescent="0.2">
      <c r="C10" t="s">
        <v>116</v>
      </c>
      <c r="D10" s="11" t="s">
        <v>117</v>
      </c>
      <c r="E10" t="s">
        <v>120</v>
      </c>
      <c r="K10" s="2"/>
      <c r="L10" s="21" t="s">
        <v>137</v>
      </c>
    </row>
    <row r="11" spans="1:12" x14ac:dyDescent="0.2">
      <c r="A11" s="9" t="s">
        <v>114</v>
      </c>
      <c r="B11" s="9"/>
      <c r="C11" s="9" t="str">
        <f>"as of "&amp;TEXT($L$11,"m/d/yy")</f>
        <v>as of 11/30/18</v>
      </c>
      <c r="D11" s="383" t="s">
        <v>118</v>
      </c>
      <c r="E11" s="9" t="s">
        <v>119</v>
      </c>
      <c r="K11" s="2"/>
      <c r="L11" s="49">
        <f>'8.2'!M11</f>
        <v>43434</v>
      </c>
    </row>
    <row r="12" spans="1:12" x14ac:dyDescent="0.2">
      <c r="A12" s="13" t="str">
        <f>TEXT(COLUMN(),"(#)")</f>
        <v>(1)</v>
      </c>
      <c r="B12" s="13"/>
      <c r="C12" s="11" t="str">
        <f>TEXT(COLUMN()-1,"(#)")</f>
        <v>(2)</v>
      </c>
      <c r="D12" s="11" t="str">
        <f>TEXT(COLUMN()-1,"(#)")</f>
        <v>(3)</v>
      </c>
      <c r="E12" s="11" t="str">
        <f>TEXT(COLUMN()-1,"(#)")</f>
        <v>(4)</v>
      </c>
      <c r="K12" s="2"/>
    </row>
    <row r="13" spans="1:12" x14ac:dyDescent="0.2">
      <c r="D13" s="11"/>
      <c r="K13" s="2"/>
    </row>
    <row r="14" spans="1:12" x14ac:dyDescent="0.2">
      <c r="A14" t="s">
        <v>122</v>
      </c>
      <c r="C14" s="276">
        <f>'8.2'!C14</f>
        <v>277830</v>
      </c>
      <c r="D14" s="396">
        <f>'8.2'!F14</f>
        <v>3.851</v>
      </c>
      <c r="E14" s="29">
        <f>ROUND(C14*D14,0)</f>
        <v>1069923</v>
      </c>
      <c r="K14" s="2"/>
    </row>
    <row r="15" spans="1:12" x14ac:dyDescent="0.2">
      <c r="A15" t="s">
        <v>123</v>
      </c>
      <c r="C15" s="276">
        <f>'8.2'!C15</f>
        <v>493586</v>
      </c>
      <c r="D15" s="396">
        <f>'8.2'!F15</f>
        <v>3.5110000000000001</v>
      </c>
      <c r="E15" s="29">
        <f t="shared" ref="E15:E28" si="0">ROUND(C15*D15,0)</f>
        <v>1732980</v>
      </c>
      <c r="K15" s="2"/>
    </row>
    <row r="16" spans="1:12" x14ac:dyDescent="0.2">
      <c r="A16" t="s">
        <v>124</v>
      </c>
      <c r="C16" s="276">
        <f>'8.2'!C16</f>
        <v>112097</v>
      </c>
      <c r="D16" s="396">
        <f>'8.2'!F16</f>
        <v>4.9050000000000002</v>
      </c>
      <c r="E16" s="29">
        <f t="shared" si="0"/>
        <v>549836</v>
      </c>
      <c r="K16" s="2"/>
    </row>
    <row r="17" spans="1:11" x14ac:dyDescent="0.2">
      <c r="A17" t="s">
        <v>125</v>
      </c>
      <c r="C17" s="276">
        <f>'8.2'!C17</f>
        <v>999634</v>
      </c>
      <c r="D17" s="396">
        <f>'8.2'!F17</f>
        <v>5.077</v>
      </c>
      <c r="E17" s="29">
        <f t="shared" si="0"/>
        <v>5075142</v>
      </c>
      <c r="K17" s="2"/>
    </row>
    <row r="18" spans="1:11" x14ac:dyDescent="0.2">
      <c r="A18" t="s">
        <v>126</v>
      </c>
      <c r="C18" s="276">
        <f>'8.2'!C18</f>
        <v>58987</v>
      </c>
      <c r="D18" s="396">
        <f>'8.2'!F18</f>
        <v>3.2589999999999999</v>
      </c>
      <c r="E18" s="29">
        <f t="shared" si="0"/>
        <v>192239</v>
      </c>
      <c r="K18" s="2"/>
    </row>
    <row r="19" spans="1:11" x14ac:dyDescent="0.2">
      <c r="A19" t="s">
        <v>127</v>
      </c>
      <c r="C19" s="276">
        <f>'8.2'!C19</f>
        <v>2382030</v>
      </c>
      <c r="D19" s="396">
        <f>'8.2'!F19</f>
        <v>6.4859999999999998</v>
      </c>
      <c r="E19" s="29">
        <f t="shared" si="0"/>
        <v>15449847</v>
      </c>
      <c r="K19" s="2"/>
    </row>
    <row r="20" spans="1:11" x14ac:dyDescent="0.2">
      <c r="A20" t="s">
        <v>128</v>
      </c>
      <c r="C20" s="276">
        <f>'8.2'!C20</f>
        <v>38105</v>
      </c>
      <c r="D20" s="396">
        <f>'8.2'!F20</f>
        <v>5.1180000000000003</v>
      </c>
      <c r="E20" s="29">
        <f t="shared" si="0"/>
        <v>195021</v>
      </c>
      <c r="K20" s="2"/>
    </row>
    <row r="21" spans="1:11" x14ac:dyDescent="0.2">
      <c r="A21" t="s">
        <v>129</v>
      </c>
      <c r="C21" s="276">
        <f>'8.2'!C21</f>
        <v>397141</v>
      </c>
      <c r="D21" s="396">
        <f>'8.2'!F21</f>
        <v>2.9870000000000001</v>
      </c>
      <c r="E21" s="29">
        <f t="shared" si="0"/>
        <v>1186260</v>
      </c>
      <c r="K21" s="2"/>
    </row>
    <row r="22" spans="1:11" x14ac:dyDescent="0.2">
      <c r="A22" t="s">
        <v>130</v>
      </c>
      <c r="C22" s="276">
        <f>'8.2'!C22</f>
        <v>694</v>
      </c>
      <c r="D22" s="396">
        <f>'8.2'!F22</f>
        <v>2.1110000000000002</v>
      </c>
      <c r="E22" s="29">
        <f t="shared" si="0"/>
        <v>1465</v>
      </c>
      <c r="K22" s="2"/>
    </row>
    <row r="23" spans="1:11" x14ac:dyDescent="0.2">
      <c r="A23" t="s">
        <v>131</v>
      </c>
      <c r="B23" s="21"/>
      <c r="C23" s="276">
        <f>'8.2'!C23</f>
        <v>17254</v>
      </c>
      <c r="D23" s="396">
        <f>'8.2'!F23</f>
        <v>2.004</v>
      </c>
      <c r="E23" s="29">
        <f t="shared" si="0"/>
        <v>34577</v>
      </c>
      <c r="K23" s="2"/>
    </row>
    <row r="24" spans="1:11" x14ac:dyDescent="0.2">
      <c r="A24" t="s">
        <v>132</v>
      </c>
      <c r="B24" s="21"/>
      <c r="C24" s="276">
        <f>'8.2'!C24</f>
        <v>93289</v>
      </c>
      <c r="D24" s="396">
        <f>'8.2'!F24</f>
        <v>4.2460000000000004</v>
      </c>
      <c r="E24" s="29">
        <f t="shared" si="0"/>
        <v>396105</v>
      </c>
      <c r="K24" s="2"/>
    </row>
    <row r="25" spans="1:11" x14ac:dyDescent="0.2">
      <c r="A25" t="s">
        <v>133</v>
      </c>
      <c r="B25" s="21"/>
      <c r="C25" s="276">
        <f>'8.2'!C25</f>
        <v>1584979</v>
      </c>
      <c r="D25" s="396">
        <f>'8.2'!F25</f>
        <v>4.0220000000000002</v>
      </c>
      <c r="E25" s="29">
        <f>ROUND(C25*D25,0)</f>
        <v>6374786</v>
      </c>
      <c r="K25" s="2"/>
    </row>
    <row r="26" spans="1:11" x14ac:dyDescent="0.2">
      <c r="A26" t="s">
        <v>134</v>
      </c>
      <c r="C26" s="276">
        <f>'8.2'!C26</f>
        <v>21241</v>
      </c>
      <c r="D26" s="396">
        <f>'8.2'!F26</f>
        <v>2.7839999999999998</v>
      </c>
      <c r="E26" s="29">
        <f t="shared" si="0"/>
        <v>59135</v>
      </c>
      <c r="K26" s="2"/>
    </row>
    <row r="27" spans="1:11" x14ac:dyDescent="0.2">
      <c r="A27" t="s">
        <v>135</v>
      </c>
      <c r="C27" s="276">
        <f>'8.2'!C27</f>
        <v>136263</v>
      </c>
      <c r="D27" s="396">
        <f>'8.2'!F27</f>
        <v>3.226</v>
      </c>
      <c r="E27" s="29">
        <f t="shared" si="0"/>
        <v>439584</v>
      </c>
      <c r="K27" s="2"/>
    </row>
    <row r="28" spans="1:11" x14ac:dyDescent="0.2">
      <c r="A28" t="s">
        <v>136</v>
      </c>
      <c r="C28" s="276">
        <f>'8.2'!C28</f>
        <v>14648</v>
      </c>
      <c r="D28" s="396">
        <f>'8.2'!F28</f>
        <v>4.04</v>
      </c>
      <c r="E28" s="29">
        <f t="shared" si="0"/>
        <v>59178</v>
      </c>
      <c r="K28" s="2"/>
    </row>
    <row r="29" spans="1:11" s="58" customFormat="1" x14ac:dyDescent="0.2">
      <c r="A29" s="9"/>
      <c r="B29" s="25"/>
      <c r="C29" s="277"/>
      <c r="D29" s="397"/>
      <c r="E29" s="30"/>
      <c r="K29" s="2"/>
    </row>
    <row r="30" spans="1:11" x14ac:dyDescent="0.2">
      <c r="C30" s="18"/>
      <c r="D30" s="342"/>
      <c r="E30" s="12"/>
      <c r="K30" s="2"/>
    </row>
    <row r="31" spans="1:11" x14ac:dyDescent="0.2">
      <c r="A31" t="s">
        <v>8</v>
      </c>
      <c r="C31" s="29">
        <f>SUM(C14:C28)</f>
        <v>6627778</v>
      </c>
      <c r="D31" s="396">
        <f>E31/C31</f>
        <v>4.9512940837789072</v>
      </c>
      <c r="E31" s="29">
        <f>SUM(E14:E28)</f>
        <v>32816078</v>
      </c>
      <c r="K31" s="2"/>
    </row>
    <row r="32" spans="1:11" x14ac:dyDescent="0.2">
      <c r="K32" s="2"/>
    </row>
    <row r="33" spans="1:11" x14ac:dyDescent="0.2">
      <c r="A33" s="53" t="s">
        <v>93</v>
      </c>
      <c r="B33" t="str">
        <f>'7.1'!B33</f>
        <v>Inforce-Premium as of Nov 30, 2018 at Present Rates</v>
      </c>
      <c r="E33" s="29">
        <f>'7.1'!E33</f>
        <v>64955934</v>
      </c>
      <c r="K33" s="2"/>
    </row>
    <row r="34" spans="1:11" x14ac:dyDescent="0.2">
      <c r="A34" s="53" t="s">
        <v>97</v>
      </c>
      <c r="B34" t="s">
        <v>121</v>
      </c>
      <c r="E34" s="19">
        <f>ROUND(E31/E33,3)</f>
        <v>0.505</v>
      </c>
      <c r="F34" s="42"/>
      <c r="G34" s="42"/>
      <c r="H34" s="42"/>
      <c r="K34" s="2"/>
    </row>
    <row r="35" spans="1:11" ht="12" thickBot="1" x14ac:dyDescent="0.25">
      <c r="A35" s="6"/>
      <c r="B35" s="6"/>
      <c r="C35" s="6"/>
      <c r="D35" s="6"/>
      <c r="E35" s="6"/>
      <c r="K35" s="2"/>
    </row>
    <row r="36" spans="1:11" ht="12" thickTop="1" x14ac:dyDescent="0.2">
      <c r="K36" s="2"/>
    </row>
    <row r="37" spans="1:11" x14ac:dyDescent="0.2">
      <c r="A37" t="s">
        <v>19</v>
      </c>
      <c r="K37" s="2"/>
    </row>
    <row r="38" spans="1:11" x14ac:dyDescent="0.2">
      <c r="B38" s="21" t="str">
        <f>C12&amp;" Provided by TWIA"</f>
        <v>(2) Provided by TWIA</v>
      </c>
      <c r="K38" s="2"/>
    </row>
    <row r="39" spans="1:11" x14ac:dyDescent="0.2">
      <c r="B39" s="21" t="str">
        <f>D12&amp;" "&amp;'8.2'!$K$1&amp;", "&amp;'8.2'!$K$2</f>
        <v>(3) Exhibit 8, Sheet 2</v>
      </c>
      <c r="K39" s="2"/>
    </row>
    <row r="40" spans="1:11" x14ac:dyDescent="0.2">
      <c r="B40" s="21" t="str">
        <f>E12&amp;" = "&amp;C12&amp;" * "&amp;D12</f>
        <v>(4) = (2) * (3)</v>
      </c>
      <c r="F40" s="59"/>
      <c r="G40" s="59"/>
      <c r="H40" s="59"/>
      <c r="K40" s="2"/>
    </row>
    <row r="41" spans="1:11" x14ac:dyDescent="0.2">
      <c r="B41" s="21" t="str">
        <f>A33&amp;" Provided by TWIA"</f>
        <v>(5) Provided by TWIA</v>
      </c>
      <c r="K41" s="2"/>
    </row>
    <row r="42" spans="1:11" x14ac:dyDescent="0.2">
      <c r="B42" s="21" t="str">
        <f>A34&amp;" = "&amp;E12&amp;" Total / "&amp;A33</f>
        <v>(6) = (4) Total / (5)</v>
      </c>
      <c r="K42" s="2"/>
    </row>
    <row r="43" spans="1:11" s="58" customFormat="1" x14ac:dyDescent="0.2">
      <c r="A43" s="42"/>
      <c r="B43" s="42"/>
      <c r="C43" s="42"/>
      <c r="D43" s="42"/>
      <c r="E43" s="42"/>
      <c r="F43" s="42"/>
      <c r="G43" s="42"/>
      <c r="H43" s="42"/>
      <c r="I43" s="42"/>
      <c r="K43" s="2"/>
    </row>
    <row r="44" spans="1:11" x14ac:dyDescent="0.2">
      <c r="K44" s="2"/>
    </row>
    <row r="45" spans="1:11" x14ac:dyDescent="0.2">
      <c r="K45" s="2"/>
    </row>
    <row r="46" spans="1:11" x14ac:dyDescent="0.2">
      <c r="K46" s="2"/>
    </row>
    <row r="47" spans="1:11" x14ac:dyDescent="0.2">
      <c r="K47" s="2"/>
    </row>
    <row r="48" spans="1:11" x14ac:dyDescent="0.2">
      <c r="K48" s="2"/>
    </row>
    <row r="49" spans="1:11" x14ac:dyDescent="0.2">
      <c r="K49" s="2"/>
    </row>
    <row r="50" spans="1:11" x14ac:dyDescent="0.2">
      <c r="K50" s="2"/>
    </row>
    <row r="51" spans="1:11" s="58" customFormat="1" x14ac:dyDescent="0.2">
      <c r="A51"/>
      <c r="B51"/>
      <c r="C51"/>
      <c r="D51"/>
      <c r="E51"/>
      <c r="K51" s="2"/>
    </row>
    <row r="52" spans="1:11" s="58" customFormat="1" x14ac:dyDescent="0.2">
      <c r="K52" s="2"/>
    </row>
    <row r="53" spans="1:11" s="58" customFormat="1" x14ac:dyDescent="0.2">
      <c r="A53" s="42"/>
      <c r="B53" s="42"/>
      <c r="C53" s="42"/>
      <c r="D53" s="42"/>
      <c r="E53" s="42"/>
      <c r="F53" s="42"/>
      <c r="G53" s="42"/>
      <c r="H53" s="42"/>
      <c r="I53" s="42"/>
      <c r="K53" s="2"/>
    </row>
    <row r="54" spans="1:11" s="58" customFormat="1" x14ac:dyDescent="0.2">
      <c r="K54" s="2"/>
    </row>
    <row r="55" spans="1:11" s="58" customFormat="1" x14ac:dyDescent="0.2">
      <c r="A55" s="68"/>
      <c r="C55" s="36"/>
      <c r="D55" s="36"/>
      <c r="E55" s="36"/>
      <c r="F55" s="36"/>
      <c r="G55" s="36"/>
      <c r="H55" s="36"/>
      <c r="I55" s="31"/>
      <c r="K55" s="2"/>
    </row>
    <row r="56" spans="1:11" s="58" customFormat="1" x14ac:dyDescent="0.2">
      <c r="A56" s="68"/>
      <c r="C56" s="36"/>
      <c r="D56" s="36"/>
      <c r="E56" s="36"/>
      <c r="F56" s="36"/>
      <c r="G56" s="36"/>
      <c r="H56" s="36"/>
      <c r="I56" s="31"/>
      <c r="K56" s="2"/>
    </row>
    <row r="57" spans="1:11" s="58" customFormat="1" x14ac:dyDescent="0.2">
      <c r="A57" s="68"/>
      <c r="C57" s="36"/>
      <c r="D57" s="36"/>
      <c r="E57" s="36"/>
      <c r="F57" s="36"/>
      <c r="G57" s="36"/>
      <c r="H57" s="36"/>
      <c r="I57" s="31"/>
      <c r="K57" s="2"/>
    </row>
    <row r="58" spans="1:11" s="58" customFormat="1" x14ac:dyDescent="0.2">
      <c r="A58" s="68"/>
      <c r="C58" s="36"/>
      <c r="D58" s="36"/>
      <c r="E58" s="36"/>
      <c r="F58" s="36"/>
      <c r="G58" s="36"/>
      <c r="H58" s="36"/>
      <c r="I58" s="31"/>
      <c r="K58" s="2"/>
    </row>
    <row r="59" spans="1:11" s="58" customFormat="1" x14ac:dyDescent="0.2">
      <c r="A59" s="68"/>
      <c r="C59" s="36"/>
      <c r="D59" s="36"/>
      <c r="E59" s="36"/>
      <c r="F59" s="36"/>
      <c r="G59" s="36"/>
      <c r="H59" s="36"/>
      <c r="I59" s="31"/>
      <c r="K59" s="2"/>
    </row>
    <row r="60" spans="1:11" s="58" customFormat="1" x14ac:dyDescent="0.2">
      <c r="A60" s="68"/>
      <c r="C60" s="36"/>
      <c r="D60" s="36"/>
      <c r="E60" s="36"/>
      <c r="F60" s="36"/>
      <c r="G60" s="36"/>
      <c r="H60" s="36"/>
      <c r="I60" s="31"/>
      <c r="K60" s="2"/>
    </row>
    <row r="61" spans="1:11" s="58" customFormat="1" x14ac:dyDescent="0.2">
      <c r="A61" s="68"/>
      <c r="C61" s="36"/>
      <c r="D61" s="36"/>
      <c r="E61" s="36"/>
      <c r="F61" s="36"/>
      <c r="G61" s="36"/>
      <c r="H61" s="36"/>
      <c r="I61" s="31"/>
      <c r="K61" s="2"/>
    </row>
    <row r="62" spans="1:11" s="58" customFormat="1" x14ac:dyDescent="0.2">
      <c r="A62" s="68"/>
      <c r="C62" s="36"/>
      <c r="D62" s="36"/>
      <c r="E62" s="36"/>
      <c r="F62" s="36"/>
      <c r="G62" s="36"/>
      <c r="H62" s="36"/>
      <c r="I62" s="31"/>
      <c r="K62" s="2"/>
    </row>
    <row r="63" spans="1:11" s="58" customFormat="1" x14ac:dyDescent="0.2">
      <c r="A63" s="68"/>
      <c r="C63" s="28"/>
      <c r="D63" s="28"/>
      <c r="E63" s="28"/>
      <c r="F63" s="28"/>
      <c r="G63" s="28"/>
      <c r="H63" s="28"/>
      <c r="I63" s="28"/>
      <c r="K63" s="2"/>
    </row>
    <row r="64" spans="1:11" x14ac:dyDescent="0.2">
      <c r="B64" s="24"/>
      <c r="C64" s="59"/>
      <c r="D64" s="59"/>
      <c r="E64" s="59"/>
      <c r="F64" s="59"/>
      <c r="G64" s="59"/>
      <c r="H64" s="59"/>
      <c r="K64" s="2"/>
    </row>
    <row r="65" spans="1:11" x14ac:dyDescent="0.2">
      <c r="B65" s="24"/>
      <c r="C65" s="59"/>
      <c r="D65" s="59"/>
      <c r="E65" s="59"/>
      <c r="F65" s="59"/>
      <c r="G65" s="59"/>
      <c r="H65" s="59"/>
      <c r="K65" s="2"/>
    </row>
    <row r="66" spans="1:11" x14ac:dyDescent="0.2">
      <c r="B66" s="24"/>
      <c r="C66" s="59"/>
      <c r="D66" s="59"/>
      <c r="E66" s="59"/>
      <c r="F66" s="59"/>
      <c r="G66" s="59"/>
      <c r="H66" s="59"/>
      <c r="K66" s="2"/>
    </row>
    <row r="67" spans="1:11" x14ac:dyDescent="0.2">
      <c r="K67" s="2"/>
    </row>
    <row r="68" spans="1:11" ht="12" thickBot="1" x14ac:dyDescent="0.25">
      <c r="K68" s="2"/>
    </row>
    <row r="69" spans="1:11" ht="12" thickBot="1" x14ac:dyDescent="0.25">
      <c r="A69" s="4"/>
      <c r="B69" s="5"/>
      <c r="C69" s="5"/>
      <c r="D69" s="5"/>
      <c r="E69" s="5"/>
      <c r="F69" s="5"/>
      <c r="G69" s="5"/>
      <c r="H69" s="5"/>
      <c r="I69" s="5"/>
      <c r="J69" s="5"/>
      <c r="K69" s="3"/>
    </row>
  </sheetData>
  <phoneticPr fontId="0" type="noConversion"/>
  <pageMargins left="0.5" right="0.5" top="0.5" bottom="0.5" header="0.5" footer="0.5"/>
  <pageSetup orientation="portrait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V69"/>
  <sheetViews>
    <sheetView showGridLines="0" view="pageBreakPreview" zoomScale="85" zoomScaleNormal="100" zoomScaleSheetLayoutView="85" workbookViewId="0">
      <selection activeCell="O41" sqref="O41"/>
    </sheetView>
  </sheetViews>
  <sheetFormatPr defaultColWidth="11.33203125" defaultRowHeight="11.25" x14ac:dyDescent="0.2"/>
  <cols>
    <col min="1" max="1" width="2.5" bestFit="1" customWidth="1"/>
    <col min="2" max="2" width="28.5" customWidth="1"/>
    <col min="3" max="3" width="9.6640625" customWidth="1"/>
    <col min="4" max="4" width="13.33203125" customWidth="1"/>
    <col min="5" max="5" width="9.6640625" customWidth="1"/>
    <col min="6" max="6" width="12.6640625" customWidth="1"/>
    <col min="7" max="7" width="11.1640625" customWidth="1"/>
    <col min="8" max="8" width="9.6640625" customWidth="1"/>
    <col min="9" max="9" width="11.33203125" customWidth="1"/>
    <col min="10" max="10" width="6.33203125" customWidth="1"/>
    <col min="11" max="11" width="3.6640625" customWidth="1"/>
    <col min="13" max="13" width="3.5" customWidth="1"/>
  </cols>
  <sheetData>
    <row r="1" spans="1:22" x14ac:dyDescent="0.2">
      <c r="A1" s="8" t="s">
        <v>0</v>
      </c>
      <c r="B1" s="12"/>
      <c r="K1" s="7" t="s">
        <v>4</v>
      </c>
      <c r="L1" s="1"/>
    </row>
    <row r="2" spans="1:22" x14ac:dyDescent="0.2">
      <c r="A2" s="8" t="s">
        <v>192</v>
      </c>
      <c r="B2" s="12"/>
      <c r="H2" s="7"/>
      <c r="I2" s="7"/>
      <c r="J2" s="7"/>
      <c r="K2" s="7"/>
      <c r="L2" s="2"/>
    </row>
    <row r="3" spans="1:22" x14ac:dyDescent="0.2">
      <c r="A3" s="8" t="s">
        <v>1</v>
      </c>
      <c r="B3" s="12"/>
      <c r="L3" s="2"/>
    </row>
    <row r="4" spans="1:22" x14ac:dyDescent="0.2">
      <c r="A4" t="s">
        <v>2</v>
      </c>
      <c r="B4" s="12"/>
      <c r="L4" s="2"/>
    </row>
    <row r="5" spans="1:22" x14ac:dyDescent="0.2">
      <c r="A5" s="58" t="s">
        <v>3</v>
      </c>
      <c r="B5" s="21"/>
      <c r="C5" s="58"/>
      <c r="D5" s="58"/>
      <c r="E5" s="58"/>
      <c r="L5" s="2"/>
    </row>
    <row r="6" spans="1:22" x14ac:dyDescent="0.2">
      <c r="L6" s="2"/>
    </row>
    <row r="7" spans="1:22" ht="12" thickBot="1" x14ac:dyDescent="0.25">
      <c r="A7" s="6"/>
      <c r="B7" s="6"/>
      <c r="C7" s="6"/>
      <c r="D7" s="6"/>
      <c r="E7" s="6"/>
      <c r="F7" s="6"/>
      <c r="G7" s="6"/>
      <c r="H7" s="6"/>
      <c r="I7" s="6"/>
      <c r="J7" s="47"/>
      <c r="K7" s="47"/>
      <c r="L7" s="2"/>
    </row>
    <row r="8" spans="1:22" ht="12" thickTop="1" x14ac:dyDescent="0.2">
      <c r="L8" s="2"/>
    </row>
    <row r="9" spans="1:22" x14ac:dyDescent="0.2">
      <c r="C9" s="10" t="s">
        <v>6</v>
      </c>
      <c r="H9" t="s">
        <v>12</v>
      </c>
      <c r="I9" t="s">
        <v>384</v>
      </c>
      <c r="L9" s="2"/>
      <c r="N9" s="411"/>
      <c r="O9" s="47"/>
      <c r="P9" s="47"/>
      <c r="Q9" s="47"/>
      <c r="R9" s="47"/>
      <c r="S9" s="47"/>
      <c r="T9" s="47"/>
      <c r="U9" s="47"/>
      <c r="V9" s="47"/>
    </row>
    <row r="10" spans="1:22" x14ac:dyDescent="0.2">
      <c r="E10" t="s">
        <v>256</v>
      </c>
      <c r="G10" t="s">
        <v>9</v>
      </c>
      <c r="H10" t="s">
        <v>13</v>
      </c>
      <c r="I10" t="s">
        <v>13</v>
      </c>
      <c r="L10" s="2"/>
      <c r="N10" s="47"/>
      <c r="O10" s="47"/>
      <c r="P10" s="47"/>
      <c r="Q10" s="47"/>
      <c r="R10" s="47"/>
      <c r="S10" s="47"/>
      <c r="T10" s="47"/>
      <c r="U10" s="47"/>
      <c r="V10" s="47"/>
    </row>
    <row r="11" spans="1:22" x14ac:dyDescent="0.2">
      <c r="A11" s="9" t="s">
        <v>18</v>
      </c>
      <c r="B11" s="9"/>
      <c r="C11" s="9" t="s">
        <v>5</v>
      </c>
      <c r="D11" s="9" t="s">
        <v>7</v>
      </c>
      <c r="E11" s="9" t="s">
        <v>257</v>
      </c>
      <c r="F11" s="9" t="s">
        <v>8</v>
      </c>
      <c r="G11" s="9" t="s">
        <v>258</v>
      </c>
      <c r="H11" s="9" t="s">
        <v>14</v>
      </c>
      <c r="I11" s="9" t="s">
        <v>14</v>
      </c>
      <c r="J11" s="47"/>
      <c r="K11" s="47"/>
      <c r="L11" s="2"/>
      <c r="N11" s="47"/>
      <c r="O11" s="47"/>
      <c r="P11" s="47"/>
      <c r="Q11" s="47"/>
      <c r="R11" s="47"/>
      <c r="S11" s="47"/>
      <c r="T11" s="47"/>
      <c r="U11" s="47"/>
      <c r="V11" s="47"/>
    </row>
    <row r="12" spans="1:22" x14ac:dyDescent="0.2">
      <c r="A12" s="13" t="str">
        <f>TEXT(COLUMN(),"(#)")</f>
        <v>(1)</v>
      </c>
      <c r="B12" s="13"/>
      <c r="C12" s="11" t="str">
        <f t="shared" ref="C12:I12" si="0">TEXT(COLUMN()-1,"(#)")</f>
        <v>(2)</v>
      </c>
      <c r="D12" s="11" t="str">
        <f t="shared" si="0"/>
        <v>(3)</v>
      </c>
      <c r="E12" s="11" t="str">
        <f t="shared" si="0"/>
        <v>(4)</v>
      </c>
      <c r="F12" s="11" t="str">
        <f t="shared" si="0"/>
        <v>(5)</v>
      </c>
      <c r="G12" s="11" t="str">
        <f t="shared" si="0"/>
        <v>(6)</v>
      </c>
      <c r="H12" s="11" t="str">
        <f t="shared" si="0"/>
        <v>(7)</v>
      </c>
      <c r="I12" s="11" t="str">
        <f t="shared" si="0"/>
        <v>(8)</v>
      </c>
      <c r="J12" s="11"/>
      <c r="K12" s="11"/>
      <c r="L12" s="2"/>
      <c r="N12" s="47"/>
      <c r="O12" s="47"/>
      <c r="P12" s="47"/>
      <c r="Q12" s="47"/>
      <c r="R12" s="47"/>
      <c r="S12" s="47"/>
      <c r="T12" s="47"/>
      <c r="U12" s="47"/>
      <c r="V12" s="47"/>
    </row>
    <row r="13" spans="1:22" x14ac:dyDescent="0.2">
      <c r="L13" s="2"/>
      <c r="N13" s="47"/>
      <c r="O13" s="47"/>
      <c r="P13" s="47"/>
      <c r="Q13" s="47"/>
      <c r="R13" s="47"/>
      <c r="S13" s="47"/>
      <c r="T13" s="47"/>
      <c r="U13" s="47"/>
      <c r="V13" s="47"/>
    </row>
    <row r="14" spans="1:22" x14ac:dyDescent="0.2">
      <c r="J14" s="47"/>
      <c r="K14" s="47"/>
      <c r="L14" s="2"/>
      <c r="N14" s="47"/>
      <c r="O14" s="47"/>
      <c r="P14" s="47"/>
      <c r="Q14" s="47"/>
      <c r="R14" s="47"/>
      <c r="S14" s="47"/>
      <c r="T14" s="47"/>
      <c r="U14" s="47"/>
      <c r="V14" s="47"/>
    </row>
    <row r="15" spans="1:22" x14ac:dyDescent="0.2">
      <c r="B15" t="s">
        <v>382</v>
      </c>
      <c r="C15" s="19">
        <f>AVERAGE(C19:C21)</f>
        <v>0.58299999999999996</v>
      </c>
      <c r="D15" s="22">
        <f>D$19</f>
        <v>9.2999999999999999E-2</v>
      </c>
      <c r="E15" s="22">
        <f>E$19</f>
        <v>0.47893085671284397</v>
      </c>
      <c r="F15" s="17">
        <f>C15+D15+E15</f>
        <v>1.154930856712844</v>
      </c>
      <c r="G15" s="22">
        <f>G$19</f>
        <v>0.77</v>
      </c>
      <c r="H15" s="414">
        <f>ROUND(F15/G15-1,2)</f>
        <v>0.5</v>
      </c>
      <c r="I15" s="238"/>
      <c r="L15" s="2"/>
      <c r="N15" s="310"/>
      <c r="O15" s="443"/>
      <c r="P15" s="443"/>
      <c r="Q15" s="444"/>
      <c r="R15" s="443"/>
      <c r="S15" s="443"/>
      <c r="T15" s="47"/>
      <c r="U15" s="47"/>
      <c r="V15" s="47"/>
    </row>
    <row r="16" spans="1:22" x14ac:dyDescent="0.2">
      <c r="A16" s="9"/>
      <c r="B16" s="9"/>
      <c r="C16" s="9"/>
      <c r="D16" s="9"/>
      <c r="E16" s="9"/>
      <c r="F16" s="9"/>
      <c r="G16" s="9"/>
      <c r="H16" s="9"/>
      <c r="I16" s="9"/>
      <c r="J16" s="19"/>
      <c r="L16" s="2"/>
      <c r="N16" s="47"/>
      <c r="O16" s="47"/>
      <c r="P16" s="47"/>
      <c r="Q16" s="47"/>
      <c r="R16" s="47"/>
      <c r="S16" s="47"/>
      <c r="T16" s="47"/>
      <c r="U16" s="47"/>
      <c r="V16" s="47"/>
    </row>
    <row r="17" spans="1:22" x14ac:dyDescent="0.2">
      <c r="L17" s="2"/>
      <c r="N17" s="47"/>
      <c r="O17" s="47"/>
      <c r="P17" s="47"/>
      <c r="Q17" s="47"/>
      <c r="R17" s="47"/>
      <c r="S17" s="47"/>
      <c r="T17" s="47"/>
      <c r="U17" s="47"/>
      <c r="V17" s="47"/>
    </row>
    <row r="18" spans="1:22" x14ac:dyDescent="0.2">
      <c r="C18" s="14"/>
      <c r="D18" s="14"/>
      <c r="E18" s="14"/>
      <c r="F18" s="14"/>
      <c r="G18" s="14"/>
      <c r="H18" s="15"/>
      <c r="I18" s="15"/>
      <c r="J18" s="15"/>
      <c r="K18" s="15"/>
      <c r="L18" s="2"/>
      <c r="N18" s="445"/>
      <c r="O18" s="445"/>
      <c r="P18" s="445"/>
      <c r="Q18" s="445"/>
      <c r="R18" s="445"/>
      <c r="S18" s="446"/>
      <c r="T18" s="446"/>
      <c r="U18" s="47"/>
      <c r="V18" s="47"/>
    </row>
    <row r="19" spans="1:22" x14ac:dyDescent="0.2">
      <c r="B19" t="s">
        <v>322</v>
      </c>
      <c r="C19" s="22">
        <f>'5'!$E$14</f>
        <v>0.56899999999999995</v>
      </c>
      <c r="D19" s="22">
        <f>'2.1'!$H$26</f>
        <v>9.2999999999999999E-2</v>
      </c>
      <c r="E19" s="22">
        <f>'11.1'!$G$42</f>
        <v>0.47893085671284397</v>
      </c>
      <c r="F19" s="17">
        <f>C19+D19+E19</f>
        <v>1.1409308567128438</v>
      </c>
      <c r="G19" s="22">
        <f>'11.1'!$G$50</f>
        <v>0.77</v>
      </c>
      <c r="H19" s="16">
        <f>ROUND(F19/G19-1,2)</f>
        <v>0.48</v>
      </c>
      <c r="I19" s="16"/>
      <c r="J19" s="16"/>
      <c r="K19" s="16"/>
      <c r="L19" s="2"/>
      <c r="N19" s="443"/>
      <c r="O19" s="443"/>
      <c r="P19" s="443"/>
      <c r="Q19" s="444"/>
      <c r="R19" s="443"/>
      <c r="S19" s="447"/>
      <c r="T19" s="448"/>
      <c r="U19" s="47"/>
      <c r="V19" s="47"/>
    </row>
    <row r="20" spans="1:22" x14ac:dyDescent="0.2">
      <c r="L20" s="2"/>
      <c r="N20" s="47"/>
      <c r="O20" s="47"/>
      <c r="P20" s="47"/>
      <c r="Q20" s="47"/>
      <c r="R20" s="47"/>
      <c r="S20" s="47"/>
      <c r="T20" s="47"/>
      <c r="U20" s="47"/>
      <c r="V20" s="47"/>
    </row>
    <row r="21" spans="1:22" x14ac:dyDescent="0.2">
      <c r="B21" t="s">
        <v>15</v>
      </c>
      <c r="C21" s="22">
        <f>'5'!$E$20</f>
        <v>0.59699999999999998</v>
      </c>
      <c r="D21" s="22">
        <f>D$19</f>
        <v>9.2999999999999999E-2</v>
      </c>
      <c r="E21" s="22">
        <f>E$19</f>
        <v>0.47893085671284397</v>
      </c>
      <c r="F21" s="17">
        <f>C21+D21+E21</f>
        <v>1.1689308567128438</v>
      </c>
      <c r="G21" s="22">
        <f>G$19</f>
        <v>0.77</v>
      </c>
      <c r="H21" s="16">
        <f>ROUND(F21/G21-1,2)</f>
        <v>0.52</v>
      </c>
      <c r="I21" s="16"/>
      <c r="J21" s="16"/>
      <c r="K21" s="16"/>
      <c r="L21" s="2"/>
      <c r="N21" s="443"/>
      <c r="O21" s="443"/>
      <c r="P21" s="443"/>
      <c r="Q21" s="444"/>
      <c r="R21" s="443"/>
      <c r="S21" s="447"/>
      <c r="T21" s="448"/>
      <c r="U21" s="47"/>
      <c r="V21" s="47"/>
    </row>
    <row r="22" spans="1:22" x14ac:dyDescent="0.2">
      <c r="C22" s="19"/>
      <c r="D22" s="19"/>
      <c r="E22" s="19"/>
      <c r="L22" s="2"/>
      <c r="N22" s="449"/>
      <c r="O22" s="449"/>
      <c r="P22" s="449"/>
      <c r="Q22" s="449"/>
      <c r="R22" s="449"/>
      <c r="S22" s="449"/>
      <c r="T22" s="47"/>
      <c r="U22" s="47"/>
      <c r="V22" s="47"/>
    </row>
    <row r="23" spans="1:22" ht="12" thickBot="1" x14ac:dyDescent="0.25">
      <c r="A23" s="6"/>
      <c r="B23" s="6"/>
      <c r="C23" s="6"/>
      <c r="D23" s="6"/>
      <c r="E23" s="142"/>
      <c r="F23" s="6"/>
      <c r="G23" s="398"/>
      <c r="H23" s="6"/>
      <c r="I23" s="6"/>
      <c r="L23" s="2"/>
      <c r="N23" s="47"/>
      <c r="O23" s="47"/>
      <c r="P23" s="47"/>
      <c r="Q23" s="47"/>
      <c r="R23" s="47"/>
      <c r="S23" s="47"/>
      <c r="T23" s="47"/>
      <c r="U23" s="47"/>
      <c r="V23" s="47"/>
    </row>
    <row r="24" spans="1:22" ht="12" thickTop="1" x14ac:dyDescent="0.2">
      <c r="E24" s="58"/>
      <c r="L24" s="2"/>
      <c r="N24" s="361"/>
      <c r="O24" s="361"/>
      <c r="P24" s="361"/>
      <c r="Q24" s="361"/>
      <c r="R24" s="361"/>
      <c r="S24" s="361"/>
      <c r="T24" s="361"/>
      <c r="U24" s="47"/>
      <c r="V24" s="47"/>
    </row>
    <row r="25" spans="1:22" x14ac:dyDescent="0.2">
      <c r="A25" t="s">
        <v>19</v>
      </c>
      <c r="L25" s="2"/>
      <c r="M25" s="12"/>
      <c r="N25" s="361"/>
      <c r="O25" s="361"/>
      <c r="P25" s="361"/>
      <c r="Q25" s="361"/>
      <c r="R25" s="361"/>
      <c r="S25" s="361"/>
      <c r="T25" s="361"/>
      <c r="U25" s="47"/>
      <c r="V25" s="47"/>
    </row>
    <row r="26" spans="1:22" x14ac:dyDescent="0.2">
      <c r="B26" s="21" t="str">
        <f>C12&amp;" "&amp;'5'!$H$1</f>
        <v>(2) Exhibit 5</v>
      </c>
      <c r="L26" s="2"/>
      <c r="N26" s="361"/>
      <c r="O26" s="361"/>
      <c r="P26" s="361"/>
      <c r="Q26" s="361"/>
      <c r="R26" s="361"/>
      <c r="S26" s="361"/>
      <c r="T26" s="361"/>
      <c r="U26" s="47"/>
      <c r="V26" s="47"/>
    </row>
    <row r="27" spans="1:22" x14ac:dyDescent="0.2">
      <c r="B27" s="21" t="str">
        <f>D12&amp;" "&amp;'2.1'!$J$1&amp;", "&amp;'2.1'!$J$2</f>
        <v>(3) Exhibit 2, Sheet 1</v>
      </c>
      <c r="L27" s="2"/>
      <c r="N27" s="47"/>
      <c r="O27" s="47"/>
      <c r="P27" s="47"/>
      <c r="Q27" s="47"/>
      <c r="R27" s="47"/>
      <c r="S27" s="47"/>
      <c r="T27" s="47"/>
      <c r="U27" s="47"/>
      <c r="V27" s="47"/>
    </row>
    <row r="28" spans="1:22" x14ac:dyDescent="0.2">
      <c r="B28" s="21" t="str">
        <f>E12&amp;" "&amp;'11.1'!$J$1</f>
        <v>(4) Exhibit 11</v>
      </c>
      <c r="L28" s="2"/>
      <c r="N28" s="47"/>
      <c r="O28" s="47"/>
      <c r="P28" s="47"/>
      <c r="Q28" s="47"/>
      <c r="R28" s="47"/>
      <c r="S28" s="47"/>
      <c r="T28" s="47"/>
      <c r="U28" s="47"/>
      <c r="V28" s="47"/>
    </row>
    <row r="29" spans="1:22" x14ac:dyDescent="0.2">
      <c r="B29" s="115" t="str">
        <f>F12&amp;" = "&amp;C12&amp;" + "&amp;D12&amp;" + "&amp;E12</f>
        <v>(5) = (2) + (3) + (4)</v>
      </c>
      <c r="D29" s="19"/>
      <c r="L29" s="2"/>
      <c r="N29" s="47"/>
      <c r="O29" s="47"/>
      <c r="P29" s="47"/>
      <c r="Q29" s="47"/>
      <c r="R29" s="47"/>
      <c r="S29" s="47"/>
      <c r="T29" s="47"/>
      <c r="U29" s="47"/>
      <c r="V29" s="47"/>
    </row>
    <row r="30" spans="1:22" x14ac:dyDescent="0.2">
      <c r="B30" s="21" t="str">
        <f>G12&amp;" "&amp;'11.1'!$J$1</f>
        <v>(6) Exhibit 11</v>
      </c>
      <c r="D30" s="19"/>
      <c r="L30" s="2"/>
      <c r="N30" s="47"/>
      <c r="O30" s="47"/>
      <c r="P30" s="47"/>
      <c r="Q30" s="47"/>
      <c r="R30" s="47"/>
      <c r="S30" s="47"/>
      <c r="T30" s="47"/>
      <c r="U30" s="47"/>
      <c r="V30" s="47"/>
    </row>
    <row r="31" spans="1:22" x14ac:dyDescent="0.2">
      <c r="B31" s="12" t="str">
        <f>H12&amp;" = "&amp;F12&amp;" / "&amp;G12&amp;" - 1"</f>
        <v>(7) = (5) / (6) - 1</v>
      </c>
      <c r="I31" s="16"/>
      <c r="J31" s="16"/>
      <c r="K31" s="16"/>
      <c r="L31" s="2"/>
      <c r="M31" s="174"/>
      <c r="N31" s="174"/>
      <c r="O31" s="14"/>
      <c r="P31" s="174"/>
      <c r="Q31" s="15"/>
    </row>
    <row r="32" spans="1:22" x14ac:dyDescent="0.2">
      <c r="B32" s="21" t="str">
        <f>I12&amp;" Selected"</f>
        <v>(8) Selected</v>
      </c>
      <c r="L32" s="2"/>
      <c r="N32" s="114"/>
      <c r="O32" s="114"/>
      <c r="P32" s="114"/>
      <c r="Q32" s="114"/>
    </row>
    <row r="33" spans="2:17" x14ac:dyDescent="0.2">
      <c r="B33" s="58"/>
      <c r="C33" s="22"/>
      <c r="D33" s="22"/>
      <c r="E33" s="22"/>
      <c r="F33" s="17"/>
      <c r="G33" s="22"/>
      <c r="H33" s="16"/>
      <c r="I33" s="16"/>
      <c r="J33" s="16"/>
      <c r="K33" s="16"/>
      <c r="L33" s="2"/>
      <c r="M33" s="174"/>
      <c r="N33" s="174"/>
      <c r="O33" s="14"/>
      <c r="P33" s="174"/>
      <c r="Q33" s="15"/>
    </row>
    <row r="34" spans="2:17" x14ac:dyDescent="0.2">
      <c r="L34" s="2"/>
    </row>
    <row r="35" spans="2:17" x14ac:dyDescent="0.2">
      <c r="L35" s="2"/>
    </row>
    <row r="36" spans="2:17" x14ac:dyDescent="0.2">
      <c r="L36" s="2"/>
    </row>
    <row r="37" spans="2:17" x14ac:dyDescent="0.2">
      <c r="L37" s="2"/>
    </row>
    <row r="38" spans="2:17" x14ac:dyDescent="0.2">
      <c r="L38" s="2"/>
    </row>
    <row r="39" spans="2:17" x14ac:dyDescent="0.2">
      <c r="L39" s="2"/>
    </row>
    <row r="40" spans="2:17" x14ac:dyDescent="0.2">
      <c r="L40" s="2"/>
    </row>
    <row r="41" spans="2:17" x14ac:dyDescent="0.2">
      <c r="L41" s="2"/>
    </row>
    <row r="42" spans="2:17" x14ac:dyDescent="0.2">
      <c r="L42" s="2"/>
    </row>
    <row r="43" spans="2:17" x14ac:dyDescent="0.2">
      <c r="L43" s="2"/>
    </row>
    <row r="44" spans="2:17" x14ac:dyDescent="0.2">
      <c r="L44" s="2"/>
    </row>
    <row r="45" spans="2:17" x14ac:dyDescent="0.2">
      <c r="L45" s="2"/>
    </row>
    <row r="46" spans="2:17" x14ac:dyDescent="0.2">
      <c r="L46" s="2"/>
    </row>
    <row r="47" spans="2:17" x14ac:dyDescent="0.2">
      <c r="L47" s="2"/>
    </row>
    <row r="48" spans="2:17" x14ac:dyDescent="0.2">
      <c r="L48" s="2"/>
    </row>
    <row r="49" spans="12:12" x14ac:dyDescent="0.2">
      <c r="L49" s="2"/>
    </row>
    <row r="50" spans="12:12" x14ac:dyDescent="0.2">
      <c r="L50" s="2"/>
    </row>
    <row r="51" spans="12:12" x14ac:dyDescent="0.2">
      <c r="L51" s="2"/>
    </row>
    <row r="52" spans="12:12" x14ac:dyDescent="0.2">
      <c r="L52" s="2"/>
    </row>
    <row r="53" spans="12:12" x14ac:dyDescent="0.2">
      <c r="L53" s="2"/>
    </row>
    <row r="54" spans="12:12" x14ac:dyDescent="0.2">
      <c r="L54" s="2"/>
    </row>
    <row r="55" spans="12:12" x14ac:dyDescent="0.2">
      <c r="L55" s="2"/>
    </row>
    <row r="56" spans="12:12" x14ac:dyDescent="0.2">
      <c r="L56" s="2"/>
    </row>
    <row r="57" spans="12:12" x14ac:dyDescent="0.2">
      <c r="L57" s="2"/>
    </row>
    <row r="58" spans="12:12" x14ac:dyDescent="0.2">
      <c r="L58" s="2"/>
    </row>
    <row r="59" spans="12:12" x14ac:dyDescent="0.2">
      <c r="L59" s="2"/>
    </row>
    <row r="60" spans="12:12" x14ac:dyDescent="0.2">
      <c r="L60" s="2"/>
    </row>
    <row r="61" spans="12:12" x14ac:dyDescent="0.2">
      <c r="L61" s="2"/>
    </row>
    <row r="62" spans="12:12" x14ac:dyDescent="0.2">
      <c r="L62" s="2"/>
    </row>
    <row r="63" spans="12:12" x14ac:dyDescent="0.2">
      <c r="L63" s="2"/>
    </row>
    <row r="64" spans="12:12" x14ac:dyDescent="0.2">
      <c r="L64" s="2"/>
    </row>
    <row r="65" spans="1:12" x14ac:dyDescent="0.2">
      <c r="L65" s="2"/>
    </row>
    <row r="66" spans="1:12" x14ac:dyDescent="0.2">
      <c r="L66" s="2"/>
    </row>
    <row r="67" spans="1:12" x14ac:dyDescent="0.2">
      <c r="L67" s="2"/>
    </row>
    <row r="68" spans="1:12" ht="12" thickBot="1" x14ac:dyDescent="0.25">
      <c r="L68" s="2"/>
    </row>
    <row r="69" spans="1:12" ht="12" thickBot="1" x14ac:dyDescent="0.25">
      <c r="A69" s="4"/>
      <c r="B69" s="5"/>
      <c r="C69" s="5"/>
      <c r="D69" s="5"/>
      <c r="E69" s="5"/>
      <c r="F69" s="5"/>
      <c r="G69" s="5"/>
      <c r="H69" s="5"/>
      <c r="I69" s="5"/>
      <c r="J69" s="5"/>
      <c r="K69" s="5"/>
      <c r="L69" s="3"/>
    </row>
  </sheetData>
  <phoneticPr fontId="0" type="noConversion"/>
  <pageMargins left="0.5" right="0.5" top="0.5" bottom="0.5" header="0.5" footer="0.5"/>
  <pageSetup orientation="portrait" blackAndWhite="1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31"/>
  <dimension ref="A1:N69"/>
  <sheetViews>
    <sheetView showGridLines="0" view="pageBreakPreview" zoomScale="60" zoomScaleNormal="100" workbookViewId="0">
      <selection activeCell="L46" sqref="L46"/>
    </sheetView>
  </sheetViews>
  <sheetFormatPr defaultColWidth="11.33203125" defaultRowHeight="11.25" x14ac:dyDescent="0.2"/>
  <cols>
    <col min="1" max="1" width="2.5" bestFit="1" customWidth="1"/>
    <col min="2" max="2" width="11.33203125" customWidth="1"/>
    <col min="3" max="5" width="15.33203125" customWidth="1"/>
    <col min="6" max="10" width="11.33203125" customWidth="1"/>
    <col min="11" max="11" width="4.6640625" customWidth="1"/>
  </cols>
  <sheetData>
    <row r="1" spans="1:13" x14ac:dyDescent="0.2">
      <c r="A1" s="8" t="str">
        <f>'1'!$A$1</f>
        <v>Texas Windstorm Insurance Association</v>
      </c>
      <c r="B1" s="12"/>
      <c r="K1" s="7" t="s">
        <v>140</v>
      </c>
      <c r="L1" s="1"/>
    </row>
    <row r="2" spans="1:13" x14ac:dyDescent="0.2">
      <c r="A2" s="8" t="str">
        <f>'1'!$A$2</f>
        <v>Commercial Property - Wind &amp; Hail</v>
      </c>
      <c r="B2" s="12"/>
      <c r="K2" s="7" t="s">
        <v>66</v>
      </c>
      <c r="L2" s="2"/>
    </row>
    <row r="3" spans="1:13" x14ac:dyDescent="0.2">
      <c r="A3" s="8" t="str">
        <f>'1'!$A$3</f>
        <v>Rate Level Review</v>
      </c>
      <c r="B3" s="12"/>
      <c r="L3" s="2"/>
    </row>
    <row r="4" spans="1:13" x14ac:dyDescent="0.2">
      <c r="A4" t="s">
        <v>145</v>
      </c>
      <c r="B4" s="12"/>
      <c r="L4" s="2"/>
    </row>
    <row r="5" spans="1:13" x14ac:dyDescent="0.2">
      <c r="A5" s="58"/>
      <c r="B5" s="21"/>
      <c r="C5" s="58"/>
      <c r="D5" s="58"/>
      <c r="E5" s="58"/>
      <c r="L5" s="2"/>
    </row>
    <row r="6" spans="1:13" x14ac:dyDescent="0.2">
      <c r="L6" s="2"/>
    </row>
    <row r="7" spans="1:13" ht="12" thickBot="1" x14ac:dyDescent="0.25">
      <c r="A7" s="6"/>
      <c r="B7" s="6"/>
      <c r="C7" s="6"/>
      <c r="D7" s="6"/>
      <c r="E7" s="6"/>
      <c r="F7" s="6"/>
      <c r="L7" s="2"/>
    </row>
    <row r="8" spans="1:13" ht="12" thickTop="1" x14ac:dyDescent="0.2">
      <c r="L8" s="2"/>
    </row>
    <row r="9" spans="1:13" x14ac:dyDescent="0.2">
      <c r="C9" s="49" t="s">
        <v>115</v>
      </c>
      <c r="D9" t="s">
        <v>52</v>
      </c>
      <c r="L9" s="2"/>
      <c r="M9" s="26"/>
    </row>
    <row r="10" spans="1:13" x14ac:dyDescent="0.2">
      <c r="C10" t="s">
        <v>116</v>
      </c>
      <c r="D10" t="s">
        <v>138</v>
      </c>
      <c r="E10" t="s">
        <v>406</v>
      </c>
      <c r="F10" t="s">
        <v>117</v>
      </c>
      <c r="L10" s="2"/>
      <c r="M10" s="21" t="s">
        <v>137</v>
      </c>
    </row>
    <row r="11" spans="1:13" x14ac:dyDescent="0.2">
      <c r="A11" s="9" t="s">
        <v>114</v>
      </c>
      <c r="B11" s="9"/>
      <c r="C11" s="9" t="str">
        <f>"as of "&amp;TEXT($M$11,"m/d/yy")</f>
        <v>as of 11/30/18</v>
      </c>
      <c r="D11" s="9" t="s">
        <v>139</v>
      </c>
      <c r="E11" s="9" t="s">
        <v>407</v>
      </c>
      <c r="F11" s="9" t="s">
        <v>118</v>
      </c>
      <c r="L11" s="2"/>
      <c r="M11" s="99">
        <f>'[2]Hurr Models'!$C$1</f>
        <v>43434</v>
      </c>
    </row>
    <row r="12" spans="1:13" x14ac:dyDescent="0.2">
      <c r="A12" s="13" t="str">
        <f>TEXT(COLUMN(),"(#)")</f>
        <v>(1)</v>
      </c>
      <c r="B12" s="13"/>
      <c r="C12" s="11" t="str">
        <f>TEXT(COLUMN()-1,"(#)")</f>
        <v>(2)</v>
      </c>
      <c r="D12" s="11" t="str">
        <f>TEXT(COLUMN()-1,"(#)")</f>
        <v>(3)</v>
      </c>
      <c r="E12" s="11" t="str">
        <f>TEXT(COLUMN()-1,"(#)")</f>
        <v>(4)</v>
      </c>
      <c r="F12" s="11" t="str">
        <f>TEXT(COLUMN()-1,"(#)")</f>
        <v>(5)</v>
      </c>
      <c r="L12" s="2"/>
    </row>
    <row r="13" spans="1:13" x14ac:dyDescent="0.2">
      <c r="L13" s="2"/>
    </row>
    <row r="14" spans="1:13" x14ac:dyDescent="0.2">
      <c r="A14" t="s">
        <v>122</v>
      </c>
      <c r="C14" s="98">
        <f>ROUND('[2]Hurr Models'!$E5/1000,0)</f>
        <v>277830</v>
      </c>
      <c r="D14" s="98">
        <f>ROUND('[2]Hurr Models'!$K5,0)</f>
        <v>1051069</v>
      </c>
      <c r="E14" s="37">
        <f>$M$37/10+1</f>
        <v>1.018</v>
      </c>
      <c r="F14" s="37">
        <f>ROUND(D14/C14*E14,3)</f>
        <v>3.851</v>
      </c>
      <c r="L14" s="2"/>
    </row>
    <row r="15" spans="1:13" x14ac:dyDescent="0.2">
      <c r="A15" t="s">
        <v>123</v>
      </c>
      <c r="C15" s="98">
        <f>ROUND('[2]Hurr Models'!$E6/1000,0)</f>
        <v>493586</v>
      </c>
      <c r="D15" s="98">
        <f>ROUND('[2]Hurr Models'!$K6,0)</f>
        <v>1702302</v>
      </c>
      <c r="E15" s="37">
        <f t="shared" ref="E15:E31" si="0">$M$37/10+1</f>
        <v>1.018</v>
      </c>
      <c r="F15" s="37">
        <f t="shared" ref="F15:F31" si="1">ROUND(D15/C15*E15,3)</f>
        <v>3.5110000000000001</v>
      </c>
      <c r="L15" s="2"/>
    </row>
    <row r="16" spans="1:13" x14ac:dyDescent="0.2">
      <c r="A16" t="s">
        <v>124</v>
      </c>
      <c r="C16" s="98">
        <f>ROUND('[2]Hurr Models'!$E7/1000,0)</f>
        <v>112097</v>
      </c>
      <c r="D16" s="98">
        <f>ROUND('[2]Hurr Models'!$K7,0)</f>
        <v>540141</v>
      </c>
      <c r="E16" s="37">
        <f t="shared" si="0"/>
        <v>1.018</v>
      </c>
      <c r="F16" s="37">
        <f t="shared" si="1"/>
        <v>4.9050000000000002</v>
      </c>
      <c r="L16" s="2"/>
    </row>
    <row r="17" spans="1:13" x14ac:dyDescent="0.2">
      <c r="A17" t="s">
        <v>125</v>
      </c>
      <c r="C17" s="98">
        <f>ROUND('[2]Hurr Models'!$E8/1000,0)</f>
        <v>999634</v>
      </c>
      <c r="D17" s="98">
        <f>ROUND('[2]Hurr Models'!$K8,0)</f>
        <v>4985048</v>
      </c>
      <c r="E17" s="37">
        <f t="shared" si="0"/>
        <v>1.018</v>
      </c>
      <c r="F17" s="37">
        <f t="shared" si="1"/>
        <v>5.077</v>
      </c>
      <c r="L17" s="2"/>
    </row>
    <row r="18" spans="1:13" x14ac:dyDescent="0.2">
      <c r="A18" t="s">
        <v>126</v>
      </c>
      <c r="C18" s="98">
        <f>ROUND('[2]Hurr Models'!$E9/1000,0)</f>
        <v>58987</v>
      </c>
      <c r="D18" s="98">
        <f>ROUND('[2]Hurr Models'!$K9,0)</f>
        <v>188826</v>
      </c>
      <c r="E18" s="37">
        <f t="shared" si="0"/>
        <v>1.018</v>
      </c>
      <c r="F18" s="37">
        <f>ROUND(D18/C18*E18,3)</f>
        <v>3.2589999999999999</v>
      </c>
      <c r="L18" s="2"/>
    </row>
    <row r="19" spans="1:13" x14ac:dyDescent="0.2">
      <c r="A19" t="s">
        <v>127</v>
      </c>
      <c r="C19" s="98">
        <f>ROUND('[2]Hurr Models'!$E10/1000,0)</f>
        <v>2382030</v>
      </c>
      <c r="D19" s="98">
        <f>ROUND('[2]Hurr Models'!$K10,0)</f>
        <v>15176508</v>
      </c>
      <c r="E19" s="37">
        <f t="shared" si="0"/>
        <v>1.018</v>
      </c>
      <c r="F19" s="37">
        <f t="shared" si="1"/>
        <v>6.4859999999999998</v>
      </c>
      <c r="L19" s="2"/>
    </row>
    <row r="20" spans="1:13" x14ac:dyDescent="0.2">
      <c r="A20" t="s">
        <v>128</v>
      </c>
      <c r="C20" s="98">
        <f>ROUND('[2]Hurr Models'!$E11/1000,0)</f>
        <v>38105</v>
      </c>
      <c r="D20" s="98">
        <f>ROUND('[2]Hurr Models'!$K11,0)</f>
        <v>191578</v>
      </c>
      <c r="E20" s="37">
        <f t="shared" si="0"/>
        <v>1.018</v>
      </c>
      <c r="F20" s="37">
        <f t="shared" si="1"/>
        <v>5.1180000000000003</v>
      </c>
      <c r="L20" s="2"/>
    </row>
    <row r="21" spans="1:13" x14ac:dyDescent="0.2">
      <c r="A21" t="s">
        <v>129</v>
      </c>
      <c r="C21" s="98">
        <f>ROUND('[2]Hurr Models'!$E12/1000,0)</f>
        <v>397141</v>
      </c>
      <c r="D21" s="98">
        <f>ROUND('[2]Hurr Models'!$K12,0)</f>
        <v>1165361</v>
      </c>
      <c r="E21" s="37">
        <f t="shared" si="0"/>
        <v>1.018</v>
      </c>
      <c r="F21" s="37">
        <f t="shared" si="1"/>
        <v>2.9870000000000001</v>
      </c>
      <c r="L21" s="2"/>
    </row>
    <row r="22" spans="1:13" x14ac:dyDescent="0.2">
      <c r="A22" t="s">
        <v>130</v>
      </c>
      <c r="C22" s="98">
        <f>ROUND('[2]Hurr Models'!$E13/1000,0)</f>
        <v>694</v>
      </c>
      <c r="D22" s="98">
        <f>ROUND('[2]Hurr Models'!$K13,0)</f>
        <v>1439</v>
      </c>
      <c r="E22" s="37">
        <f t="shared" si="0"/>
        <v>1.018</v>
      </c>
      <c r="F22" s="37">
        <f t="shared" si="1"/>
        <v>2.1110000000000002</v>
      </c>
      <c r="L22" s="2"/>
    </row>
    <row r="23" spans="1:13" x14ac:dyDescent="0.2">
      <c r="A23" t="s">
        <v>131</v>
      </c>
      <c r="B23" s="21"/>
      <c r="C23" s="98">
        <f>ROUND('[2]Hurr Models'!$E14/1000,0)</f>
        <v>17254</v>
      </c>
      <c r="D23" s="98">
        <f>ROUND('[2]Hurr Models'!$K14,0)</f>
        <v>33971</v>
      </c>
      <c r="E23" s="37">
        <f t="shared" si="0"/>
        <v>1.018</v>
      </c>
      <c r="F23" s="37">
        <f t="shared" si="1"/>
        <v>2.004</v>
      </c>
      <c r="L23" s="2"/>
    </row>
    <row r="24" spans="1:13" x14ac:dyDescent="0.2">
      <c r="A24" t="s">
        <v>132</v>
      </c>
      <c r="B24" s="21"/>
      <c r="C24" s="98">
        <f>ROUND('[2]Hurr Models'!$E15/1000,0)</f>
        <v>93289</v>
      </c>
      <c r="D24" s="98">
        <f>ROUND('[2]Hurr Models'!$K15,0)</f>
        <v>389138</v>
      </c>
      <c r="E24" s="37">
        <f t="shared" si="0"/>
        <v>1.018</v>
      </c>
      <c r="F24" s="37">
        <f t="shared" si="1"/>
        <v>4.2460000000000004</v>
      </c>
      <c r="L24" s="2"/>
    </row>
    <row r="25" spans="1:13" x14ac:dyDescent="0.2">
      <c r="A25" t="s">
        <v>133</v>
      </c>
      <c r="B25" s="21"/>
      <c r="C25" s="98">
        <f>ROUND('[2]Hurr Models'!$E16/1000,0)</f>
        <v>1584979</v>
      </c>
      <c r="D25" s="98">
        <f>ROUND('[2]Hurr Models'!$K16,0)</f>
        <v>6261586</v>
      </c>
      <c r="E25" s="37">
        <f t="shared" si="0"/>
        <v>1.018</v>
      </c>
      <c r="F25" s="37">
        <f t="shared" si="1"/>
        <v>4.0220000000000002</v>
      </c>
      <c r="L25" s="2"/>
    </row>
    <row r="26" spans="1:13" x14ac:dyDescent="0.2">
      <c r="A26" t="s">
        <v>134</v>
      </c>
      <c r="C26" s="98">
        <f>ROUND('[2]Hurr Models'!$E17/1000,0)</f>
        <v>21241</v>
      </c>
      <c r="D26" s="98">
        <f>ROUND('[2]Hurr Models'!$K17,0)</f>
        <v>58082</v>
      </c>
      <c r="E26" s="37">
        <f t="shared" si="0"/>
        <v>1.018</v>
      </c>
      <c r="F26" s="37">
        <f t="shared" si="1"/>
        <v>2.7839999999999998</v>
      </c>
      <c r="L26" s="2"/>
    </row>
    <row r="27" spans="1:13" x14ac:dyDescent="0.2">
      <c r="A27" t="s">
        <v>135</v>
      </c>
      <c r="C27" s="98">
        <f>ROUND('[2]Hurr Models'!$E18/1000,0)</f>
        <v>136263</v>
      </c>
      <c r="D27" s="98">
        <f>ROUND('[2]Hurr Models'!$K18,0)</f>
        <v>431863</v>
      </c>
      <c r="E27" s="37">
        <f t="shared" si="0"/>
        <v>1.018</v>
      </c>
      <c r="F27" s="37">
        <f t="shared" si="1"/>
        <v>3.226</v>
      </c>
      <c r="L27" s="2"/>
      <c r="M27" s="40"/>
    </row>
    <row r="28" spans="1:13" x14ac:dyDescent="0.2">
      <c r="A28" t="s">
        <v>136</v>
      </c>
      <c r="C28" s="98">
        <f>ROUND('[2]Hurr Models'!$E19/1000,0)</f>
        <v>14648</v>
      </c>
      <c r="D28" s="98">
        <f>ROUND('[2]Hurr Models'!$K19,0)</f>
        <v>58126</v>
      </c>
      <c r="E28" s="37">
        <f t="shared" si="0"/>
        <v>1.018</v>
      </c>
      <c r="F28" s="37">
        <f t="shared" si="1"/>
        <v>4.04</v>
      </c>
      <c r="L28" s="2"/>
      <c r="M28" s="40"/>
    </row>
    <row r="29" spans="1:13" x14ac:dyDescent="0.2">
      <c r="A29" s="9"/>
      <c r="B29" s="25"/>
      <c r="C29" s="89"/>
      <c r="D29" s="89"/>
      <c r="E29" s="38"/>
      <c r="F29" s="38"/>
      <c r="G29" s="42"/>
      <c r="H29" s="42"/>
      <c r="I29" s="42"/>
      <c r="J29" s="42"/>
      <c r="K29" s="58"/>
      <c r="L29" s="2"/>
    </row>
    <row r="30" spans="1:13" x14ac:dyDescent="0.2">
      <c r="C30" s="18"/>
      <c r="D30" s="18"/>
      <c r="E30" s="12"/>
      <c r="F30" s="12"/>
      <c r="L30" s="2"/>
    </row>
    <row r="31" spans="1:13" x14ac:dyDescent="0.2">
      <c r="A31" t="s">
        <v>8</v>
      </c>
      <c r="C31" s="29">
        <f>SUM(C14:C28)</f>
        <v>6627778</v>
      </c>
      <c r="D31" s="29">
        <f>SUM(D14:D28)</f>
        <v>32235038</v>
      </c>
      <c r="E31" s="37">
        <f t="shared" si="0"/>
        <v>1.018</v>
      </c>
      <c r="F31" s="37">
        <f t="shared" si="1"/>
        <v>4.9509999999999996</v>
      </c>
      <c r="H31" s="18"/>
      <c r="L31" s="2"/>
    </row>
    <row r="32" spans="1:13" ht="12" thickBot="1" x14ac:dyDescent="0.25">
      <c r="A32" s="6"/>
      <c r="B32" s="6"/>
      <c r="C32" s="6"/>
      <c r="D32" s="6"/>
      <c r="E32" s="6"/>
      <c r="F32" s="6"/>
      <c r="L32" s="2"/>
    </row>
    <row r="33" spans="1:14" ht="12" thickTop="1" x14ac:dyDescent="0.2">
      <c r="L33" s="2"/>
    </row>
    <row r="34" spans="1:14" x14ac:dyDescent="0.2">
      <c r="A34" t="s">
        <v>19</v>
      </c>
      <c r="L34" s="2"/>
    </row>
    <row r="35" spans="1:14" x14ac:dyDescent="0.2">
      <c r="B35" s="21" t="str">
        <f>C12&amp;" Provided by TWIA and Geo-coded by RMS"</f>
        <v>(2) Provided by TWIA and Geo-coded by RMS</v>
      </c>
      <c r="L35" s="2"/>
    </row>
    <row r="36" spans="1:14" x14ac:dyDescent="0.2">
      <c r="B36" s="21" t="str">
        <f>D12&amp;" Provided by RMS"&amp;" Excluding Storm Surge"</f>
        <v>(3) Provided by RMS Excluding Storm Surge</v>
      </c>
      <c r="L36" s="2"/>
    </row>
    <row r="37" spans="1:14" x14ac:dyDescent="0.2">
      <c r="B37" s="21" t="str">
        <f>E12&amp;" = 10% of modeled storm surge increase, estimated to be "&amp;TEXT($M$37,"0.0%")</f>
        <v>(4) = 10% of modeled storm surge increase, estimated to be 18.0%</v>
      </c>
      <c r="F37" s="59"/>
      <c r="G37" s="59"/>
      <c r="H37" s="59"/>
      <c r="I37" s="22"/>
      <c r="L37" s="2"/>
      <c r="M37" s="110">
        <v>0.18</v>
      </c>
      <c r="N37" t="s">
        <v>409</v>
      </c>
    </row>
    <row r="38" spans="1:14" x14ac:dyDescent="0.2">
      <c r="B38" s="21" t="str">
        <f>F12&amp;" = "&amp;D12&amp;" / "&amp;C12&amp;" * "&amp;E12</f>
        <v>(5) = (3) / (2) * (4)</v>
      </c>
      <c r="L38" s="2"/>
    </row>
    <row r="39" spans="1:14" x14ac:dyDescent="0.2">
      <c r="L39" s="2"/>
    </row>
    <row r="40" spans="1:14" x14ac:dyDescent="0.2">
      <c r="A40" s="58"/>
      <c r="B40" s="58"/>
      <c r="C40" s="58"/>
      <c r="D40" s="58"/>
      <c r="E40" s="58"/>
      <c r="F40" s="58"/>
      <c r="G40" s="58"/>
      <c r="H40" s="58"/>
      <c r="I40" s="58"/>
      <c r="J40" s="58"/>
      <c r="K40" s="58"/>
      <c r="L40" s="2"/>
    </row>
    <row r="41" spans="1:14" x14ac:dyDescent="0.2">
      <c r="L41" s="2"/>
    </row>
    <row r="42" spans="1:14" s="58" customFormat="1" x14ac:dyDescent="0.2">
      <c r="A42"/>
      <c r="B42"/>
      <c r="C42"/>
      <c r="D42"/>
      <c r="E42"/>
      <c r="F42"/>
      <c r="G42"/>
      <c r="H42"/>
      <c r="I42"/>
      <c r="J42"/>
      <c r="K42"/>
      <c r="L42" s="2"/>
    </row>
    <row r="43" spans="1:14" s="58" customFormat="1" x14ac:dyDescent="0.2">
      <c r="A43"/>
      <c r="B43"/>
      <c r="C43"/>
      <c r="D43"/>
      <c r="E43"/>
      <c r="F43" s="42"/>
      <c r="G43" s="42"/>
      <c r="H43" s="42"/>
      <c r="I43"/>
      <c r="J43"/>
      <c r="K43"/>
      <c r="L43" s="2"/>
    </row>
    <row r="44" spans="1:14" x14ac:dyDescent="0.2">
      <c r="L44" s="2"/>
    </row>
    <row r="45" spans="1:14" x14ac:dyDescent="0.2">
      <c r="L45" s="2"/>
    </row>
    <row r="46" spans="1:14" x14ac:dyDescent="0.2">
      <c r="L46" s="2"/>
    </row>
    <row r="47" spans="1:14" x14ac:dyDescent="0.2">
      <c r="L47" s="2"/>
    </row>
    <row r="48" spans="1:14" x14ac:dyDescent="0.2">
      <c r="L48" s="2"/>
    </row>
    <row r="49" spans="1:12" x14ac:dyDescent="0.2">
      <c r="L49" s="2"/>
    </row>
    <row r="50" spans="1:12" x14ac:dyDescent="0.2">
      <c r="L50" s="2"/>
    </row>
    <row r="51" spans="1:12" s="58" customFormat="1" x14ac:dyDescent="0.2">
      <c r="A51"/>
      <c r="B51"/>
      <c r="C51"/>
      <c r="D51"/>
      <c r="E51"/>
      <c r="L51" s="2"/>
    </row>
    <row r="52" spans="1:12" s="58" customFormat="1" x14ac:dyDescent="0.2">
      <c r="L52" s="2"/>
    </row>
    <row r="53" spans="1:12" s="58" customFormat="1" x14ac:dyDescent="0.2">
      <c r="A53" s="42"/>
      <c r="B53" s="42"/>
      <c r="C53" s="42"/>
      <c r="D53" s="42"/>
      <c r="E53" s="42"/>
      <c r="F53" s="42"/>
      <c r="G53" s="42"/>
      <c r="H53" s="42"/>
      <c r="I53" s="42"/>
      <c r="J53" s="42"/>
      <c r="L53" s="2"/>
    </row>
    <row r="54" spans="1:12" s="58" customFormat="1" x14ac:dyDescent="0.2">
      <c r="L54" s="2"/>
    </row>
    <row r="55" spans="1:12" s="58" customFormat="1" x14ac:dyDescent="0.2">
      <c r="A55" s="68"/>
      <c r="C55" s="36"/>
      <c r="D55" s="36"/>
      <c r="E55" s="36"/>
      <c r="F55" s="36"/>
      <c r="G55" s="36"/>
      <c r="H55" s="36"/>
      <c r="I55" s="31"/>
      <c r="J55" s="31"/>
      <c r="L55" s="2"/>
    </row>
    <row r="56" spans="1:12" s="58" customFormat="1" x14ac:dyDescent="0.2">
      <c r="A56" s="68"/>
      <c r="C56" s="28"/>
      <c r="D56" s="28"/>
      <c r="E56" s="28"/>
      <c r="F56" s="28"/>
      <c r="G56" s="28"/>
      <c r="H56" s="28"/>
      <c r="I56" s="28"/>
      <c r="J56" s="28"/>
      <c r="L56" s="2"/>
    </row>
    <row r="57" spans="1:12" s="58" customFormat="1" x14ac:dyDescent="0.2">
      <c r="A57" s="68"/>
      <c r="C57" s="28"/>
      <c r="D57" s="28"/>
      <c r="E57" s="28"/>
      <c r="F57" s="28"/>
      <c r="G57" s="28"/>
      <c r="H57" s="28"/>
      <c r="I57" s="28"/>
      <c r="J57" s="28"/>
      <c r="L57" s="2"/>
    </row>
    <row r="58" spans="1:12" s="58" customFormat="1" x14ac:dyDescent="0.2">
      <c r="A58" s="68"/>
      <c r="C58" s="28"/>
      <c r="D58" s="28"/>
      <c r="E58" s="28"/>
      <c r="F58" s="28"/>
      <c r="G58" s="28"/>
      <c r="H58" s="28"/>
      <c r="I58" s="28"/>
      <c r="J58" s="28"/>
      <c r="L58" s="2"/>
    </row>
    <row r="59" spans="1:12" s="58" customFormat="1" x14ac:dyDescent="0.2">
      <c r="A59" s="68"/>
      <c r="C59" s="28"/>
      <c r="D59" s="28"/>
      <c r="E59" s="28"/>
      <c r="F59" s="28"/>
      <c r="G59" s="28"/>
      <c r="H59" s="28"/>
      <c r="I59" s="28"/>
      <c r="J59" s="28"/>
      <c r="L59" s="2"/>
    </row>
    <row r="60" spans="1:12" s="58" customFormat="1" x14ac:dyDescent="0.2">
      <c r="A60" s="68"/>
      <c r="C60" s="28"/>
      <c r="D60" s="28"/>
      <c r="E60" s="28"/>
      <c r="F60" s="28"/>
      <c r="G60" s="28"/>
      <c r="H60" s="28"/>
      <c r="I60" s="28"/>
      <c r="J60" s="28"/>
      <c r="L60" s="2"/>
    </row>
    <row r="61" spans="1:12" s="58" customFormat="1" x14ac:dyDescent="0.2">
      <c r="A61" s="68"/>
      <c r="C61" s="28"/>
      <c r="D61" s="28"/>
      <c r="E61" s="28"/>
      <c r="F61" s="28"/>
      <c r="G61" s="28"/>
      <c r="H61" s="28"/>
      <c r="I61" s="28"/>
      <c r="J61" s="28"/>
      <c r="L61" s="2"/>
    </row>
    <row r="62" spans="1:12" s="58" customFormat="1" x14ac:dyDescent="0.2">
      <c r="A62" s="68"/>
      <c r="C62" s="28"/>
      <c r="D62" s="28"/>
      <c r="E62" s="28"/>
      <c r="F62" s="28"/>
      <c r="G62" s="28"/>
      <c r="H62" s="28"/>
      <c r="I62" s="28"/>
      <c r="J62" s="28"/>
      <c r="L62" s="2"/>
    </row>
    <row r="63" spans="1:12" x14ac:dyDescent="0.2">
      <c r="B63" s="24"/>
      <c r="C63" s="59"/>
      <c r="D63" s="59"/>
      <c r="E63" s="59"/>
      <c r="F63" s="59"/>
      <c r="G63" s="59"/>
      <c r="H63" s="59"/>
      <c r="I63" s="22"/>
      <c r="L63" s="2"/>
    </row>
    <row r="64" spans="1:12" x14ac:dyDescent="0.2">
      <c r="B64" s="24"/>
      <c r="C64" s="59"/>
      <c r="D64" s="59"/>
      <c r="E64" s="59"/>
      <c r="F64" s="59"/>
      <c r="G64" s="59"/>
      <c r="H64" s="59"/>
      <c r="I64" s="22"/>
      <c r="L64" s="2"/>
    </row>
    <row r="65" spans="1:12" x14ac:dyDescent="0.2">
      <c r="B65" s="24"/>
      <c r="C65" s="59"/>
      <c r="D65" s="59"/>
      <c r="E65" s="59"/>
      <c r="F65" s="59"/>
      <c r="G65" s="59"/>
      <c r="H65" s="59"/>
      <c r="I65" s="22"/>
      <c r="L65" s="2"/>
    </row>
    <row r="66" spans="1:12" x14ac:dyDescent="0.2">
      <c r="B66" s="24"/>
      <c r="C66" s="59"/>
      <c r="D66" s="59"/>
      <c r="E66" s="59"/>
      <c r="F66" s="59"/>
      <c r="G66" s="59"/>
      <c r="H66" s="59"/>
      <c r="I66" s="22"/>
      <c r="L66" s="2"/>
    </row>
    <row r="67" spans="1:12" x14ac:dyDescent="0.2">
      <c r="L67" s="2"/>
    </row>
    <row r="68" spans="1:12" ht="12" thickBot="1" x14ac:dyDescent="0.25">
      <c r="L68" s="2"/>
    </row>
    <row r="69" spans="1:12" ht="12" thickBot="1" x14ac:dyDescent="0.25">
      <c r="A69" s="4"/>
      <c r="B69" s="5"/>
      <c r="C69" s="5"/>
      <c r="D69" s="5"/>
      <c r="E69" s="5"/>
      <c r="F69" s="5"/>
      <c r="G69" s="5"/>
      <c r="H69" s="5"/>
      <c r="I69" s="5"/>
      <c r="J69" s="5"/>
      <c r="K69" s="5"/>
      <c r="L69" s="3"/>
    </row>
  </sheetData>
  <phoneticPr fontId="0" type="noConversion"/>
  <pageMargins left="0.5" right="0.5" top="0.5" bottom="0.5" header="0.5" footer="0.5"/>
  <pageSetup orientation="portrait" blackAndWhite="1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32"/>
  <dimension ref="A1:M68"/>
  <sheetViews>
    <sheetView showGridLines="0" view="pageBreakPreview" zoomScale="60" zoomScaleNormal="100" workbookViewId="0">
      <selection activeCell="H36" sqref="H36"/>
    </sheetView>
  </sheetViews>
  <sheetFormatPr defaultColWidth="11.33203125" defaultRowHeight="11.25" x14ac:dyDescent="0.2"/>
  <cols>
    <col min="1" max="1" width="6.33203125" customWidth="1"/>
    <col min="2" max="2" width="10.1640625" customWidth="1"/>
    <col min="3" max="3" width="20.1640625" customWidth="1"/>
    <col min="4" max="4" width="11.33203125" customWidth="1"/>
    <col min="5" max="5" width="6.33203125" customWidth="1"/>
    <col min="6" max="6" width="10.1640625" customWidth="1"/>
    <col min="7" max="7" width="20.1640625" customWidth="1"/>
    <col min="8" max="9" width="11.33203125" customWidth="1"/>
    <col min="10" max="10" width="14" customWidth="1"/>
  </cols>
  <sheetData>
    <row r="1" spans="1:13" x14ac:dyDescent="0.2">
      <c r="A1" s="8" t="str">
        <f>'1'!$A$1</f>
        <v>Texas Windstorm Insurance Association</v>
      </c>
      <c r="B1" s="8"/>
      <c r="J1" s="7" t="s">
        <v>143</v>
      </c>
      <c r="K1" s="1"/>
    </row>
    <row r="2" spans="1:13" x14ac:dyDescent="0.2">
      <c r="A2" s="8" t="str">
        <f>'1'!$A$2</f>
        <v>Commercial Property - Wind &amp; Hail</v>
      </c>
      <c r="B2" s="8"/>
      <c r="J2" s="7"/>
      <c r="K2" s="2"/>
    </row>
    <row r="3" spans="1:13" x14ac:dyDescent="0.2">
      <c r="A3" s="8" t="str">
        <f>'1'!$A$3</f>
        <v>Rate Level Review</v>
      </c>
      <c r="B3" s="8"/>
      <c r="K3" s="2"/>
      <c r="L3" s="11" t="s">
        <v>87</v>
      </c>
      <c r="M3" t="s">
        <v>88</v>
      </c>
    </row>
    <row r="4" spans="1:13" x14ac:dyDescent="0.2">
      <c r="A4" t="str">
        <f>"Texas Hurricanes "&amp;L4&amp;" - "&amp;YEAR(M4)</f>
        <v>Texas Hurricanes 1850 - 2018</v>
      </c>
      <c r="K4" s="2"/>
      <c r="L4" s="367">
        <v>1850</v>
      </c>
      <c r="M4" s="103">
        <v>43465</v>
      </c>
    </row>
    <row r="5" spans="1:13" x14ac:dyDescent="0.2">
      <c r="A5" s="58"/>
      <c r="B5" s="58"/>
      <c r="C5" s="58"/>
      <c r="D5" s="58"/>
      <c r="E5" s="58"/>
      <c r="F5" s="58"/>
      <c r="G5" s="58"/>
      <c r="K5" s="2"/>
    </row>
    <row r="6" spans="1:13" x14ac:dyDescent="0.2">
      <c r="K6" s="2"/>
    </row>
    <row r="7" spans="1:13" ht="12" thickBot="1" x14ac:dyDescent="0.25">
      <c r="A7" s="6"/>
      <c r="B7" s="6"/>
      <c r="C7" s="6"/>
      <c r="D7" s="6"/>
      <c r="E7" s="6"/>
      <c r="F7" s="6"/>
      <c r="G7" s="6"/>
      <c r="K7" s="2"/>
    </row>
    <row r="8" spans="1:13" ht="12" thickTop="1" x14ac:dyDescent="0.2">
      <c r="K8" s="2"/>
    </row>
    <row r="9" spans="1:13" x14ac:dyDescent="0.2">
      <c r="C9" s="49"/>
      <c r="K9" s="2"/>
      <c r="L9" s="26"/>
    </row>
    <row r="10" spans="1:13" x14ac:dyDescent="0.2">
      <c r="A10" s="10" t="s">
        <v>351</v>
      </c>
      <c r="E10" s="10" t="s">
        <v>351</v>
      </c>
      <c r="K10" s="2"/>
      <c r="L10" s="11"/>
    </row>
    <row r="11" spans="1:13" x14ac:dyDescent="0.2">
      <c r="A11" s="9" t="s">
        <v>43</v>
      </c>
      <c r="B11" s="9" t="s">
        <v>350</v>
      </c>
      <c r="C11" s="9" t="s">
        <v>148</v>
      </c>
      <c r="E11" s="9" t="s">
        <v>43</v>
      </c>
      <c r="F11" s="9" t="s">
        <v>350</v>
      </c>
      <c r="G11" s="9" t="s">
        <v>148</v>
      </c>
      <c r="K11" s="2"/>
    </row>
    <row r="12" spans="1:13" x14ac:dyDescent="0.2">
      <c r="A12" s="13" t="str">
        <f>TEXT(COLUMN(),"(#)")</f>
        <v>(1)</v>
      </c>
      <c r="B12" s="13"/>
      <c r="C12" s="11" t="str">
        <f>TEXT(COLUMN()-1,"(#)")</f>
        <v>(2)</v>
      </c>
      <c r="E12" s="13" t="str">
        <f>A12</f>
        <v>(1)</v>
      </c>
      <c r="F12" s="13"/>
      <c r="G12" s="13" t="str">
        <f>C12</f>
        <v>(2)</v>
      </c>
      <c r="K12" s="2"/>
    </row>
    <row r="13" spans="1:13" x14ac:dyDescent="0.2">
      <c r="K13" s="2"/>
    </row>
    <row r="14" spans="1:13" x14ac:dyDescent="0.2">
      <c r="A14">
        <v>1851</v>
      </c>
      <c r="B14" t="s">
        <v>352</v>
      </c>
      <c r="E14">
        <v>1929</v>
      </c>
      <c r="F14" t="s">
        <v>352</v>
      </c>
      <c r="K14" s="2"/>
      <c r="L14" s="72"/>
      <c r="M14" s="72"/>
    </row>
    <row r="15" spans="1:13" x14ac:dyDescent="0.2">
      <c r="A15">
        <v>1854</v>
      </c>
      <c r="B15" t="s">
        <v>352</v>
      </c>
      <c r="E15">
        <v>1932</v>
      </c>
      <c r="F15" t="s">
        <v>356</v>
      </c>
      <c r="G15" t="s">
        <v>363</v>
      </c>
      <c r="K15" s="2"/>
      <c r="M15" s="72"/>
    </row>
    <row r="16" spans="1:13" x14ac:dyDescent="0.2">
      <c r="A16">
        <v>1854</v>
      </c>
      <c r="B16" t="s">
        <v>353</v>
      </c>
      <c r="C16" t="s">
        <v>357</v>
      </c>
      <c r="E16">
        <v>1933</v>
      </c>
      <c r="F16" t="s">
        <v>356</v>
      </c>
      <c r="K16" s="2"/>
      <c r="M16" s="72"/>
    </row>
    <row r="17" spans="1:13" x14ac:dyDescent="0.2">
      <c r="A17">
        <v>1865</v>
      </c>
      <c r="B17" t="s">
        <v>353</v>
      </c>
      <c r="C17" t="s">
        <v>358</v>
      </c>
      <c r="E17">
        <v>1933</v>
      </c>
      <c r="F17" t="s">
        <v>353</v>
      </c>
      <c r="K17" s="2"/>
      <c r="M17" s="72"/>
    </row>
    <row r="18" spans="1:13" x14ac:dyDescent="0.2">
      <c r="A18">
        <v>1866</v>
      </c>
      <c r="B18" t="s">
        <v>354</v>
      </c>
      <c r="E18">
        <v>1934</v>
      </c>
      <c r="F18" t="s">
        <v>354</v>
      </c>
      <c r="K18" s="2"/>
      <c r="M18" s="72"/>
    </row>
    <row r="19" spans="1:13" x14ac:dyDescent="0.2">
      <c r="A19">
        <v>1867</v>
      </c>
      <c r="B19" t="s">
        <v>355</v>
      </c>
      <c r="C19" t="s">
        <v>359</v>
      </c>
      <c r="E19">
        <v>1936</v>
      </c>
      <c r="F19" t="s">
        <v>352</v>
      </c>
      <c r="K19" s="2"/>
      <c r="M19" s="72"/>
    </row>
    <row r="20" spans="1:13" x14ac:dyDescent="0.2">
      <c r="A20">
        <v>1869</v>
      </c>
      <c r="B20" t="s">
        <v>356</v>
      </c>
      <c r="C20" t="s">
        <v>360</v>
      </c>
      <c r="E20">
        <v>1940</v>
      </c>
      <c r="F20" t="s">
        <v>356</v>
      </c>
      <c r="K20" s="2"/>
      <c r="M20" s="72"/>
    </row>
    <row r="21" spans="1:13" x14ac:dyDescent="0.2">
      <c r="A21">
        <v>1875</v>
      </c>
      <c r="B21" t="s">
        <v>353</v>
      </c>
      <c r="E21">
        <v>1941</v>
      </c>
      <c r="F21" t="s">
        <v>353</v>
      </c>
      <c r="K21" s="2"/>
      <c r="M21" s="72"/>
    </row>
    <row r="22" spans="1:13" x14ac:dyDescent="0.2">
      <c r="A22">
        <v>1879</v>
      </c>
      <c r="B22" t="s">
        <v>356</v>
      </c>
      <c r="E22">
        <v>1942</v>
      </c>
      <c r="F22" t="s">
        <v>356</v>
      </c>
      <c r="K22" s="2"/>
      <c r="M22" s="72"/>
    </row>
    <row r="23" spans="1:13" x14ac:dyDescent="0.2">
      <c r="A23">
        <v>1880</v>
      </c>
      <c r="B23" t="s">
        <v>356</v>
      </c>
      <c r="E23">
        <v>1942</v>
      </c>
      <c r="F23" t="s">
        <v>356</v>
      </c>
      <c r="K23" s="2"/>
      <c r="M23" s="72"/>
    </row>
    <row r="24" spans="1:13" x14ac:dyDescent="0.2">
      <c r="A24">
        <v>1882</v>
      </c>
      <c r="B24" t="s">
        <v>353</v>
      </c>
      <c r="E24">
        <v>1943</v>
      </c>
      <c r="F24" t="s">
        <v>354</v>
      </c>
      <c r="K24" s="2"/>
      <c r="M24" s="72"/>
    </row>
    <row r="25" spans="1:13" x14ac:dyDescent="0.2">
      <c r="A25">
        <v>1886</v>
      </c>
      <c r="B25" t="s">
        <v>352</v>
      </c>
      <c r="E25">
        <v>1945</v>
      </c>
      <c r="F25" t="s">
        <v>356</v>
      </c>
      <c r="K25" s="2"/>
      <c r="M25" s="72"/>
    </row>
    <row r="26" spans="1:13" x14ac:dyDescent="0.2">
      <c r="A26">
        <v>1886</v>
      </c>
      <c r="B26" t="s">
        <v>356</v>
      </c>
      <c r="C26" t="s">
        <v>361</v>
      </c>
      <c r="E26">
        <v>1947</v>
      </c>
      <c r="F26" t="s">
        <v>356</v>
      </c>
      <c r="K26" s="2"/>
      <c r="M26" s="72"/>
    </row>
    <row r="27" spans="1:13" x14ac:dyDescent="0.2">
      <c r="A27">
        <v>1886</v>
      </c>
      <c r="B27" t="s">
        <v>353</v>
      </c>
      <c r="E27">
        <v>1949</v>
      </c>
      <c r="F27" t="s">
        <v>355</v>
      </c>
      <c r="K27" s="2"/>
      <c r="M27" s="72"/>
    </row>
    <row r="28" spans="1:13" x14ac:dyDescent="0.2">
      <c r="A28">
        <v>1886</v>
      </c>
      <c r="B28" t="s">
        <v>355</v>
      </c>
      <c r="E28">
        <v>1957</v>
      </c>
      <c r="F28" t="s">
        <v>352</v>
      </c>
      <c r="G28" t="s">
        <v>149</v>
      </c>
      <c r="K28" s="2"/>
      <c r="M28" s="72"/>
    </row>
    <row r="29" spans="1:13" x14ac:dyDescent="0.2">
      <c r="A29">
        <v>1887</v>
      </c>
      <c r="B29" t="s">
        <v>353</v>
      </c>
      <c r="E29">
        <v>1959</v>
      </c>
      <c r="F29" t="s">
        <v>354</v>
      </c>
      <c r="G29" t="s">
        <v>150</v>
      </c>
      <c r="K29" s="2"/>
      <c r="M29" s="72"/>
    </row>
    <row r="30" spans="1:13" x14ac:dyDescent="0.2">
      <c r="A30">
        <v>1888</v>
      </c>
      <c r="B30" t="s">
        <v>352</v>
      </c>
      <c r="E30">
        <v>1961</v>
      </c>
      <c r="F30" t="s">
        <v>353</v>
      </c>
      <c r="G30" t="s">
        <v>151</v>
      </c>
      <c r="K30" s="2"/>
      <c r="M30" s="72"/>
    </row>
    <row r="31" spans="1:13" x14ac:dyDescent="0.2">
      <c r="A31">
        <v>1891</v>
      </c>
      <c r="B31" t="s">
        <v>354</v>
      </c>
      <c r="E31" s="9">
        <v>1963</v>
      </c>
      <c r="F31" s="9" t="s">
        <v>353</v>
      </c>
      <c r="G31" s="9" t="s">
        <v>152</v>
      </c>
      <c r="K31" s="2"/>
      <c r="M31" s="72"/>
    </row>
    <row r="32" spans="1:13" x14ac:dyDescent="0.2">
      <c r="A32">
        <v>1895</v>
      </c>
      <c r="B32" t="s">
        <v>356</v>
      </c>
      <c r="E32" s="47">
        <v>1967</v>
      </c>
      <c r="F32" s="47" t="s">
        <v>353</v>
      </c>
      <c r="G32" s="47" t="s">
        <v>364</v>
      </c>
      <c r="K32" s="2"/>
      <c r="M32" s="72"/>
    </row>
    <row r="33" spans="1:13" x14ac:dyDescent="0.2">
      <c r="A33">
        <v>1897</v>
      </c>
      <c r="B33" t="s">
        <v>353</v>
      </c>
      <c r="E33">
        <v>1970</v>
      </c>
      <c r="F33" t="s">
        <v>356</v>
      </c>
      <c r="G33" t="s">
        <v>153</v>
      </c>
      <c r="K33" s="2"/>
      <c r="M33" s="72"/>
    </row>
    <row r="34" spans="1:13" x14ac:dyDescent="0.2">
      <c r="A34">
        <v>1900</v>
      </c>
      <c r="B34" t="s">
        <v>353</v>
      </c>
      <c r="C34" t="s">
        <v>359</v>
      </c>
      <c r="E34">
        <v>1971</v>
      </c>
      <c r="F34" t="s">
        <v>353</v>
      </c>
      <c r="G34" t="s">
        <v>154</v>
      </c>
      <c r="K34" s="2"/>
      <c r="M34" s="72"/>
    </row>
    <row r="35" spans="1:13" x14ac:dyDescent="0.2">
      <c r="A35">
        <v>1909</v>
      </c>
      <c r="B35" t="s">
        <v>352</v>
      </c>
      <c r="E35">
        <v>1980</v>
      </c>
      <c r="F35" t="s">
        <v>356</v>
      </c>
      <c r="G35" s="59" t="s">
        <v>155</v>
      </c>
      <c r="K35" s="2"/>
      <c r="M35" s="72"/>
    </row>
    <row r="36" spans="1:13" x14ac:dyDescent="0.2">
      <c r="A36">
        <v>1909</v>
      </c>
      <c r="B36" t="s">
        <v>354</v>
      </c>
      <c r="C36" t="s">
        <v>362</v>
      </c>
      <c r="E36">
        <v>1983</v>
      </c>
      <c r="F36" t="s">
        <v>356</v>
      </c>
      <c r="G36" t="s">
        <v>156</v>
      </c>
      <c r="K36" s="2"/>
      <c r="M36" s="72"/>
    </row>
    <row r="37" spans="1:13" x14ac:dyDescent="0.2">
      <c r="A37">
        <v>1909</v>
      </c>
      <c r="B37" t="s">
        <v>356</v>
      </c>
      <c r="E37">
        <v>1986</v>
      </c>
      <c r="F37" t="s">
        <v>352</v>
      </c>
      <c r="G37" t="s">
        <v>157</v>
      </c>
      <c r="K37" s="2"/>
      <c r="M37" s="72"/>
    </row>
    <row r="38" spans="1:13" x14ac:dyDescent="0.2">
      <c r="A38">
        <v>1910</v>
      </c>
      <c r="B38" t="s">
        <v>353</v>
      </c>
      <c r="E38">
        <v>1989</v>
      </c>
      <c r="F38" t="s">
        <v>356</v>
      </c>
      <c r="G38" s="42" t="s">
        <v>158</v>
      </c>
      <c r="K38" s="2"/>
      <c r="M38" s="72"/>
    </row>
    <row r="39" spans="1:13" x14ac:dyDescent="0.2">
      <c r="A39">
        <v>1912</v>
      </c>
      <c r="B39" t="s">
        <v>355</v>
      </c>
      <c r="E39" s="58">
        <v>1989</v>
      </c>
      <c r="F39" t="s">
        <v>355</v>
      </c>
      <c r="G39" s="58" t="s">
        <v>159</v>
      </c>
      <c r="I39" s="42"/>
      <c r="J39" s="58"/>
      <c r="K39" s="2"/>
      <c r="M39" s="72"/>
    </row>
    <row r="40" spans="1:13" x14ac:dyDescent="0.2">
      <c r="A40">
        <v>1913</v>
      </c>
      <c r="B40" t="s">
        <v>352</v>
      </c>
      <c r="E40">
        <v>1999</v>
      </c>
      <c r="F40" t="s">
        <v>356</v>
      </c>
      <c r="G40" t="s">
        <v>365</v>
      </c>
      <c r="I40" s="58"/>
      <c r="J40" s="58"/>
      <c r="K40" s="2"/>
      <c r="M40" s="72"/>
    </row>
    <row r="41" spans="1:13" x14ac:dyDescent="0.2">
      <c r="A41">
        <v>1915</v>
      </c>
      <c r="B41" t="s">
        <v>356</v>
      </c>
      <c r="C41" t="s">
        <v>359</v>
      </c>
      <c r="E41">
        <v>2003</v>
      </c>
      <c r="F41" t="s">
        <v>354</v>
      </c>
      <c r="G41" t="s">
        <v>314</v>
      </c>
      <c r="K41" s="2"/>
      <c r="M41" s="72"/>
    </row>
    <row r="42" spans="1:13" s="58" customFormat="1" x14ac:dyDescent="0.2">
      <c r="A42">
        <v>1916</v>
      </c>
      <c r="B42" t="s">
        <v>356</v>
      </c>
      <c r="C42"/>
      <c r="D42"/>
      <c r="E42">
        <v>2005</v>
      </c>
      <c r="F42" t="s">
        <v>353</v>
      </c>
      <c r="G42" s="42" t="s">
        <v>328</v>
      </c>
      <c r="H42"/>
      <c r="I42"/>
      <c r="J42"/>
      <c r="K42" s="2"/>
      <c r="M42" s="78"/>
    </row>
    <row r="43" spans="1:13" s="58" customFormat="1" x14ac:dyDescent="0.2">
      <c r="A43">
        <v>1919</v>
      </c>
      <c r="B43" t="s">
        <v>353</v>
      </c>
      <c r="C43"/>
      <c r="D43"/>
      <c r="E43" s="58">
        <v>2007</v>
      </c>
      <c r="F43" t="s">
        <v>353</v>
      </c>
      <c r="G43" s="42" t="s">
        <v>369</v>
      </c>
      <c r="H43"/>
      <c r="I43"/>
      <c r="J43"/>
      <c r="K43" s="2"/>
      <c r="M43" s="78"/>
    </row>
    <row r="44" spans="1:13" x14ac:dyDescent="0.2">
      <c r="A44">
        <v>1921</v>
      </c>
      <c r="B44" t="s">
        <v>352</v>
      </c>
      <c r="D44" s="47"/>
      <c r="E44" s="42">
        <v>2008</v>
      </c>
      <c r="F44" s="47" t="s">
        <v>354</v>
      </c>
      <c r="G44" s="42" t="s">
        <v>378</v>
      </c>
      <c r="K44" s="2"/>
    </row>
    <row r="45" spans="1:13" x14ac:dyDescent="0.2">
      <c r="D45" s="47"/>
      <c r="E45" s="42">
        <v>2008</v>
      </c>
      <c r="F45" s="47" t="s">
        <v>353</v>
      </c>
      <c r="G45" s="42" t="s">
        <v>379</v>
      </c>
      <c r="K45" s="2"/>
      <c r="M45" s="72"/>
    </row>
    <row r="46" spans="1:13" x14ac:dyDescent="0.2">
      <c r="A46" s="9"/>
      <c r="B46" s="9"/>
      <c r="C46" s="9"/>
      <c r="D46" s="9"/>
      <c r="E46" s="9">
        <v>2017</v>
      </c>
      <c r="F46" s="9" t="s">
        <v>356</v>
      </c>
      <c r="G46" s="9" t="s">
        <v>469</v>
      </c>
      <c r="K46" s="2"/>
    </row>
    <row r="47" spans="1:13" x14ac:dyDescent="0.2">
      <c r="K47" s="2"/>
      <c r="M47" s="72"/>
    </row>
    <row r="48" spans="1:13" x14ac:dyDescent="0.2">
      <c r="A48" s="74" t="s">
        <v>160</v>
      </c>
      <c r="B48" s="74"/>
      <c r="C48" s="66" t="s">
        <v>161</v>
      </c>
      <c r="D48" s="66" t="s">
        <v>162</v>
      </c>
      <c r="E48" s="66" t="s">
        <v>267</v>
      </c>
      <c r="F48" s="66" t="s">
        <v>163</v>
      </c>
      <c r="G48" s="66"/>
      <c r="H48" s="22"/>
      <c r="K48" s="2"/>
    </row>
    <row r="49" spans="1:11" x14ac:dyDescent="0.2">
      <c r="A49" s="73"/>
      <c r="B49" s="73"/>
      <c r="C49" s="59"/>
      <c r="D49" s="59"/>
      <c r="E49" s="59"/>
      <c r="F49" s="59"/>
      <c r="G49" s="59"/>
      <c r="H49" s="22"/>
      <c r="K49" s="2"/>
    </row>
    <row r="50" spans="1:11" x14ac:dyDescent="0.2">
      <c r="A50" s="76" t="str">
        <f>TEXT(E50,"0.0")&amp;"-Year"</f>
        <v>53.0-Year</v>
      </c>
      <c r="B50" s="76"/>
      <c r="C50" s="59" t="str">
        <f>TEXT('6.1'!$L$5,"m/d/yyyy")&amp;" - "&amp;TEXT('6.1'!$M$5,"m/d/yyyy")</f>
        <v>1/1/1966 - 12/31/2018</v>
      </c>
      <c r="D50" s="75">
        <f>SUM(COUNTIF($A$14:$A$44,"&gt;=1966"),COUNTIF($E$14:$E$46,"&gt;=1966"))</f>
        <v>15</v>
      </c>
      <c r="E50" s="85">
        <f>'6.1'!$N$5</f>
        <v>53</v>
      </c>
      <c r="G50" s="228">
        <f>ROUND(D50/E50,3)</f>
        <v>0.28299999999999997</v>
      </c>
      <c r="H50" s="22"/>
      <c r="K50" s="2"/>
    </row>
    <row r="51" spans="1:11" x14ac:dyDescent="0.2">
      <c r="A51" s="76" t="str">
        <f>E51&amp;"-Year"</f>
        <v>168-Year</v>
      </c>
      <c r="B51" s="76"/>
      <c r="C51" s="12" t="str">
        <f>MONTH(M4+1)&amp;"/1/"&amp;YEAR(M4+1)-E51&amp;" - "&amp;TEXT(M4,"m/d/yyyy")</f>
        <v>1/1/1851 - 12/31/2018</v>
      </c>
      <c r="D51" s="77">
        <f>SUM(COUNTA(A14:A44),COUNTA(E14:E46))</f>
        <v>64</v>
      </c>
      <c r="E51" s="112">
        <f>YEAR($M$4)-$L$4</f>
        <v>168</v>
      </c>
      <c r="G51" s="228">
        <f>ROUND(D51/E51,3)</f>
        <v>0.38100000000000001</v>
      </c>
      <c r="K51" s="2"/>
    </row>
    <row r="52" spans="1:11" ht="12" thickBot="1" x14ac:dyDescent="0.25">
      <c r="A52" s="6"/>
      <c r="B52" s="6"/>
      <c r="C52" s="6"/>
      <c r="D52" s="6"/>
      <c r="E52" s="6"/>
      <c r="F52" s="6"/>
      <c r="G52" s="6"/>
      <c r="K52" s="2"/>
    </row>
    <row r="53" spans="1:11" ht="12" thickTop="1" x14ac:dyDescent="0.2">
      <c r="A53" s="47"/>
      <c r="B53" s="47"/>
      <c r="C53" s="47"/>
      <c r="D53" s="47"/>
      <c r="E53" s="47"/>
      <c r="F53" s="47"/>
      <c r="G53" s="47"/>
      <c r="K53" s="2"/>
    </row>
    <row r="54" spans="1:11" x14ac:dyDescent="0.2">
      <c r="A54" s="47" t="s">
        <v>19</v>
      </c>
      <c r="B54" s="47"/>
      <c r="D54" s="47"/>
      <c r="E54" s="47"/>
      <c r="F54" s="47"/>
      <c r="G54" s="47"/>
      <c r="K54" s="2"/>
    </row>
    <row r="55" spans="1:11" x14ac:dyDescent="0.2">
      <c r="A55" s="47"/>
      <c r="B55" s="47" t="str">
        <f>$A$12&amp;", "&amp;$C$12&amp;" from NOAA Technical Memorandum NWS TPC-5, updated with actual experience through 2018"</f>
        <v>(1), (2) from NOAA Technical Memorandum NWS TPC-5, updated with actual experience through 2018</v>
      </c>
      <c r="D55" s="47"/>
      <c r="E55" s="47"/>
      <c r="F55" s="47"/>
      <c r="G55" s="47"/>
      <c r="K55" s="2"/>
    </row>
    <row r="56" spans="1:11" x14ac:dyDescent="0.2">
      <c r="A56" s="47"/>
      <c r="B56" s="47"/>
      <c r="D56" s="47"/>
      <c r="E56" s="47"/>
      <c r="F56" s="47"/>
      <c r="G56" s="47"/>
      <c r="K56" s="2"/>
    </row>
    <row r="57" spans="1:11" x14ac:dyDescent="0.2">
      <c r="A57" s="47"/>
      <c r="B57" s="47"/>
      <c r="D57" s="47"/>
      <c r="E57" s="47"/>
      <c r="F57" s="47"/>
      <c r="G57" s="47"/>
      <c r="K57" s="2"/>
    </row>
    <row r="58" spans="1:11" x14ac:dyDescent="0.2">
      <c r="A58" s="47"/>
      <c r="B58" s="47"/>
      <c r="D58" s="47"/>
      <c r="E58" s="47"/>
      <c r="F58" s="47"/>
      <c r="G58" s="47"/>
      <c r="K58" s="2"/>
    </row>
    <row r="59" spans="1:11" x14ac:dyDescent="0.2">
      <c r="A59" s="47"/>
      <c r="B59" s="47"/>
      <c r="D59" s="47"/>
      <c r="E59" s="47"/>
      <c r="F59" s="47"/>
      <c r="G59" s="47"/>
      <c r="K59" s="2"/>
    </row>
    <row r="60" spans="1:11" x14ac:dyDescent="0.2">
      <c r="A60" s="47"/>
      <c r="B60" s="47"/>
      <c r="D60" s="47"/>
      <c r="E60" s="47"/>
      <c r="F60" s="47"/>
      <c r="G60" s="47"/>
      <c r="K60" s="2"/>
    </row>
    <row r="61" spans="1:11" x14ac:dyDescent="0.2">
      <c r="A61" s="47"/>
      <c r="B61" s="47"/>
      <c r="D61" s="47"/>
      <c r="E61" s="47"/>
      <c r="F61" s="47"/>
      <c r="G61" s="47"/>
      <c r="K61" s="2"/>
    </row>
    <row r="62" spans="1:11" x14ac:dyDescent="0.2">
      <c r="A62" s="47"/>
      <c r="B62" s="47"/>
      <c r="D62" s="47"/>
      <c r="E62" s="47"/>
      <c r="F62" s="47"/>
      <c r="G62" s="47"/>
      <c r="K62" s="2"/>
    </row>
    <row r="63" spans="1:11" x14ac:dyDescent="0.2">
      <c r="A63" s="47"/>
      <c r="B63" s="47"/>
      <c r="D63" s="47"/>
      <c r="E63" s="47"/>
      <c r="F63" s="47"/>
      <c r="G63" s="47"/>
      <c r="K63" s="2"/>
    </row>
    <row r="64" spans="1:11" x14ac:dyDescent="0.2">
      <c r="A64" s="47"/>
      <c r="B64" s="47"/>
      <c r="D64" s="47"/>
      <c r="E64" s="47"/>
      <c r="F64" s="47"/>
      <c r="G64" s="47"/>
      <c r="K64" s="2"/>
    </row>
    <row r="65" spans="1:11" x14ac:dyDescent="0.2">
      <c r="A65" s="47"/>
      <c r="B65" s="47"/>
      <c r="D65" s="47"/>
      <c r="E65" s="47"/>
      <c r="F65" s="47"/>
      <c r="G65" s="47"/>
      <c r="K65" s="2"/>
    </row>
    <row r="66" spans="1:11" x14ac:dyDescent="0.2">
      <c r="A66" s="47"/>
      <c r="B66" s="47"/>
      <c r="C66" s="47"/>
      <c r="D66" s="47"/>
      <c r="E66" s="47"/>
      <c r="F66" s="47"/>
      <c r="G66" s="47"/>
      <c r="K66" s="2"/>
    </row>
    <row r="67" spans="1:11" ht="12" thickBot="1" x14ac:dyDescent="0.25">
      <c r="A67" s="47"/>
      <c r="B67" s="47"/>
      <c r="C67" s="47"/>
      <c r="D67" s="47"/>
      <c r="E67" s="47"/>
      <c r="F67" s="47"/>
      <c r="G67" s="47"/>
      <c r="K67" s="2"/>
    </row>
    <row r="68" spans="1:11" ht="12" thickBot="1" x14ac:dyDescent="0.25">
      <c r="A68" s="4"/>
      <c r="B68" s="5"/>
      <c r="C68" s="5"/>
      <c r="D68" s="5"/>
      <c r="E68" s="5"/>
      <c r="F68" s="5"/>
      <c r="G68" s="5"/>
      <c r="H68" s="5"/>
      <c r="I68" s="5"/>
      <c r="J68" s="5"/>
      <c r="K68" s="3"/>
    </row>
  </sheetData>
  <phoneticPr fontId="0" type="noConversion"/>
  <pageMargins left="0.5" right="0.5" top="0.5" bottom="0.5" header="0.5" footer="0.5"/>
  <pageSetup orientation="portrait" blackAndWhite="1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33"/>
  <dimension ref="A1:L72"/>
  <sheetViews>
    <sheetView showGridLines="0" view="pageBreakPreview" topLeftCell="A13" zoomScale="60" zoomScaleNormal="100" workbookViewId="0">
      <selection activeCell="H31" sqref="H31"/>
    </sheetView>
  </sheetViews>
  <sheetFormatPr defaultColWidth="11.33203125" defaultRowHeight="11.25" x14ac:dyDescent="0.2"/>
  <cols>
    <col min="1" max="1" width="5.1640625" bestFit="1" customWidth="1"/>
    <col min="2" max="2" width="11.33203125" customWidth="1"/>
    <col min="3" max="5" width="15.33203125" customWidth="1"/>
    <col min="6" max="6" width="14" customWidth="1"/>
    <col min="7" max="9" width="11.33203125" customWidth="1"/>
    <col min="10" max="10" width="10.6640625" customWidth="1"/>
  </cols>
  <sheetData>
    <row r="1" spans="1:12" x14ac:dyDescent="0.2">
      <c r="A1" s="8" t="str">
        <f>'1'!$A$1</f>
        <v>Texas Windstorm Insurance Association</v>
      </c>
      <c r="B1" s="12"/>
      <c r="J1" s="7" t="s">
        <v>146</v>
      </c>
      <c r="K1" s="1"/>
    </row>
    <row r="2" spans="1:12" x14ac:dyDescent="0.2">
      <c r="A2" s="8" t="str">
        <f>'1'!$A$2</f>
        <v>Commercial Property - Wind &amp; Hail</v>
      </c>
      <c r="B2" s="12"/>
      <c r="J2" s="7" t="s">
        <v>22</v>
      </c>
      <c r="K2" s="2"/>
    </row>
    <row r="3" spans="1:12" x14ac:dyDescent="0.2">
      <c r="A3" s="8" t="str">
        <f>'1'!$A$3</f>
        <v>Rate Level Review</v>
      </c>
      <c r="B3" s="12"/>
      <c r="K3" s="2"/>
    </row>
    <row r="4" spans="1:12" x14ac:dyDescent="0.2">
      <c r="A4" t="s">
        <v>228</v>
      </c>
      <c r="B4" s="12"/>
      <c r="K4" s="2"/>
    </row>
    <row r="5" spans="1:12" x14ac:dyDescent="0.2">
      <c r="A5" s="58"/>
      <c r="B5" s="21"/>
      <c r="C5" s="58"/>
      <c r="D5" s="58"/>
      <c r="E5" s="58"/>
      <c r="K5" s="2"/>
    </row>
    <row r="6" spans="1:12" x14ac:dyDescent="0.2">
      <c r="K6" s="2"/>
    </row>
    <row r="7" spans="1:12" ht="12" thickBot="1" x14ac:dyDescent="0.25">
      <c r="A7" s="6"/>
      <c r="B7" s="6"/>
      <c r="C7" s="6"/>
      <c r="D7" s="6"/>
      <c r="E7" s="6"/>
      <c r="F7" s="6"/>
      <c r="K7" s="2"/>
    </row>
    <row r="8" spans="1:12" ht="12" thickTop="1" x14ac:dyDescent="0.2">
      <c r="K8" s="2"/>
    </row>
    <row r="9" spans="1:12" x14ac:dyDescent="0.2">
      <c r="C9" s="21" t="s">
        <v>229</v>
      </c>
      <c r="D9" t="s">
        <v>227</v>
      </c>
      <c r="E9" t="s">
        <v>189</v>
      </c>
      <c r="F9" t="s">
        <v>38</v>
      </c>
      <c r="K9" s="2"/>
      <c r="L9" s="26"/>
    </row>
    <row r="10" spans="1:12" x14ac:dyDescent="0.2">
      <c r="C10" t="s">
        <v>230</v>
      </c>
      <c r="D10" t="s">
        <v>219</v>
      </c>
      <c r="E10" t="s">
        <v>36</v>
      </c>
      <c r="F10" t="s">
        <v>36</v>
      </c>
      <c r="K10" s="2"/>
    </row>
    <row r="11" spans="1:12" x14ac:dyDescent="0.2">
      <c r="A11" s="9" t="s">
        <v>43</v>
      </c>
      <c r="B11" s="9"/>
      <c r="C11" s="9" t="s">
        <v>100</v>
      </c>
      <c r="D11" s="9" t="s">
        <v>109</v>
      </c>
      <c r="E11" s="9" t="s">
        <v>109</v>
      </c>
      <c r="F11" s="9" t="s">
        <v>109</v>
      </c>
      <c r="K11" s="2"/>
    </row>
    <row r="12" spans="1:12" x14ac:dyDescent="0.2">
      <c r="A12" s="13" t="str">
        <f>TEXT(COLUMN(),"(#)")</f>
        <v>(1)</v>
      </c>
      <c r="B12" s="13"/>
      <c r="C12" s="11" t="str">
        <f>TEXT(COLUMN()-1,"(#)")</f>
        <v>(2)</v>
      </c>
      <c r="D12" s="11" t="str">
        <f>TEXT(COLUMN()-1,"(#)")</f>
        <v>(3)</v>
      </c>
      <c r="E12" s="11" t="str">
        <f>TEXT(COLUMN()-1,"(#)")</f>
        <v>(4)</v>
      </c>
      <c r="F12" s="11" t="str">
        <f>TEXT(COLUMN()-1,"(#)")</f>
        <v>(5)</v>
      </c>
      <c r="K12" s="2"/>
    </row>
    <row r="13" spans="1:12" x14ac:dyDescent="0.2">
      <c r="K13" s="2"/>
    </row>
    <row r="14" spans="1:12" x14ac:dyDescent="0.2">
      <c r="A14" s="232">
        <v>1994</v>
      </c>
      <c r="B14" s="24"/>
      <c r="C14" s="29">
        <f>'12.2'!C14</f>
        <v>10672677</v>
      </c>
      <c r="D14" s="34">
        <f>'10.2'!O28</f>
        <v>3.0979999999999999</v>
      </c>
      <c r="E14" s="29">
        <f>ROUND(C14*D14,0)</f>
        <v>33063953</v>
      </c>
      <c r="F14" s="29">
        <f>ROUND(AVERAGE(E13:E14),0)</f>
        <v>33063953</v>
      </c>
      <c r="K14" s="2"/>
    </row>
    <row r="15" spans="1:12" x14ac:dyDescent="0.2">
      <c r="A15" t="str">
        <f>TEXT(A14+1,"#")</f>
        <v>1995</v>
      </c>
      <c r="B15" s="24"/>
      <c r="C15" s="29">
        <f>'12.2'!C15</f>
        <v>12865905</v>
      </c>
      <c r="D15" s="34">
        <f>'10.2'!O29</f>
        <v>3.0979999999999999</v>
      </c>
      <c r="E15" s="29">
        <f t="shared" ref="E15:E32" si="0">ROUND(C15*D15,0)</f>
        <v>39858574</v>
      </c>
      <c r="F15" s="29">
        <f>ROUND(AVERAGE(E14:E15),0)</f>
        <v>36461264</v>
      </c>
      <c r="K15" s="2"/>
      <c r="L15" s="36"/>
    </row>
    <row r="16" spans="1:12" x14ac:dyDescent="0.2">
      <c r="A16" t="str">
        <f t="shared" ref="A16:A36" si="1">TEXT(A15+1,"#")</f>
        <v>1996</v>
      </c>
      <c r="B16" s="24"/>
      <c r="C16" s="29">
        <f>'12.2'!C16</f>
        <v>15640660</v>
      </c>
      <c r="D16" s="34">
        <f>'10.2'!O30</f>
        <v>3.0979999999999999</v>
      </c>
      <c r="E16" s="29">
        <f t="shared" si="0"/>
        <v>48454765</v>
      </c>
      <c r="F16" s="29">
        <f>ROUND(AVERAGE(E15:E16),0)</f>
        <v>44156670</v>
      </c>
      <c r="K16" s="2"/>
    </row>
    <row r="17" spans="1:12" x14ac:dyDescent="0.2">
      <c r="A17" t="str">
        <f t="shared" si="1"/>
        <v>1997</v>
      </c>
      <c r="B17" s="24"/>
      <c r="C17" s="29">
        <f>'12.2'!C17</f>
        <v>16536186</v>
      </c>
      <c r="D17" s="34">
        <f>'10.2'!O31</f>
        <v>3.0979999999999999</v>
      </c>
      <c r="E17" s="29">
        <f t="shared" si="0"/>
        <v>51229104</v>
      </c>
      <c r="F17" s="29">
        <f t="shared" ref="F17:F31" si="2">ROUND(AVERAGE(E16:E17),0)</f>
        <v>49841935</v>
      </c>
      <c r="K17" s="2"/>
      <c r="L17" s="33"/>
    </row>
    <row r="18" spans="1:12" x14ac:dyDescent="0.2">
      <c r="A18" t="str">
        <f t="shared" si="1"/>
        <v>1998</v>
      </c>
      <c r="B18" s="24"/>
      <c r="C18" s="29">
        <f>'12.2'!C18</f>
        <v>16558977</v>
      </c>
      <c r="D18" s="34">
        <f>'10.2'!O32</f>
        <v>3.1930000000000001</v>
      </c>
      <c r="E18" s="29">
        <f t="shared" si="0"/>
        <v>52872814</v>
      </c>
      <c r="F18" s="29">
        <f t="shared" si="2"/>
        <v>52050959</v>
      </c>
      <c r="K18" s="2"/>
      <c r="L18" s="33"/>
    </row>
    <row r="19" spans="1:12" x14ac:dyDescent="0.2">
      <c r="A19" t="str">
        <f t="shared" si="1"/>
        <v>1999</v>
      </c>
      <c r="B19" s="24"/>
      <c r="C19" s="29">
        <f>'12.2'!C19</f>
        <v>17394142.049999997</v>
      </c>
      <c r="D19" s="34">
        <f>'10.2'!O33</f>
        <v>3.1930000000000001</v>
      </c>
      <c r="E19" s="29">
        <f t="shared" si="0"/>
        <v>55539496</v>
      </c>
      <c r="F19" s="29">
        <f>ROUND(AVERAGE(E18:E19),0)</f>
        <v>54206155</v>
      </c>
      <c r="K19" s="2"/>
      <c r="L19" s="33"/>
    </row>
    <row r="20" spans="1:12" x14ac:dyDescent="0.2">
      <c r="A20" t="str">
        <f t="shared" si="1"/>
        <v>2000</v>
      </c>
      <c r="B20" s="24"/>
      <c r="C20" s="29">
        <f>'12.2'!C20</f>
        <v>17332561</v>
      </c>
      <c r="D20" s="34">
        <f>'10.2'!O34</f>
        <v>2.93</v>
      </c>
      <c r="E20" s="29">
        <f t="shared" si="0"/>
        <v>50784404</v>
      </c>
      <c r="F20" s="29">
        <f t="shared" si="2"/>
        <v>53161950</v>
      </c>
      <c r="K20" s="2"/>
      <c r="L20" s="33"/>
    </row>
    <row r="21" spans="1:12" x14ac:dyDescent="0.2">
      <c r="A21" t="str">
        <f t="shared" si="1"/>
        <v>2001</v>
      </c>
      <c r="B21" s="24"/>
      <c r="C21" s="29">
        <f>'12.2'!C21</f>
        <v>17544251</v>
      </c>
      <c r="D21" s="34">
        <f>'10.2'!O35</f>
        <v>2.8170000000000002</v>
      </c>
      <c r="E21" s="29">
        <f t="shared" si="0"/>
        <v>49422155</v>
      </c>
      <c r="F21" s="29">
        <f>ROUND(AVERAGE(E20:E21),0)</f>
        <v>50103280</v>
      </c>
      <c r="K21" s="2"/>
      <c r="L21" s="33"/>
    </row>
    <row r="22" spans="1:12" x14ac:dyDescent="0.2">
      <c r="A22" t="str">
        <f t="shared" si="1"/>
        <v>2002</v>
      </c>
      <c r="B22" s="24"/>
      <c r="C22" s="29">
        <f>'12.2'!C22</f>
        <v>24013525</v>
      </c>
      <c r="D22" s="34">
        <f>'10.2'!O36</f>
        <v>2.6840000000000002</v>
      </c>
      <c r="E22" s="180">
        <f t="shared" si="0"/>
        <v>64452301</v>
      </c>
      <c r="F22" s="29">
        <f>ROUND(AVERAGE(E21:E22),0)</f>
        <v>56937228</v>
      </c>
      <c r="K22" s="2"/>
      <c r="L22" s="33"/>
    </row>
    <row r="23" spans="1:12" x14ac:dyDescent="0.2">
      <c r="A23" t="str">
        <f t="shared" si="1"/>
        <v>2003</v>
      </c>
      <c r="B23" s="24"/>
      <c r="C23" s="29">
        <f>'12.2'!C23</f>
        <v>29220514</v>
      </c>
      <c r="D23" s="34">
        <f>'10.2'!O37</f>
        <v>2.44</v>
      </c>
      <c r="E23" s="180">
        <f t="shared" si="0"/>
        <v>71298054</v>
      </c>
      <c r="F23" s="180">
        <f>ROUND(AVERAGE(E22:E23),0)</f>
        <v>67875178</v>
      </c>
      <c r="K23" s="2"/>
      <c r="L23" s="33"/>
    </row>
    <row r="24" spans="1:12" x14ac:dyDescent="0.2">
      <c r="A24" t="str">
        <f t="shared" si="1"/>
        <v>2004</v>
      </c>
      <c r="B24" s="24"/>
      <c r="C24" s="29">
        <f>'12.2'!C24</f>
        <v>31009323</v>
      </c>
      <c r="D24" s="34">
        <f>'10.2'!O38</f>
        <v>2.218</v>
      </c>
      <c r="E24" s="180">
        <f t="shared" si="0"/>
        <v>68778678</v>
      </c>
      <c r="F24" s="180">
        <f t="shared" si="2"/>
        <v>70038366</v>
      </c>
      <c r="K24" s="2"/>
      <c r="L24" t="s">
        <v>240</v>
      </c>
    </row>
    <row r="25" spans="1:12" x14ac:dyDescent="0.2">
      <c r="A25" t="str">
        <f t="shared" si="1"/>
        <v>2005</v>
      </c>
      <c r="C25" s="29">
        <f>'12.2'!C25</f>
        <v>35740174</v>
      </c>
      <c r="D25" s="34">
        <f>'10.2'!O39</f>
        <v>2.016</v>
      </c>
      <c r="E25" s="180">
        <f t="shared" si="0"/>
        <v>72052191</v>
      </c>
      <c r="F25" s="180">
        <f>ROUND(AVERAGE(E24:E25),0)</f>
        <v>70415435</v>
      </c>
      <c r="K25" s="2"/>
      <c r="L25" s="96">
        <f>'12.2'!$L$43</f>
        <v>43465</v>
      </c>
    </row>
    <row r="26" spans="1:12" x14ac:dyDescent="0.2">
      <c r="A26" t="str">
        <f t="shared" si="1"/>
        <v>2006</v>
      </c>
      <c r="B26" s="21"/>
      <c r="C26" s="29">
        <f>'12.2'!C26</f>
        <v>76847840</v>
      </c>
      <c r="D26" s="34">
        <f>'10.2'!O40</f>
        <v>1.87</v>
      </c>
      <c r="E26" s="180">
        <f t="shared" si="0"/>
        <v>143705461</v>
      </c>
      <c r="F26" s="180">
        <f t="shared" si="2"/>
        <v>107878826</v>
      </c>
      <c r="K26" s="2"/>
    </row>
    <row r="27" spans="1:12" x14ac:dyDescent="0.2">
      <c r="A27" t="str">
        <f t="shared" si="1"/>
        <v>2007</v>
      </c>
      <c r="C27" s="29">
        <f>'12.2'!C27</f>
        <v>110951718</v>
      </c>
      <c r="D27" s="34">
        <f>'10.2'!O41</f>
        <v>1.714</v>
      </c>
      <c r="E27" s="180">
        <f t="shared" si="0"/>
        <v>190171245</v>
      </c>
      <c r="F27" s="180">
        <f>ROUND(AVERAGE(E26:E27),0)</f>
        <v>166938353</v>
      </c>
      <c r="K27" s="2"/>
    </row>
    <row r="28" spans="1:12" x14ac:dyDescent="0.2">
      <c r="A28" t="str">
        <f t="shared" si="1"/>
        <v>2008</v>
      </c>
      <c r="C28" s="29">
        <f>'12.2'!C28</f>
        <v>98036118.420000017</v>
      </c>
      <c r="D28" s="34">
        <f>'10.2'!O42</f>
        <v>1.633</v>
      </c>
      <c r="E28" s="180">
        <f t="shared" si="0"/>
        <v>160092981</v>
      </c>
      <c r="F28" s="180">
        <f>ROUND(AVERAGE(E27:E28),0)</f>
        <v>175132113</v>
      </c>
      <c r="K28" s="2"/>
    </row>
    <row r="29" spans="1:12" x14ac:dyDescent="0.2">
      <c r="A29" t="str">
        <f t="shared" si="1"/>
        <v>2009</v>
      </c>
      <c r="B29" s="24"/>
      <c r="C29" s="29">
        <f>'12.2'!C29</f>
        <v>111269572.63</v>
      </c>
      <c r="D29" s="34">
        <f>'10.2'!O43</f>
        <v>1.423</v>
      </c>
      <c r="E29" s="180">
        <f t="shared" si="0"/>
        <v>158336602</v>
      </c>
      <c r="F29" s="180">
        <f t="shared" si="2"/>
        <v>159214792</v>
      </c>
      <c r="K29" s="2"/>
    </row>
    <row r="30" spans="1:12" x14ac:dyDescent="0.2">
      <c r="A30" t="str">
        <f t="shared" si="1"/>
        <v>2010</v>
      </c>
      <c r="B30" s="24"/>
      <c r="C30" s="29">
        <f>'12.2'!C30</f>
        <v>102174679.52999991</v>
      </c>
      <c r="D30" s="34">
        <f>'10.2'!O44</f>
        <v>1.407</v>
      </c>
      <c r="E30" s="180">
        <f t="shared" si="0"/>
        <v>143759774</v>
      </c>
      <c r="F30" s="180">
        <f>ROUND(AVERAGE(E29:E30),0)</f>
        <v>151048188</v>
      </c>
      <c r="K30" s="2"/>
      <c r="L30" s="40"/>
    </row>
    <row r="31" spans="1:12" x14ac:dyDescent="0.2">
      <c r="A31" t="str">
        <f t="shared" si="1"/>
        <v>2011</v>
      </c>
      <c r="B31" s="24"/>
      <c r="C31" s="29">
        <f>'12.2'!C31</f>
        <v>100017021</v>
      </c>
      <c r="D31" s="34">
        <f>'10.2'!O45</f>
        <v>1.34</v>
      </c>
      <c r="E31" s="180">
        <f t="shared" si="0"/>
        <v>134022808</v>
      </c>
      <c r="F31" s="180">
        <f t="shared" si="2"/>
        <v>138891291</v>
      </c>
      <c r="K31" s="2"/>
    </row>
    <row r="32" spans="1:12" x14ac:dyDescent="0.2">
      <c r="A32" t="str">
        <f t="shared" si="1"/>
        <v>2012</v>
      </c>
      <c r="B32" s="24"/>
      <c r="C32" s="29">
        <f>'12.2'!C32</f>
        <v>110524396.51999998</v>
      </c>
      <c r="D32" s="34">
        <f>'10.2'!O46</f>
        <v>1.276</v>
      </c>
      <c r="E32" s="180">
        <f t="shared" si="0"/>
        <v>141029130</v>
      </c>
      <c r="F32" s="180">
        <f t="shared" ref="F32:F37" si="3">ROUND(AVERAGE(E31:E32),0)</f>
        <v>137525969</v>
      </c>
      <c r="K32" s="2"/>
      <c r="L32" s="40"/>
    </row>
    <row r="33" spans="1:11" x14ac:dyDescent="0.2">
      <c r="A33" t="str">
        <f t="shared" si="1"/>
        <v>2013</v>
      </c>
      <c r="B33" s="24"/>
      <c r="C33" s="29">
        <f>'12.2'!C33</f>
        <v>112904624</v>
      </c>
      <c r="D33" s="34">
        <f>'10.2'!O47</f>
        <v>1.216</v>
      </c>
      <c r="E33" s="180">
        <f t="shared" ref="E33:E38" si="4">ROUND(C33*D33,0)</f>
        <v>137292023</v>
      </c>
      <c r="F33" s="180">
        <f t="shared" si="3"/>
        <v>139160577</v>
      </c>
      <c r="K33" s="2"/>
    </row>
    <row r="34" spans="1:11" x14ac:dyDescent="0.2">
      <c r="A34" t="str">
        <f t="shared" si="1"/>
        <v>2014</v>
      </c>
      <c r="B34" s="48"/>
      <c r="C34" s="29">
        <f>'12.2'!C34</f>
        <v>104642688</v>
      </c>
      <c r="D34" s="34">
        <f>'10.2'!O48</f>
        <v>1.1579999999999999</v>
      </c>
      <c r="E34" s="180">
        <f t="shared" si="4"/>
        <v>121176233</v>
      </c>
      <c r="F34" s="180">
        <f t="shared" si="3"/>
        <v>129234128</v>
      </c>
      <c r="K34" s="2"/>
    </row>
    <row r="35" spans="1:11" x14ac:dyDescent="0.2">
      <c r="A35" s="47" t="str">
        <f t="shared" si="1"/>
        <v>2015</v>
      </c>
      <c r="B35" s="48"/>
      <c r="C35" s="180">
        <f>'12.2'!C35</f>
        <v>98715934</v>
      </c>
      <c r="D35" s="34">
        <f>'10.2'!O49</f>
        <v>1.1020000000000001</v>
      </c>
      <c r="E35" s="180">
        <f t="shared" si="4"/>
        <v>108784959</v>
      </c>
      <c r="F35" s="180">
        <f t="shared" si="3"/>
        <v>114980596</v>
      </c>
      <c r="K35" s="2"/>
    </row>
    <row r="36" spans="1:11" x14ac:dyDescent="0.2">
      <c r="A36" s="47" t="str">
        <f t="shared" si="1"/>
        <v>2016</v>
      </c>
      <c r="B36" s="48"/>
      <c r="C36" s="180">
        <f>'12.2'!C36</f>
        <v>88278690</v>
      </c>
      <c r="D36" s="34">
        <f>'10.2'!O50</f>
        <v>1.05</v>
      </c>
      <c r="E36" s="180">
        <f t="shared" si="4"/>
        <v>92692625</v>
      </c>
      <c r="F36" s="180">
        <f t="shared" si="3"/>
        <v>100738792</v>
      </c>
      <c r="K36" s="2"/>
    </row>
    <row r="37" spans="1:11" x14ac:dyDescent="0.2">
      <c r="A37" s="48">
        <v>2017</v>
      </c>
      <c r="B37" s="47"/>
      <c r="C37" s="180">
        <f>'12.2'!C37</f>
        <v>70749081</v>
      </c>
      <c r="D37" s="79">
        <f>'10.2'!O51</f>
        <v>1.05</v>
      </c>
      <c r="E37" s="180">
        <f t="shared" si="4"/>
        <v>74286535</v>
      </c>
      <c r="F37" s="180">
        <f t="shared" si="3"/>
        <v>83489580</v>
      </c>
      <c r="K37" s="2"/>
    </row>
    <row r="38" spans="1:11" x14ac:dyDescent="0.2">
      <c r="A38" s="25">
        <v>2018</v>
      </c>
      <c r="B38" s="9"/>
      <c r="C38" s="30">
        <f>'12.2'!C38</f>
        <v>65696833</v>
      </c>
      <c r="D38" s="35">
        <f>'10.2'!O52</f>
        <v>1</v>
      </c>
      <c r="E38" s="30">
        <f t="shared" si="4"/>
        <v>65696833</v>
      </c>
      <c r="F38" s="30">
        <f>ROUND(AVERAGE(E37:E38),0)</f>
        <v>69991684</v>
      </c>
      <c r="K38" s="2"/>
    </row>
    <row r="39" spans="1:11" x14ac:dyDescent="0.2">
      <c r="K39" s="2"/>
    </row>
    <row r="40" spans="1:11" x14ac:dyDescent="0.2">
      <c r="A40" t="s">
        <v>8</v>
      </c>
      <c r="C40" s="18">
        <f>SUM(C14:C37)</f>
        <v>1429641258.1499999</v>
      </c>
      <c r="D40" s="18"/>
      <c r="E40" s="18">
        <f>SUM(E14:E37)</f>
        <v>2263156865</v>
      </c>
      <c r="F40" s="18">
        <f>SUM(F14:F37)</f>
        <v>2242545578</v>
      </c>
      <c r="K40" s="2"/>
    </row>
    <row r="41" spans="1:11" ht="12" thickBot="1" x14ac:dyDescent="0.25">
      <c r="A41" s="6"/>
      <c r="B41" s="6"/>
      <c r="C41" s="6"/>
      <c r="D41" s="6"/>
      <c r="E41" s="6"/>
      <c r="F41" s="6"/>
      <c r="K41" s="2"/>
    </row>
    <row r="42" spans="1:11" ht="12" thickTop="1" x14ac:dyDescent="0.2">
      <c r="K42" s="2"/>
    </row>
    <row r="43" spans="1:11" x14ac:dyDescent="0.2">
      <c r="A43" t="s">
        <v>19</v>
      </c>
      <c r="K43" s="2"/>
    </row>
    <row r="44" spans="1:11" x14ac:dyDescent="0.2">
      <c r="B44" s="21" t="str">
        <f>C12&amp;" Provided by TWIA"</f>
        <v>(2) Provided by TWIA</v>
      </c>
      <c r="K44" s="2"/>
    </row>
    <row r="45" spans="1:11" x14ac:dyDescent="0.2">
      <c r="B45" s="21" t="str">
        <f>D12&amp;" "&amp;'10.2'!$O$1&amp;", "&amp;'10.2'!$O$2</f>
        <v>(3) Exhibit 10, Sheet 2</v>
      </c>
      <c r="K45" s="2"/>
    </row>
    <row r="46" spans="1:11" x14ac:dyDescent="0.2">
      <c r="B46" s="21" t="str">
        <f>E12&amp;" = "&amp;C12&amp;" * "&amp;D12&amp;" (calculated on a monthly basis)"</f>
        <v>(4) = (2) * (3) (calculated on a monthly basis)</v>
      </c>
      <c r="K46" s="2"/>
    </row>
    <row r="47" spans="1:11" x14ac:dyDescent="0.2">
      <c r="B47" s="21" t="str">
        <f>F12&amp;" Calculated from "&amp;E12&amp;", using annual uniform earning assumption for "&amp;A22&amp;" and prior and monthly for "&amp;A23&amp;" and after"</f>
        <v>(5) Calculated from (4), using annual uniform earning assumption for 2002 and prior and monthly for 2003 and after</v>
      </c>
      <c r="K47" s="2"/>
    </row>
    <row r="48" spans="1:11" x14ac:dyDescent="0.2">
      <c r="B48" s="21"/>
      <c r="K48" s="2"/>
    </row>
    <row r="49" spans="11:11" x14ac:dyDescent="0.2">
      <c r="K49" s="2"/>
    </row>
    <row r="50" spans="11:11" x14ac:dyDescent="0.2">
      <c r="K50" s="2"/>
    </row>
    <row r="51" spans="11:11" x14ac:dyDescent="0.2">
      <c r="K51" s="2"/>
    </row>
    <row r="52" spans="11:11" x14ac:dyDescent="0.2">
      <c r="K52" s="2"/>
    </row>
    <row r="53" spans="11:11" x14ac:dyDescent="0.2">
      <c r="K53" s="2"/>
    </row>
    <row r="54" spans="11:11" x14ac:dyDescent="0.2">
      <c r="K54" s="2"/>
    </row>
    <row r="55" spans="11:11" x14ac:dyDescent="0.2">
      <c r="K55" s="2"/>
    </row>
    <row r="56" spans="11:11" x14ac:dyDescent="0.2">
      <c r="K56" s="2"/>
    </row>
    <row r="57" spans="11:11" x14ac:dyDescent="0.2">
      <c r="K57" s="2"/>
    </row>
    <row r="58" spans="11:11" x14ac:dyDescent="0.2">
      <c r="K58" s="2"/>
    </row>
    <row r="59" spans="11:11" x14ac:dyDescent="0.2">
      <c r="K59" s="2"/>
    </row>
    <row r="60" spans="11:11" x14ac:dyDescent="0.2">
      <c r="K60" s="2"/>
    </row>
    <row r="61" spans="11:11" x14ac:dyDescent="0.2">
      <c r="K61" s="2"/>
    </row>
    <row r="62" spans="11:11" x14ac:dyDescent="0.2">
      <c r="K62" s="2"/>
    </row>
    <row r="63" spans="11:11" x14ac:dyDescent="0.2">
      <c r="K63" s="2"/>
    </row>
    <row r="64" spans="11:11" x14ac:dyDescent="0.2">
      <c r="K64" s="2"/>
    </row>
    <row r="65" spans="1:11" x14ac:dyDescent="0.2">
      <c r="K65" s="2"/>
    </row>
    <row r="66" spans="1:11" x14ac:dyDescent="0.2">
      <c r="K66" s="2"/>
    </row>
    <row r="67" spans="1:11" x14ac:dyDescent="0.2">
      <c r="K67" s="2"/>
    </row>
    <row r="68" spans="1:11" x14ac:dyDescent="0.2">
      <c r="K68" s="2"/>
    </row>
    <row r="69" spans="1:11" x14ac:dyDescent="0.2">
      <c r="K69" s="2"/>
    </row>
    <row r="70" spans="1:11" x14ac:dyDescent="0.2">
      <c r="K70" s="2"/>
    </row>
    <row r="71" spans="1:11" ht="12" thickBot="1" x14ac:dyDescent="0.25">
      <c r="K71" s="2"/>
    </row>
    <row r="72" spans="1:11" ht="12" thickBot="1" x14ac:dyDescent="0.25">
      <c r="A72" s="4"/>
      <c r="B72" s="5"/>
      <c r="C72" s="5"/>
      <c r="D72" s="5"/>
      <c r="E72" s="5"/>
      <c r="F72" s="5"/>
      <c r="G72" s="5"/>
      <c r="H72" s="5"/>
      <c r="I72" s="5"/>
      <c r="J72" s="5"/>
      <c r="K72" s="3"/>
    </row>
  </sheetData>
  <phoneticPr fontId="0" type="noConversion"/>
  <pageMargins left="0.5" right="0.5" top="0.5" bottom="0.5" header="0.5" footer="0.5"/>
  <pageSetup scale="99" orientation="portrait" blackAndWhite="1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Sheet34"/>
  <dimension ref="A1:Q71"/>
  <sheetViews>
    <sheetView showGridLines="0" view="pageBreakPreview" zoomScale="60" zoomScaleNormal="100" workbookViewId="0">
      <selection activeCell="M33" sqref="M33"/>
    </sheetView>
  </sheetViews>
  <sheetFormatPr defaultColWidth="11.33203125" defaultRowHeight="11.25" x14ac:dyDescent="0.2"/>
  <cols>
    <col min="1" max="1" width="7.1640625" customWidth="1"/>
    <col min="2" max="2" width="10.6640625" customWidth="1"/>
    <col min="3" max="3" width="9.1640625" customWidth="1"/>
    <col min="4" max="4" width="9.6640625" customWidth="1"/>
    <col min="5" max="5" width="10.6640625" customWidth="1"/>
    <col min="6" max="10" width="7" customWidth="1"/>
    <col min="11" max="12" width="6.6640625" customWidth="1"/>
    <col min="13" max="13" width="7" customWidth="1"/>
    <col min="14" max="14" width="8.5" customWidth="1"/>
    <col min="15" max="15" width="9.6640625" customWidth="1"/>
    <col min="17" max="17" width="8.6640625" customWidth="1"/>
  </cols>
  <sheetData>
    <row r="1" spans="1:16" x14ac:dyDescent="0.2">
      <c r="A1" s="8" t="str">
        <f>'1'!$A$1</f>
        <v>Texas Windstorm Insurance Association</v>
      </c>
      <c r="O1" s="7" t="s">
        <v>146</v>
      </c>
      <c r="P1" s="1"/>
    </row>
    <row r="2" spans="1:16" x14ac:dyDescent="0.2">
      <c r="A2" s="8" t="str">
        <f>'1'!$A$2</f>
        <v>Commercial Property - Wind &amp; Hail</v>
      </c>
      <c r="O2" s="7" t="s">
        <v>66</v>
      </c>
      <c r="P2" s="2"/>
    </row>
    <row r="3" spans="1:16" x14ac:dyDescent="0.2">
      <c r="A3" s="8" t="str">
        <f>'1'!$A$3</f>
        <v>Rate Level Review</v>
      </c>
      <c r="P3" s="2"/>
    </row>
    <row r="4" spans="1:16" x14ac:dyDescent="0.2">
      <c r="A4" t="s">
        <v>218</v>
      </c>
      <c r="P4" s="2"/>
    </row>
    <row r="5" spans="1:16" x14ac:dyDescent="0.2">
      <c r="A5" s="58"/>
      <c r="B5" s="58"/>
      <c r="C5" s="58"/>
      <c r="D5" s="58"/>
      <c r="P5" s="2"/>
    </row>
    <row r="6" spans="1:16" x14ac:dyDescent="0.2">
      <c r="P6" s="2"/>
    </row>
    <row r="7" spans="1:16" ht="12" thickBot="1" x14ac:dyDescent="0.2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2"/>
    </row>
    <row r="8" spans="1:16" ht="12" thickTop="1" x14ac:dyDescent="0.2">
      <c r="P8" s="2"/>
    </row>
    <row r="9" spans="1:16" x14ac:dyDescent="0.2">
      <c r="B9" s="23" t="s">
        <v>221</v>
      </c>
      <c r="N9" t="s">
        <v>52</v>
      </c>
      <c r="O9" t="s">
        <v>227</v>
      </c>
      <c r="P9" s="2"/>
    </row>
    <row r="10" spans="1:16" x14ac:dyDescent="0.2">
      <c r="B10" t="s">
        <v>220</v>
      </c>
      <c r="F10" t="s">
        <v>224</v>
      </c>
      <c r="J10" t="s">
        <v>225</v>
      </c>
      <c r="N10" t="s">
        <v>13</v>
      </c>
      <c r="O10" t="s">
        <v>219</v>
      </c>
      <c r="P10" s="2"/>
    </row>
    <row r="11" spans="1:16" x14ac:dyDescent="0.2">
      <c r="A11" s="9" t="s">
        <v>43</v>
      </c>
      <c r="B11" s="9" t="s">
        <v>222</v>
      </c>
      <c r="C11" s="9"/>
      <c r="D11" s="9"/>
      <c r="E11" s="9" t="s">
        <v>223</v>
      </c>
      <c r="F11" s="9" t="s">
        <v>222</v>
      </c>
      <c r="G11" s="9"/>
      <c r="H11" s="9"/>
      <c r="I11" s="9" t="s">
        <v>223</v>
      </c>
      <c r="J11" s="9" t="s">
        <v>222</v>
      </c>
      <c r="K11" s="9"/>
      <c r="L11" s="9"/>
      <c r="M11" s="9" t="s">
        <v>223</v>
      </c>
      <c r="N11" s="9" t="s">
        <v>226</v>
      </c>
      <c r="O11" s="9" t="s">
        <v>109</v>
      </c>
      <c r="P11" s="2"/>
    </row>
    <row r="12" spans="1:16" x14ac:dyDescent="0.2">
      <c r="A12" s="13" t="str">
        <f>TEXT(COLUMN(),"(#)")</f>
        <v>(1)</v>
      </c>
      <c r="B12" s="11" t="str">
        <f>TEXT(COLUMN()-1,"(#)")</f>
        <v>(1)</v>
      </c>
      <c r="C12" s="11" t="str">
        <f>TEXT(COLUMN()-1,"(#)")</f>
        <v>(2)</v>
      </c>
      <c r="D12" s="11" t="str">
        <f>TEXT(COLUMN()-1,"(#)")</f>
        <v>(3)</v>
      </c>
      <c r="E12" s="11" t="str">
        <f t="shared" ref="E12:O12" si="0">TEXT(COLUMN()-1,"(#)")</f>
        <v>(4)</v>
      </c>
      <c r="F12" s="11" t="str">
        <f t="shared" si="0"/>
        <v>(5)</v>
      </c>
      <c r="G12" s="11" t="str">
        <f t="shared" si="0"/>
        <v>(6)</v>
      </c>
      <c r="H12" s="11" t="str">
        <f t="shared" si="0"/>
        <v>(7)</v>
      </c>
      <c r="I12" s="11" t="str">
        <f t="shared" si="0"/>
        <v>(8)</v>
      </c>
      <c r="J12" s="11" t="str">
        <f t="shared" si="0"/>
        <v>(9)</v>
      </c>
      <c r="K12" s="11" t="str">
        <f t="shared" si="0"/>
        <v>(10)</v>
      </c>
      <c r="L12" s="11" t="str">
        <f t="shared" si="0"/>
        <v>(11)</v>
      </c>
      <c r="M12" s="11" t="str">
        <f t="shared" si="0"/>
        <v>(12)</v>
      </c>
      <c r="N12" s="11" t="str">
        <f t="shared" si="0"/>
        <v>(13)</v>
      </c>
      <c r="O12" s="11" t="str">
        <f t="shared" si="0"/>
        <v>(14)</v>
      </c>
      <c r="P12" s="2"/>
    </row>
    <row r="13" spans="1:16" x14ac:dyDescent="0.2">
      <c r="P13" s="2"/>
    </row>
    <row r="14" spans="1:16" x14ac:dyDescent="0.2">
      <c r="A14" s="233">
        <v>1980</v>
      </c>
      <c r="B14" s="92" t="s">
        <v>200</v>
      </c>
      <c r="C14" s="93"/>
      <c r="D14" s="75"/>
      <c r="E14" s="94">
        <v>29434</v>
      </c>
      <c r="F14" s="33">
        <f>ROUND(VLOOKUP(TEXT(B14,"m/d/yy"),'10.3'!$A$14:$D$42,4,0),3)</f>
        <v>1</v>
      </c>
      <c r="G14" s="33"/>
      <c r="H14" s="33"/>
      <c r="I14" s="33">
        <f>ROUND(VLOOKUP(TEXT(E14,"m/d/yy"),'10.3'!$A$14:$D$42,4,0),3)</f>
        <v>1.175</v>
      </c>
      <c r="J14" s="85">
        <f>ROUND(IF(E14&gt;DATE($A14,1,1),MONTH(E14)-1+(DAY(E14)-1)/30,12),1)</f>
        <v>7</v>
      </c>
      <c r="K14" s="85"/>
      <c r="L14" s="85"/>
      <c r="M14" s="85">
        <f>12-SUM(J14:L14)</f>
        <v>5</v>
      </c>
      <c r="N14" s="33">
        <f>ROUND(SUMPRODUCT(F14:I14,J14:M14)/12,3)</f>
        <v>1.073</v>
      </c>
      <c r="O14" s="33">
        <f t="shared" ref="O14:O52" si="1">ROUND(N$54/N14,3)</f>
        <v>4.6369999999999996</v>
      </c>
      <c r="P14" s="2"/>
    </row>
    <row r="15" spans="1:16" x14ac:dyDescent="0.2">
      <c r="A15" s="233">
        <v>1981</v>
      </c>
      <c r="B15" s="94">
        <v>29434</v>
      </c>
      <c r="C15" s="93"/>
      <c r="D15" s="75"/>
      <c r="E15" s="94">
        <v>29830</v>
      </c>
      <c r="F15" s="33">
        <f>ROUND(VLOOKUP(TEXT(B15,"m/d/yy"),'10.3'!$A$14:$D$42,4,0),3)</f>
        <v>1.175</v>
      </c>
      <c r="G15" s="33"/>
      <c r="H15" s="33"/>
      <c r="I15" s="33">
        <f>ROUND(VLOOKUP(TEXT(E15,"m/d/yy"),'10.3'!$A$14:$D$42,4,0),3)</f>
        <v>1.1319999999999999</v>
      </c>
      <c r="J15" s="85">
        <f>ROUND(IF(E15&gt;DATE($A15,1,1),MONTH(E15)-1+(DAY(E15)-1)/30,12),1)</f>
        <v>8</v>
      </c>
      <c r="K15" s="85"/>
      <c r="L15" s="85"/>
      <c r="M15" s="85">
        <f t="shared" ref="M15:M36" si="2">12-SUM(J15:L15)</f>
        <v>4</v>
      </c>
      <c r="N15" s="33">
        <f t="shared" ref="N15:N36" si="3">ROUND(SUMPRODUCT(F15:I15,J15:M15)/12,3)</f>
        <v>1.161</v>
      </c>
      <c r="O15" s="33">
        <f t="shared" si="1"/>
        <v>4.2850000000000001</v>
      </c>
      <c r="P15" s="2"/>
    </row>
    <row r="16" spans="1:16" x14ac:dyDescent="0.2">
      <c r="A16" s="233">
        <v>1982</v>
      </c>
      <c r="B16" s="94">
        <v>29830</v>
      </c>
      <c r="C16" s="93"/>
      <c r="D16" s="75"/>
      <c r="E16" s="94">
        <v>30195</v>
      </c>
      <c r="F16" s="33">
        <f>ROUND(VLOOKUP(TEXT(B16,"m/d/yy"),'10.3'!$A$14:$D$42,4,0),3)</f>
        <v>1.1319999999999999</v>
      </c>
      <c r="G16" s="33"/>
      <c r="H16" s="33"/>
      <c r="I16" s="33">
        <f>ROUND(VLOOKUP(TEXT(E16,"m/d/yy"),'10.3'!$A$14:$D$42,4,0),3)</f>
        <v>1.4279999999999999</v>
      </c>
      <c r="J16" s="85">
        <f>ROUND(IF(E16&gt;DATE($A16,1,1),MONTH(E16)-1+(DAY(E16)-1)/30,12),1)</f>
        <v>8</v>
      </c>
      <c r="K16" s="85"/>
      <c r="L16" s="85"/>
      <c r="M16" s="85">
        <f t="shared" si="2"/>
        <v>4</v>
      </c>
      <c r="N16" s="33">
        <f t="shared" si="3"/>
        <v>1.2310000000000001</v>
      </c>
      <c r="O16" s="33">
        <f t="shared" si="1"/>
        <v>4.0419999999999998</v>
      </c>
      <c r="P16" s="2"/>
    </row>
    <row r="17" spans="1:17" x14ac:dyDescent="0.2">
      <c r="A17" s="233">
        <v>1983</v>
      </c>
      <c r="B17" s="94">
        <v>30195</v>
      </c>
      <c r="C17" s="93"/>
      <c r="D17" s="75"/>
      <c r="E17" s="94">
        <v>30599</v>
      </c>
      <c r="F17" s="33">
        <f>ROUND(VLOOKUP(TEXT(B17,"m/d/yy"),'10.3'!$A$14:$D$42,4,0),3)</f>
        <v>1.4279999999999999</v>
      </c>
      <c r="G17" s="33"/>
      <c r="H17" s="33"/>
      <c r="I17" s="33">
        <f>ROUND(VLOOKUP(TEXT(E17,"m/d/yy"),'10.3'!$A$14:$D$42,4,0),3)</f>
        <v>1.514</v>
      </c>
      <c r="J17" s="85">
        <f>ROUND(IF(E17&gt;DATE($A17,1,1),MONTH(E17)-1+(DAY(E17)-1)/30,12),1)</f>
        <v>9.3000000000000007</v>
      </c>
      <c r="K17" s="85"/>
      <c r="L17" s="85"/>
      <c r="M17" s="85">
        <f t="shared" si="2"/>
        <v>2.6999999999999993</v>
      </c>
      <c r="N17" s="33">
        <f t="shared" si="3"/>
        <v>1.4470000000000001</v>
      </c>
      <c r="O17" s="33">
        <f t="shared" si="1"/>
        <v>3.4380000000000002</v>
      </c>
      <c r="P17" s="2"/>
    </row>
    <row r="18" spans="1:17" x14ac:dyDescent="0.2">
      <c r="A18" s="233">
        <v>1984</v>
      </c>
      <c r="B18" s="94">
        <v>30599</v>
      </c>
      <c r="C18" s="93"/>
      <c r="D18" s="75"/>
      <c r="E18" s="94">
        <v>30599</v>
      </c>
      <c r="F18" s="33">
        <f>ROUND(VLOOKUP(TEXT(B18,"m/d/yy"),'10.3'!$A$14:$D$42,4,0),3)</f>
        <v>1.514</v>
      </c>
      <c r="G18" s="33"/>
      <c r="H18" s="33"/>
      <c r="I18" s="33">
        <f>ROUND(VLOOKUP(TEXT(E18,"m/d/yy"),'10.3'!$A$14:$D$42,4,0),3)</f>
        <v>1.514</v>
      </c>
      <c r="J18" s="85">
        <f>ROUND(IF(E18&gt;DATE($A18,1,1),MONTH(E18)-1+(DAY(E18)-1)/30,12),1)</f>
        <v>12</v>
      </c>
      <c r="K18" s="85"/>
      <c r="L18" s="85"/>
      <c r="M18" s="85">
        <f t="shared" si="2"/>
        <v>0</v>
      </c>
      <c r="N18" s="33">
        <f t="shared" si="3"/>
        <v>1.514</v>
      </c>
      <c r="O18" s="33">
        <f t="shared" si="1"/>
        <v>3.286</v>
      </c>
      <c r="P18" s="2"/>
    </row>
    <row r="19" spans="1:17" x14ac:dyDescent="0.2">
      <c r="A19" s="312">
        <v>1985</v>
      </c>
      <c r="B19" s="94">
        <v>30599</v>
      </c>
      <c r="C19" s="94">
        <v>31107</v>
      </c>
      <c r="D19" s="94">
        <v>31121</v>
      </c>
      <c r="E19" s="94">
        <v>31366</v>
      </c>
      <c r="F19" s="33">
        <f>ROUND(VLOOKUP(TEXT(B19,"m/d/yy"),'10.3'!$A$14:$D$42,4,0),3)</f>
        <v>1.514</v>
      </c>
      <c r="G19" s="33">
        <f>ROUND(VLOOKUP(TEXT(C19,"m/d/yy"),'10.3'!$A$14:$D$42,4,0),3)</f>
        <v>1.8919999999999999</v>
      </c>
      <c r="H19" s="33">
        <f>ROUND(VLOOKUP(TEXT(D19,"m/d/yy"),'10.3'!$A$14:$D$42,4,0),3)</f>
        <v>2.4279999999999999</v>
      </c>
      <c r="I19" s="33">
        <f>ROUND(VLOOKUP(TEXT(E19,"m/d/yy"),'10.3'!$A$14:$D$42,4,0),3)</f>
        <v>2.6509999999999998</v>
      </c>
      <c r="J19" s="95">
        <f>ROUND(IF(C19&gt;DATE($A19,1,1),MONTH(C19)-1+(DAY(C19)-1)/30,12),1)</f>
        <v>2</v>
      </c>
      <c r="K19" s="95">
        <f>ROUND(IF(D19&gt;DATE($A19,1,1),MONTH(D19)-1+(DAY(D19)-1)/30,12)-J19,1)</f>
        <v>0.5</v>
      </c>
      <c r="L19" s="95">
        <f>ROUND(IF(E19&gt;DATE($A19,1,1),MONTH(E19)-1+(DAY(E19)-1)/30,12)-J19-K19,1)</f>
        <v>8</v>
      </c>
      <c r="M19" s="85">
        <f t="shared" si="2"/>
        <v>1.5</v>
      </c>
      <c r="N19" s="33">
        <f t="shared" si="3"/>
        <v>2.2810000000000001</v>
      </c>
      <c r="O19" s="33">
        <f t="shared" si="1"/>
        <v>2.181</v>
      </c>
      <c r="P19" s="2"/>
    </row>
    <row r="20" spans="1:17" x14ac:dyDescent="0.2">
      <c r="A20" s="233">
        <v>1986</v>
      </c>
      <c r="B20" s="94">
        <v>31366</v>
      </c>
      <c r="C20" s="93"/>
      <c r="D20" s="75"/>
      <c r="E20" s="94">
        <v>31366</v>
      </c>
      <c r="F20" s="33">
        <f>ROUND(VLOOKUP(TEXT(B20,"m/d/yy"),'10.3'!$A$14:$D$42,4,0),3)</f>
        <v>2.6509999999999998</v>
      </c>
      <c r="G20" s="33"/>
      <c r="H20" s="33"/>
      <c r="I20" s="33">
        <f>ROUND(VLOOKUP(TEXT(E20,"m/d/yy"),'10.3'!$A$14:$D$42,4,0),3)</f>
        <v>2.6509999999999998</v>
      </c>
      <c r="J20" s="85">
        <f t="shared" ref="J20:J36" si="4">ROUND(IF(E20&gt;DATE($A20,1,1),MONTH(E20)-1+(DAY(E20)-1)/30,12),1)</f>
        <v>12</v>
      </c>
      <c r="K20" s="85"/>
      <c r="L20" s="85"/>
      <c r="M20" s="85">
        <f t="shared" si="2"/>
        <v>0</v>
      </c>
      <c r="N20" s="33">
        <f t="shared" si="3"/>
        <v>2.6509999999999998</v>
      </c>
      <c r="O20" s="33">
        <f t="shared" si="1"/>
        <v>1.877</v>
      </c>
      <c r="P20" s="2"/>
    </row>
    <row r="21" spans="1:17" x14ac:dyDescent="0.2">
      <c r="A21" s="233">
        <v>1987</v>
      </c>
      <c r="B21" s="94">
        <v>31366</v>
      </c>
      <c r="C21" s="93"/>
      <c r="D21" s="75"/>
      <c r="E21" s="94">
        <v>31959</v>
      </c>
      <c r="F21" s="33">
        <f>ROUND(VLOOKUP(TEXT(B21,"m/d/yy"),'10.3'!$A$14:$D$42,4,0),3)</f>
        <v>2.6509999999999998</v>
      </c>
      <c r="G21" s="33"/>
      <c r="H21" s="33"/>
      <c r="I21" s="33">
        <f>ROUND(VLOOKUP(TEXT(E21,"m/d/yy"),'10.3'!$A$14:$D$42,4,0),3)</f>
        <v>2.407</v>
      </c>
      <c r="J21" s="85">
        <f t="shared" si="4"/>
        <v>6</v>
      </c>
      <c r="K21" s="85"/>
      <c r="L21" s="85"/>
      <c r="M21" s="85">
        <f t="shared" si="2"/>
        <v>6</v>
      </c>
      <c r="N21" s="33">
        <f t="shared" si="3"/>
        <v>2.5289999999999999</v>
      </c>
      <c r="O21" s="33">
        <f t="shared" si="1"/>
        <v>1.9670000000000001</v>
      </c>
      <c r="P21" s="2"/>
    </row>
    <row r="22" spans="1:17" x14ac:dyDescent="0.2">
      <c r="A22" s="233">
        <v>1988</v>
      </c>
      <c r="B22" s="94">
        <v>31959</v>
      </c>
      <c r="C22" s="93"/>
      <c r="D22" s="75"/>
      <c r="E22" s="94">
        <v>32448</v>
      </c>
      <c r="F22" s="33">
        <f>ROUND(VLOOKUP(TEXT(B22,"m/d/yy"),'10.3'!$A$14:$D$42,4,0),3)</f>
        <v>2.407</v>
      </c>
      <c r="G22" s="33"/>
      <c r="H22" s="33"/>
      <c r="I22" s="33">
        <f>ROUND(VLOOKUP(TEXT(E22,"m/d/yy"),'10.3'!$A$14:$D$42,4,0),3)</f>
        <v>2.0750000000000002</v>
      </c>
      <c r="J22" s="85">
        <f t="shared" si="4"/>
        <v>10</v>
      </c>
      <c r="K22" s="85"/>
      <c r="L22" s="85"/>
      <c r="M22" s="85">
        <f t="shared" si="2"/>
        <v>2</v>
      </c>
      <c r="N22" s="33">
        <f t="shared" si="3"/>
        <v>2.3519999999999999</v>
      </c>
      <c r="O22" s="33">
        <f t="shared" si="1"/>
        <v>2.1150000000000002</v>
      </c>
      <c r="P22" s="2"/>
    </row>
    <row r="23" spans="1:17" x14ac:dyDescent="0.2">
      <c r="A23" s="233">
        <v>1989</v>
      </c>
      <c r="B23" s="94">
        <v>32448</v>
      </c>
      <c r="C23" s="93"/>
      <c r="D23" s="75"/>
      <c r="E23" s="94">
        <v>32448</v>
      </c>
      <c r="F23" s="33">
        <f>ROUND(VLOOKUP(TEXT(B23,"m/d/yy"),'10.3'!$A$14:$D$42,4,0),3)</f>
        <v>2.0750000000000002</v>
      </c>
      <c r="G23" s="33"/>
      <c r="H23" s="33"/>
      <c r="I23" s="33">
        <f>ROUND(VLOOKUP(TEXT(E23,"m/d/yy"),'10.3'!$A$14:$D$42,4,0),3)</f>
        <v>2.0750000000000002</v>
      </c>
      <c r="J23" s="85">
        <f t="shared" si="4"/>
        <v>12</v>
      </c>
      <c r="K23" s="85"/>
      <c r="L23" s="85"/>
      <c r="M23" s="85">
        <f t="shared" si="2"/>
        <v>0</v>
      </c>
      <c r="N23" s="33">
        <f t="shared" si="3"/>
        <v>2.0750000000000002</v>
      </c>
      <c r="O23" s="33">
        <f t="shared" si="1"/>
        <v>2.3980000000000001</v>
      </c>
      <c r="P23" s="2"/>
    </row>
    <row r="24" spans="1:17" x14ac:dyDescent="0.2">
      <c r="A24" s="233">
        <v>1990</v>
      </c>
      <c r="B24" s="94">
        <v>32448</v>
      </c>
      <c r="C24" s="93"/>
      <c r="D24" s="75"/>
      <c r="E24" s="94">
        <v>32933</v>
      </c>
      <c r="F24" s="33">
        <f>ROUND(VLOOKUP(TEXT(B24,"m/d/yy"),'10.3'!$A$14:$D$42,4,0),3)</f>
        <v>2.0750000000000002</v>
      </c>
      <c r="G24" s="33"/>
      <c r="H24" s="33"/>
      <c r="I24" s="33">
        <f>ROUND(VLOOKUP(TEXT(E24,"m/d/yy"),'10.3'!$A$14:$D$42,4,0),3)</f>
        <v>2.1040000000000001</v>
      </c>
      <c r="J24" s="85">
        <f t="shared" si="4"/>
        <v>2</v>
      </c>
      <c r="K24" s="85"/>
      <c r="L24" s="85"/>
      <c r="M24" s="85">
        <f t="shared" si="2"/>
        <v>10</v>
      </c>
      <c r="N24" s="33">
        <f t="shared" si="3"/>
        <v>2.0990000000000002</v>
      </c>
      <c r="O24" s="33">
        <f t="shared" si="1"/>
        <v>2.37</v>
      </c>
      <c r="P24" s="2"/>
    </row>
    <row r="25" spans="1:17" x14ac:dyDescent="0.2">
      <c r="A25" s="233">
        <v>1991</v>
      </c>
      <c r="B25" s="94">
        <v>32933</v>
      </c>
      <c r="C25" s="93"/>
      <c r="D25" s="75"/>
      <c r="E25" s="94">
        <v>33329</v>
      </c>
      <c r="F25" s="33">
        <f>ROUND(VLOOKUP(TEXT(B25,"m/d/yy"),'10.3'!$A$14:$D$42,4,0),3)</f>
        <v>2.1040000000000001</v>
      </c>
      <c r="G25" s="33"/>
      <c r="H25" s="33"/>
      <c r="I25" s="33">
        <f>ROUND(VLOOKUP(TEXT(E25,"m/d/yy"),'10.3'!$A$14:$D$42,4,0),3)</f>
        <v>2.0830000000000002</v>
      </c>
      <c r="J25" s="85">
        <f t="shared" si="4"/>
        <v>3</v>
      </c>
      <c r="K25" s="85"/>
      <c r="L25" s="85"/>
      <c r="M25" s="85">
        <f t="shared" si="2"/>
        <v>9</v>
      </c>
      <c r="N25" s="33">
        <f t="shared" si="3"/>
        <v>2.0880000000000001</v>
      </c>
      <c r="O25" s="33">
        <f t="shared" si="1"/>
        <v>2.383</v>
      </c>
      <c r="P25" s="2"/>
    </row>
    <row r="26" spans="1:17" x14ac:dyDescent="0.2">
      <c r="A26" s="233">
        <v>1992</v>
      </c>
      <c r="B26" s="94">
        <v>33604</v>
      </c>
      <c r="C26" s="93"/>
      <c r="D26" s="75"/>
      <c r="E26" s="94">
        <v>33604</v>
      </c>
      <c r="F26" s="33">
        <f>ROUND(VLOOKUP(TEXT(B26,"m/d/yy"),'10.3'!$A$14:$D$42,4,0),3)</f>
        <v>1.6060000000000001</v>
      </c>
      <c r="G26" s="33"/>
      <c r="H26" s="33"/>
      <c r="I26" s="33">
        <f>ROUND(VLOOKUP(TEXT(E26,"m/d/yy"),'10.3'!$A$14:$D$42,4,0),3)</f>
        <v>1.6060000000000001</v>
      </c>
      <c r="J26" s="85">
        <f t="shared" si="4"/>
        <v>12</v>
      </c>
      <c r="K26" s="85"/>
      <c r="L26" s="85"/>
      <c r="M26" s="85">
        <f t="shared" si="2"/>
        <v>0</v>
      </c>
      <c r="N26" s="33">
        <f t="shared" si="3"/>
        <v>1.6060000000000001</v>
      </c>
      <c r="O26" s="33">
        <f t="shared" si="1"/>
        <v>3.0979999999999999</v>
      </c>
      <c r="P26" s="2"/>
      <c r="Q26" s="24">
        <v>1992</v>
      </c>
    </row>
    <row r="27" spans="1:17" x14ac:dyDescent="0.2">
      <c r="A27" s="233">
        <v>1993</v>
      </c>
      <c r="B27" s="94">
        <v>33604</v>
      </c>
      <c r="C27" s="93"/>
      <c r="D27" s="75"/>
      <c r="E27" s="94">
        <v>34243</v>
      </c>
      <c r="F27" s="33">
        <f>ROUND(VLOOKUP(TEXT(B27,"m/d/yy"),'10.3'!$A$14:$D$42,4,0),3)</f>
        <v>1.6060000000000001</v>
      </c>
      <c r="G27" s="33"/>
      <c r="H27" s="33"/>
      <c r="I27" s="33">
        <f>ROUND(VLOOKUP(TEXT(E27,"m/d/yy"),'10.3'!$A$14:$D$42,4,0),3)</f>
        <v>1.6060000000000001</v>
      </c>
      <c r="J27" s="85">
        <f t="shared" si="4"/>
        <v>9</v>
      </c>
      <c r="K27" s="85"/>
      <c r="L27" s="85"/>
      <c r="M27" s="85">
        <f t="shared" si="2"/>
        <v>3</v>
      </c>
      <c r="N27" s="33">
        <f t="shared" si="3"/>
        <v>1.6060000000000001</v>
      </c>
      <c r="O27" s="33">
        <f t="shared" si="1"/>
        <v>3.0979999999999999</v>
      </c>
      <c r="P27" s="2"/>
      <c r="Q27" s="233">
        <v>1993</v>
      </c>
    </row>
    <row r="28" spans="1:17" x14ac:dyDescent="0.2">
      <c r="A28" s="233">
        <v>1994</v>
      </c>
      <c r="B28" s="94">
        <v>34243</v>
      </c>
      <c r="C28" s="93"/>
      <c r="D28" s="75"/>
      <c r="E28" s="94">
        <v>34243</v>
      </c>
      <c r="F28" s="33">
        <f>ROUND(VLOOKUP(TEXT(B28,"m/d/yy"),'10.3'!$A$14:$D$42,4,0),3)</f>
        <v>1.6060000000000001</v>
      </c>
      <c r="G28" s="33"/>
      <c r="H28" s="33"/>
      <c r="I28" s="33">
        <f>ROUND(VLOOKUP(TEXT(E28,"m/d/yy"),'10.3'!$A$14:$D$42,4,0),3)</f>
        <v>1.6060000000000001</v>
      </c>
      <c r="J28" s="85">
        <f t="shared" si="4"/>
        <v>12</v>
      </c>
      <c r="K28" s="85"/>
      <c r="L28" s="85"/>
      <c r="M28" s="85">
        <f t="shared" si="2"/>
        <v>0</v>
      </c>
      <c r="N28" s="33">
        <f t="shared" si="3"/>
        <v>1.6060000000000001</v>
      </c>
      <c r="O28" s="33">
        <f t="shared" si="1"/>
        <v>3.0979999999999999</v>
      </c>
      <c r="P28" s="2"/>
      <c r="Q28" s="233">
        <v>1994</v>
      </c>
    </row>
    <row r="29" spans="1:17" x14ac:dyDescent="0.2">
      <c r="A29" s="233">
        <v>1995</v>
      </c>
      <c r="B29" s="94">
        <v>34243</v>
      </c>
      <c r="C29" s="93"/>
      <c r="D29" s="75"/>
      <c r="E29" s="94">
        <v>34243</v>
      </c>
      <c r="F29" s="33">
        <f>ROUND(VLOOKUP(TEXT(B29,"m/d/yy"),'10.3'!$A$14:$D$42,4,0),3)</f>
        <v>1.6060000000000001</v>
      </c>
      <c r="G29" s="33"/>
      <c r="H29" s="33"/>
      <c r="I29" s="33">
        <f>ROUND(VLOOKUP(TEXT(E29,"m/d/yy"),'10.3'!$A$14:$D$42,4,0),3)</f>
        <v>1.6060000000000001</v>
      </c>
      <c r="J29" s="85">
        <f t="shared" si="4"/>
        <v>12</v>
      </c>
      <c r="K29" s="85"/>
      <c r="L29" s="85"/>
      <c r="M29" s="85">
        <f t="shared" si="2"/>
        <v>0</v>
      </c>
      <c r="N29" s="33">
        <f t="shared" si="3"/>
        <v>1.6060000000000001</v>
      </c>
      <c r="O29" s="33">
        <f t="shared" si="1"/>
        <v>3.0979999999999999</v>
      </c>
      <c r="P29" s="2"/>
      <c r="Q29" s="233">
        <v>1995</v>
      </c>
    </row>
    <row r="30" spans="1:17" x14ac:dyDescent="0.2">
      <c r="A30" s="233">
        <v>1996</v>
      </c>
      <c r="B30" s="94">
        <v>34243</v>
      </c>
      <c r="C30" s="93"/>
      <c r="D30" s="75"/>
      <c r="E30" s="94">
        <v>34243</v>
      </c>
      <c r="F30" s="33">
        <f>ROUND(VLOOKUP(TEXT(B30,"m/d/yy"),'10.3'!$A$14:$D$42,4,0),3)</f>
        <v>1.6060000000000001</v>
      </c>
      <c r="G30" s="33"/>
      <c r="H30" s="33"/>
      <c r="I30" s="33">
        <f>ROUND(VLOOKUP(TEXT(E30,"m/d/yy"),'10.3'!$A$14:$D$42,4,0),3)</f>
        <v>1.6060000000000001</v>
      </c>
      <c r="J30" s="85">
        <f t="shared" si="4"/>
        <v>12</v>
      </c>
      <c r="K30" s="85"/>
      <c r="L30" s="85"/>
      <c r="M30" s="85">
        <f t="shared" si="2"/>
        <v>0</v>
      </c>
      <c r="N30" s="33">
        <f>ROUND(SUMPRODUCT(F30:I30,J30:M30)/12,3)</f>
        <v>1.6060000000000001</v>
      </c>
      <c r="O30" s="33">
        <f t="shared" si="1"/>
        <v>3.0979999999999999</v>
      </c>
      <c r="P30" s="2"/>
      <c r="Q30" s="233">
        <v>1996</v>
      </c>
    </row>
    <row r="31" spans="1:17" x14ac:dyDescent="0.2">
      <c r="A31" s="233">
        <v>1997</v>
      </c>
      <c r="B31" s="94">
        <v>34243</v>
      </c>
      <c r="C31" s="93"/>
      <c r="D31" s="75"/>
      <c r="E31" s="94">
        <v>34243</v>
      </c>
      <c r="F31" s="33">
        <f>ROUND(VLOOKUP(TEXT(B31,"m/d/yy"),'10.3'!$A$14:$D$42,4,0),3)</f>
        <v>1.6060000000000001</v>
      </c>
      <c r="G31" s="33"/>
      <c r="H31" s="33"/>
      <c r="I31" s="33">
        <f>ROUND(VLOOKUP(TEXT(E31,"m/d/yy"),'10.3'!$A$14:$D$42,4,0),3)</f>
        <v>1.6060000000000001</v>
      </c>
      <c r="J31" s="85">
        <f t="shared" si="4"/>
        <v>12</v>
      </c>
      <c r="K31" s="85"/>
      <c r="L31" s="85"/>
      <c r="M31" s="85">
        <f t="shared" si="2"/>
        <v>0</v>
      </c>
      <c r="N31" s="33">
        <f t="shared" si="3"/>
        <v>1.6060000000000001</v>
      </c>
      <c r="O31" s="33">
        <f t="shared" si="1"/>
        <v>3.0979999999999999</v>
      </c>
      <c r="P31" s="2"/>
      <c r="Q31" s="233">
        <v>1997</v>
      </c>
    </row>
    <row r="32" spans="1:17" x14ac:dyDescent="0.2">
      <c r="A32" s="233">
        <v>1998</v>
      </c>
      <c r="B32" s="94">
        <v>35796</v>
      </c>
      <c r="C32" s="93"/>
      <c r="D32" s="75"/>
      <c r="E32" s="94">
        <v>35796</v>
      </c>
      <c r="F32" s="33">
        <f>ROUND(VLOOKUP(TEXT(B32,"m/d/yy"),'10.3'!$A$14:$D$42,4,0),3)</f>
        <v>1.5580000000000001</v>
      </c>
      <c r="G32" s="33"/>
      <c r="H32" s="33"/>
      <c r="I32" s="33">
        <f>ROUND(VLOOKUP(TEXT(E32,"m/d/yy"),'10.3'!$A$14:$D$42,4,0),3)</f>
        <v>1.5580000000000001</v>
      </c>
      <c r="J32" s="85">
        <f t="shared" si="4"/>
        <v>12</v>
      </c>
      <c r="K32" s="85"/>
      <c r="L32" s="85"/>
      <c r="M32" s="85">
        <f t="shared" si="2"/>
        <v>0</v>
      </c>
      <c r="N32" s="33">
        <f t="shared" si="3"/>
        <v>1.5580000000000001</v>
      </c>
      <c r="O32" s="33">
        <f t="shared" si="1"/>
        <v>3.1930000000000001</v>
      </c>
      <c r="P32" s="2"/>
      <c r="Q32" s="233">
        <v>1998</v>
      </c>
    </row>
    <row r="33" spans="1:17" x14ac:dyDescent="0.2">
      <c r="A33" s="233">
        <v>1999</v>
      </c>
      <c r="B33" s="94">
        <v>35796</v>
      </c>
      <c r="C33" s="93"/>
      <c r="D33" s="311"/>
      <c r="E33" s="94">
        <v>35796</v>
      </c>
      <c r="F33" s="33">
        <f>ROUND(VLOOKUP(TEXT(B33,"m/d/yy"),'10.3'!$A$14:$D$42,4,0),3)</f>
        <v>1.5580000000000001</v>
      </c>
      <c r="G33" s="33"/>
      <c r="H33" s="33"/>
      <c r="I33" s="33">
        <f>ROUND(VLOOKUP(TEXT(E33,"m/d/yy"),'10.3'!$A$14:$D$42,4,0),3)</f>
        <v>1.5580000000000001</v>
      </c>
      <c r="J33" s="85">
        <f t="shared" si="4"/>
        <v>12</v>
      </c>
      <c r="K33" s="85"/>
      <c r="L33" s="85"/>
      <c r="M33" s="85">
        <f t="shared" si="2"/>
        <v>0</v>
      </c>
      <c r="N33" s="33">
        <f t="shared" si="3"/>
        <v>1.5580000000000001</v>
      </c>
      <c r="O33" s="33">
        <f t="shared" si="1"/>
        <v>3.1930000000000001</v>
      </c>
      <c r="P33" s="2"/>
      <c r="Q33" s="233">
        <v>1999</v>
      </c>
    </row>
    <row r="34" spans="1:17" x14ac:dyDescent="0.2">
      <c r="A34" s="233">
        <v>2000</v>
      </c>
      <c r="B34" s="94">
        <v>36526</v>
      </c>
      <c r="C34" s="93"/>
      <c r="D34" s="75"/>
      <c r="E34" s="94">
        <v>36526</v>
      </c>
      <c r="F34" s="33">
        <f>ROUND(VLOOKUP(TEXT(B34,"m/d/yy"),'10.3'!$A$14:$D$42,4,0),3)</f>
        <v>1.698</v>
      </c>
      <c r="G34" s="33"/>
      <c r="H34" s="33"/>
      <c r="I34" s="33">
        <f>ROUND(VLOOKUP(TEXT(E34,"m/d/yy"),'10.3'!$A$14:$D$42,4,0),3)</f>
        <v>1.698</v>
      </c>
      <c r="J34" s="85">
        <f t="shared" si="4"/>
        <v>12</v>
      </c>
      <c r="K34" s="85"/>
      <c r="L34" s="85"/>
      <c r="M34" s="85">
        <f t="shared" si="2"/>
        <v>0</v>
      </c>
      <c r="N34" s="33">
        <f t="shared" si="3"/>
        <v>1.698</v>
      </c>
      <c r="O34" s="33">
        <f t="shared" si="1"/>
        <v>2.93</v>
      </c>
      <c r="P34" s="2"/>
      <c r="Q34" s="233">
        <v>2000</v>
      </c>
    </row>
    <row r="35" spans="1:17" x14ac:dyDescent="0.2">
      <c r="A35" s="233">
        <v>2001</v>
      </c>
      <c r="B35" s="94">
        <v>36892</v>
      </c>
      <c r="C35" s="93"/>
      <c r="D35" s="75"/>
      <c r="E35" s="94">
        <v>36892</v>
      </c>
      <c r="F35" s="33">
        <f>ROUND(VLOOKUP(TEXT(B35,"m/d/yy"),'10.3'!$A$14:$D$42,4,0),3)</f>
        <v>1.766</v>
      </c>
      <c r="G35" s="33"/>
      <c r="H35" s="33"/>
      <c r="I35" s="33">
        <f>ROUND(VLOOKUP(TEXT(E35,"m/d/yy"),'10.3'!$A$14:$D$42,4,0),3)</f>
        <v>1.766</v>
      </c>
      <c r="J35" s="85">
        <f t="shared" si="4"/>
        <v>12</v>
      </c>
      <c r="K35" s="85"/>
      <c r="L35" s="85"/>
      <c r="M35" s="85">
        <f t="shared" si="2"/>
        <v>0</v>
      </c>
      <c r="N35" s="33">
        <f t="shared" si="3"/>
        <v>1.766</v>
      </c>
      <c r="O35" s="33">
        <f t="shared" si="1"/>
        <v>2.8170000000000002</v>
      </c>
      <c r="P35" s="2"/>
      <c r="Q35" s="233">
        <v>2001</v>
      </c>
    </row>
    <row r="36" spans="1:17" x14ac:dyDescent="0.2">
      <c r="A36" s="233">
        <v>2002</v>
      </c>
      <c r="B36" s="97">
        <v>37257</v>
      </c>
      <c r="C36" s="93"/>
      <c r="D36" s="75"/>
      <c r="E36" s="94">
        <v>37257</v>
      </c>
      <c r="F36" s="33">
        <f>ROUND(VLOOKUP(TEXT(B36,"m/d/yy"),'10.3'!$A$14:$D$42,4,0),3)</f>
        <v>1.8540000000000001</v>
      </c>
      <c r="I36" s="33">
        <f>ROUND(VLOOKUP(TEXT(E36,"m/d/yy"),'10.3'!$A$14:$D$42,4,0),3)</f>
        <v>1.8540000000000001</v>
      </c>
      <c r="J36" s="85">
        <f t="shared" si="4"/>
        <v>12</v>
      </c>
      <c r="M36" s="85">
        <f t="shared" si="2"/>
        <v>0</v>
      </c>
      <c r="N36" s="33">
        <f t="shared" si="3"/>
        <v>1.8540000000000001</v>
      </c>
      <c r="O36" s="33">
        <f t="shared" si="1"/>
        <v>2.6840000000000002</v>
      </c>
      <c r="P36" s="2"/>
      <c r="Q36" s="233">
        <v>2002</v>
      </c>
    </row>
    <row r="37" spans="1:17" x14ac:dyDescent="0.2">
      <c r="A37" s="233">
        <v>2003</v>
      </c>
      <c r="B37" s="97">
        <v>37622</v>
      </c>
      <c r="C37" s="93"/>
      <c r="D37" s="75"/>
      <c r="E37" s="94">
        <v>37622</v>
      </c>
      <c r="F37" s="33">
        <f>ROUND(VLOOKUP(TEXT(B37,"m/d/yy"),'10.3'!$A$14:$D$42,4,0),3)</f>
        <v>2.0390000000000001</v>
      </c>
      <c r="I37" s="33">
        <f>ROUND(VLOOKUP(TEXT(E37,"m/d/yy"),'10.3'!$A$14:$D$42,4,0),3)</f>
        <v>2.0390000000000001</v>
      </c>
      <c r="J37" s="85">
        <f t="shared" ref="J37:J47" si="5">ROUND(IF(E37&gt;DATE($A37,1,1),MONTH(E37)-1+(DAY(E37)-1)/30,12),1)</f>
        <v>12</v>
      </c>
      <c r="M37" s="85">
        <f t="shared" ref="M37:M44" si="6">12-SUM(J37:L37)</f>
        <v>0</v>
      </c>
      <c r="N37" s="33">
        <f t="shared" ref="N37:N43" si="7">ROUND(SUMPRODUCT(F37:I37,J37:M37)/12,3)</f>
        <v>2.0390000000000001</v>
      </c>
      <c r="O37" s="33">
        <f t="shared" si="1"/>
        <v>2.44</v>
      </c>
      <c r="P37" s="2"/>
      <c r="Q37" s="233">
        <v>2003</v>
      </c>
    </row>
    <row r="38" spans="1:17" x14ac:dyDescent="0.2">
      <c r="A38" s="233">
        <v>2004</v>
      </c>
      <c r="B38" s="97">
        <v>37987</v>
      </c>
      <c r="C38" s="93"/>
      <c r="D38" s="75"/>
      <c r="E38" s="94">
        <v>37987</v>
      </c>
      <c r="F38" s="33">
        <f>ROUND(VLOOKUP(TEXT(B38,"m/d/yy"),'10.3'!$A$14:$D$42,4,0),3)</f>
        <v>2.2429999999999999</v>
      </c>
      <c r="I38" s="33">
        <f>ROUND(VLOOKUP(TEXT(E38,"m/d/yy"),'10.3'!$A$14:$D$42,4,0),3)</f>
        <v>2.2429999999999999</v>
      </c>
      <c r="J38" s="85">
        <f t="shared" si="5"/>
        <v>12</v>
      </c>
      <c r="M38" s="85">
        <f t="shared" si="6"/>
        <v>0</v>
      </c>
      <c r="N38" s="33">
        <f t="shared" si="7"/>
        <v>2.2429999999999999</v>
      </c>
      <c r="O38" s="33">
        <f t="shared" si="1"/>
        <v>2.218</v>
      </c>
      <c r="P38" s="2"/>
      <c r="Q38" s="233">
        <v>2004</v>
      </c>
    </row>
    <row r="39" spans="1:17" x14ac:dyDescent="0.2">
      <c r="A39" s="233">
        <v>2005</v>
      </c>
      <c r="B39" s="97">
        <v>38353</v>
      </c>
      <c r="C39" s="93"/>
      <c r="D39" s="75"/>
      <c r="E39" s="94">
        <v>38353</v>
      </c>
      <c r="F39" s="33">
        <f>ROUND(VLOOKUP(TEXT(B39,"m/d/yy"),'10.3'!$A$14:$D$42,4,0),3)</f>
        <v>2.468</v>
      </c>
      <c r="I39" s="33">
        <f>ROUND(VLOOKUP(TEXT(E39,"m/d/yy"),'10.3'!$A$14:$D$42,4,0),3)</f>
        <v>2.468</v>
      </c>
      <c r="J39" s="85">
        <f t="shared" si="5"/>
        <v>12</v>
      </c>
      <c r="M39" s="85">
        <f t="shared" si="6"/>
        <v>0</v>
      </c>
      <c r="N39" s="33">
        <f>ROUND(SUMPRODUCT(F39:I39,J39:M39)/12,3)</f>
        <v>2.468</v>
      </c>
      <c r="O39" s="33">
        <f t="shared" si="1"/>
        <v>2.016</v>
      </c>
      <c r="P39" s="2"/>
      <c r="Q39" s="233">
        <v>2005</v>
      </c>
    </row>
    <row r="40" spans="1:17" x14ac:dyDescent="0.2">
      <c r="A40" s="312">
        <v>2006</v>
      </c>
      <c r="B40" s="97">
        <v>38718</v>
      </c>
      <c r="C40" s="97"/>
      <c r="D40" s="75"/>
      <c r="E40" s="94">
        <v>38961</v>
      </c>
      <c r="F40" s="33">
        <f>ROUND(VLOOKUP(TEXT(B40,"m/d/yy"),'10.3'!$A$14:$D$42,4,0),3)</f>
        <v>2.5910000000000002</v>
      </c>
      <c r="I40" s="33">
        <f>ROUND(VLOOKUP(TEXT(E40,"m/d/yy"),'10.3'!$A$14:$D$42,4,0),3)</f>
        <v>2.798</v>
      </c>
      <c r="J40" s="85">
        <f t="shared" si="5"/>
        <v>8</v>
      </c>
      <c r="K40" s="95"/>
      <c r="M40" s="85">
        <f t="shared" si="6"/>
        <v>4</v>
      </c>
      <c r="N40" s="33">
        <f t="shared" si="7"/>
        <v>2.66</v>
      </c>
      <c r="O40" s="33">
        <f t="shared" si="1"/>
        <v>1.87</v>
      </c>
      <c r="P40" s="2"/>
      <c r="Q40" s="233">
        <v>2006</v>
      </c>
    </row>
    <row r="41" spans="1:17" x14ac:dyDescent="0.2">
      <c r="A41" s="312">
        <v>2007</v>
      </c>
      <c r="B41" s="97">
        <v>39083</v>
      </c>
      <c r="E41" s="97">
        <v>39083</v>
      </c>
      <c r="F41" s="33">
        <f>ROUND(VLOOKUP(TEXT(B41,"m/d/yy"),'10.3'!$A$14:$D$42,4,0),3)</f>
        <v>2.9020000000000001</v>
      </c>
      <c r="I41" s="33">
        <f>ROUND(VLOOKUP(TEXT(E41,"m/d/yy"),'10.3'!$A$14:$D$42,4,0),3)</f>
        <v>2.9020000000000001</v>
      </c>
      <c r="J41" s="85">
        <f t="shared" si="5"/>
        <v>12</v>
      </c>
      <c r="M41" s="85">
        <f t="shared" si="6"/>
        <v>0</v>
      </c>
      <c r="N41" s="33">
        <f t="shared" si="7"/>
        <v>2.9020000000000001</v>
      </c>
      <c r="O41" s="33">
        <f t="shared" si="1"/>
        <v>1.714</v>
      </c>
      <c r="P41" s="2"/>
      <c r="Q41" s="233">
        <v>2007</v>
      </c>
    </row>
    <row r="42" spans="1:17" x14ac:dyDescent="0.2">
      <c r="A42" s="312">
        <v>2008</v>
      </c>
      <c r="B42" s="97">
        <v>39083</v>
      </c>
      <c r="C42" s="97"/>
      <c r="E42" s="97">
        <v>39479</v>
      </c>
      <c r="F42" s="33">
        <f>ROUND(VLOOKUP(TEXT(B42,"m/d/yy"),'10.3'!$A$14:$D$42,4,0),3)</f>
        <v>2.9020000000000001</v>
      </c>
      <c r="I42" s="33">
        <f>ROUND(VLOOKUP(TEXT(E42,"m/d/yy"),'10.3'!$A$14:$D$42,4,0),3)</f>
        <v>3.0590000000000002</v>
      </c>
      <c r="J42" s="85">
        <f t="shared" si="5"/>
        <v>1</v>
      </c>
      <c r="K42" s="95"/>
      <c r="M42" s="85">
        <f t="shared" si="6"/>
        <v>11</v>
      </c>
      <c r="N42" s="33">
        <f>ROUND(SUMPRODUCT(F42:I42,J42:M42)/12,3)</f>
        <v>3.0459999999999998</v>
      </c>
      <c r="O42" s="33">
        <f t="shared" si="1"/>
        <v>1.633</v>
      </c>
      <c r="P42" s="2"/>
      <c r="Q42" s="233">
        <v>2008</v>
      </c>
    </row>
    <row r="43" spans="1:17" x14ac:dyDescent="0.2">
      <c r="A43" s="233">
        <v>2009</v>
      </c>
      <c r="B43" s="97">
        <v>39479</v>
      </c>
      <c r="C43" s="97"/>
      <c r="D43" s="47"/>
      <c r="E43" s="97">
        <v>39845</v>
      </c>
      <c r="F43" s="122">
        <f>ROUND(VLOOKUP(TEXT(B43,"m/d/yy"),'10.3'!$A$14:$D$42,4,0),3)</f>
        <v>3.0590000000000002</v>
      </c>
      <c r="G43" s="47"/>
      <c r="H43" s="47"/>
      <c r="I43" s="122">
        <f>ROUND(VLOOKUP(TEXT(E43,"m/d/yy"),'10.3'!$A$14:$D$42,4,0),3)</f>
        <v>3.536</v>
      </c>
      <c r="J43" s="231">
        <f t="shared" si="5"/>
        <v>1</v>
      </c>
      <c r="K43" s="230"/>
      <c r="L43" s="47"/>
      <c r="M43" s="231">
        <f t="shared" si="6"/>
        <v>11</v>
      </c>
      <c r="N43" s="122">
        <f t="shared" si="7"/>
        <v>3.496</v>
      </c>
      <c r="O43" s="33">
        <f t="shared" si="1"/>
        <v>1.423</v>
      </c>
      <c r="P43" s="2"/>
      <c r="Q43" s="233">
        <v>2009</v>
      </c>
    </row>
    <row r="44" spans="1:17" x14ac:dyDescent="0.2">
      <c r="A44" s="233">
        <v>2010</v>
      </c>
      <c r="B44" s="97">
        <v>39845</v>
      </c>
      <c r="C44" s="97"/>
      <c r="D44" s="47"/>
      <c r="E44" s="97">
        <v>39845</v>
      </c>
      <c r="F44" s="122">
        <f>ROUND(VLOOKUP(TEXT(B44,"m/d/yy"),'10.3'!$A$14:$D$42,4,0),3)</f>
        <v>3.536</v>
      </c>
      <c r="G44" s="47"/>
      <c r="H44" s="47"/>
      <c r="I44" s="122">
        <f>ROUND(VLOOKUP(TEXT(E44,"m/d/yy"),'10.3'!$A$14:$D$42,4,0),3)</f>
        <v>3.536</v>
      </c>
      <c r="J44" s="231">
        <f t="shared" si="5"/>
        <v>12</v>
      </c>
      <c r="K44" s="230"/>
      <c r="L44" s="47"/>
      <c r="M44" s="231">
        <f t="shared" si="6"/>
        <v>0</v>
      </c>
      <c r="N44" s="122">
        <f t="shared" ref="N44:N50" si="8">ROUND(SUMPRODUCT(F44:I44,J44:M44)/12,3)</f>
        <v>3.536</v>
      </c>
      <c r="O44" s="33">
        <f t="shared" si="1"/>
        <v>1.407</v>
      </c>
      <c r="P44" s="2"/>
      <c r="Q44" s="233">
        <v>2010</v>
      </c>
    </row>
    <row r="45" spans="1:17" x14ac:dyDescent="0.2">
      <c r="A45" s="308">
        <v>2011</v>
      </c>
      <c r="B45" s="97">
        <v>40544</v>
      </c>
      <c r="C45" s="97"/>
      <c r="D45" s="47"/>
      <c r="E45" s="97">
        <v>40544</v>
      </c>
      <c r="F45" s="122">
        <f>ROUND(VLOOKUP(TEXT(B45,"m/d/yy"),'10.3'!$A$14:$D$42,4,0),3)</f>
        <v>3.7130000000000001</v>
      </c>
      <c r="G45" s="47"/>
      <c r="H45" s="47"/>
      <c r="I45" s="122">
        <f>ROUND(VLOOKUP(TEXT(E45,"m/d/yy"),'10.3'!$A$14:$D$42,4,0),3)</f>
        <v>3.7130000000000001</v>
      </c>
      <c r="J45" s="231">
        <f t="shared" si="5"/>
        <v>12</v>
      </c>
      <c r="K45" s="47"/>
      <c r="L45" s="47"/>
      <c r="M45" s="231">
        <v>0</v>
      </c>
      <c r="N45" s="122">
        <f t="shared" si="8"/>
        <v>3.7130000000000001</v>
      </c>
      <c r="O45" s="33">
        <f t="shared" si="1"/>
        <v>1.34</v>
      </c>
      <c r="P45" s="2"/>
      <c r="Q45" s="233">
        <v>2011</v>
      </c>
    </row>
    <row r="46" spans="1:17" x14ac:dyDescent="0.2">
      <c r="A46" s="233">
        <v>2012</v>
      </c>
      <c r="B46" s="97">
        <v>40909</v>
      </c>
      <c r="C46" s="97"/>
      <c r="D46" s="42"/>
      <c r="E46" s="97">
        <v>40909</v>
      </c>
      <c r="F46" s="122">
        <f>ROUND(VLOOKUP(TEXT(B46,"m/d/yy"),'10.3'!$A$14:$D$42,4,0),3)</f>
        <v>3.8980000000000001</v>
      </c>
      <c r="G46" s="42"/>
      <c r="H46" s="42"/>
      <c r="I46" s="122">
        <f>ROUND(VLOOKUP(TEXT(E46,"m/d/yy"),'10.3'!$A$14:$D$42,4,0),3)</f>
        <v>3.8980000000000001</v>
      </c>
      <c r="J46" s="231">
        <v>12</v>
      </c>
      <c r="K46" s="230"/>
      <c r="L46" s="42"/>
      <c r="M46" s="231">
        <f>12-SUM(J46:L46)</f>
        <v>0</v>
      </c>
      <c r="N46" s="122">
        <f t="shared" si="8"/>
        <v>3.8980000000000001</v>
      </c>
      <c r="O46" s="33">
        <f t="shared" si="1"/>
        <v>1.276</v>
      </c>
      <c r="P46" s="2"/>
      <c r="Q46" s="233">
        <v>2012</v>
      </c>
    </row>
    <row r="47" spans="1:17" x14ac:dyDescent="0.2">
      <c r="A47" s="308">
        <v>2013</v>
      </c>
      <c r="B47" s="97">
        <v>41275</v>
      </c>
      <c r="C47" s="97"/>
      <c r="D47" s="42"/>
      <c r="E47" s="97">
        <v>41275</v>
      </c>
      <c r="F47" s="122">
        <f>ROUND(VLOOKUP(TEXT(B47,"m/d/yy"),'10.3'!$A$14:$D$42,4,0),3)</f>
        <v>4.093</v>
      </c>
      <c r="G47" s="42"/>
      <c r="H47" s="42"/>
      <c r="I47" s="122">
        <f>ROUND(VLOOKUP(TEXT(E47,"m/d/yy"),'10.3'!$A$14:$D$42,4,0),3)</f>
        <v>4.093</v>
      </c>
      <c r="J47" s="231">
        <f t="shared" si="5"/>
        <v>12</v>
      </c>
      <c r="K47" s="42"/>
      <c r="L47" s="42"/>
      <c r="M47" s="231">
        <v>0</v>
      </c>
      <c r="N47" s="122">
        <f t="shared" si="8"/>
        <v>4.093</v>
      </c>
      <c r="O47" s="122">
        <f t="shared" si="1"/>
        <v>1.216</v>
      </c>
      <c r="P47" s="2"/>
      <c r="Q47" s="233">
        <v>2013</v>
      </c>
    </row>
    <row r="48" spans="1:17" x14ac:dyDescent="0.2">
      <c r="A48" s="308">
        <v>2014</v>
      </c>
      <c r="B48" s="97">
        <v>41640</v>
      </c>
      <c r="C48" s="97"/>
      <c r="D48" s="42"/>
      <c r="E48" s="97">
        <v>41640</v>
      </c>
      <c r="F48" s="122">
        <f>ROUND(VLOOKUP(TEXT(B48,"m/d/yy"),'10.3'!$A$14:$D$43,4,0),3)</f>
        <v>4.298</v>
      </c>
      <c r="G48" s="42"/>
      <c r="H48" s="42"/>
      <c r="I48" s="122">
        <f>ROUND(VLOOKUP(TEXT(E48,"m/d/yy"),'10.3'!$A$14:$D$43,4,0),3)</f>
        <v>4.298</v>
      </c>
      <c r="J48" s="231">
        <f>ROUND(IF(E48&gt;DATE($A48,1,1),MONTH(E48)-1+(DAY(E48)-1)/30,12),1)</f>
        <v>12</v>
      </c>
      <c r="K48" s="42"/>
      <c r="L48" s="42"/>
      <c r="M48" s="231">
        <v>0</v>
      </c>
      <c r="N48" s="122">
        <f t="shared" si="8"/>
        <v>4.298</v>
      </c>
      <c r="O48" s="122">
        <f t="shared" si="1"/>
        <v>1.1579999999999999</v>
      </c>
      <c r="P48" s="2"/>
      <c r="Q48" s="233">
        <v>2014</v>
      </c>
    </row>
    <row r="49" spans="1:17" x14ac:dyDescent="0.2">
      <c r="A49" s="308">
        <v>2015</v>
      </c>
      <c r="B49" s="97">
        <v>42005</v>
      </c>
      <c r="C49" s="97"/>
      <c r="D49" s="42"/>
      <c r="E49" s="97">
        <v>42370</v>
      </c>
      <c r="F49" s="122">
        <f>'10.3'!D44</f>
        <v>4.5127887177469237</v>
      </c>
      <c r="G49" s="42"/>
      <c r="H49" s="42"/>
      <c r="I49" s="122">
        <f>F49</f>
        <v>4.5127887177469237</v>
      </c>
      <c r="J49" s="231">
        <v>12</v>
      </c>
      <c r="K49" s="42"/>
      <c r="L49" s="42"/>
      <c r="M49" s="231">
        <v>0</v>
      </c>
      <c r="N49" s="122">
        <f t="shared" si="8"/>
        <v>4.5129999999999999</v>
      </c>
      <c r="O49" s="122">
        <f t="shared" si="1"/>
        <v>1.1020000000000001</v>
      </c>
      <c r="P49" s="2"/>
      <c r="Q49" s="24">
        <v>2015</v>
      </c>
    </row>
    <row r="50" spans="1:17" x14ac:dyDescent="0.2">
      <c r="A50" s="48">
        <v>2016</v>
      </c>
      <c r="B50" s="97">
        <v>42370</v>
      </c>
      <c r="C50" s="97"/>
      <c r="D50" s="47"/>
      <c r="E50" s="97">
        <v>42736</v>
      </c>
      <c r="F50" s="122">
        <f>'10.3'!D45</f>
        <v>4.7384281536342705</v>
      </c>
      <c r="G50" s="47"/>
      <c r="H50" s="47"/>
      <c r="I50" s="122">
        <f>F50</f>
        <v>4.7384281536342705</v>
      </c>
      <c r="J50" s="231">
        <v>12</v>
      </c>
      <c r="K50" s="47"/>
      <c r="L50" s="47"/>
      <c r="M50" s="231">
        <v>0</v>
      </c>
      <c r="N50" s="122">
        <f t="shared" si="8"/>
        <v>4.7380000000000004</v>
      </c>
      <c r="O50" s="122">
        <f t="shared" si="1"/>
        <v>1.05</v>
      </c>
      <c r="P50" s="2"/>
      <c r="Q50" s="24">
        <v>2016</v>
      </c>
    </row>
    <row r="51" spans="1:17" x14ac:dyDescent="0.2">
      <c r="A51" s="48">
        <v>2017</v>
      </c>
      <c r="B51" s="97">
        <v>42736</v>
      </c>
      <c r="C51" s="97"/>
      <c r="D51" s="47"/>
      <c r="E51" s="97">
        <v>43101</v>
      </c>
      <c r="F51" s="122">
        <f>'10.3'!D46</f>
        <v>4.7384281536342705</v>
      </c>
      <c r="G51" s="47"/>
      <c r="H51" s="47"/>
      <c r="I51" s="122">
        <f>F51</f>
        <v>4.7384281536342705</v>
      </c>
      <c r="J51" s="231">
        <v>12</v>
      </c>
      <c r="K51" s="47"/>
      <c r="L51" s="47"/>
      <c r="M51" s="231">
        <v>0</v>
      </c>
      <c r="N51" s="122">
        <f>ROUND(SUMPRODUCT(F51:I51,J51:M51)/12,3)</f>
        <v>4.7380000000000004</v>
      </c>
      <c r="O51" s="122">
        <f t="shared" si="1"/>
        <v>1.05</v>
      </c>
      <c r="P51" s="2"/>
      <c r="Q51" s="24">
        <v>2017</v>
      </c>
    </row>
    <row r="52" spans="1:17" x14ac:dyDescent="0.2">
      <c r="A52" s="25">
        <v>2018</v>
      </c>
      <c r="B52" s="302">
        <v>43101</v>
      </c>
      <c r="C52" s="302"/>
      <c r="D52" s="9"/>
      <c r="E52" s="302">
        <v>43466</v>
      </c>
      <c r="F52" s="70">
        <f>'10.3'!D47</f>
        <v>4.9753495613159844</v>
      </c>
      <c r="G52" s="9"/>
      <c r="H52" s="9"/>
      <c r="I52" s="70">
        <f>F52</f>
        <v>4.9753495613159844</v>
      </c>
      <c r="J52" s="303">
        <v>12</v>
      </c>
      <c r="K52" s="9"/>
      <c r="L52" s="9"/>
      <c r="M52" s="303">
        <v>0</v>
      </c>
      <c r="N52" s="70">
        <f>ROUND(SUMPRODUCT(F52:I52,J52:M52)/12,3)</f>
        <v>4.9749999999999996</v>
      </c>
      <c r="O52" s="334">
        <f t="shared" si="1"/>
        <v>1</v>
      </c>
      <c r="P52" s="2"/>
      <c r="Q52" s="24">
        <v>2018</v>
      </c>
    </row>
    <row r="53" spans="1:17" x14ac:dyDescent="0.2">
      <c r="A53" s="47"/>
      <c r="B53" s="97"/>
      <c r="C53" s="97"/>
      <c r="D53" s="47"/>
      <c r="E53" s="97"/>
      <c r="F53" s="122"/>
      <c r="G53" s="47"/>
      <c r="H53" s="47"/>
      <c r="I53" s="122"/>
      <c r="J53" s="231"/>
      <c r="K53" s="47"/>
      <c r="L53" s="47"/>
      <c r="M53" s="231"/>
      <c r="N53" s="122"/>
      <c r="O53" s="122"/>
      <c r="P53" s="2"/>
    </row>
    <row r="54" spans="1:17" x14ac:dyDescent="0.2">
      <c r="A54" t="s">
        <v>219</v>
      </c>
      <c r="B54" s="18"/>
      <c r="D54" s="18"/>
      <c r="E54" s="94"/>
      <c r="F54" s="40"/>
      <c r="G54" s="40"/>
      <c r="H54" s="40"/>
      <c r="I54" s="33">
        <f>'10.3'!D47</f>
        <v>4.9753495613159844</v>
      </c>
      <c r="J54" s="86"/>
      <c r="K54" s="86"/>
      <c r="L54" s="86"/>
      <c r="M54" s="86"/>
      <c r="N54" s="40">
        <f>I54</f>
        <v>4.9753495613159844</v>
      </c>
      <c r="O54" s="123">
        <v>1</v>
      </c>
      <c r="P54" s="2"/>
    </row>
    <row r="55" spans="1:17" ht="12" thickBot="1" x14ac:dyDescent="0.2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2"/>
    </row>
    <row r="56" spans="1:17" ht="12" thickTop="1" x14ac:dyDescent="0.2">
      <c r="O56" s="47"/>
      <c r="P56" s="2"/>
    </row>
    <row r="57" spans="1:17" x14ac:dyDescent="0.2">
      <c r="A57" t="s">
        <v>19</v>
      </c>
      <c r="O57" s="47"/>
      <c r="P57" s="2"/>
    </row>
    <row r="58" spans="1:17" x14ac:dyDescent="0.2">
      <c r="B58" s="21" t="str">
        <f>B12&amp;" - "&amp;E12&amp;" Rates in effect and beginning and end of year (B.O.Y. and E.O.Y.)"</f>
        <v>(1) - (4) Rates in effect and beginning and end of year (B.O.Y. and E.O.Y.)</v>
      </c>
      <c r="P58" s="2"/>
    </row>
    <row r="59" spans="1:17" x14ac:dyDescent="0.2">
      <c r="B59" t="s">
        <v>371</v>
      </c>
      <c r="P59" s="2"/>
    </row>
    <row r="60" spans="1:17" x14ac:dyDescent="0.2">
      <c r="B60" t="s">
        <v>330</v>
      </c>
      <c r="P60" s="2"/>
    </row>
    <row r="61" spans="1:17" x14ac:dyDescent="0.2">
      <c r="B61" t="s">
        <v>372</v>
      </c>
      <c r="P61" s="2"/>
    </row>
    <row r="62" spans="1:17" x14ac:dyDescent="0.2">
      <c r="B62" t="s">
        <v>373</v>
      </c>
      <c r="P62" s="2"/>
    </row>
    <row r="63" spans="1:17" x14ac:dyDescent="0.2">
      <c r="B63" s="21" t="str">
        <f>F12&amp;" - "&amp;I12&amp;" Based on "&amp;'10.3'!$K$1&amp;", "&amp;'10.3'!$K$2</f>
        <v>(5) - (8) Based on Exhibit 10, Sheet 3</v>
      </c>
      <c r="P63" s="2"/>
    </row>
    <row r="64" spans="1:17" x14ac:dyDescent="0.2">
      <c r="B64" s="21" t="str">
        <f>J12&amp;" - "&amp;M12&amp;" Number of months that each of the rates were effective"</f>
        <v>(9) - (12) Number of months that each of the rates were effective</v>
      </c>
      <c r="P64" s="2"/>
    </row>
    <row r="65" spans="1:16" x14ac:dyDescent="0.2">
      <c r="B65" s="21" t="str">
        <f>N12&amp;" = Weighted average of "&amp;F12&amp;" - "&amp;I12&amp;" using "&amp;J12&amp;" - "&amp;M12&amp;" as weights"</f>
        <v>(13) = Weighted average of (5) - (8) using (9) - (12) as weights</v>
      </c>
      <c r="P65" s="2"/>
    </row>
    <row r="66" spans="1:16" x14ac:dyDescent="0.2">
      <c r="B66" s="21" t="str">
        <f>O12&amp;" = Current "&amp;N12&amp;" / "&amp;N12</f>
        <v>(14) = Current (13) / (13)</v>
      </c>
      <c r="P66" s="2"/>
    </row>
    <row r="67" spans="1:16" x14ac:dyDescent="0.2">
      <c r="P67" s="2"/>
    </row>
    <row r="68" spans="1:16" x14ac:dyDescent="0.2">
      <c r="P68" s="2"/>
    </row>
    <row r="69" spans="1:16" x14ac:dyDescent="0.2">
      <c r="P69" s="2"/>
    </row>
    <row r="70" spans="1:16" ht="12" thickBot="1" x14ac:dyDescent="0.25">
      <c r="P70" s="2"/>
    </row>
    <row r="71" spans="1:16" ht="12" thickBot="1" x14ac:dyDescent="0.25">
      <c r="A71" s="4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3"/>
    </row>
  </sheetData>
  <phoneticPr fontId="0" type="noConversion"/>
  <pageMargins left="0.5" right="0.5" top="0.5" bottom="0.5" header="0.5" footer="0.5"/>
  <pageSetup orientation="portrait" blackAndWhite="1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Sheet35"/>
  <dimension ref="A1:L71"/>
  <sheetViews>
    <sheetView showGridLines="0" view="pageBreakPreview" zoomScale="60" zoomScaleNormal="100" workbookViewId="0">
      <selection activeCell="A4" sqref="A4"/>
    </sheetView>
  </sheetViews>
  <sheetFormatPr defaultColWidth="11.33203125" defaultRowHeight="11.25" x14ac:dyDescent="0.2"/>
  <cols>
    <col min="1" max="1" width="8.1640625" bestFit="1" customWidth="1"/>
    <col min="2" max="2" width="11.33203125" customWidth="1"/>
    <col min="3" max="4" width="15.33203125" customWidth="1"/>
    <col min="5" max="10" width="11.33203125" customWidth="1"/>
    <col min="11" max="11" width="3.33203125" customWidth="1"/>
  </cols>
  <sheetData>
    <row r="1" spans="1:12" x14ac:dyDescent="0.2">
      <c r="A1" s="8" t="str">
        <f>'1'!$A$1</f>
        <v>Texas Windstorm Insurance Association</v>
      </c>
      <c r="B1" s="12"/>
      <c r="K1" s="7" t="s">
        <v>146</v>
      </c>
      <c r="L1" s="1"/>
    </row>
    <row r="2" spans="1:12" x14ac:dyDescent="0.2">
      <c r="A2" s="8" t="str">
        <f>'1'!$A$2</f>
        <v>Commercial Property - Wind &amp; Hail</v>
      </c>
      <c r="B2" s="12"/>
      <c r="K2" s="7" t="s">
        <v>69</v>
      </c>
      <c r="L2" s="2"/>
    </row>
    <row r="3" spans="1:12" x14ac:dyDescent="0.2">
      <c r="A3" s="8" t="str">
        <f>'1'!$A$3</f>
        <v>Rate Level Review</v>
      </c>
      <c r="B3" s="12"/>
      <c r="L3" s="2"/>
    </row>
    <row r="4" spans="1:12" x14ac:dyDescent="0.2">
      <c r="A4" t="s">
        <v>198</v>
      </c>
      <c r="B4" s="12"/>
      <c r="L4" s="2"/>
    </row>
    <row r="5" spans="1:12" x14ac:dyDescent="0.2">
      <c r="A5" s="58"/>
      <c r="B5" s="21"/>
      <c r="C5" s="58"/>
      <c r="D5" s="58"/>
      <c r="E5" s="58"/>
      <c r="L5" s="2"/>
    </row>
    <row r="6" spans="1:12" x14ac:dyDescent="0.2">
      <c r="L6" s="2"/>
    </row>
    <row r="7" spans="1:12" ht="12" thickBot="1" x14ac:dyDescent="0.25">
      <c r="A7" s="6"/>
      <c r="B7" s="6"/>
      <c r="C7" s="6"/>
      <c r="D7" s="6"/>
      <c r="L7" s="2"/>
    </row>
    <row r="8" spans="1:12" ht="12" thickTop="1" x14ac:dyDescent="0.2">
      <c r="L8" s="2"/>
    </row>
    <row r="9" spans="1:12" x14ac:dyDescent="0.2">
      <c r="C9" s="21"/>
      <c r="L9" s="2"/>
    </row>
    <row r="10" spans="1:12" x14ac:dyDescent="0.2">
      <c r="A10" t="s">
        <v>199</v>
      </c>
      <c r="C10" t="s">
        <v>13</v>
      </c>
      <c r="D10" t="s">
        <v>55</v>
      </c>
      <c r="L10" s="2"/>
    </row>
    <row r="11" spans="1:12" x14ac:dyDescent="0.2">
      <c r="A11" s="9" t="s">
        <v>147</v>
      </c>
      <c r="B11" s="9"/>
      <c r="C11" s="9" t="s">
        <v>14</v>
      </c>
      <c r="D11" s="9" t="s">
        <v>109</v>
      </c>
      <c r="L11" s="2"/>
    </row>
    <row r="12" spans="1:12" x14ac:dyDescent="0.2">
      <c r="A12" s="13" t="str">
        <f>TEXT(COLUMN(),"(#)")</f>
        <v>(1)</v>
      </c>
      <c r="B12" s="13"/>
      <c r="C12" s="11" t="str">
        <f>TEXT(COLUMN()-1,"(#)")</f>
        <v>(2)</v>
      </c>
      <c r="D12" s="11" t="str">
        <f>TEXT(COLUMN()-1,"(#)")</f>
        <v>(3)</v>
      </c>
      <c r="L12" s="2"/>
    </row>
    <row r="13" spans="1:12" x14ac:dyDescent="0.2">
      <c r="L13" s="2"/>
    </row>
    <row r="14" spans="1:12" x14ac:dyDescent="0.2">
      <c r="A14" t="s">
        <v>200</v>
      </c>
      <c r="B14" s="24"/>
      <c r="C14" s="36"/>
      <c r="D14" s="41">
        <v>1</v>
      </c>
      <c r="L14" s="2"/>
    </row>
    <row r="15" spans="1:12" x14ac:dyDescent="0.2">
      <c r="A15" s="313" t="s">
        <v>201</v>
      </c>
      <c r="B15" s="54"/>
      <c r="C15" s="91">
        <v>0.17499999999999999</v>
      </c>
      <c r="D15" s="34">
        <f>D14*(1+C15)</f>
        <v>1.175</v>
      </c>
      <c r="L15" s="2"/>
    </row>
    <row r="16" spans="1:12" x14ac:dyDescent="0.2">
      <c r="A16" s="313" t="s">
        <v>202</v>
      </c>
      <c r="B16" s="54"/>
      <c r="C16" s="91">
        <v>-3.6999999999999998E-2</v>
      </c>
      <c r="D16" s="34">
        <f t="shared" ref="D16:D39" si="0">D15*(1+C16)</f>
        <v>1.1315250000000001</v>
      </c>
      <c r="L16" s="2"/>
    </row>
    <row r="17" spans="1:12" x14ac:dyDescent="0.2">
      <c r="A17" s="313" t="s">
        <v>203</v>
      </c>
      <c r="B17" s="54"/>
      <c r="C17" s="91">
        <v>0.26200000000000001</v>
      </c>
      <c r="D17" s="34">
        <f t="shared" si="0"/>
        <v>1.4279845500000001</v>
      </c>
      <c r="L17" s="2"/>
    </row>
    <row r="18" spans="1:12" x14ac:dyDescent="0.2">
      <c r="A18" s="313" t="s">
        <v>204</v>
      </c>
      <c r="B18" s="54"/>
      <c r="C18" s="91">
        <v>0.06</v>
      </c>
      <c r="D18" s="34">
        <f t="shared" si="0"/>
        <v>1.5136636230000002</v>
      </c>
      <c r="L18" s="2"/>
    </row>
    <row r="19" spans="1:12" x14ac:dyDescent="0.2">
      <c r="A19" s="313" t="s">
        <v>205</v>
      </c>
      <c r="B19" s="54"/>
      <c r="C19" s="91">
        <v>0.25</v>
      </c>
      <c r="D19" s="34">
        <f t="shared" si="0"/>
        <v>1.8920795287500003</v>
      </c>
      <c r="L19" s="2"/>
    </row>
    <row r="20" spans="1:12" x14ac:dyDescent="0.2">
      <c r="A20" s="313" t="s">
        <v>206</v>
      </c>
      <c r="B20" s="54"/>
      <c r="C20" s="91">
        <v>0.28299999999999997</v>
      </c>
      <c r="D20" s="34">
        <f t="shared" si="0"/>
        <v>2.4275380353862501</v>
      </c>
      <c r="L20" s="2"/>
    </row>
    <row r="21" spans="1:12" x14ac:dyDescent="0.2">
      <c r="A21" s="313" t="s">
        <v>207</v>
      </c>
      <c r="B21" s="54"/>
      <c r="C21" s="91">
        <v>9.1999999999999998E-2</v>
      </c>
      <c r="D21" s="34">
        <f t="shared" si="0"/>
        <v>2.6508715346417855</v>
      </c>
      <c r="L21" s="2"/>
    </row>
    <row r="22" spans="1:12" x14ac:dyDescent="0.2">
      <c r="A22" s="313" t="s">
        <v>208</v>
      </c>
      <c r="B22" s="54"/>
      <c r="C22" s="91">
        <v>-9.1999999999999998E-2</v>
      </c>
      <c r="D22" s="34">
        <f t="shared" si="0"/>
        <v>2.4069913534547411</v>
      </c>
      <c r="L22" s="2"/>
    </row>
    <row r="23" spans="1:12" x14ac:dyDescent="0.2">
      <c r="A23" s="313" t="s">
        <v>209</v>
      </c>
      <c r="B23" s="54"/>
      <c r="C23" s="91">
        <v>-0.13800000000000001</v>
      </c>
      <c r="D23" s="34">
        <f t="shared" si="0"/>
        <v>2.0748265466779867</v>
      </c>
      <c r="L23" s="2"/>
    </row>
    <row r="24" spans="1:12" x14ac:dyDescent="0.2">
      <c r="A24" s="313" t="s">
        <v>210</v>
      </c>
      <c r="B24" s="54"/>
      <c r="C24" s="91">
        <v>1.4E-2</v>
      </c>
      <c r="D24" s="34">
        <f t="shared" si="0"/>
        <v>2.1038741183314786</v>
      </c>
      <c r="L24" s="2"/>
    </row>
    <row r="25" spans="1:12" x14ac:dyDescent="0.2">
      <c r="A25" s="313" t="s">
        <v>211</v>
      </c>
      <c r="B25" s="54"/>
      <c r="C25" s="91">
        <v>-0.01</v>
      </c>
      <c r="D25" s="34">
        <f t="shared" si="0"/>
        <v>2.082835377148164</v>
      </c>
      <c r="L25" s="2"/>
    </row>
    <row r="26" spans="1:12" x14ac:dyDescent="0.2">
      <c r="A26" s="313" t="s">
        <v>212</v>
      </c>
      <c r="B26" s="54"/>
      <c r="C26" s="91">
        <v>-0.22900000000000001</v>
      </c>
      <c r="D26" s="34">
        <f t="shared" si="0"/>
        <v>1.6058660757812344</v>
      </c>
      <c r="L26" s="2"/>
    </row>
    <row r="27" spans="1:12" x14ac:dyDescent="0.2">
      <c r="A27" s="313" t="s">
        <v>213</v>
      </c>
      <c r="B27" s="54"/>
      <c r="C27" s="91">
        <v>0</v>
      </c>
      <c r="D27" s="34">
        <f t="shared" si="0"/>
        <v>1.6058660757812344</v>
      </c>
      <c r="L27" s="2"/>
    </row>
    <row r="28" spans="1:12" x14ac:dyDescent="0.2">
      <c r="A28" s="313" t="s">
        <v>214</v>
      </c>
      <c r="B28" s="54"/>
      <c r="C28" s="91">
        <v>-0.03</v>
      </c>
      <c r="D28" s="34">
        <f t="shared" si="0"/>
        <v>1.5576900935077973</v>
      </c>
      <c r="L28" s="2"/>
    </row>
    <row r="29" spans="1:12" x14ac:dyDescent="0.2">
      <c r="A29" s="313" t="s">
        <v>215</v>
      </c>
      <c r="B29" s="54"/>
      <c r="C29" s="91">
        <v>0.09</v>
      </c>
      <c r="D29" s="34">
        <f t="shared" si="0"/>
        <v>1.6978822019234991</v>
      </c>
      <c r="L29" s="2"/>
    </row>
    <row r="30" spans="1:12" x14ac:dyDescent="0.2">
      <c r="A30" s="313" t="s">
        <v>216</v>
      </c>
      <c r="B30" s="54"/>
      <c r="C30" s="91">
        <v>0.04</v>
      </c>
      <c r="D30" s="34">
        <f t="shared" si="0"/>
        <v>1.7657974900004392</v>
      </c>
      <c r="L30" s="2"/>
    </row>
    <row r="31" spans="1:12" x14ac:dyDescent="0.2">
      <c r="A31" s="313" t="s">
        <v>217</v>
      </c>
      <c r="B31" s="54"/>
      <c r="C31" s="91">
        <v>0.05</v>
      </c>
      <c r="D31" s="34">
        <f>D30*(1+C31)</f>
        <v>1.8540873645004612</v>
      </c>
      <c r="L31" s="2"/>
    </row>
    <row r="32" spans="1:12" x14ac:dyDescent="0.2">
      <c r="A32" s="314" t="s">
        <v>247</v>
      </c>
      <c r="B32" s="102"/>
      <c r="C32" s="60">
        <v>0.1</v>
      </c>
      <c r="D32" s="34">
        <f>D31*(1+C32)</f>
        <v>2.0394961009505073</v>
      </c>
      <c r="L32" s="2"/>
    </row>
    <row r="33" spans="1:12" x14ac:dyDescent="0.2">
      <c r="A33" s="314" t="s">
        <v>304</v>
      </c>
      <c r="B33" s="102"/>
      <c r="C33" s="60">
        <v>0.1</v>
      </c>
      <c r="D33" s="34">
        <f t="shared" si="0"/>
        <v>2.2434457110455583</v>
      </c>
      <c r="L33" s="2"/>
    </row>
    <row r="34" spans="1:12" x14ac:dyDescent="0.2">
      <c r="A34" s="314" t="s">
        <v>315</v>
      </c>
      <c r="B34" s="102"/>
      <c r="C34" s="60">
        <v>0.1</v>
      </c>
      <c r="D34" s="34">
        <f t="shared" si="0"/>
        <v>2.4677902821501143</v>
      </c>
      <c r="L34" s="2"/>
    </row>
    <row r="35" spans="1:12" x14ac:dyDescent="0.2">
      <c r="A35" s="314" t="s">
        <v>327</v>
      </c>
      <c r="C35" s="60">
        <v>0.05</v>
      </c>
      <c r="D35" s="34">
        <f t="shared" si="0"/>
        <v>2.5911797962576202</v>
      </c>
      <c r="L35" s="2"/>
    </row>
    <row r="36" spans="1:12" x14ac:dyDescent="0.2">
      <c r="A36" s="314" t="s">
        <v>339</v>
      </c>
      <c r="C36" s="60">
        <v>0.08</v>
      </c>
      <c r="D36" s="34">
        <f t="shared" si="0"/>
        <v>2.7984741799582298</v>
      </c>
      <c r="L36" s="2"/>
    </row>
    <row r="37" spans="1:12" x14ac:dyDescent="0.2">
      <c r="A37" s="314" t="s">
        <v>340</v>
      </c>
      <c r="C37" s="60">
        <v>3.7000000000000005E-2</v>
      </c>
      <c r="D37" s="34">
        <f t="shared" si="0"/>
        <v>2.9020177246166843</v>
      </c>
      <c r="L37" s="2"/>
    </row>
    <row r="38" spans="1:12" x14ac:dyDescent="0.2">
      <c r="A38" s="314" t="s">
        <v>370</v>
      </c>
      <c r="C38" s="60">
        <v>5.3999999999999999E-2</v>
      </c>
      <c r="D38" s="34">
        <f t="shared" si="0"/>
        <v>3.0587266817459855</v>
      </c>
      <c r="L38" s="2"/>
    </row>
    <row r="39" spans="1:12" x14ac:dyDescent="0.2">
      <c r="A39" s="314" t="s">
        <v>377</v>
      </c>
      <c r="C39" s="60">
        <v>0.156</v>
      </c>
      <c r="D39" s="34">
        <f t="shared" si="0"/>
        <v>3.5358880440983591</v>
      </c>
      <c r="L39" s="2"/>
    </row>
    <row r="40" spans="1:12" x14ac:dyDescent="0.2">
      <c r="A40" s="314" t="s">
        <v>403</v>
      </c>
      <c r="C40" s="60">
        <v>0.05</v>
      </c>
      <c r="D40" s="34">
        <f t="shared" ref="D40:D45" si="1">D39*(1+C40)</f>
        <v>3.712682446303277</v>
      </c>
      <c r="L40" s="2"/>
    </row>
    <row r="41" spans="1:12" x14ac:dyDescent="0.2">
      <c r="A41" s="314" t="s">
        <v>410</v>
      </c>
      <c r="C41" s="60">
        <v>0.05</v>
      </c>
      <c r="D41" s="34">
        <f t="shared" si="1"/>
        <v>3.8983165686184411</v>
      </c>
      <c r="L41" s="2"/>
    </row>
    <row r="42" spans="1:12" x14ac:dyDescent="0.2">
      <c r="A42" s="314" t="s">
        <v>411</v>
      </c>
      <c r="C42" s="60">
        <v>0.05</v>
      </c>
      <c r="D42" s="34">
        <f t="shared" si="1"/>
        <v>4.0932323970493636</v>
      </c>
      <c r="L42" s="2"/>
    </row>
    <row r="43" spans="1:12" x14ac:dyDescent="0.2">
      <c r="A43" s="314" t="s">
        <v>422</v>
      </c>
      <c r="B43" s="47"/>
      <c r="C43" s="310">
        <f>C42</f>
        <v>0.05</v>
      </c>
      <c r="D43" s="79">
        <f t="shared" si="1"/>
        <v>4.2978940169018323</v>
      </c>
      <c r="L43" s="2"/>
    </row>
    <row r="44" spans="1:12" x14ac:dyDescent="0.2">
      <c r="A44" s="316" t="s">
        <v>454</v>
      </c>
      <c r="B44" s="47"/>
      <c r="C44" s="310">
        <v>0.05</v>
      </c>
      <c r="D44" s="79">
        <f t="shared" si="1"/>
        <v>4.5127887177469237</v>
      </c>
      <c r="L44" s="2"/>
    </row>
    <row r="45" spans="1:12" x14ac:dyDescent="0.2">
      <c r="A45" s="316" t="s">
        <v>457</v>
      </c>
      <c r="B45" s="47"/>
      <c r="C45" s="310">
        <v>0.05</v>
      </c>
      <c r="D45" s="79">
        <f t="shared" si="1"/>
        <v>4.7384281536342705</v>
      </c>
      <c r="L45" s="2"/>
    </row>
    <row r="46" spans="1:12" x14ac:dyDescent="0.2">
      <c r="A46" s="316" t="s">
        <v>475</v>
      </c>
      <c r="B46" s="42"/>
      <c r="C46" s="362">
        <v>0</v>
      </c>
      <c r="D46" s="79">
        <f>D45*(1+C46)</f>
        <v>4.7384281536342705</v>
      </c>
      <c r="L46" s="2"/>
    </row>
    <row r="47" spans="1:12" ht="12" thickBot="1" x14ac:dyDescent="0.25">
      <c r="A47" s="332" t="s">
        <v>476</v>
      </c>
      <c r="B47" s="142"/>
      <c r="C47" s="363">
        <v>0.05</v>
      </c>
      <c r="D47" s="295">
        <f>D46*(1+C47)</f>
        <v>4.9753495613159844</v>
      </c>
      <c r="L47" s="2"/>
    </row>
    <row r="48" spans="1:12" ht="12" thickTop="1" x14ac:dyDescent="0.2">
      <c r="L48" s="2"/>
    </row>
    <row r="49" spans="1:12" x14ac:dyDescent="0.2">
      <c r="A49" t="s">
        <v>19</v>
      </c>
      <c r="L49" s="2"/>
    </row>
    <row r="50" spans="1:12" x14ac:dyDescent="0.2">
      <c r="B50" s="21" t="str">
        <f>C12&amp;" Provided by TWIA, excludes 1/1/92 refund on in-force policies"</f>
        <v>(2) Provided by TWIA, excludes 1/1/92 refund on in-force policies</v>
      </c>
      <c r="L50" s="2"/>
    </row>
    <row r="51" spans="1:12" x14ac:dyDescent="0.2">
      <c r="B51" s="21" t="str">
        <f>D12&amp;" = Cumulation of "&amp;C12</f>
        <v>(3) = Cumulation of (2)</v>
      </c>
      <c r="L51" s="2"/>
    </row>
    <row r="52" spans="1:12" x14ac:dyDescent="0.2">
      <c r="B52" s="21"/>
      <c r="L52" s="2"/>
    </row>
    <row r="53" spans="1:12" x14ac:dyDescent="0.2">
      <c r="L53" s="2"/>
    </row>
    <row r="54" spans="1:12" x14ac:dyDescent="0.2">
      <c r="L54" s="2"/>
    </row>
    <row r="55" spans="1:12" x14ac:dyDescent="0.2">
      <c r="B55" s="21"/>
      <c r="L55" s="2"/>
    </row>
    <row r="56" spans="1:12" x14ac:dyDescent="0.2">
      <c r="L56" s="2"/>
    </row>
    <row r="57" spans="1:12" x14ac:dyDescent="0.2">
      <c r="L57" s="2"/>
    </row>
    <row r="58" spans="1:12" x14ac:dyDescent="0.2">
      <c r="L58" s="2"/>
    </row>
    <row r="59" spans="1:12" x14ac:dyDescent="0.2">
      <c r="L59" s="2"/>
    </row>
    <row r="60" spans="1:12" x14ac:dyDescent="0.2">
      <c r="L60" s="2"/>
    </row>
    <row r="61" spans="1:12" x14ac:dyDescent="0.2">
      <c r="L61" s="2"/>
    </row>
    <row r="62" spans="1:12" x14ac:dyDescent="0.2">
      <c r="L62" s="2"/>
    </row>
    <row r="63" spans="1:12" x14ac:dyDescent="0.2">
      <c r="L63" s="2"/>
    </row>
    <row r="64" spans="1:12" x14ac:dyDescent="0.2">
      <c r="L64" s="2"/>
    </row>
    <row r="65" spans="1:12" x14ac:dyDescent="0.2">
      <c r="L65" s="2"/>
    </row>
    <row r="66" spans="1:12" x14ac:dyDescent="0.2">
      <c r="L66" s="2"/>
    </row>
    <row r="67" spans="1:12" x14ac:dyDescent="0.2">
      <c r="L67" s="2"/>
    </row>
    <row r="68" spans="1:12" x14ac:dyDescent="0.2">
      <c r="L68" s="2"/>
    </row>
    <row r="69" spans="1:12" x14ac:dyDescent="0.2">
      <c r="L69" s="2"/>
    </row>
    <row r="70" spans="1:12" ht="12" thickBot="1" x14ac:dyDescent="0.25">
      <c r="L70" s="2"/>
    </row>
    <row r="71" spans="1:12" ht="12" thickBot="1" x14ac:dyDescent="0.25">
      <c r="A71" s="4"/>
      <c r="B71" s="5"/>
      <c r="C71" s="5"/>
      <c r="D71" s="5"/>
      <c r="E71" s="5"/>
      <c r="F71" s="5"/>
      <c r="G71" s="5"/>
      <c r="H71" s="5"/>
      <c r="I71" s="5"/>
      <c r="J71" s="5"/>
      <c r="K71" s="5"/>
      <c r="L71" s="3"/>
    </row>
  </sheetData>
  <phoneticPr fontId="0" type="noConversion"/>
  <pageMargins left="0.5" right="0.5" top="0.5" bottom="0.5" header="0.5" footer="0.5"/>
  <pageSetup orientation="portrait" blackAndWhite="1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Sheet36"/>
  <dimension ref="A1:N75"/>
  <sheetViews>
    <sheetView showGridLines="0" view="pageBreakPreview" zoomScale="60" zoomScaleNormal="100" workbookViewId="0">
      <selection activeCell="M48" sqref="M48"/>
    </sheetView>
  </sheetViews>
  <sheetFormatPr defaultColWidth="11.33203125" defaultRowHeight="11.25" x14ac:dyDescent="0.2"/>
  <cols>
    <col min="1" max="1" width="4.5" customWidth="1"/>
    <col min="2" max="2" width="3.5" customWidth="1"/>
    <col min="3" max="3" width="34.1640625" customWidth="1"/>
    <col min="4" max="7" width="12.33203125" customWidth="1"/>
    <col min="8" max="9" width="11.33203125" customWidth="1"/>
    <col min="10" max="10" width="7.1640625" customWidth="1"/>
    <col min="12" max="12" width="12.6640625" customWidth="1"/>
    <col min="13" max="13" width="20.33203125" bestFit="1" customWidth="1"/>
  </cols>
  <sheetData>
    <row r="1" spans="1:12" x14ac:dyDescent="0.2">
      <c r="A1" s="8" t="str">
        <f>'1'!$A$1</f>
        <v>Texas Windstorm Insurance Association</v>
      </c>
      <c r="B1" s="12"/>
      <c r="J1" s="7" t="s">
        <v>164</v>
      </c>
      <c r="K1" s="1"/>
    </row>
    <row r="2" spans="1:12" x14ac:dyDescent="0.2">
      <c r="A2" s="8" t="str">
        <f>'1'!$A$2</f>
        <v>Commercial Property - Wind &amp; Hail</v>
      </c>
      <c r="B2" s="12"/>
      <c r="J2" s="7" t="s">
        <v>22</v>
      </c>
      <c r="K2" s="2"/>
    </row>
    <row r="3" spans="1:12" x14ac:dyDescent="0.2">
      <c r="A3" s="8" t="str">
        <f>'1'!$A$3</f>
        <v>Rate Level Review</v>
      </c>
      <c r="B3" s="12"/>
      <c r="K3" s="2"/>
    </row>
    <row r="4" spans="1:12" x14ac:dyDescent="0.2">
      <c r="A4" t="s">
        <v>467</v>
      </c>
      <c r="B4" s="12"/>
      <c r="K4" s="2"/>
    </row>
    <row r="5" spans="1:12" x14ac:dyDescent="0.2">
      <c r="A5" s="58"/>
      <c r="B5" s="21"/>
      <c r="C5" s="58"/>
      <c r="D5" s="58"/>
      <c r="K5" s="2"/>
    </row>
    <row r="6" spans="1:12" x14ac:dyDescent="0.2">
      <c r="K6" s="2"/>
    </row>
    <row r="7" spans="1:12" ht="12" thickBot="1" x14ac:dyDescent="0.25">
      <c r="A7" s="6"/>
      <c r="B7" s="6"/>
      <c r="C7" s="6"/>
      <c r="D7" s="6"/>
      <c r="E7" s="6"/>
      <c r="F7" s="6"/>
      <c r="G7" s="6"/>
      <c r="K7" s="2"/>
    </row>
    <row r="8" spans="1:12" ht="12" thickTop="1" x14ac:dyDescent="0.2">
      <c r="K8" s="2"/>
    </row>
    <row r="9" spans="1:12" x14ac:dyDescent="0.2">
      <c r="K9" s="2"/>
      <c r="L9" s="26"/>
    </row>
    <row r="10" spans="1:12" x14ac:dyDescent="0.2">
      <c r="K10" s="2"/>
      <c r="L10" t="s">
        <v>241</v>
      </c>
    </row>
    <row r="11" spans="1:12" x14ac:dyDescent="0.2">
      <c r="A11" s="9" t="s">
        <v>166</v>
      </c>
      <c r="B11" s="9"/>
      <c r="C11" s="9"/>
      <c r="D11" s="81">
        <v>2016</v>
      </c>
      <c r="E11" s="81">
        <v>2017</v>
      </c>
      <c r="F11" s="81">
        <f>YEAR(L11)</f>
        <v>2018</v>
      </c>
      <c r="G11" s="9" t="s">
        <v>54</v>
      </c>
      <c r="K11" s="2"/>
      <c r="L11" s="103">
        <v>43465</v>
      </c>
    </row>
    <row r="12" spans="1:12" x14ac:dyDescent="0.2">
      <c r="A12" s="13"/>
      <c r="B12" s="13"/>
      <c r="C12" s="13"/>
      <c r="D12" s="11"/>
      <c r="E12" s="11"/>
      <c r="F12" s="11"/>
      <c r="G12" s="11"/>
      <c r="K12" s="2"/>
    </row>
    <row r="13" spans="1:12" x14ac:dyDescent="0.2">
      <c r="K13" s="2"/>
    </row>
    <row r="14" spans="1:12" x14ac:dyDescent="0.2">
      <c r="A14" s="53" t="s">
        <v>167</v>
      </c>
      <c r="B14" t="s">
        <v>171</v>
      </c>
      <c r="D14" s="104">
        <v>487353537</v>
      </c>
      <c r="E14" s="104">
        <v>423074138</v>
      </c>
      <c r="F14" s="104">
        <v>395551679</v>
      </c>
      <c r="K14" s="2"/>
      <c r="L14" t="s">
        <v>458</v>
      </c>
    </row>
    <row r="15" spans="1:12" x14ac:dyDescent="0.2">
      <c r="A15" s="53" t="s">
        <v>168</v>
      </c>
      <c r="B15" t="s">
        <v>170</v>
      </c>
      <c r="D15" s="104">
        <v>496456941</v>
      </c>
      <c r="E15" s="104">
        <v>451347130</v>
      </c>
      <c r="F15" s="104">
        <v>409954258</v>
      </c>
      <c r="K15" s="2"/>
      <c r="L15" t="s">
        <v>458</v>
      </c>
    </row>
    <row r="16" spans="1:12" x14ac:dyDescent="0.2">
      <c r="D16" s="58"/>
      <c r="E16" s="58"/>
      <c r="F16" s="58"/>
      <c r="K16" s="2"/>
    </row>
    <row r="17" spans="1:12" x14ac:dyDescent="0.2">
      <c r="A17" s="53" t="s">
        <v>169</v>
      </c>
      <c r="B17" t="s">
        <v>172</v>
      </c>
      <c r="D17" s="58"/>
      <c r="E17" s="58"/>
      <c r="F17" s="58"/>
      <c r="K17" s="2"/>
    </row>
    <row r="18" spans="1:12" x14ac:dyDescent="0.2">
      <c r="C18" t="s">
        <v>173</v>
      </c>
      <c r="D18" s="36">
        <v>77986786</v>
      </c>
      <c r="E18" s="36">
        <v>67661211</v>
      </c>
      <c r="F18" s="36">
        <v>63280811</v>
      </c>
      <c r="K18" s="2"/>
      <c r="L18" t="s">
        <v>458</v>
      </c>
    </row>
    <row r="19" spans="1:12" x14ac:dyDescent="0.2">
      <c r="C19" t="s">
        <v>174</v>
      </c>
      <c r="D19" s="28">
        <f>D18/D$14</f>
        <v>0.16002097056699929</v>
      </c>
      <c r="E19" s="28">
        <f>E18/E$14</f>
        <v>0.15992755151580548</v>
      </c>
      <c r="F19" s="28">
        <f>F18/F$14</f>
        <v>0.1599811462309581</v>
      </c>
      <c r="G19" s="209">
        <f>ROUND(AVERAGE(D19:F19),3)</f>
        <v>0.16</v>
      </c>
      <c r="K19" s="2"/>
    </row>
    <row r="20" spans="1:12" x14ac:dyDescent="0.2">
      <c r="D20" s="58"/>
      <c r="E20" s="58"/>
      <c r="F20" s="58"/>
      <c r="G20" s="58"/>
      <c r="K20" s="2"/>
    </row>
    <row r="21" spans="1:12" x14ac:dyDescent="0.2">
      <c r="A21" s="53" t="s">
        <v>113</v>
      </c>
      <c r="B21" t="s">
        <v>175</v>
      </c>
      <c r="D21" s="58"/>
      <c r="E21" s="58"/>
      <c r="F21" s="58"/>
      <c r="G21" s="58"/>
      <c r="K21" s="2"/>
    </row>
    <row r="22" spans="1:12" x14ac:dyDescent="0.2">
      <c r="C22" t="s">
        <v>173</v>
      </c>
      <c r="D22" s="104">
        <v>0</v>
      </c>
      <c r="E22" s="104">
        <v>0</v>
      </c>
      <c r="F22" s="104">
        <v>0</v>
      </c>
      <c r="G22" s="58"/>
      <c r="K22" s="2"/>
    </row>
    <row r="23" spans="1:12" x14ac:dyDescent="0.2">
      <c r="C23" t="s">
        <v>174</v>
      </c>
      <c r="D23" s="28">
        <f>D22/D$14</f>
        <v>0</v>
      </c>
      <c r="E23" s="28">
        <f>E22/E$14</f>
        <v>0</v>
      </c>
      <c r="F23" s="28">
        <f>F22/F$14</f>
        <v>0</v>
      </c>
      <c r="G23" s="209">
        <f>ROUND(AVERAGE(D23:F23),3)</f>
        <v>0</v>
      </c>
      <c r="K23" s="2"/>
    </row>
    <row r="24" spans="1:12" x14ac:dyDescent="0.2">
      <c r="D24" s="58"/>
      <c r="E24" s="58"/>
      <c r="F24" s="58"/>
      <c r="G24" s="58"/>
      <c r="K24" s="2"/>
      <c r="L24" s="315"/>
    </row>
    <row r="25" spans="1:12" x14ac:dyDescent="0.2">
      <c r="A25" s="53" t="s">
        <v>93</v>
      </c>
      <c r="B25" t="s">
        <v>176</v>
      </c>
      <c r="D25" s="58"/>
      <c r="E25" s="58"/>
      <c r="F25" s="58"/>
      <c r="G25" s="58"/>
      <c r="K25" s="2"/>
    </row>
    <row r="26" spans="1:12" x14ac:dyDescent="0.2">
      <c r="C26" t="s">
        <v>177</v>
      </c>
      <c r="D26" s="104">
        <v>26421698</v>
      </c>
      <c r="E26" s="104">
        <v>26359831</v>
      </c>
      <c r="F26" s="104">
        <f>25792502+2437198+2457477</f>
        <v>30687177</v>
      </c>
      <c r="G26" s="54"/>
      <c r="I26" s="18"/>
      <c r="J26" s="18"/>
      <c r="K26" s="2"/>
      <c r="L26" s="18"/>
    </row>
    <row r="27" spans="1:12" x14ac:dyDescent="0.2">
      <c r="D27" s="58"/>
      <c r="E27" s="58"/>
      <c r="F27" s="58"/>
      <c r="G27" s="58"/>
      <c r="K27" s="2"/>
      <c r="L27" s="18"/>
    </row>
    <row r="28" spans="1:12" x14ac:dyDescent="0.2">
      <c r="B28" t="s">
        <v>178</v>
      </c>
      <c r="D28" s="58"/>
      <c r="E28" s="58"/>
      <c r="F28" s="58"/>
      <c r="G28" s="58"/>
      <c r="K28" s="2"/>
      <c r="L28" s="18"/>
    </row>
    <row r="29" spans="1:12" x14ac:dyDescent="0.2">
      <c r="C29" t="s">
        <v>179</v>
      </c>
      <c r="D29" s="36">
        <v>0</v>
      </c>
      <c r="E29" s="36">
        <v>0</v>
      </c>
      <c r="F29" s="36">
        <v>0</v>
      </c>
      <c r="G29" s="58"/>
      <c r="K29" s="2"/>
      <c r="L29" s="18"/>
    </row>
    <row r="30" spans="1:12" x14ac:dyDescent="0.2">
      <c r="D30" s="58"/>
      <c r="E30" s="58"/>
      <c r="F30" s="58"/>
      <c r="G30" s="58"/>
      <c r="K30" s="2"/>
      <c r="L30" s="18"/>
    </row>
    <row r="31" spans="1:12" x14ac:dyDescent="0.2">
      <c r="C31" t="s">
        <v>180</v>
      </c>
      <c r="D31" s="29">
        <f>D26-SUM(D29)</f>
        <v>26421698</v>
      </c>
      <c r="E31" s="29">
        <f>E26-SUM(E29)</f>
        <v>26359831</v>
      </c>
      <c r="F31" s="29">
        <f>F26-SUM(F29)</f>
        <v>30687177</v>
      </c>
      <c r="G31" s="58"/>
      <c r="K31" s="2"/>
    </row>
    <row r="32" spans="1:12" x14ac:dyDescent="0.2">
      <c r="B32" s="21"/>
      <c r="C32" s="115" t="s">
        <v>509</v>
      </c>
      <c r="D32" s="28">
        <f>D31/D$15</f>
        <v>5.322052290532886E-2</v>
      </c>
      <c r="E32" s="28">
        <f>E31/E$15</f>
        <v>5.8402566999816746E-2</v>
      </c>
      <c r="F32" s="28">
        <f>F31/F$15</f>
        <v>7.4855124446591301E-2</v>
      </c>
      <c r="G32" s="209">
        <f>ROUND(AVERAGE(D32:F32),3)</f>
        <v>6.2E-2</v>
      </c>
      <c r="H32" s="19"/>
      <c r="K32" s="2"/>
    </row>
    <row r="33" spans="1:14" x14ac:dyDescent="0.2">
      <c r="B33" s="21"/>
      <c r="C33" s="21"/>
      <c r="D33" s="58"/>
      <c r="E33" s="58"/>
      <c r="F33" s="58"/>
      <c r="G33" s="58"/>
      <c r="K33" s="2"/>
    </row>
    <row r="34" spans="1:14" x14ac:dyDescent="0.2">
      <c r="A34" s="53" t="s">
        <v>97</v>
      </c>
      <c r="B34" t="s">
        <v>181</v>
      </c>
      <c r="D34" s="58"/>
      <c r="E34" s="58"/>
      <c r="F34" s="58"/>
      <c r="G34" s="58"/>
      <c r="K34" s="2"/>
    </row>
    <row r="35" spans="1:14" x14ac:dyDescent="0.2">
      <c r="B35" s="24"/>
      <c r="C35" t="s">
        <v>173</v>
      </c>
      <c r="D35" s="104">
        <v>9626596</v>
      </c>
      <c r="E35" s="104">
        <v>8281293</v>
      </c>
      <c r="F35" s="104">
        <v>7590295</v>
      </c>
      <c r="G35" s="58"/>
      <c r="K35" s="2"/>
    </row>
    <row r="36" spans="1:14" x14ac:dyDescent="0.2">
      <c r="B36" s="24"/>
      <c r="C36" t="s">
        <v>174</v>
      </c>
      <c r="D36" s="19">
        <f>D35/D$14</f>
        <v>1.975279805961478E-2</v>
      </c>
      <c r="E36" s="19">
        <f>E35/E$14</f>
        <v>1.9574094127209448E-2</v>
      </c>
      <c r="F36" s="19">
        <f>F35/F$14</f>
        <v>1.918913609263178E-2</v>
      </c>
      <c r="G36" s="209">
        <f>ROUND(AVERAGE(D36:F36),3)</f>
        <v>0.02</v>
      </c>
      <c r="K36" s="2"/>
    </row>
    <row r="37" spans="1:14" ht="12" thickBot="1" x14ac:dyDescent="0.25">
      <c r="G37" s="58"/>
      <c r="K37" s="2"/>
    </row>
    <row r="38" spans="1:14" x14ac:dyDescent="0.2">
      <c r="A38" s="53" t="s">
        <v>96</v>
      </c>
      <c r="B38" t="s">
        <v>182</v>
      </c>
      <c r="G38" s="59">
        <f>'11.2'!D34</f>
        <v>0.16593085671284399</v>
      </c>
      <c r="H38" s="19"/>
      <c r="K38" s="2"/>
      <c r="L38" s="343" t="s">
        <v>461</v>
      </c>
      <c r="M38" s="344" t="s">
        <v>462</v>
      </c>
    </row>
    <row r="39" spans="1:14" x14ac:dyDescent="0.2">
      <c r="G39" s="58"/>
      <c r="K39" s="2"/>
      <c r="L39" s="345">
        <f>L49/M47</f>
        <v>0.10735435666777488</v>
      </c>
      <c r="M39" s="346">
        <f>L47/M47-L39</f>
        <v>0.14328635547978086</v>
      </c>
    </row>
    <row r="40" spans="1:14" x14ac:dyDescent="0.2">
      <c r="A40" s="53" t="s">
        <v>95</v>
      </c>
      <c r="B40" t="s">
        <v>470</v>
      </c>
      <c r="G40" s="290">
        <f>ROUND(L47/M47,3)</f>
        <v>0.251</v>
      </c>
      <c r="H40" s="19"/>
      <c r="K40" s="2"/>
      <c r="L40" s="345"/>
      <c r="M40" s="346"/>
    </row>
    <row r="41" spans="1:14" x14ac:dyDescent="0.2">
      <c r="G41" s="58"/>
      <c r="K41" s="2"/>
      <c r="L41" s="345"/>
      <c r="M41" s="346"/>
    </row>
    <row r="42" spans="1:14" ht="12" thickBot="1" x14ac:dyDescent="0.25">
      <c r="A42" s="53" t="s">
        <v>94</v>
      </c>
      <c r="B42" s="115" t="s">
        <v>259</v>
      </c>
      <c r="C42" s="21"/>
      <c r="G42" s="28">
        <f>SUM(G32,G38,G40)</f>
        <v>0.47893085671284397</v>
      </c>
      <c r="K42" s="2"/>
      <c r="L42" s="348"/>
      <c r="M42" s="347"/>
    </row>
    <row r="43" spans="1:14" x14ac:dyDescent="0.2">
      <c r="B43" s="115"/>
      <c r="C43" s="21"/>
      <c r="G43" s="58"/>
      <c r="K43" s="2"/>
    </row>
    <row r="44" spans="1:14" x14ac:dyDescent="0.2">
      <c r="A44" s="53" t="s">
        <v>86</v>
      </c>
      <c r="B44" t="s">
        <v>260</v>
      </c>
      <c r="G44" s="59">
        <f>SUM(G19,G23,G36)</f>
        <v>0.18</v>
      </c>
      <c r="K44" s="2"/>
    </row>
    <row r="45" spans="1:14" x14ac:dyDescent="0.2">
      <c r="G45" s="58"/>
      <c r="K45" s="2"/>
    </row>
    <row r="46" spans="1:14" x14ac:dyDescent="0.2">
      <c r="A46" s="68" t="s">
        <v>183</v>
      </c>
      <c r="B46" s="58" t="s">
        <v>471</v>
      </c>
      <c r="C46" s="58"/>
      <c r="D46" s="58"/>
      <c r="E46" s="58"/>
      <c r="F46" s="58"/>
      <c r="G46" s="209">
        <f>0.05</f>
        <v>0.05</v>
      </c>
      <c r="K46" s="2"/>
      <c r="L46" t="s">
        <v>453</v>
      </c>
      <c r="M46" t="s">
        <v>488</v>
      </c>
    </row>
    <row r="47" spans="1:14" ht="15" x14ac:dyDescent="0.25">
      <c r="A47" s="58"/>
      <c r="B47" s="58"/>
      <c r="C47" s="58"/>
      <c r="D47" s="58"/>
      <c r="E47" s="58"/>
      <c r="F47" s="58"/>
      <c r="K47" s="2"/>
      <c r="L47" s="335">
        <f>80304500</f>
        <v>80304500</v>
      </c>
      <c r="M47" s="399">
        <f>395551693*(1+'11.2'!D24)^2</f>
        <v>320396871.33000004</v>
      </c>
      <c r="N47" s="18"/>
    </row>
    <row r="48" spans="1:14" x14ac:dyDescent="0.2">
      <c r="A48" s="58"/>
      <c r="B48" s="58"/>
      <c r="C48" s="58"/>
      <c r="D48" s="58"/>
      <c r="E48" s="58"/>
      <c r="F48" s="58"/>
      <c r="G48" s="290"/>
      <c r="K48" s="2"/>
      <c r="L48" s="290" t="s">
        <v>460</v>
      </c>
    </row>
    <row r="49" spans="1:12" x14ac:dyDescent="0.2">
      <c r="B49" s="115"/>
      <c r="G49" s="58"/>
      <c r="K49" s="2"/>
      <c r="L49" s="342">
        <v>34396000</v>
      </c>
    </row>
    <row r="50" spans="1:12" x14ac:dyDescent="0.2">
      <c r="A50" s="53" t="s">
        <v>311</v>
      </c>
      <c r="B50" t="s">
        <v>468</v>
      </c>
      <c r="G50" s="28">
        <f>1-G44-G46</f>
        <v>0.77</v>
      </c>
      <c r="K50" s="2"/>
    </row>
    <row r="51" spans="1:12" ht="12" thickBot="1" x14ac:dyDescent="0.25">
      <c r="A51" s="6"/>
      <c r="B51" s="6"/>
      <c r="C51" s="6"/>
      <c r="D51" s="6"/>
      <c r="E51" s="6"/>
      <c r="F51" s="6"/>
      <c r="G51" s="142"/>
      <c r="K51" s="2"/>
      <c r="L51" s="353">
        <f>L49/M47</f>
        <v>0.10735435666777488</v>
      </c>
    </row>
    <row r="52" spans="1:12" ht="12" thickTop="1" x14ac:dyDescent="0.2">
      <c r="G52" s="58"/>
      <c r="K52" s="2"/>
    </row>
    <row r="53" spans="1:12" x14ac:dyDescent="0.2">
      <c r="A53" t="s">
        <v>19</v>
      </c>
      <c r="G53" s="58"/>
      <c r="K53" s="2"/>
    </row>
    <row r="54" spans="1:12" x14ac:dyDescent="0.2">
      <c r="B54" t="str">
        <f>A14&amp;" - "&amp;A34&amp;" From TWIA's Statutory Annual Statements and Insurance Expense Exhibits"</f>
        <v>(1) - (6) From TWIA's Statutory Annual Statements and Insurance Expense Exhibits</v>
      </c>
      <c r="G54" s="58"/>
      <c r="K54" s="2"/>
    </row>
    <row r="55" spans="1:12" x14ac:dyDescent="0.2">
      <c r="B55" s="21" t="str">
        <f>A38&amp;" "&amp;'11.2'!H1&amp;", "&amp;'11.2'!H2</f>
        <v>(7) Exhibit 11, Sheet 2</v>
      </c>
      <c r="G55" s="58"/>
      <c r="K55" s="2"/>
    </row>
    <row r="56" spans="1:12" x14ac:dyDescent="0.2">
      <c r="B56" s="115" t="s">
        <v>517</v>
      </c>
      <c r="G56" s="58"/>
      <c r="K56" s="2"/>
    </row>
    <row r="57" spans="1:12" x14ac:dyDescent="0.2">
      <c r="B57" t="str">
        <f>G40&amp;"= Annual principal and interest payment $80.3M/Prospective written premium at present rate$320.396M"</f>
        <v>0.251= Annual principal and interest payment $80.3M/Prospective written premium at present rate$320.396M</v>
      </c>
      <c r="K57" s="2"/>
    </row>
    <row r="58" spans="1:12" x14ac:dyDescent="0.2">
      <c r="B58" t="s">
        <v>508</v>
      </c>
      <c r="G58" s="58"/>
      <c r="K58" s="2"/>
    </row>
    <row r="59" spans="1:12" x14ac:dyDescent="0.2">
      <c r="B59" s="53" t="s">
        <v>507</v>
      </c>
      <c r="G59" s="58"/>
      <c r="K59" s="2"/>
    </row>
    <row r="60" spans="1:12" x14ac:dyDescent="0.2">
      <c r="B60" t="str">
        <f>A44&amp;" = "&amp;A17&amp;" + "&amp;A21&amp;" + "&amp;A34</f>
        <v>(10) = (3) + (4) + (6)</v>
      </c>
      <c r="G60" s="58"/>
      <c r="K60" s="2"/>
    </row>
    <row r="61" spans="1:12" x14ac:dyDescent="0.2">
      <c r="B61" t="str">
        <f>A46&amp;" CRTF contribution selected judgmentally; Class 1 repayment based on projected $80 million in debt service"</f>
        <v>(11) CRTF contribution selected judgmentally; Class 1 repayment based on projected $80 million in debt service</v>
      </c>
      <c r="G61" s="58"/>
      <c r="K61" s="2"/>
    </row>
    <row r="62" spans="1:12" x14ac:dyDescent="0.2">
      <c r="B62" t="str">
        <f>A50&amp;" = 100% - "&amp;A44&amp;" - "&amp;A46</f>
        <v>(12) = 100% - (10) - (11)</v>
      </c>
      <c r="G62" s="58"/>
      <c r="K62" s="2"/>
    </row>
    <row r="63" spans="1:12" x14ac:dyDescent="0.2">
      <c r="G63" s="58"/>
      <c r="K63" s="2"/>
    </row>
    <row r="64" spans="1:12" x14ac:dyDescent="0.2">
      <c r="G64" s="58"/>
      <c r="K64" s="2"/>
    </row>
    <row r="65" spans="1:11" x14ac:dyDescent="0.2">
      <c r="G65" s="58"/>
      <c r="K65" s="2"/>
    </row>
    <row r="66" spans="1:11" x14ac:dyDescent="0.2">
      <c r="G66" s="58"/>
      <c r="K66" s="2"/>
    </row>
    <row r="67" spans="1:11" x14ac:dyDescent="0.2">
      <c r="G67" s="28"/>
      <c r="K67" s="2"/>
    </row>
    <row r="68" spans="1:11" x14ac:dyDescent="0.2">
      <c r="B68" s="21"/>
      <c r="C68" s="21"/>
      <c r="G68" s="58"/>
      <c r="K68" s="2"/>
    </row>
    <row r="69" spans="1:11" ht="12" thickBot="1" x14ac:dyDescent="0.25">
      <c r="D69" s="36"/>
      <c r="E69" s="36"/>
      <c r="F69" s="36"/>
      <c r="G69" s="58"/>
      <c r="K69" s="2"/>
    </row>
    <row r="70" spans="1:11" ht="12" thickBot="1" x14ac:dyDescent="0.25">
      <c r="A70" s="4"/>
      <c r="B70" s="5"/>
      <c r="C70" s="5"/>
      <c r="D70" s="5"/>
      <c r="E70" s="5"/>
      <c r="F70" s="5"/>
      <c r="G70" s="5"/>
      <c r="H70" s="5"/>
      <c r="I70" s="5"/>
      <c r="J70" s="5"/>
      <c r="K70" s="3"/>
    </row>
    <row r="71" spans="1:11" x14ac:dyDescent="0.2">
      <c r="G71" s="58"/>
    </row>
    <row r="72" spans="1:11" x14ac:dyDescent="0.2">
      <c r="G72" s="58"/>
    </row>
    <row r="73" spans="1:11" x14ac:dyDescent="0.2">
      <c r="G73" s="58"/>
    </row>
    <row r="74" spans="1:11" x14ac:dyDescent="0.2">
      <c r="G74" s="58"/>
    </row>
    <row r="75" spans="1:11" x14ac:dyDescent="0.2">
      <c r="G75" s="58"/>
    </row>
  </sheetData>
  <phoneticPr fontId="0" type="noConversion"/>
  <pageMargins left="0.5" right="0.5" top="0.5" bottom="0.5" header="0.5" footer="0.5"/>
  <pageSetup orientation="portrait" blackAndWhite="1" r:id="rId1"/>
  <headerFooter alignWithMargins="0"/>
  <legacy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U69"/>
  <sheetViews>
    <sheetView showGridLines="0" view="pageBreakPreview" topLeftCell="D1" zoomScaleNormal="100" zoomScaleSheetLayoutView="100" workbookViewId="0">
      <selection activeCell="P34" sqref="P34"/>
    </sheetView>
  </sheetViews>
  <sheetFormatPr defaultColWidth="11.33203125" defaultRowHeight="11.25" x14ac:dyDescent="0.2"/>
  <cols>
    <col min="1" max="2" width="4.5" customWidth="1"/>
    <col min="3" max="3" width="54.5" customWidth="1"/>
    <col min="4" max="4" width="13.33203125" customWidth="1"/>
    <col min="5" max="7" width="11.33203125" style="47" customWidth="1"/>
    <col min="8" max="8" width="10.5" customWidth="1"/>
    <col min="10" max="10" width="23.5" customWidth="1"/>
    <col min="11" max="11" width="15.1640625" customWidth="1"/>
    <col min="15" max="15" width="13.5" customWidth="1"/>
    <col min="16" max="16" width="15.6640625" customWidth="1"/>
    <col min="17" max="19" width="11.5" bestFit="1" customWidth="1"/>
  </cols>
  <sheetData>
    <row r="1" spans="1:21" x14ac:dyDescent="0.2">
      <c r="A1" s="8" t="str">
        <f>'1'!$A$1</f>
        <v>Texas Windstorm Insurance Association</v>
      </c>
      <c r="C1" s="12"/>
      <c r="H1" s="239" t="s">
        <v>164</v>
      </c>
      <c r="I1" s="1"/>
    </row>
    <row r="2" spans="1:21" ht="12.75" x14ac:dyDescent="0.2">
      <c r="A2" s="8" t="str">
        <f>'1'!$A$2</f>
        <v>Commercial Property - Wind &amp; Hail</v>
      </c>
      <c r="C2" s="12"/>
      <c r="D2" s="309"/>
      <c r="H2" s="239" t="s">
        <v>66</v>
      </c>
      <c r="I2" s="2"/>
      <c r="J2">
        <f>'1'!H15</f>
        <v>0.5</v>
      </c>
      <c r="U2" s="244"/>
    </row>
    <row r="3" spans="1:21" x14ac:dyDescent="0.2">
      <c r="A3" s="8" t="str">
        <f>'1'!$A$3</f>
        <v>Rate Level Review</v>
      </c>
      <c r="C3" s="12"/>
      <c r="H3" s="7"/>
      <c r="I3" s="2"/>
      <c r="U3" s="24"/>
    </row>
    <row r="4" spans="1:21" x14ac:dyDescent="0.2">
      <c r="A4" t="s">
        <v>385</v>
      </c>
      <c r="C4" s="12"/>
      <c r="I4" s="2"/>
      <c r="P4" s="18"/>
      <c r="Q4" s="18"/>
      <c r="R4" s="18"/>
      <c r="S4" s="18"/>
      <c r="U4" s="364"/>
    </row>
    <row r="5" spans="1:21" x14ac:dyDescent="0.2">
      <c r="A5" s="58" t="s">
        <v>386</v>
      </c>
      <c r="B5" s="58"/>
      <c r="C5" s="21"/>
      <c r="D5" s="58"/>
      <c r="E5" s="42"/>
      <c r="F5" s="42"/>
      <c r="I5" s="2"/>
      <c r="U5" s="364"/>
    </row>
    <row r="6" spans="1:21" x14ac:dyDescent="0.2">
      <c r="I6" s="2"/>
      <c r="U6" s="366"/>
    </row>
    <row r="7" spans="1:21" ht="12" thickBot="1" x14ac:dyDescent="0.25">
      <c r="A7" s="6"/>
      <c r="B7" s="6"/>
      <c r="C7" s="6"/>
      <c r="D7" s="6"/>
      <c r="I7" s="2"/>
      <c r="U7" s="365"/>
    </row>
    <row r="8" spans="1:21" ht="12" thickTop="1" x14ac:dyDescent="0.2">
      <c r="D8" s="11" t="s">
        <v>466</v>
      </c>
      <c r="I8" s="2"/>
      <c r="J8" t="s">
        <v>387</v>
      </c>
      <c r="O8" s="72"/>
      <c r="P8" s="18"/>
      <c r="Q8" s="18"/>
      <c r="R8" s="18"/>
      <c r="S8" s="18"/>
      <c r="T8" s="18"/>
      <c r="U8" s="364"/>
    </row>
    <row r="9" spans="1:21" x14ac:dyDescent="0.2">
      <c r="I9" s="2"/>
      <c r="J9" t="s">
        <v>199</v>
      </c>
      <c r="K9" t="s">
        <v>388</v>
      </c>
      <c r="L9" t="s">
        <v>389</v>
      </c>
    </row>
    <row r="10" spans="1:21" x14ac:dyDescent="0.2">
      <c r="A10" s="53" t="s">
        <v>167</v>
      </c>
      <c r="B10" t="str">
        <f>YEAR($J$10)&amp;" - "&amp;YEAR($K$10)&amp;" Reinsurance Premium"</f>
        <v>2019 - 2020 Reinsurance Premium</v>
      </c>
      <c r="D10" s="36">
        <v>87905608.276666671</v>
      </c>
      <c r="E10" s="282"/>
      <c r="F10" s="356"/>
      <c r="G10" s="134"/>
      <c r="I10" s="2"/>
      <c r="J10" s="333">
        <v>43617</v>
      </c>
      <c r="K10" s="333">
        <v>43982</v>
      </c>
      <c r="L10" s="206">
        <f>DATE(YEAR(K10+1),MONTH(K10+1)-6,1)</f>
        <v>43800</v>
      </c>
    </row>
    <row r="11" spans="1:21" x14ac:dyDescent="0.2">
      <c r="E11" s="56"/>
      <c r="F11" s="134"/>
      <c r="G11" s="134"/>
      <c r="I11" s="2"/>
    </row>
    <row r="12" spans="1:21" x14ac:dyDescent="0.2">
      <c r="A12" s="53" t="s">
        <v>390</v>
      </c>
      <c r="B12" t="s">
        <v>391</v>
      </c>
      <c r="E12" s="56"/>
      <c r="F12" s="134"/>
      <c r="G12" s="134"/>
      <c r="I12" s="2"/>
      <c r="J12" t="s">
        <v>392</v>
      </c>
    </row>
    <row r="13" spans="1:21" x14ac:dyDescent="0.2">
      <c r="C13" s="26" t="s">
        <v>506</v>
      </c>
      <c r="D13" s="425">
        <v>34645345</v>
      </c>
      <c r="E13" s="282"/>
      <c r="F13" s="134"/>
      <c r="G13" s="134"/>
      <c r="I13" s="2"/>
      <c r="J13" t="s">
        <v>261</v>
      </c>
      <c r="L13" t="s">
        <v>389</v>
      </c>
    </row>
    <row r="14" spans="1:21" x14ac:dyDescent="0.2">
      <c r="A14" s="53"/>
      <c r="D14" s="58"/>
      <c r="E14" s="46"/>
      <c r="F14" s="43"/>
      <c r="G14" s="134"/>
      <c r="I14" s="2"/>
      <c r="J14" s="96">
        <f>'8.2'!M11</f>
        <v>43434</v>
      </c>
      <c r="L14" s="206">
        <f>J14+1</f>
        <v>43435</v>
      </c>
    </row>
    <row r="15" spans="1:21" x14ac:dyDescent="0.2">
      <c r="B15" s="58"/>
      <c r="C15" s="21" t="s">
        <v>8</v>
      </c>
      <c r="D15" s="29">
        <f>SUM(D13:D13)</f>
        <v>34645345</v>
      </c>
      <c r="E15" s="180"/>
      <c r="F15" s="357"/>
      <c r="G15" s="357"/>
      <c r="I15" s="2"/>
    </row>
    <row r="16" spans="1:21" x14ac:dyDescent="0.2">
      <c r="B16" s="58"/>
      <c r="C16" s="58"/>
      <c r="D16" s="58"/>
      <c r="E16" s="46"/>
      <c r="F16" s="43"/>
      <c r="G16" s="134"/>
      <c r="I16" s="2"/>
    </row>
    <row r="17" spans="1:12" x14ac:dyDescent="0.2">
      <c r="A17" s="53" t="s">
        <v>394</v>
      </c>
      <c r="B17" t="s">
        <v>395</v>
      </c>
      <c r="D17" s="58"/>
      <c r="E17" s="46"/>
      <c r="F17" s="43"/>
      <c r="G17" s="43"/>
      <c r="H17" s="58"/>
      <c r="I17" s="2"/>
      <c r="J17" t="s">
        <v>393</v>
      </c>
    </row>
    <row r="18" spans="1:12" x14ac:dyDescent="0.2">
      <c r="C18" s="21" t="str">
        <f>C13</f>
        <v>100% of $2100M XS $2100M</v>
      </c>
      <c r="D18" s="36">
        <v>19178101</v>
      </c>
      <c r="E18" s="278"/>
      <c r="F18" s="43"/>
      <c r="G18" s="43"/>
      <c r="H18" s="58"/>
      <c r="I18" s="2"/>
      <c r="J18" s="240">
        <f>1-0.1</f>
        <v>0.9</v>
      </c>
    </row>
    <row r="19" spans="1:12" x14ac:dyDescent="0.2">
      <c r="A19" s="53"/>
      <c r="E19" s="46"/>
      <c r="F19" s="43"/>
      <c r="G19" s="134"/>
      <c r="I19" s="2"/>
      <c r="J19" t="s">
        <v>262</v>
      </c>
    </row>
    <row r="20" spans="1:12" x14ac:dyDescent="0.2">
      <c r="B20" s="58"/>
      <c r="C20" s="21" t="s">
        <v>8</v>
      </c>
      <c r="D20" s="29">
        <f>SUM(D18:D18)</f>
        <v>19178101</v>
      </c>
      <c r="E20" s="180"/>
      <c r="F20" s="134"/>
      <c r="G20" s="134"/>
      <c r="I20" s="2"/>
      <c r="J20" s="240">
        <f>ROUND(YEAR(L10)-YEAR(L14)+(MONTH(L10)-MONTH(L14))/12,3)</f>
        <v>1</v>
      </c>
    </row>
    <row r="21" spans="1:12" x14ac:dyDescent="0.2">
      <c r="B21" s="58"/>
      <c r="C21" s="58"/>
      <c r="D21" s="58"/>
      <c r="E21" s="355"/>
      <c r="F21" s="43"/>
      <c r="G21" s="359"/>
      <c r="I21" s="2"/>
    </row>
    <row r="22" spans="1:12" x14ac:dyDescent="0.2">
      <c r="A22" s="53" t="s">
        <v>397</v>
      </c>
      <c r="B22" t="s">
        <v>398</v>
      </c>
      <c r="C22" s="58"/>
      <c r="D22" s="426">
        <f>AVERAGE(D20,D15)</f>
        <v>26911723</v>
      </c>
      <c r="E22" s="358"/>
      <c r="F22" s="354"/>
      <c r="G22" s="358"/>
      <c r="I22" s="2"/>
      <c r="K22" t="s">
        <v>504</v>
      </c>
    </row>
    <row r="23" spans="1:12" x14ac:dyDescent="0.2">
      <c r="I23" s="2"/>
      <c r="K23" t="s">
        <v>188</v>
      </c>
      <c r="L23" t="s">
        <v>187</v>
      </c>
    </row>
    <row r="24" spans="1:12" x14ac:dyDescent="0.2">
      <c r="A24" s="53" t="s">
        <v>169</v>
      </c>
      <c r="B24" t="s">
        <v>399</v>
      </c>
      <c r="D24" s="59">
        <f>J18-1</f>
        <v>-9.9999999999999978E-2</v>
      </c>
      <c r="E24" s="59"/>
      <c r="I24" s="2"/>
      <c r="J24" s="53"/>
      <c r="K24" s="98"/>
    </row>
    <row r="25" spans="1:12" x14ac:dyDescent="0.2">
      <c r="A25" s="58"/>
      <c r="I25" s="2"/>
      <c r="J25" s="53" t="s">
        <v>396</v>
      </c>
      <c r="K25" s="395">
        <f>'[3]11.2'!$K$25</f>
        <v>350191338.40000004</v>
      </c>
      <c r="L25" s="31">
        <f>'10.1'!$F$38</f>
        <v>69991684</v>
      </c>
    </row>
    <row r="26" spans="1:12" x14ac:dyDescent="0.2">
      <c r="A26" s="53" t="s">
        <v>113</v>
      </c>
      <c r="B26" s="42" t="s">
        <v>400</v>
      </c>
      <c r="D26" s="18">
        <f>ROUND(D22*(1+D24)^J20,0)</f>
        <v>24220551</v>
      </c>
      <c r="E26" s="18"/>
      <c r="I26" s="2"/>
      <c r="K26" s="395"/>
      <c r="L26" s="31"/>
    </row>
    <row r="27" spans="1:12" x14ac:dyDescent="0.2">
      <c r="B27" s="58"/>
      <c r="C27" s="58"/>
      <c r="D27" s="58"/>
      <c r="I27" s="2"/>
    </row>
    <row r="28" spans="1:12" x14ac:dyDescent="0.2">
      <c r="A28" s="53" t="s">
        <v>93</v>
      </c>
      <c r="B28" t="s">
        <v>401</v>
      </c>
      <c r="D28" s="31">
        <f>D10-D26*J35</f>
        <v>60051974.626666673</v>
      </c>
      <c r="E28" s="18"/>
      <c r="I28" s="2"/>
      <c r="J28" t="s">
        <v>240</v>
      </c>
      <c r="L28" t="s">
        <v>389</v>
      </c>
    </row>
    <row r="29" spans="1:12" x14ac:dyDescent="0.2">
      <c r="I29" s="2"/>
      <c r="J29" s="96">
        <f>'10.1'!$L$25</f>
        <v>43465</v>
      </c>
      <c r="L29" s="206">
        <f>DATE(YEAR(J29+1),MONTH(J29+1)-6,1)</f>
        <v>43282</v>
      </c>
    </row>
    <row r="30" spans="1:12" x14ac:dyDescent="0.2">
      <c r="A30" s="53" t="s">
        <v>97</v>
      </c>
      <c r="B30" s="12" t="str">
        <f>"TWIA "&amp;TEXT(YEAR($J$29),"#")&amp;" Earned Premium at Present Rates"</f>
        <v>TWIA 2018 Earned Premium at Present Rates</v>
      </c>
      <c r="D30" s="29">
        <f>SUM($K$25,$L$25)</f>
        <v>420183022.40000004</v>
      </c>
      <c r="E30" s="42"/>
      <c r="I30" s="2"/>
      <c r="L30" t="s">
        <v>505</v>
      </c>
    </row>
    <row r="31" spans="1:12" x14ac:dyDescent="0.2">
      <c r="I31" s="2"/>
      <c r="J31" s="33"/>
      <c r="L31" s="424">
        <v>409954258</v>
      </c>
    </row>
    <row r="32" spans="1:12" x14ac:dyDescent="0.2">
      <c r="A32" s="53" t="s">
        <v>96</v>
      </c>
      <c r="B32" s="58" t="str">
        <f>YEAR($J$10)&amp;" - "&amp;YEAR($K$10)&amp;" TWIA Prospective Earned Premium at Present Rates"</f>
        <v>2019 - 2020 TWIA Prospective Earned Premium at Present Rates</v>
      </c>
      <c r="C32" s="58"/>
      <c r="D32" s="29">
        <f>ROUND(D30*(D24+1)^$J$33,0)</f>
        <v>361909628</v>
      </c>
      <c r="E32" s="46"/>
      <c r="F32" s="46"/>
      <c r="I32" s="2"/>
      <c r="J32" t="s">
        <v>262</v>
      </c>
    </row>
    <row r="33" spans="1:12" x14ac:dyDescent="0.2">
      <c r="A33" s="42"/>
      <c r="B33" s="42"/>
      <c r="C33" s="21"/>
      <c r="D33" s="42"/>
      <c r="E33" s="42"/>
      <c r="F33" s="42"/>
      <c r="G33" s="42"/>
      <c r="H33" s="58"/>
      <c r="I33" s="2"/>
      <c r="J33" s="240">
        <f>ROUND(YEAR(L10)-YEAR(L29)+(MONTH(L10)-MONTH(L29))/12,3)</f>
        <v>1.417</v>
      </c>
      <c r="L33" s="49"/>
    </row>
    <row r="34" spans="1:12" x14ac:dyDescent="0.2">
      <c r="A34" s="53" t="s">
        <v>95</v>
      </c>
      <c r="B34" s="58" t="s">
        <v>402</v>
      </c>
      <c r="C34" s="58"/>
      <c r="D34" s="59">
        <f>D28/D32</f>
        <v>0.16593085671284399</v>
      </c>
      <c r="E34" s="59"/>
      <c r="F34" s="42"/>
      <c r="I34" s="2"/>
    </row>
    <row r="35" spans="1:12" ht="12" thickBot="1" x14ac:dyDescent="0.25">
      <c r="A35" s="6"/>
      <c r="B35" s="142"/>
      <c r="C35" s="142"/>
      <c r="D35" s="142"/>
      <c r="E35" s="42"/>
      <c r="F35" s="42"/>
      <c r="I35" s="2"/>
      <c r="J35">
        <v>1.1499999999999999</v>
      </c>
    </row>
    <row r="36" spans="1:12" ht="12" thickTop="1" x14ac:dyDescent="0.2">
      <c r="B36" s="58"/>
      <c r="C36" s="58"/>
      <c r="D36" s="58"/>
      <c r="E36" s="42"/>
      <c r="F36" s="42"/>
      <c r="I36" s="2"/>
    </row>
    <row r="37" spans="1:12" x14ac:dyDescent="0.2">
      <c r="A37" t="s">
        <v>19</v>
      </c>
      <c r="B37" s="58"/>
      <c r="C37" s="58"/>
      <c r="D37" s="42"/>
      <c r="E37" s="42"/>
      <c r="F37" s="42"/>
      <c r="I37" s="2"/>
      <c r="K37" s="18"/>
    </row>
    <row r="38" spans="1:12" x14ac:dyDescent="0.2">
      <c r="B38" s="58" t="str">
        <f>A10&amp;" From TWIA reinsurance contract effective "&amp;TEXT($J$10,"m/d/yyyy")&amp;" through "&amp;TEXT($K$10,"m/d/yyyy")</f>
        <v>(1) From TWIA reinsurance contract effective 6/1/2019 through 5/31/2020</v>
      </c>
      <c r="C38" s="21"/>
      <c r="D38" s="58"/>
      <c r="E38" s="42"/>
      <c r="F38" s="42"/>
      <c r="I38" s="2"/>
      <c r="K38" s="18"/>
    </row>
    <row r="39" spans="1:12" x14ac:dyDescent="0.2">
      <c r="B39" s="58" t="str">
        <f>A12&amp;" Provided by Guy Carpenter, based on AIR model using TWIA exposures as of "&amp;TEXT($J$14,"mm/dd/yyyy")</f>
        <v>(2a) Provided by Guy Carpenter, based on AIR model using TWIA exposures as of 11/30/2018</v>
      </c>
      <c r="C39" s="21"/>
      <c r="D39" s="58"/>
      <c r="E39" s="42"/>
      <c r="F39" s="42"/>
      <c r="I39" s="2"/>
    </row>
    <row r="40" spans="1:12" x14ac:dyDescent="0.2">
      <c r="B40" s="58" t="str">
        <f>A17&amp;" Provided by Guy Carpenter, based on RMS model using TWIA exposures as of "&amp;TEXT($J$14,"mm/dd/yyyy")</f>
        <v>(2b) Provided by Guy Carpenter, based on RMS model using TWIA exposures as of 11/30/2018</v>
      </c>
      <c r="C40" s="21"/>
      <c r="D40" s="58"/>
      <c r="E40" s="42"/>
      <c r="F40" s="42"/>
      <c r="I40" s="2"/>
    </row>
    <row r="41" spans="1:12" x14ac:dyDescent="0.2">
      <c r="B41" s="58" t="str">
        <f>A22&amp;" Selected equal to the average of the modeled average annual losses"</f>
        <v>(2c) Selected equal to the average of the modeled average annual losses</v>
      </c>
      <c r="C41" s="58"/>
      <c r="D41" s="58"/>
      <c r="E41" s="42"/>
      <c r="F41" s="42"/>
      <c r="I41" s="2"/>
    </row>
    <row r="42" spans="1:12" x14ac:dyDescent="0.2">
      <c r="B42" s="58" t="str">
        <f>A24&amp;" Selected based on projections communicated to reinsurers"</f>
        <v>(3) Selected based on projections communicated to reinsurers</v>
      </c>
      <c r="C42" s="58"/>
      <c r="D42" s="58"/>
      <c r="E42" s="42"/>
      <c r="F42" s="42"/>
      <c r="I42" s="2"/>
    </row>
    <row r="43" spans="1:12" x14ac:dyDescent="0.2">
      <c r="B43" s="58" t="str">
        <f>A26&amp;" = "&amp;A22&amp;" * [(1+ "&amp;A24&amp;") ^ "&amp;TEXT($J$20,"0.000")&amp;"]"&amp;"(projected exposure growth from 11/30/2018 to 12/1/2019)"</f>
        <v>(4) = (2c) * [(1+ (3)) ^ 1.000](projected exposure growth from 11/30/2018 to 12/1/2019)</v>
      </c>
      <c r="C43" s="58"/>
      <c r="D43" s="58"/>
      <c r="E43" s="42"/>
      <c r="F43" s="42"/>
      <c r="I43" s="2"/>
    </row>
    <row r="44" spans="1:12" x14ac:dyDescent="0.2">
      <c r="B44" s="58" t="str">
        <f>A28&amp;" = "&amp;A10&amp;" - "&amp;A26&amp;"*"&amp;J35&amp;","&amp;J35&amp;" is the loading for loss adjustment factor"</f>
        <v>(5) = (1) - (4)*1.15,1.15 is the loading for loss adjustment factor</v>
      </c>
      <c r="C44" s="58"/>
      <c r="D44" s="58"/>
      <c r="E44" s="42"/>
      <c r="F44" s="42"/>
      <c r="I44" s="2"/>
    </row>
    <row r="45" spans="1:12" x14ac:dyDescent="0.2">
      <c r="B45" s="208" t="str">
        <f>A30&amp;" = Commercial "&amp;'10.1'!$J$1&amp;", "&amp;'10.1'!$J$2&amp;" + Residential "&amp;'[5]10.2'!$J$1&amp;", "&amp;'[5]10.2'!$J$2&amp;", calendar year ending 12/31/2018"</f>
        <v>(6) = Commercial Exhibit 10, Sheet 1 + Residential Exhibit 10, Sheet 2, calendar year ending 12/31/2018</v>
      </c>
      <c r="C45" s="21"/>
      <c r="D45" s="58"/>
      <c r="E45" s="42"/>
      <c r="F45" s="42"/>
      <c r="I45" s="2"/>
    </row>
    <row r="46" spans="1:12" x14ac:dyDescent="0.2">
      <c r="B46" s="58" t="str">
        <f>A32&amp;" = "&amp;A30&amp;" adjusted for exposure growth trend * [(1+ "&amp;A24&amp;") ^ "&amp;TEXT($J$33,"0.000")&amp;"] (projected exposure growth from "&amp;TEXT($L$29,"m/d/yyyy")&amp;" to "&amp;TEXT($L$10,"m/d/yyyy")&amp;")"</f>
        <v>(7) = (6) adjusted for exposure growth trend * [(1+ (3)) ^ 1.417] (projected exposure growth from 7/1/2018 to 12/1/2019)</v>
      </c>
      <c r="C46" s="21"/>
      <c r="D46" s="58"/>
      <c r="E46" s="42"/>
      <c r="F46" s="42"/>
      <c r="G46" s="42"/>
      <c r="I46" s="2"/>
    </row>
    <row r="47" spans="1:12" x14ac:dyDescent="0.2">
      <c r="B47" t="str">
        <f>A34&amp;" = "&amp;A28&amp;" / "&amp;A32</f>
        <v>(8) = (5) / (7)</v>
      </c>
      <c r="C47" s="21"/>
      <c r="D47" s="58"/>
      <c r="E47" s="42"/>
      <c r="F47" s="42"/>
      <c r="I47" s="2"/>
    </row>
    <row r="48" spans="1:12" x14ac:dyDescent="0.2">
      <c r="B48" s="58"/>
      <c r="C48" s="21"/>
      <c r="D48" s="58"/>
      <c r="E48" s="42"/>
      <c r="F48" s="42"/>
      <c r="I48" s="2"/>
    </row>
    <row r="49" spans="1:9" x14ac:dyDescent="0.2">
      <c r="A49" s="53"/>
      <c r="C49" s="26"/>
      <c r="D49" s="36"/>
      <c r="E49" s="42"/>
      <c r="F49" s="42"/>
      <c r="I49" s="2"/>
    </row>
    <row r="50" spans="1:9" x14ac:dyDescent="0.2">
      <c r="C50" s="21"/>
      <c r="D50" s="36"/>
      <c r="I50" s="2"/>
    </row>
    <row r="51" spans="1:9" x14ac:dyDescent="0.2">
      <c r="C51" s="21"/>
      <c r="D51" s="44"/>
      <c r="E51" s="42"/>
      <c r="F51" s="42"/>
      <c r="G51" s="42"/>
      <c r="H51" s="58"/>
      <c r="I51" s="2"/>
    </row>
    <row r="52" spans="1:9" x14ac:dyDescent="0.2">
      <c r="C52" s="26"/>
      <c r="D52" s="44"/>
      <c r="I52" s="2"/>
    </row>
    <row r="53" spans="1:9" s="58" customFormat="1" x14ac:dyDescent="0.2">
      <c r="A53"/>
      <c r="C53" s="21"/>
      <c r="E53" s="42"/>
      <c r="F53" s="42"/>
      <c r="G53" s="47"/>
      <c r="H53"/>
      <c r="I53" s="2"/>
    </row>
    <row r="54" spans="1:9" s="58" customFormat="1" x14ac:dyDescent="0.2">
      <c r="A54" s="53"/>
      <c r="B54"/>
      <c r="C54"/>
      <c r="D54" s="59"/>
      <c r="E54" s="47"/>
      <c r="F54" s="47"/>
      <c r="G54" s="47"/>
      <c r="H54"/>
      <c r="I54" s="2"/>
    </row>
    <row r="55" spans="1:9" s="58" customFormat="1" x14ac:dyDescent="0.2">
      <c r="A55"/>
      <c r="B55"/>
      <c r="C55"/>
      <c r="D55"/>
      <c r="E55" s="47"/>
      <c r="F55" s="47"/>
      <c r="G55" s="47"/>
      <c r="H55"/>
      <c r="I55" s="2"/>
    </row>
    <row r="56" spans="1:9" s="58" customFormat="1" x14ac:dyDescent="0.2">
      <c r="A56" s="53"/>
      <c r="B56"/>
      <c r="C56"/>
      <c r="D56" s="18"/>
      <c r="E56" s="47"/>
      <c r="F56" s="47"/>
      <c r="G56" s="47"/>
      <c r="H56"/>
      <c r="I56" s="2"/>
    </row>
    <row r="57" spans="1:9" s="58" customFormat="1" x14ac:dyDescent="0.2">
      <c r="A57" s="42"/>
      <c r="C57" s="42"/>
      <c r="D57" s="42"/>
      <c r="E57" s="42"/>
      <c r="F57" s="42"/>
      <c r="G57" s="42"/>
      <c r="I57" s="2"/>
    </row>
    <row r="58" spans="1:9" s="58" customFormat="1" x14ac:dyDescent="0.2">
      <c r="E58" s="42"/>
      <c r="F58" s="42"/>
      <c r="G58" s="42"/>
      <c r="I58" s="2"/>
    </row>
    <row r="59" spans="1:9" s="58" customFormat="1" x14ac:dyDescent="0.2">
      <c r="A59" s="68"/>
      <c r="B59" s="68"/>
      <c r="D59" s="36"/>
      <c r="E59" s="46"/>
      <c r="F59" s="46"/>
      <c r="G59" s="46"/>
      <c r="I59" s="2"/>
    </row>
    <row r="60" spans="1:9" s="58" customFormat="1" x14ac:dyDescent="0.2">
      <c r="A60" s="68"/>
      <c r="B60" s="68"/>
      <c r="D60" s="36"/>
      <c r="E60" s="46"/>
      <c r="F60" s="46"/>
      <c r="G60" s="46"/>
      <c r="I60" s="2"/>
    </row>
    <row r="61" spans="1:9" s="58" customFormat="1" x14ac:dyDescent="0.2">
      <c r="A61" s="68"/>
      <c r="B61" s="68"/>
      <c r="D61" s="36"/>
      <c r="E61" s="46"/>
      <c r="F61" s="46"/>
      <c r="G61" s="46"/>
      <c r="I61" s="2"/>
    </row>
    <row r="62" spans="1:9" s="58" customFormat="1" x14ac:dyDescent="0.2">
      <c r="A62" s="68"/>
      <c r="B62" s="68"/>
      <c r="D62" s="36"/>
      <c r="E62" s="46"/>
      <c r="F62" s="46"/>
      <c r="G62" s="46"/>
      <c r="I62" s="2"/>
    </row>
    <row r="63" spans="1:9" s="58" customFormat="1" x14ac:dyDescent="0.2">
      <c r="A63" s="68"/>
      <c r="B63" s="68"/>
      <c r="D63" s="36"/>
      <c r="E63" s="46"/>
      <c r="F63" s="46"/>
      <c r="G63" s="46"/>
      <c r="I63" s="2"/>
    </row>
    <row r="64" spans="1:9" s="58" customFormat="1" x14ac:dyDescent="0.2">
      <c r="A64" s="68"/>
      <c r="B64" s="68"/>
      <c r="D64" s="36"/>
      <c r="E64" s="46"/>
      <c r="F64" s="46"/>
      <c r="G64" s="46"/>
      <c r="I64" s="2"/>
    </row>
    <row r="65" spans="1:9" s="58" customFormat="1" x14ac:dyDescent="0.2">
      <c r="A65" s="68"/>
      <c r="B65" s="68"/>
      <c r="D65" s="28"/>
      <c r="E65" s="62"/>
      <c r="F65" s="62"/>
      <c r="G65" s="62"/>
      <c r="I65" s="2"/>
    </row>
    <row r="66" spans="1:9" x14ac:dyDescent="0.2">
      <c r="C66" s="24"/>
      <c r="D66" s="59"/>
      <c r="E66" s="50"/>
      <c r="F66" s="50"/>
      <c r="G66" s="50"/>
      <c r="I66" s="2"/>
    </row>
    <row r="67" spans="1:9" x14ac:dyDescent="0.2">
      <c r="C67" s="24"/>
      <c r="D67" s="59"/>
      <c r="E67" s="50"/>
      <c r="F67" s="50"/>
      <c r="G67" s="50"/>
      <c r="I67" s="2"/>
    </row>
    <row r="68" spans="1:9" ht="12" thickBot="1" x14ac:dyDescent="0.25">
      <c r="C68" s="24"/>
      <c r="D68" s="59"/>
      <c r="E68" s="50"/>
      <c r="F68" s="50"/>
      <c r="G68" s="50"/>
      <c r="I68" s="2"/>
    </row>
    <row r="69" spans="1:9" ht="12" thickBot="1" x14ac:dyDescent="0.25">
      <c r="A69" s="4"/>
      <c r="B69" s="5"/>
      <c r="C69" s="5"/>
      <c r="D69" s="5"/>
      <c r="E69" s="5"/>
      <c r="F69" s="5"/>
      <c r="G69" s="5"/>
      <c r="H69" s="5"/>
      <c r="I69" s="3"/>
    </row>
  </sheetData>
  <phoneticPr fontId="0" type="noConversion"/>
  <pageMargins left="0.5" right="0.5" top="0.5" bottom="0.5" header="0.5" footer="0.5"/>
  <pageSetup orientation="portrait" blackAndWhite="1" r:id="rId1"/>
  <headerFooter alignWithMargins="0"/>
  <legacy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Sheet37"/>
  <dimension ref="A1:Q70"/>
  <sheetViews>
    <sheetView showGridLines="0" view="pageBreakPreview" topLeftCell="B1" zoomScale="60" zoomScaleNormal="100" workbookViewId="0">
      <selection activeCell="V48" sqref="V48"/>
    </sheetView>
  </sheetViews>
  <sheetFormatPr defaultColWidth="11.33203125" defaultRowHeight="11.25" x14ac:dyDescent="0.2"/>
  <cols>
    <col min="1" max="1" width="5.1640625" bestFit="1" customWidth="1"/>
    <col min="2" max="2" width="10" customWidth="1"/>
    <col min="3" max="6" width="14.6640625" customWidth="1"/>
    <col min="7" max="7" width="15.6640625" customWidth="1"/>
    <col min="8" max="8" width="19.33203125" customWidth="1"/>
    <col min="9" max="9" width="12.33203125" customWidth="1"/>
    <col min="13" max="13" width="12.6640625" bestFit="1" customWidth="1"/>
    <col min="15" max="15" width="5.5" customWidth="1"/>
    <col min="16" max="16" width="11.1640625" customWidth="1"/>
    <col min="17" max="17" width="13.6640625" customWidth="1"/>
  </cols>
  <sheetData>
    <row r="1" spans="1:17" x14ac:dyDescent="0.2">
      <c r="A1" s="8" t="str">
        <f>'1'!$A$1</f>
        <v>Texas Windstorm Insurance Association</v>
      </c>
      <c r="B1" s="12"/>
      <c r="I1" s="7" t="s">
        <v>165</v>
      </c>
      <c r="J1" s="1"/>
    </row>
    <row r="2" spans="1:17" x14ac:dyDescent="0.2">
      <c r="A2" s="8" t="str">
        <f>'1'!$A$2</f>
        <v>Commercial Property - Wind &amp; Hail</v>
      </c>
      <c r="B2" s="12"/>
      <c r="I2" s="7" t="s">
        <v>22</v>
      </c>
      <c r="J2" s="2"/>
    </row>
    <row r="3" spans="1:17" x14ac:dyDescent="0.2">
      <c r="A3" s="8" t="str">
        <f>'1'!$A$3</f>
        <v>Rate Level Review</v>
      </c>
      <c r="B3" s="12"/>
      <c r="J3" s="2"/>
    </row>
    <row r="4" spans="1:17" x14ac:dyDescent="0.2">
      <c r="A4" t="s">
        <v>193</v>
      </c>
      <c r="B4" s="12"/>
      <c r="J4" s="2"/>
    </row>
    <row r="5" spans="1:17" x14ac:dyDescent="0.2">
      <c r="A5" s="58"/>
      <c r="B5" s="21"/>
      <c r="C5" s="58"/>
      <c r="D5" s="58"/>
      <c r="E5" s="58"/>
      <c r="J5" s="2"/>
    </row>
    <row r="6" spans="1:17" x14ac:dyDescent="0.2">
      <c r="J6" s="2"/>
    </row>
    <row r="7" spans="1:17" ht="12" thickBot="1" x14ac:dyDescent="0.25">
      <c r="A7" s="6"/>
      <c r="B7" s="6"/>
      <c r="C7" s="6"/>
      <c r="D7" s="6"/>
      <c r="E7" s="6"/>
      <c r="F7" s="6"/>
      <c r="G7" s="6"/>
      <c r="J7" s="2"/>
    </row>
    <row r="8" spans="1:17" ht="12" thickTop="1" x14ac:dyDescent="0.2">
      <c r="J8" s="2"/>
    </row>
    <row r="9" spans="1:17" x14ac:dyDescent="0.2">
      <c r="C9" s="23" t="s">
        <v>194</v>
      </c>
      <c r="F9" t="s">
        <v>195</v>
      </c>
      <c r="J9" s="2"/>
      <c r="K9" s="26"/>
      <c r="L9" s="23"/>
      <c r="P9" s="244"/>
    </row>
    <row r="10" spans="1:17" x14ac:dyDescent="0.2">
      <c r="A10" t="s">
        <v>42</v>
      </c>
      <c r="C10" t="s">
        <v>187</v>
      </c>
      <c r="F10" t="s">
        <v>196</v>
      </c>
      <c r="J10" s="2"/>
      <c r="K10" s="21"/>
    </row>
    <row r="11" spans="1:17" x14ac:dyDescent="0.2">
      <c r="A11" s="9" t="s">
        <v>43</v>
      </c>
      <c r="B11" s="9"/>
      <c r="C11" s="9" t="s">
        <v>197</v>
      </c>
      <c r="D11" s="9" t="s">
        <v>188</v>
      </c>
      <c r="E11" s="9" t="s">
        <v>8</v>
      </c>
      <c r="F11" s="9" t="s">
        <v>44</v>
      </c>
      <c r="G11" s="9" t="s">
        <v>191</v>
      </c>
      <c r="H11" s="42"/>
      <c r="J11" s="2"/>
      <c r="K11" s="49"/>
      <c r="P11" s="18"/>
      <c r="Q11" s="18"/>
    </row>
    <row r="12" spans="1:17" x14ac:dyDescent="0.2">
      <c r="A12" s="13" t="str">
        <f>TEXT(COLUMN(),"(#)")</f>
        <v>(1)</v>
      </c>
      <c r="B12" s="13"/>
      <c r="C12" s="11" t="str">
        <f>TEXT(COLUMN()-1,"(#)")</f>
        <v>(2)</v>
      </c>
      <c r="D12" s="11" t="str">
        <f>TEXT(COLUMN()-1,"(#)")</f>
        <v>(3)</v>
      </c>
      <c r="E12" s="11" t="str">
        <f>TEXT(COLUMN()-1,"(#)")</f>
        <v>(4)</v>
      </c>
      <c r="F12" s="11" t="str">
        <f>TEXT(COLUMN()-1,"(#)")</f>
        <v>(5)</v>
      </c>
      <c r="G12" s="11" t="str">
        <f>TEXT(COLUMN()-1,"(#)")</f>
        <v>(6)</v>
      </c>
      <c r="J12" s="2"/>
      <c r="P12" s="18"/>
      <c r="Q12" s="18"/>
    </row>
    <row r="13" spans="1:17" x14ac:dyDescent="0.2">
      <c r="J13" s="2"/>
    </row>
    <row r="14" spans="1:17" x14ac:dyDescent="0.2">
      <c r="A14" t="s">
        <v>381</v>
      </c>
      <c r="C14" s="90">
        <f>ROUND('[2]TWIA 3'!L5,0)</f>
        <v>857250899</v>
      </c>
      <c r="D14" s="90">
        <f>ROUND('[2]TWIA 3'!M5,0)</f>
        <v>1709067474</v>
      </c>
      <c r="E14" s="29">
        <f t="shared" ref="E14:E21" si="0">SUM(C14:D14)</f>
        <v>2566318373</v>
      </c>
      <c r="F14" s="36">
        <v>2562744000</v>
      </c>
      <c r="G14" s="82">
        <f t="shared" ref="G14:G21" si="1">E14-F14</f>
        <v>3574373</v>
      </c>
      <c r="H14" s="19"/>
      <c r="J14" s="2"/>
      <c r="L14" s="245"/>
      <c r="M14" s="245"/>
      <c r="P14" s="18"/>
      <c r="Q14" s="18"/>
    </row>
    <row r="15" spans="1:17" x14ac:dyDescent="0.2">
      <c r="A15" t="s">
        <v>417</v>
      </c>
      <c r="C15" s="90">
        <f>ROUND('[2]TWIA 3'!L6,0)</f>
        <v>2553456</v>
      </c>
      <c r="D15" s="90">
        <f>ROUND('[2]TWIA 3'!M6,0)</f>
        <v>8479585</v>
      </c>
      <c r="E15" s="29">
        <f>SUM(C15:D15)</f>
        <v>11033041</v>
      </c>
      <c r="F15" s="36">
        <v>10403000</v>
      </c>
      <c r="G15" s="82">
        <f t="shared" si="1"/>
        <v>630041</v>
      </c>
      <c r="H15" s="19"/>
      <c r="J15" s="2"/>
      <c r="L15" s="245"/>
      <c r="M15" s="245"/>
      <c r="P15" s="18"/>
      <c r="Q15" s="18"/>
    </row>
    <row r="16" spans="1:17" x14ac:dyDescent="0.2">
      <c r="A16" t="s">
        <v>418</v>
      </c>
      <c r="C16" s="90">
        <f>ROUND('[2]TWIA 3'!L7,0)</f>
        <v>7478289</v>
      </c>
      <c r="D16" s="90">
        <f>ROUND('[2]TWIA 3'!M7,0)</f>
        <v>10958718</v>
      </c>
      <c r="E16" s="29">
        <f t="shared" si="0"/>
        <v>18437007</v>
      </c>
      <c r="F16" s="36">
        <v>18005000</v>
      </c>
      <c r="G16" s="82">
        <f t="shared" si="1"/>
        <v>432007</v>
      </c>
      <c r="H16" s="19"/>
      <c r="J16" s="2"/>
      <c r="L16" s="245"/>
      <c r="M16" s="246"/>
      <c r="P16" s="18"/>
      <c r="Q16" s="18"/>
    </row>
    <row r="17" spans="1:17" x14ac:dyDescent="0.2">
      <c r="A17" t="s">
        <v>421</v>
      </c>
      <c r="C17" s="90">
        <f>ROUND('[2]TWIA 3'!L8,0)</f>
        <v>19217587</v>
      </c>
      <c r="D17" s="90">
        <f>ROUND('[2]TWIA 3'!M8,0)</f>
        <v>76980633</v>
      </c>
      <c r="E17" s="29">
        <f t="shared" si="0"/>
        <v>96198220</v>
      </c>
      <c r="F17" s="36">
        <v>96089000</v>
      </c>
      <c r="G17" s="82">
        <f t="shared" si="1"/>
        <v>109220</v>
      </c>
      <c r="H17" s="19"/>
      <c r="J17" s="2"/>
      <c r="L17" s="245"/>
      <c r="M17" s="246"/>
      <c r="P17" s="18"/>
      <c r="Q17" s="18"/>
    </row>
    <row r="18" spans="1:17" x14ac:dyDescent="0.2">
      <c r="A18">
        <v>2012</v>
      </c>
      <c r="C18" s="90">
        <f>ROUND('[2]TWIA 3'!L9,0)</f>
        <v>14459642</v>
      </c>
      <c r="D18" s="90">
        <f>ROUND('[2]TWIA 3'!M9,0)</f>
        <v>52332695</v>
      </c>
      <c r="E18" s="29">
        <f t="shared" si="0"/>
        <v>66792337</v>
      </c>
      <c r="F18" s="36">
        <v>66741000</v>
      </c>
      <c r="G18" s="82">
        <f t="shared" si="1"/>
        <v>51337</v>
      </c>
      <c r="H18" s="19"/>
      <c r="J18" s="2"/>
      <c r="L18" s="245"/>
      <c r="M18" s="246"/>
      <c r="P18" s="18"/>
      <c r="Q18" s="18"/>
    </row>
    <row r="19" spans="1:17" x14ac:dyDescent="0.2">
      <c r="A19">
        <v>2013</v>
      </c>
      <c r="C19" s="90">
        <f>ROUND('[2]TWIA 3'!L10,0)</f>
        <v>7351329</v>
      </c>
      <c r="D19" s="90">
        <f>ROUND('[2]TWIA 3'!M10,0)</f>
        <v>63503334</v>
      </c>
      <c r="E19" s="29">
        <f t="shared" si="0"/>
        <v>70854663</v>
      </c>
      <c r="F19" s="36">
        <v>70811000</v>
      </c>
      <c r="G19" s="82">
        <f t="shared" si="1"/>
        <v>43663</v>
      </c>
      <c r="H19" s="19"/>
      <c r="J19" s="2"/>
      <c r="L19" s="246"/>
      <c r="M19" s="246"/>
      <c r="P19" s="18"/>
      <c r="Q19" s="18"/>
    </row>
    <row r="20" spans="1:17" x14ac:dyDescent="0.2">
      <c r="A20">
        <v>2014</v>
      </c>
      <c r="C20" s="90">
        <f>ROUND('[2]TWIA 3'!L11,0)</f>
        <v>1056281</v>
      </c>
      <c r="D20" s="90">
        <f>ROUND('[2]TWIA 3'!M11,0)</f>
        <v>6114172</v>
      </c>
      <c r="E20" s="29">
        <f t="shared" si="0"/>
        <v>7170453</v>
      </c>
      <c r="F20" s="245">
        <v>7002000</v>
      </c>
      <c r="G20" s="82">
        <f>E20-F20</f>
        <v>168453</v>
      </c>
      <c r="H20" s="19"/>
      <c r="J20" s="2"/>
      <c r="L20" s="246"/>
      <c r="M20" s="246"/>
      <c r="P20" s="18"/>
      <c r="Q20" s="18"/>
    </row>
    <row r="21" spans="1:17" x14ac:dyDescent="0.2">
      <c r="A21">
        <v>2015</v>
      </c>
      <c r="B21" s="48"/>
      <c r="C21" s="90">
        <f>ROUND('[2]TWIA 3'!L12,0)</f>
        <v>18644220</v>
      </c>
      <c r="D21" s="90">
        <f>ROUND('[2]TWIA 3'!M12,0)</f>
        <v>119845638</v>
      </c>
      <c r="E21" s="180">
        <f t="shared" si="0"/>
        <v>138489858</v>
      </c>
      <c r="F21" s="245">
        <v>138569000</v>
      </c>
      <c r="G21" s="82">
        <f t="shared" si="1"/>
        <v>-79142</v>
      </c>
      <c r="H21" s="19"/>
      <c r="J21" s="2"/>
      <c r="L21" s="246"/>
      <c r="M21" s="246"/>
      <c r="P21" s="18"/>
      <c r="Q21" s="18"/>
    </row>
    <row r="22" spans="1:17" x14ac:dyDescent="0.2">
      <c r="A22">
        <v>2016</v>
      </c>
      <c r="C22" s="90">
        <f>ROUND('[2]TWIA 3'!L13,0)</f>
        <v>2584005</v>
      </c>
      <c r="D22" s="90">
        <f>ROUND('[2]TWIA 3'!M13,0)</f>
        <v>25883611</v>
      </c>
      <c r="E22" s="29">
        <f>SUM(C22:D22)</f>
        <v>28467616</v>
      </c>
      <c r="F22" s="278">
        <v>28391000</v>
      </c>
      <c r="G22" s="82">
        <f>E22-F22</f>
        <v>76616</v>
      </c>
      <c r="H22" s="19"/>
      <c r="J22" s="2"/>
      <c r="K22" s="24"/>
      <c r="L22" s="246"/>
      <c r="M22" s="246"/>
      <c r="O22" s="24"/>
      <c r="P22" s="18"/>
      <c r="Q22" s="18"/>
    </row>
    <row r="23" spans="1:17" x14ac:dyDescent="0.2">
      <c r="A23" s="47">
        <v>2017</v>
      </c>
      <c r="B23" s="48"/>
      <c r="C23" s="90">
        <f>ROUND('[2]TWIA 3'!L14,0)</f>
        <v>386172429</v>
      </c>
      <c r="D23" s="90">
        <f>ROUND('[2]TWIA 3'!M14,0)</f>
        <v>855680672</v>
      </c>
      <c r="E23" s="180">
        <f>SUM(C23:D23)</f>
        <v>1241853101</v>
      </c>
      <c r="F23" s="278">
        <v>1241954000</v>
      </c>
      <c r="G23" s="181">
        <f>E23-F23</f>
        <v>-100899</v>
      </c>
      <c r="H23" s="19"/>
      <c r="J23" s="2"/>
      <c r="K23" s="24"/>
      <c r="L23" s="245"/>
      <c r="M23" s="245"/>
      <c r="O23" s="11"/>
      <c r="P23" s="18"/>
      <c r="Q23" s="18"/>
    </row>
    <row r="24" spans="1:17" x14ac:dyDescent="0.2">
      <c r="A24" s="9">
        <v>2018</v>
      </c>
      <c r="B24" s="25"/>
      <c r="C24" s="89">
        <f>ROUND('[2]TWIA 3'!L15,0)</f>
        <v>164741</v>
      </c>
      <c r="D24" s="89">
        <f>ROUND('[2]TWIA 3'!M15,0)</f>
        <v>9256158</v>
      </c>
      <c r="E24" s="30">
        <f>SUM(C24:D24)</f>
        <v>9420899</v>
      </c>
      <c r="F24" s="247">
        <v>9089000</v>
      </c>
      <c r="G24" s="83">
        <f>E24-F24</f>
        <v>331899</v>
      </c>
      <c r="H24" s="19"/>
      <c r="J24" s="2"/>
      <c r="K24" s="24"/>
      <c r="L24" s="245"/>
      <c r="M24" s="245"/>
      <c r="O24" s="11"/>
      <c r="P24" s="18"/>
      <c r="Q24" s="18"/>
    </row>
    <row r="25" spans="1:17" x14ac:dyDescent="0.2">
      <c r="C25" s="18"/>
      <c r="D25" s="12"/>
      <c r="E25" s="18"/>
      <c r="F25" s="18"/>
      <c r="G25" s="84"/>
      <c r="H25" s="19"/>
      <c r="J25" s="2"/>
      <c r="K25" s="19"/>
    </row>
    <row r="26" spans="1:17" x14ac:dyDescent="0.2">
      <c r="A26" t="s">
        <v>8</v>
      </c>
      <c r="C26" s="69">
        <f>SUM(C14:C24)</f>
        <v>1316932878</v>
      </c>
      <c r="D26" s="69">
        <f>SUM(D14:D24)</f>
        <v>2938102690</v>
      </c>
      <c r="E26" s="69">
        <f>SUM(E14:E24)</f>
        <v>4255035568</v>
      </c>
      <c r="F26" s="69">
        <f>SUM(F14:F24)</f>
        <v>4249798000</v>
      </c>
      <c r="G26" s="69">
        <f>SUM(G14:G24)</f>
        <v>5237568</v>
      </c>
      <c r="H26" s="19"/>
      <c r="J26" s="2"/>
      <c r="L26" s="69"/>
      <c r="M26" s="69"/>
    </row>
    <row r="27" spans="1:17" ht="12" thickBot="1" x14ac:dyDescent="0.25">
      <c r="A27" s="6"/>
      <c r="B27" s="6"/>
      <c r="C27" s="6"/>
      <c r="D27" s="6"/>
      <c r="E27" s="6"/>
      <c r="F27" s="6"/>
      <c r="G27" s="6"/>
      <c r="J27" s="2"/>
    </row>
    <row r="28" spans="1:17" ht="12" thickTop="1" x14ac:dyDescent="0.2">
      <c r="J28" s="2"/>
    </row>
    <row r="29" spans="1:17" x14ac:dyDescent="0.2">
      <c r="A29" t="s">
        <v>19</v>
      </c>
      <c r="F29" s="42"/>
      <c r="J29" s="2"/>
    </row>
    <row r="30" spans="1:17" x14ac:dyDescent="0.2">
      <c r="B30" s="21" t="str">
        <f>C12&amp;", "&amp;D12&amp;" Provided by TWIA, as of "&amp;TEXT($K$31,"m/d/yyyy")</f>
        <v>(2), (3) Provided by TWIA, as of 12/31/2018</v>
      </c>
      <c r="J30" s="2"/>
      <c r="K30" t="s">
        <v>240</v>
      </c>
    </row>
    <row r="31" spans="1:17" x14ac:dyDescent="0.2">
      <c r="B31" s="21" t="str">
        <f>E12&amp;" = "&amp;C12&amp;" + "&amp;D12</f>
        <v>(4) = (2) + (3)</v>
      </c>
      <c r="J31" s="2"/>
      <c r="K31" s="99">
        <v>43465</v>
      </c>
    </row>
    <row r="32" spans="1:17" x14ac:dyDescent="0.2">
      <c r="B32" s="21" t="str">
        <f>F12&amp;" Based on TWIA "&amp;TEXT(YEAR('2.1'!$L$8),"#")&amp;" Annual Statement"</f>
        <v>(5) Based on TWIA 2018 Annual Statement</v>
      </c>
      <c r="C32" s="58"/>
      <c r="D32" s="58"/>
      <c r="E32" s="58"/>
      <c r="F32" s="58"/>
      <c r="G32" s="58"/>
      <c r="J32" s="2"/>
    </row>
    <row r="33" spans="1:16" x14ac:dyDescent="0.2">
      <c r="B33" s="21" t="str">
        <f>G12&amp;" = "&amp;E12&amp;" - "&amp;F12</f>
        <v>(6) = (4) - (5)</v>
      </c>
      <c r="J33" s="2"/>
      <c r="O33" s="58"/>
      <c r="P33" s="58"/>
    </row>
    <row r="34" spans="1:16" x14ac:dyDescent="0.2">
      <c r="B34" s="21"/>
      <c r="J34" s="2"/>
      <c r="L34" s="18"/>
      <c r="M34" s="18"/>
    </row>
    <row r="35" spans="1:16" x14ac:dyDescent="0.2">
      <c r="D35" s="59"/>
      <c r="E35" s="59"/>
      <c r="F35" s="59"/>
      <c r="G35" s="22"/>
      <c r="J35" s="2"/>
      <c r="L35" s="18"/>
      <c r="M35" s="18"/>
    </row>
    <row r="36" spans="1:16" x14ac:dyDescent="0.2">
      <c r="B36" s="24"/>
      <c r="J36" s="2"/>
      <c r="L36" s="18"/>
      <c r="M36" s="18"/>
    </row>
    <row r="37" spans="1:16" x14ac:dyDescent="0.2">
      <c r="J37" s="2"/>
      <c r="L37" s="18"/>
      <c r="M37" s="18"/>
    </row>
    <row r="38" spans="1:16" x14ac:dyDescent="0.2">
      <c r="J38" s="2"/>
      <c r="L38" s="18"/>
      <c r="M38" s="18"/>
    </row>
    <row r="39" spans="1:16" x14ac:dyDescent="0.2">
      <c r="J39" s="2"/>
      <c r="L39" s="18"/>
      <c r="M39" s="18"/>
    </row>
    <row r="40" spans="1:16" s="58" customFormat="1" x14ac:dyDescent="0.2">
      <c r="A40" s="42"/>
      <c r="B40" s="42"/>
      <c r="C40" s="42"/>
      <c r="D40" s="42"/>
      <c r="E40" s="42"/>
      <c r="F40" s="42"/>
      <c r="G40" s="42"/>
      <c r="H40" s="42"/>
      <c r="J40" s="2"/>
      <c r="K40"/>
      <c r="L40" s="18"/>
      <c r="M40" s="31"/>
      <c r="N40"/>
      <c r="O40"/>
    </row>
    <row r="41" spans="1:16" x14ac:dyDescent="0.2">
      <c r="J41" s="2"/>
      <c r="K41" s="58"/>
      <c r="L41" s="31"/>
      <c r="M41" s="18"/>
    </row>
    <row r="42" spans="1:16" x14ac:dyDescent="0.2">
      <c r="J42" s="2"/>
      <c r="L42" s="18"/>
      <c r="M42" s="18"/>
    </row>
    <row r="43" spans="1:16" x14ac:dyDescent="0.2">
      <c r="J43" s="2"/>
      <c r="L43" s="18"/>
      <c r="M43" s="18"/>
    </row>
    <row r="44" spans="1:16" x14ac:dyDescent="0.2">
      <c r="J44" s="2"/>
      <c r="O44" s="58"/>
      <c r="P44" s="58"/>
    </row>
    <row r="45" spans="1:16" x14ac:dyDescent="0.2">
      <c r="J45" s="2"/>
      <c r="O45" s="58"/>
      <c r="P45" s="58"/>
    </row>
    <row r="46" spans="1:16" x14ac:dyDescent="0.2">
      <c r="J46" s="2"/>
      <c r="O46" s="58"/>
      <c r="P46" s="58"/>
    </row>
    <row r="47" spans="1:16" x14ac:dyDescent="0.2">
      <c r="J47" s="2"/>
      <c r="O47" s="58"/>
      <c r="P47" s="58"/>
    </row>
    <row r="48" spans="1:16" x14ac:dyDescent="0.2">
      <c r="J48" s="2"/>
      <c r="O48" s="58"/>
      <c r="P48" s="58"/>
    </row>
    <row r="49" spans="1:16" x14ac:dyDescent="0.2">
      <c r="J49" s="2"/>
      <c r="O49" s="58"/>
      <c r="P49" s="58"/>
    </row>
    <row r="50" spans="1:16" x14ac:dyDescent="0.2">
      <c r="J50" s="2"/>
      <c r="O50" s="58"/>
      <c r="P50" s="58"/>
    </row>
    <row r="51" spans="1:16" s="58" customFormat="1" x14ac:dyDescent="0.2">
      <c r="J51" s="2"/>
      <c r="K51"/>
      <c r="L51"/>
      <c r="M51"/>
    </row>
    <row r="52" spans="1:16" s="58" customFormat="1" x14ac:dyDescent="0.2">
      <c r="C52" s="21"/>
      <c r="J52" s="2"/>
    </row>
    <row r="53" spans="1:16" s="58" customFormat="1" x14ac:dyDescent="0.2">
      <c r="J53" s="2"/>
    </row>
    <row r="54" spans="1:16" s="58" customFormat="1" x14ac:dyDescent="0.2">
      <c r="A54" s="42"/>
      <c r="B54" s="42"/>
      <c r="C54" s="42"/>
      <c r="D54" s="42"/>
      <c r="E54" s="42"/>
      <c r="F54" s="42"/>
      <c r="G54" s="42"/>
      <c r="H54" s="42"/>
      <c r="J54" s="2"/>
    </row>
    <row r="55" spans="1:16" s="58" customFormat="1" x14ac:dyDescent="0.2">
      <c r="J55" s="2"/>
    </row>
    <row r="56" spans="1:16" s="58" customFormat="1" x14ac:dyDescent="0.2">
      <c r="A56" s="68"/>
      <c r="C56" s="36"/>
      <c r="D56" s="36"/>
      <c r="E56" s="36"/>
      <c r="F56" s="36"/>
      <c r="G56" s="31"/>
      <c r="H56" s="31"/>
      <c r="J56" s="2"/>
    </row>
    <row r="57" spans="1:16" s="58" customFormat="1" x14ac:dyDescent="0.2">
      <c r="A57" s="68"/>
      <c r="C57" s="28"/>
      <c r="D57" s="28"/>
      <c r="E57" s="28"/>
      <c r="F57" s="28"/>
      <c r="G57" s="28"/>
      <c r="H57" s="28"/>
      <c r="J57" s="2"/>
      <c r="O57"/>
      <c r="P57"/>
    </row>
    <row r="58" spans="1:16" s="58" customFormat="1" x14ac:dyDescent="0.2">
      <c r="A58" s="68"/>
      <c r="C58" s="28"/>
      <c r="D58" s="28"/>
      <c r="E58" s="28"/>
      <c r="F58" s="28"/>
      <c r="G58" s="28"/>
      <c r="H58" s="28"/>
      <c r="J58" s="2"/>
      <c r="O58"/>
      <c r="P58"/>
    </row>
    <row r="59" spans="1:16" s="58" customFormat="1" x14ac:dyDescent="0.2">
      <c r="A59" s="68"/>
      <c r="C59" s="28"/>
      <c r="D59" s="28"/>
      <c r="E59" s="28"/>
      <c r="F59" s="28"/>
      <c r="G59" s="28"/>
      <c r="H59" s="28"/>
      <c r="J59" s="2"/>
      <c r="O59"/>
      <c r="P59"/>
    </row>
    <row r="60" spans="1:16" s="58" customFormat="1" x14ac:dyDescent="0.2">
      <c r="A60" s="68"/>
      <c r="C60" s="28"/>
      <c r="D60" s="28"/>
      <c r="E60" s="28"/>
      <c r="F60" s="28"/>
      <c r="G60" s="28"/>
      <c r="H60" s="28"/>
      <c r="J60" s="2"/>
      <c r="O60"/>
      <c r="P60"/>
    </row>
    <row r="61" spans="1:16" s="58" customFormat="1" x14ac:dyDescent="0.2">
      <c r="A61" s="68"/>
      <c r="C61" s="28"/>
      <c r="D61" s="28"/>
      <c r="E61" s="28"/>
      <c r="F61" s="28"/>
      <c r="G61" s="28"/>
      <c r="H61" s="28"/>
      <c r="J61" s="2"/>
      <c r="O61"/>
      <c r="P61"/>
    </row>
    <row r="62" spans="1:16" s="58" customFormat="1" x14ac:dyDescent="0.2">
      <c r="A62" s="68"/>
      <c r="C62" s="28"/>
      <c r="D62" s="28"/>
      <c r="E62" s="28"/>
      <c r="F62" s="28"/>
      <c r="G62" s="28"/>
      <c r="H62" s="28"/>
      <c r="J62" s="2"/>
      <c r="O62"/>
      <c r="P62"/>
    </row>
    <row r="63" spans="1:16" s="58" customFormat="1" x14ac:dyDescent="0.2">
      <c r="A63" s="68"/>
      <c r="C63" s="28"/>
      <c r="D63" s="28"/>
      <c r="E63" s="28"/>
      <c r="F63" s="28"/>
      <c r="G63" s="28"/>
      <c r="H63" s="28"/>
      <c r="J63" s="2"/>
      <c r="O63"/>
      <c r="P63"/>
    </row>
    <row r="64" spans="1:16" x14ac:dyDescent="0.2">
      <c r="B64" s="24"/>
      <c r="C64" s="59"/>
      <c r="D64" s="59"/>
      <c r="E64" s="59"/>
      <c r="F64" s="59"/>
      <c r="G64" s="22"/>
      <c r="J64" s="2"/>
      <c r="K64" s="58"/>
      <c r="L64" s="58"/>
      <c r="M64" s="58"/>
    </row>
    <row r="65" spans="1:10" x14ac:dyDescent="0.2">
      <c r="B65" s="24"/>
      <c r="C65" s="59"/>
      <c r="D65" s="59"/>
      <c r="E65" s="59"/>
      <c r="F65" s="59"/>
      <c r="G65" s="22"/>
      <c r="J65" s="2"/>
    </row>
    <row r="66" spans="1:10" x14ac:dyDescent="0.2">
      <c r="B66" s="24"/>
      <c r="C66" s="59"/>
      <c r="D66" s="59"/>
      <c r="E66" s="59"/>
      <c r="F66" s="59"/>
      <c r="G66" s="22"/>
      <c r="J66" s="2"/>
    </row>
    <row r="67" spans="1:10" x14ac:dyDescent="0.2">
      <c r="B67" s="24"/>
      <c r="C67" s="59"/>
      <c r="D67" s="59"/>
      <c r="E67" s="59"/>
      <c r="F67" s="59"/>
      <c r="G67" s="22"/>
      <c r="J67" s="2"/>
    </row>
    <row r="68" spans="1:10" x14ac:dyDescent="0.2">
      <c r="J68" s="2"/>
    </row>
    <row r="69" spans="1:10" ht="12" thickBot="1" x14ac:dyDescent="0.25">
      <c r="J69" s="2"/>
    </row>
    <row r="70" spans="1:10" ht="12" thickBot="1" x14ac:dyDescent="0.25">
      <c r="A70" s="4"/>
      <c r="B70" s="5"/>
      <c r="C70" s="5"/>
      <c r="D70" s="5"/>
      <c r="E70" s="5"/>
      <c r="F70" s="5"/>
      <c r="G70" s="5"/>
      <c r="H70" s="5"/>
      <c r="I70" s="5"/>
      <c r="J70" s="3"/>
    </row>
  </sheetData>
  <phoneticPr fontId="0" type="noConversion"/>
  <pageMargins left="0.5" right="0.5" top="0.5" bottom="0.5" header="0.5" footer="0.5"/>
  <pageSetup orientation="portrait" blackAndWhite="1" r:id="rId1"/>
  <headerFooter alignWithMargins="0"/>
  <legacy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Sheet38"/>
  <dimension ref="A1:L71"/>
  <sheetViews>
    <sheetView showGridLines="0" tabSelected="1" view="pageBreakPreview" topLeftCell="G15" zoomScaleNormal="100" zoomScaleSheetLayoutView="100" workbookViewId="0">
      <selection activeCell="W47" sqref="W47"/>
    </sheetView>
  </sheetViews>
  <sheetFormatPr defaultColWidth="11.33203125" defaultRowHeight="11.25" x14ac:dyDescent="0.2"/>
  <cols>
    <col min="1" max="1" width="5.1640625" bestFit="1" customWidth="1"/>
    <col min="2" max="2" width="10" customWidth="1"/>
    <col min="3" max="8" width="14.6640625" customWidth="1"/>
    <col min="9" max="9" width="11.33203125" customWidth="1"/>
    <col min="10" max="10" width="5.6640625" customWidth="1"/>
    <col min="12" max="12" width="15.5" bestFit="1" customWidth="1"/>
  </cols>
  <sheetData>
    <row r="1" spans="1:12" x14ac:dyDescent="0.2">
      <c r="A1" s="8" t="str">
        <f>'1'!$A$1</f>
        <v>Texas Windstorm Insurance Association</v>
      </c>
      <c r="B1" s="12"/>
      <c r="J1" s="7" t="s">
        <v>165</v>
      </c>
      <c r="K1" s="1"/>
    </row>
    <row r="2" spans="1:12" x14ac:dyDescent="0.2">
      <c r="A2" s="8" t="str">
        <f>'1'!$A$2</f>
        <v>Commercial Property - Wind &amp; Hail</v>
      </c>
      <c r="B2" s="12"/>
      <c r="J2" s="7" t="s">
        <v>66</v>
      </c>
      <c r="K2" s="2"/>
    </row>
    <row r="3" spans="1:12" x14ac:dyDescent="0.2">
      <c r="A3" s="8" t="str">
        <f>'1'!$A$3</f>
        <v>Rate Level Review</v>
      </c>
      <c r="B3" s="12"/>
      <c r="K3" s="2"/>
    </row>
    <row r="4" spans="1:12" x14ac:dyDescent="0.2">
      <c r="A4" t="s">
        <v>184</v>
      </c>
      <c r="B4" s="12"/>
      <c r="K4" s="2"/>
    </row>
    <row r="5" spans="1:12" x14ac:dyDescent="0.2">
      <c r="A5" s="58"/>
      <c r="B5" s="21"/>
      <c r="C5" s="58"/>
      <c r="D5" s="58" t="s">
        <v>318</v>
      </c>
      <c r="E5" s="58"/>
      <c r="K5" s="2"/>
    </row>
    <row r="6" spans="1:12" x14ac:dyDescent="0.2">
      <c r="K6" s="2"/>
    </row>
    <row r="7" spans="1:12" ht="12" thickBot="1" x14ac:dyDescent="0.25">
      <c r="A7" s="6"/>
      <c r="B7" s="6"/>
      <c r="C7" s="6"/>
      <c r="D7" s="6"/>
      <c r="E7" s="6"/>
      <c r="F7" s="6"/>
      <c r="G7" s="6"/>
      <c r="H7" s="47"/>
      <c r="I7" s="47"/>
      <c r="K7" s="2"/>
    </row>
    <row r="8" spans="1:12" ht="12" thickTop="1" x14ac:dyDescent="0.2">
      <c r="K8" s="2"/>
    </row>
    <row r="9" spans="1:12" x14ac:dyDescent="0.2">
      <c r="C9" s="23" t="s">
        <v>186</v>
      </c>
      <c r="F9" t="s">
        <v>138</v>
      </c>
      <c r="K9" s="2"/>
      <c r="L9" s="26"/>
    </row>
    <row r="10" spans="1:12" x14ac:dyDescent="0.2">
      <c r="A10" t="s">
        <v>185</v>
      </c>
      <c r="F10" t="s">
        <v>190</v>
      </c>
      <c r="K10" s="2"/>
      <c r="L10" s="21"/>
    </row>
    <row r="11" spans="1:12" x14ac:dyDescent="0.2">
      <c r="A11" s="9" t="s">
        <v>43</v>
      </c>
      <c r="B11" s="9"/>
      <c r="C11" s="9" t="s">
        <v>187</v>
      </c>
      <c r="D11" s="9" t="s">
        <v>188</v>
      </c>
      <c r="E11" s="9" t="s">
        <v>8</v>
      </c>
      <c r="F11" s="9" t="s">
        <v>189</v>
      </c>
      <c r="G11" s="9" t="s">
        <v>191</v>
      </c>
      <c r="H11" s="47"/>
      <c r="I11" s="47"/>
      <c r="K11" s="2"/>
      <c r="L11" s="49"/>
    </row>
    <row r="12" spans="1:12" x14ac:dyDescent="0.2">
      <c r="A12" s="13" t="str">
        <f>TEXT(COLUMN(),"(#)")</f>
        <v>(1)</v>
      </c>
      <c r="B12" s="13"/>
      <c r="C12" s="11" t="str">
        <f>TEXT(COLUMN()-1,"(#)")</f>
        <v>(2)</v>
      </c>
      <c r="D12" s="11" t="str">
        <f>TEXT(COLUMN()-1,"(#)")</f>
        <v>(3)</v>
      </c>
      <c r="E12" s="11" t="str">
        <f>TEXT(COLUMN()-1,"(#)")</f>
        <v>(4)</v>
      </c>
      <c r="F12" s="11" t="str">
        <f>TEXT(COLUMN()-1,"(#)")</f>
        <v>(5)</v>
      </c>
      <c r="G12" s="11" t="str">
        <f>TEXT(COLUMN()-1,"(#)")</f>
        <v>(6)</v>
      </c>
      <c r="H12" s="11"/>
      <c r="I12" s="11"/>
      <c r="K12" s="2"/>
    </row>
    <row r="13" spans="1:12" x14ac:dyDescent="0.2">
      <c r="K13" s="2"/>
    </row>
    <row r="14" spans="1:12" x14ac:dyDescent="0.2">
      <c r="A14" s="232">
        <v>1994</v>
      </c>
      <c r="B14" s="21"/>
      <c r="C14" s="36">
        <v>10672677</v>
      </c>
      <c r="D14" s="36">
        <v>15758330</v>
      </c>
      <c r="E14" s="29">
        <f>SUM(C14:D14)</f>
        <v>26431007</v>
      </c>
      <c r="F14" s="36">
        <v>26510501</v>
      </c>
      <c r="G14" s="82">
        <f>E14-F14</f>
        <v>-79494</v>
      </c>
      <c r="H14" s="82"/>
      <c r="I14" s="82"/>
      <c r="K14" s="2"/>
      <c r="L14" s="19">
        <f>G14/F14</f>
        <v>-2.9985853530267118E-3</v>
      </c>
    </row>
    <row r="15" spans="1:12" x14ac:dyDescent="0.2">
      <c r="A15" t="str">
        <f>TEXT(A14+1,"#")</f>
        <v>1995</v>
      </c>
      <c r="B15" s="21"/>
      <c r="C15" s="36">
        <v>12865905</v>
      </c>
      <c r="D15" s="36">
        <v>19259265</v>
      </c>
      <c r="E15" s="29">
        <f t="shared" ref="E15:E30" si="0">SUM(C15:D15)</f>
        <v>32125170</v>
      </c>
      <c r="F15" s="36">
        <v>32419287</v>
      </c>
      <c r="G15" s="82">
        <f t="shared" ref="G15:G38" si="1">E15-F15</f>
        <v>-294117</v>
      </c>
      <c r="H15" s="82"/>
      <c r="I15" s="82"/>
      <c r="K15" s="2"/>
      <c r="L15" s="19">
        <f t="shared" ref="L15:L35" si="2">G15/F15</f>
        <v>-9.0722846557359516E-3</v>
      </c>
    </row>
    <row r="16" spans="1:12" x14ac:dyDescent="0.2">
      <c r="A16" t="str">
        <f t="shared" ref="A16:A34" si="3">TEXT(A15+1,"#")</f>
        <v>1996</v>
      </c>
      <c r="C16" s="36">
        <v>15640660</v>
      </c>
      <c r="D16" s="36">
        <v>24504127</v>
      </c>
      <c r="E16" s="29">
        <f t="shared" si="0"/>
        <v>40144787</v>
      </c>
      <c r="F16" s="36">
        <v>40358575</v>
      </c>
      <c r="G16" s="82">
        <f t="shared" si="1"/>
        <v>-213788</v>
      </c>
      <c r="H16" s="82"/>
      <c r="I16" s="82"/>
      <c r="K16" s="2"/>
      <c r="L16" s="19">
        <f t="shared" si="2"/>
        <v>-5.2972137891389871E-3</v>
      </c>
    </row>
    <row r="17" spans="1:12" x14ac:dyDescent="0.2">
      <c r="A17" t="str">
        <f t="shared" si="3"/>
        <v>1997</v>
      </c>
      <c r="C17" s="36">
        <v>16536186</v>
      </c>
      <c r="D17" s="36">
        <v>25783455</v>
      </c>
      <c r="E17" s="29">
        <f t="shared" si="0"/>
        <v>42319641</v>
      </c>
      <c r="F17" s="36">
        <v>42462844</v>
      </c>
      <c r="G17" s="82">
        <f t="shared" si="1"/>
        <v>-143203</v>
      </c>
      <c r="H17" s="82"/>
      <c r="I17" s="82"/>
      <c r="K17" s="2"/>
      <c r="L17" s="19">
        <f t="shared" si="2"/>
        <v>-3.3724307302638512E-3</v>
      </c>
    </row>
    <row r="18" spans="1:12" x14ac:dyDescent="0.2">
      <c r="A18" t="str">
        <f t="shared" si="3"/>
        <v>1998</v>
      </c>
      <c r="C18" s="36">
        <v>16558977</v>
      </c>
      <c r="D18" s="36">
        <v>27833800</v>
      </c>
      <c r="E18" s="29">
        <f t="shared" si="0"/>
        <v>44392777</v>
      </c>
      <c r="F18" s="36">
        <v>44410914</v>
      </c>
      <c r="G18" s="82">
        <f t="shared" si="1"/>
        <v>-18137</v>
      </c>
      <c r="H18" s="82"/>
      <c r="I18" s="82"/>
      <c r="K18" s="2"/>
      <c r="L18" s="19">
        <f t="shared" si="2"/>
        <v>-4.0839060416545357E-4</v>
      </c>
    </row>
    <row r="19" spans="1:12" x14ac:dyDescent="0.2">
      <c r="A19" t="str">
        <f t="shared" si="3"/>
        <v>1999</v>
      </c>
      <c r="C19" s="36">
        <v>17394142.049999997</v>
      </c>
      <c r="D19" s="36">
        <v>27168992</v>
      </c>
      <c r="E19" s="29">
        <f t="shared" si="0"/>
        <v>44563134.049999997</v>
      </c>
      <c r="F19" s="36">
        <v>44581218</v>
      </c>
      <c r="G19" s="82">
        <f t="shared" si="1"/>
        <v>-18083.95000000298</v>
      </c>
      <c r="H19" s="82"/>
      <c r="I19" s="82"/>
      <c r="K19" s="2"/>
      <c r="L19" s="19">
        <f t="shared" si="2"/>
        <v>-4.0564055472874203E-4</v>
      </c>
    </row>
    <row r="20" spans="1:12" x14ac:dyDescent="0.2">
      <c r="A20" t="str">
        <f t="shared" si="3"/>
        <v>2000</v>
      </c>
      <c r="C20" s="36">
        <v>17332561</v>
      </c>
      <c r="D20" s="36">
        <v>29762296</v>
      </c>
      <c r="E20" s="29">
        <f t="shared" si="0"/>
        <v>47094857</v>
      </c>
      <c r="F20" s="36">
        <v>48012426</v>
      </c>
      <c r="G20" s="82">
        <f t="shared" si="1"/>
        <v>-917569</v>
      </c>
      <c r="H20" s="82"/>
      <c r="I20" s="82"/>
      <c r="K20" s="2"/>
      <c r="L20" s="19">
        <f t="shared" si="2"/>
        <v>-1.911107345419288E-2</v>
      </c>
    </row>
    <row r="21" spans="1:12" x14ac:dyDescent="0.2">
      <c r="A21" t="str">
        <f t="shared" si="3"/>
        <v>2001</v>
      </c>
      <c r="C21" s="36">
        <v>17544251</v>
      </c>
      <c r="D21" s="36">
        <v>36220622.519999996</v>
      </c>
      <c r="E21" s="29">
        <f t="shared" si="0"/>
        <v>53764873.519999996</v>
      </c>
      <c r="F21" s="36">
        <v>54630727</v>
      </c>
      <c r="G21" s="82">
        <f t="shared" si="1"/>
        <v>-865853.48000000417</v>
      </c>
      <c r="H21" s="82"/>
      <c r="I21" s="82"/>
      <c r="K21" s="2"/>
      <c r="L21" s="19">
        <f t="shared" si="2"/>
        <v>-1.584920295862078E-2</v>
      </c>
    </row>
    <row r="22" spans="1:12" x14ac:dyDescent="0.2">
      <c r="A22" t="str">
        <f t="shared" si="3"/>
        <v>2002</v>
      </c>
      <c r="C22" s="245">
        <v>24013525</v>
      </c>
      <c r="D22" s="245">
        <v>48856422.25</v>
      </c>
      <c r="E22" s="29">
        <f>SUM(C22:D22)</f>
        <v>72869947.25</v>
      </c>
      <c r="F22" s="36">
        <v>72967831</v>
      </c>
      <c r="G22" s="82">
        <f t="shared" si="1"/>
        <v>-97883.75</v>
      </c>
      <c r="H22" s="82"/>
      <c r="I22" s="82"/>
      <c r="K22" s="2"/>
      <c r="L22" s="19">
        <f t="shared" si="2"/>
        <v>-1.3414644324565438E-3</v>
      </c>
    </row>
    <row r="23" spans="1:12" x14ac:dyDescent="0.2">
      <c r="A23" t="str">
        <f t="shared" si="3"/>
        <v>2003</v>
      </c>
      <c r="C23" s="98">
        <f>'[2]TWIA 5'!C236</f>
        <v>29220514</v>
      </c>
      <c r="D23" s="98">
        <f>'[2]TWIA 5'!D236</f>
        <v>58573191</v>
      </c>
      <c r="E23" s="29">
        <f>SUM(C23:D23)</f>
        <v>87793705</v>
      </c>
      <c r="F23" s="36">
        <v>87987279</v>
      </c>
      <c r="G23" s="82">
        <f t="shared" si="1"/>
        <v>-193574</v>
      </c>
      <c r="H23" s="82"/>
      <c r="I23" s="82"/>
      <c r="K23" s="2"/>
      <c r="L23" s="19">
        <f t="shared" si="2"/>
        <v>-2.2000225737177303E-3</v>
      </c>
    </row>
    <row r="24" spans="1:12" x14ac:dyDescent="0.2">
      <c r="A24" t="str">
        <f t="shared" si="3"/>
        <v>2004</v>
      </c>
      <c r="C24" s="98">
        <f>'[2]TWIA 5'!C237</f>
        <v>31009323</v>
      </c>
      <c r="D24" s="98">
        <f>'[2]TWIA 5'!D237</f>
        <v>71292702</v>
      </c>
      <c r="E24" s="29">
        <f>SUM(C24:D24)</f>
        <v>102302025</v>
      </c>
      <c r="F24" s="36">
        <v>102384351</v>
      </c>
      <c r="G24" s="82">
        <f t="shared" si="1"/>
        <v>-82326</v>
      </c>
      <c r="H24" s="82"/>
      <c r="I24" s="82"/>
      <c r="K24" s="2"/>
      <c r="L24" s="19">
        <f t="shared" si="2"/>
        <v>-8.0408772625808805E-4</v>
      </c>
    </row>
    <row r="25" spans="1:12" x14ac:dyDescent="0.2">
      <c r="A25" t="str">
        <f t="shared" si="3"/>
        <v>2005</v>
      </c>
      <c r="C25" s="98">
        <f>'[2]TWIA 5'!C238</f>
        <v>35740174</v>
      </c>
      <c r="D25" s="98">
        <f>'[2]TWIA 5'!D238</f>
        <v>78094458</v>
      </c>
      <c r="E25" s="29">
        <f t="shared" si="0"/>
        <v>113834632</v>
      </c>
      <c r="F25" s="36">
        <v>113927701</v>
      </c>
      <c r="G25" s="82">
        <f t="shared" si="1"/>
        <v>-93069</v>
      </c>
      <c r="H25" s="82"/>
      <c r="I25" s="82"/>
      <c r="K25" s="2"/>
      <c r="L25" s="19">
        <f t="shared" si="2"/>
        <v>-8.169128243885129E-4</v>
      </c>
    </row>
    <row r="26" spans="1:12" x14ac:dyDescent="0.2">
      <c r="A26" t="str">
        <f t="shared" si="3"/>
        <v>2006</v>
      </c>
      <c r="C26" s="98">
        <f>'[2]TWIA 5'!C239</f>
        <v>76847840</v>
      </c>
      <c r="D26" s="98">
        <f>'[2]TWIA 5'!D239</f>
        <v>119658576</v>
      </c>
      <c r="E26" s="29">
        <f>SUM(C26:D26)</f>
        <v>196506416</v>
      </c>
      <c r="F26" s="36">
        <v>196833235</v>
      </c>
      <c r="G26" s="82">
        <f t="shared" si="1"/>
        <v>-326819</v>
      </c>
      <c r="H26" s="82"/>
      <c r="I26" s="82"/>
      <c r="K26" s="2"/>
      <c r="L26" s="19">
        <f t="shared" si="2"/>
        <v>-1.6603852494727325E-3</v>
      </c>
    </row>
    <row r="27" spans="1:12" x14ac:dyDescent="0.2">
      <c r="A27" t="str">
        <f t="shared" si="3"/>
        <v>2007</v>
      </c>
      <c r="C27" s="98">
        <f>'[2]TWIA 5'!C240</f>
        <v>110951718</v>
      </c>
      <c r="D27" s="98">
        <f>'[2]TWIA 5'!D240</f>
        <v>203561196</v>
      </c>
      <c r="E27" s="29">
        <f t="shared" si="0"/>
        <v>314512914</v>
      </c>
      <c r="F27" s="44">
        <v>315139307</v>
      </c>
      <c r="G27" s="82">
        <f t="shared" si="1"/>
        <v>-626393</v>
      </c>
      <c r="H27" s="82"/>
      <c r="I27" s="82"/>
      <c r="K27" s="2"/>
      <c r="L27" s="19">
        <f t="shared" si="2"/>
        <v>-1.9876701702590213E-3</v>
      </c>
    </row>
    <row r="28" spans="1:12" x14ac:dyDescent="0.2">
      <c r="A28" t="str">
        <f t="shared" si="3"/>
        <v>2008</v>
      </c>
      <c r="B28" s="48"/>
      <c r="C28" s="98">
        <f>'[2]TWIA 5'!C241</f>
        <v>98036118.420000017</v>
      </c>
      <c r="D28" s="98">
        <f>'[2]TWIA 5'!D241</f>
        <v>232925989.76999998</v>
      </c>
      <c r="E28" s="29">
        <f t="shared" si="0"/>
        <v>330962108.19</v>
      </c>
      <c r="F28" s="44">
        <v>331057645</v>
      </c>
      <c r="G28" s="82">
        <f t="shared" si="1"/>
        <v>-95536.810000002384</v>
      </c>
      <c r="H28" s="82"/>
      <c r="I28" s="181"/>
      <c r="K28" s="2"/>
      <c r="L28" s="19">
        <f t="shared" si="2"/>
        <v>-2.8858058843499109E-4</v>
      </c>
    </row>
    <row r="29" spans="1:12" s="58" customFormat="1" x14ac:dyDescent="0.2">
      <c r="A29" t="str">
        <f t="shared" si="3"/>
        <v>2009</v>
      </c>
      <c r="B29" s="42"/>
      <c r="C29" s="98">
        <f>'[2]TWIA 5'!C242</f>
        <v>111269572.63</v>
      </c>
      <c r="D29" s="98">
        <f>'[2]TWIA 5'!D242</f>
        <v>269535059.02999997</v>
      </c>
      <c r="E29" s="29">
        <f t="shared" si="0"/>
        <v>380804631.65999997</v>
      </c>
      <c r="F29" s="44">
        <v>382342402</v>
      </c>
      <c r="G29" s="82">
        <f t="shared" si="1"/>
        <v>-1537770.3400000334</v>
      </c>
      <c r="H29" s="82"/>
      <c r="I29" s="42"/>
      <c r="K29" s="2"/>
      <c r="L29" s="19">
        <f t="shared" si="2"/>
        <v>-4.021971750860197E-3</v>
      </c>
    </row>
    <row r="30" spans="1:12" x14ac:dyDescent="0.2">
      <c r="A30" t="str">
        <f t="shared" si="3"/>
        <v>2010</v>
      </c>
      <c r="C30" s="98">
        <f>'[2]TWIA 5'!C243</f>
        <v>102174679.52999991</v>
      </c>
      <c r="D30" s="98">
        <f>'[2]TWIA 5'!D243</f>
        <v>278116922.00999999</v>
      </c>
      <c r="E30" s="29">
        <f t="shared" si="0"/>
        <v>380291601.5399999</v>
      </c>
      <c r="F30" s="44">
        <v>385549582</v>
      </c>
      <c r="G30" s="82">
        <f t="shared" si="1"/>
        <v>-5257980.4600000978</v>
      </c>
      <c r="H30" s="82"/>
      <c r="K30" s="2"/>
      <c r="L30" s="19">
        <f t="shared" si="2"/>
        <v>-1.3637624589617887E-2</v>
      </c>
    </row>
    <row r="31" spans="1:12" x14ac:dyDescent="0.2">
      <c r="A31" t="str">
        <f t="shared" si="3"/>
        <v>2011</v>
      </c>
      <c r="C31" s="98">
        <f>'[2]TWIA 5'!C244</f>
        <v>100017021</v>
      </c>
      <c r="D31" s="98">
        <f>'[2]TWIA 5'!D244</f>
        <v>307494236.20000005</v>
      </c>
      <c r="E31" s="29">
        <f t="shared" ref="E31:E38" si="4">SUM(C31:D31)</f>
        <v>407511257.20000005</v>
      </c>
      <c r="F31" s="44">
        <v>403748164</v>
      </c>
      <c r="G31" s="82">
        <f t="shared" si="1"/>
        <v>3763093.2000000477</v>
      </c>
      <c r="H31" s="82"/>
      <c r="K31" s="2"/>
      <c r="L31" s="19">
        <f t="shared" si="2"/>
        <v>9.3203970582019721E-3</v>
      </c>
    </row>
    <row r="32" spans="1:12" x14ac:dyDescent="0.2">
      <c r="A32" t="str">
        <f t="shared" si="3"/>
        <v>2012</v>
      </c>
      <c r="C32" s="98">
        <f>'[2]TWIA 5'!C245</f>
        <v>110524396.51999998</v>
      </c>
      <c r="D32" s="98">
        <f>'[2]TWIA 5'!D245</f>
        <v>335795725.19999981</v>
      </c>
      <c r="E32" s="29">
        <f t="shared" si="4"/>
        <v>446320121.71999979</v>
      </c>
      <c r="F32" s="44">
        <v>443479701</v>
      </c>
      <c r="G32" s="82">
        <f t="shared" si="1"/>
        <v>2840420.7199997902</v>
      </c>
      <c r="H32" s="82"/>
      <c r="I32" s="181"/>
      <c r="K32" s="2"/>
      <c r="L32" s="19">
        <f t="shared" si="2"/>
        <v>6.4048494521732127E-3</v>
      </c>
    </row>
    <row r="33" spans="1:12" x14ac:dyDescent="0.2">
      <c r="A33" t="str">
        <f t="shared" si="3"/>
        <v>2013</v>
      </c>
      <c r="B33" s="48"/>
      <c r="C33" s="98">
        <f>'[2]TWIA 5'!C246</f>
        <v>112904624</v>
      </c>
      <c r="D33" s="98">
        <f>'[2]TWIA 5'!D246</f>
        <v>360838080.7099998</v>
      </c>
      <c r="E33" s="180">
        <f t="shared" si="4"/>
        <v>473742704.7099998</v>
      </c>
      <c r="F33" s="44">
        <v>472739474</v>
      </c>
      <c r="G33" s="82">
        <f t="shared" si="1"/>
        <v>1003230.7099997997</v>
      </c>
      <c r="H33" s="82"/>
      <c r="K33" s="2"/>
      <c r="L33" s="19">
        <f t="shared" si="2"/>
        <v>2.1221640357449814E-3</v>
      </c>
    </row>
    <row r="34" spans="1:12" x14ac:dyDescent="0.2">
      <c r="A34" t="str">
        <f t="shared" si="3"/>
        <v>2014</v>
      </c>
      <c r="B34" s="48"/>
      <c r="C34" s="98">
        <f>'[2]TWIA 5'!C247</f>
        <v>104642688</v>
      </c>
      <c r="D34" s="98">
        <f>'[2]TWIA 5'!D247</f>
        <v>389333918.13999987</v>
      </c>
      <c r="E34" s="180">
        <f t="shared" si="4"/>
        <v>493976606.13999987</v>
      </c>
      <c r="F34" s="44">
        <v>494036010</v>
      </c>
      <c r="G34" s="82">
        <f t="shared" si="1"/>
        <v>-59403.860000133514</v>
      </c>
      <c r="H34" s="82"/>
      <c r="K34" s="2"/>
      <c r="L34" s="19">
        <f t="shared" si="2"/>
        <v>-1.2024196373890541E-4</v>
      </c>
    </row>
    <row r="35" spans="1:12" x14ac:dyDescent="0.2">
      <c r="A35" s="47" t="str">
        <f>TEXT(A34+1,"#")</f>
        <v>2015</v>
      </c>
      <c r="B35" s="48"/>
      <c r="C35" s="98">
        <f>'[2]TWIA 5'!C248</f>
        <v>98715934</v>
      </c>
      <c r="D35" s="98">
        <f>'[2]TWIA 5'!D248</f>
        <v>407969846.0800004</v>
      </c>
      <c r="E35" s="180">
        <f t="shared" si="4"/>
        <v>506685780.0800004</v>
      </c>
      <c r="F35" s="44">
        <v>503824316</v>
      </c>
      <c r="G35" s="82">
        <f t="shared" si="1"/>
        <v>2861464.0800004005</v>
      </c>
      <c r="H35" s="82"/>
      <c r="K35" s="2"/>
      <c r="L35" s="19">
        <f t="shared" si="2"/>
        <v>5.6794878475067501E-3</v>
      </c>
    </row>
    <row r="36" spans="1:12" x14ac:dyDescent="0.2">
      <c r="A36" s="47" t="str">
        <f>TEXT(A35+1,"#")</f>
        <v>2016</v>
      </c>
      <c r="B36" s="48"/>
      <c r="C36" s="98">
        <f>'[2]TWIA 5'!C249</f>
        <v>88278690</v>
      </c>
      <c r="D36" s="98">
        <f>'[2]TWIA 5'!D249</f>
        <v>399074847</v>
      </c>
      <c r="E36" s="180">
        <f t="shared" si="4"/>
        <v>487353537</v>
      </c>
      <c r="F36" s="44">
        <v>487353537</v>
      </c>
      <c r="G36" s="181">
        <f t="shared" si="1"/>
        <v>0</v>
      </c>
      <c r="H36" s="82"/>
      <c r="K36" s="2"/>
      <c r="L36" s="19">
        <f>G36/F36</f>
        <v>0</v>
      </c>
    </row>
    <row r="37" spans="1:12" x14ac:dyDescent="0.2">
      <c r="A37" s="48">
        <v>2017</v>
      </c>
      <c r="B37" s="48"/>
      <c r="C37" s="90">
        <f>'[2]TWIA 5'!C250</f>
        <v>70749081</v>
      </c>
      <c r="D37" s="90">
        <f>'[2]TWIA 5'!D250</f>
        <v>352368052</v>
      </c>
      <c r="E37" s="180">
        <f t="shared" si="4"/>
        <v>423117133</v>
      </c>
      <c r="F37" s="44">
        <v>423074138</v>
      </c>
      <c r="G37" s="181">
        <f t="shared" si="1"/>
        <v>42995</v>
      </c>
      <c r="H37" s="82"/>
      <c r="K37" s="2"/>
      <c r="L37" s="19">
        <f t="shared" ref="L37:L38" si="5">G37/F37</f>
        <v>1.0162521444409348E-4</v>
      </c>
    </row>
    <row r="38" spans="1:12" x14ac:dyDescent="0.2">
      <c r="A38" s="25">
        <v>2018</v>
      </c>
      <c r="B38" s="9"/>
      <c r="C38" s="89">
        <f>'[2]TWIA 5'!C251</f>
        <v>65696833</v>
      </c>
      <c r="D38" s="89">
        <f>'[2]TWIA 5'!D251</f>
        <v>331676957</v>
      </c>
      <c r="E38" s="30">
        <f t="shared" si="4"/>
        <v>397373790</v>
      </c>
      <c r="F38" s="400">
        <v>395551679</v>
      </c>
      <c r="G38" s="83">
        <f t="shared" si="1"/>
        <v>1822111</v>
      </c>
      <c r="K38" s="2"/>
      <c r="L38" s="19">
        <f t="shared" si="5"/>
        <v>4.6065055383066643E-3</v>
      </c>
    </row>
    <row r="39" spans="1:12" x14ac:dyDescent="0.2">
      <c r="C39" s="18"/>
      <c r="D39" s="12"/>
      <c r="E39" s="56"/>
      <c r="F39" s="56"/>
      <c r="G39" s="56"/>
      <c r="H39" s="179"/>
      <c r="I39" s="179"/>
      <c r="K39" s="2"/>
    </row>
    <row r="40" spans="1:12" x14ac:dyDescent="0.2">
      <c r="A40" t="s">
        <v>8</v>
      </c>
      <c r="C40" s="69">
        <f>SUM(C14:C38)</f>
        <v>1495338091.1499999</v>
      </c>
      <c r="D40" s="69">
        <f>SUM(D14:D38)</f>
        <v>4451457065.9099998</v>
      </c>
      <c r="E40" s="69">
        <f>SUM(E14:E38)</f>
        <v>5946795157.0599995</v>
      </c>
      <c r="F40" s="69">
        <f>SUM(F14:F38)</f>
        <v>5945382844</v>
      </c>
      <c r="G40" s="69">
        <f>SUM(G14:G38)</f>
        <v>1412313.059999764</v>
      </c>
      <c r="H40" s="82"/>
      <c r="I40" s="82"/>
      <c r="K40" s="2"/>
    </row>
    <row r="41" spans="1:12" ht="12" thickBot="1" x14ac:dyDescent="0.25">
      <c r="A41" s="6"/>
      <c r="B41" s="6"/>
      <c r="C41" s="6"/>
      <c r="D41" s="6"/>
      <c r="E41" s="6"/>
      <c r="F41" s="6"/>
      <c r="G41" s="6"/>
      <c r="H41" s="47"/>
      <c r="I41" s="47"/>
      <c r="K41" s="2"/>
    </row>
    <row r="42" spans="1:12" ht="12" thickTop="1" x14ac:dyDescent="0.2">
      <c r="K42" s="2"/>
      <c r="L42" t="s">
        <v>240</v>
      </c>
    </row>
    <row r="43" spans="1:12" x14ac:dyDescent="0.2">
      <c r="A43" t="s">
        <v>19</v>
      </c>
      <c r="F43" s="42"/>
      <c r="K43" s="2"/>
      <c r="L43" s="103">
        <v>43465</v>
      </c>
    </row>
    <row r="44" spans="1:12" x14ac:dyDescent="0.2">
      <c r="B44" s="21" t="str">
        <f>C12&amp;", "&amp;D12&amp;" Provided by TWIA, as of "&amp;TEXT($L$43,"m/d/yyyy")</f>
        <v>(2), (3) Provided by TWIA, as of 12/31/2018</v>
      </c>
      <c r="K44" s="2"/>
    </row>
    <row r="45" spans="1:12" x14ac:dyDescent="0.2">
      <c r="B45" s="21" t="str">
        <f>E12&amp;" = "&amp;C12&amp;" + "&amp;D12</f>
        <v>(4) = (2) + (3)</v>
      </c>
      <c r="K45" s="2"/>
    </row>
    <row r="46" spans="1:12" x14ac:dyDescent="0.2">
      <c r="B46" s="21" t="str">
        <f>F12&amp;" Based on TWIA Annual Statements"</f>
        <v>(5) Based on TWIA Annual Statements</v>
      </c>
      <c r="C46" s="58"/>
      <c r="E46" s="58"/>
      <c r="F46" s="58"/>
      <c r="G46" s="58"/>
      <c r="K46" s="2"/>
    </row>
    <row r="47" spans="1:12" x14ac:dyDescent="0.2">
      <c r="B47" s="21" t="str">
        <f>G12&amp;" = "&amp;E12&amp;" - "&amp;F12</f>
        <v>(6) = (4) - (5)</v>
      </c>
      <c r="K47" s="2"/>
    </row>
    <row r="48" spans="1:12" x14ac:dyDescent="0.2">
      <c r="B48" s="21"/>
      <c r="K48" s="2"/>
    </row>
    <row r="49" spans="1:11" x14ac:dyDescent="0.2">
      <c r="K49" s="2"/>
    </row>
    <row r="50" spans="1:11" x14ac:dyDescent="0.2">
      <c r="K50" s="2"/>
    </row>
    <row r="51" spans="1:11" x14ac:dyDescent="0.2">
      <c r="K51" s="2"/>
    </row>
    <row r="52" spans="1:11" x14ac:dyDescent="0.2">
      <c r="K52" s="2"/>
    </row>
    <row r="53" spans="1:11" x14ac:dyDescent="0.2">
      <c r="K53" s="2"/>
    </row>
    <row r="54" spans="1:11" s="58" customFormat="1" x14ac:dyDescent="0.2">
      <c r="D54"/>
      <c r="K54" s="2"/>
    </row>
    <row r="55" spans="1:11" s="58" customFormat="1" x14ac:dyDescent="0.2">
      <c r="C55" s="21"/>
      <c r="D55"/>
      <c r="K55" s="2"/>
    </row>
    <row r="56" spans="1:11" s="58" customFormat="1" x14ac:dyDescent="0.2">
      <c r="D56"/>
      <c r="K56" s="2"/>
    </row>
    <row r="57" spans="1:11" s="58" customFormat="1" x14ac:dyDescent="0.2">
      <c r="A57" s="42"/>
      <c r="B57" s="42"/>
      <c r="C57" s="42"/>
      <c r="D57"/>
      <c r="E57" s="42"/>
      <c r="F57" s="42"/>
      <c r="G57" s="42"/>
      <c r="H57" s="42"/>
      <c r="I57" s="42"/>
      <c r="K57" s="2"/>
    </row>
    <row r="58" spans="1:11" s="58" customFormat="1" x14ac:dyDescent="0.2">
      <c r="D58"/>
      <c r="K58" s="2"/>
    </row>
    <row r="59" spans="1:11" s="58" customFormat="1" x14ac:dyDescent="0.2">
      <c r="A59" s="68"/>
      <c r="C59" s="36"/>
      <c r="D59"/>
      <c r="E59" s="36"/>
      <c r="F59" s="36"/>
      <c r="G59" s="31"/>
      <c r="H59" s="31"/>
      <c r="I59" s="31"/>
      <c r="K59" s="2"/>
    </row>
    <row r="60" spans="1:11" s="58" customFormat="1" x14ac:dyDescent="0.2">
      <c r="A60" s="68"/>
      <c r="C60" s="28"/>
      <c r="D60"/>
      <c r="E60" s="28"/>
      <c r="F60" s="28"/>
      <c r="G60" s="28"/>
      <c r="H60" s="28"/>
      <c r="I60" s="28"/>
      <c r="K60" s="2"/>
    </row>
    <row r="61" spans="1:11" x14ac:dyDescent="0.2">
      <c r="B61" s="24"/>
      <c r="C61" s="59"/>
      <c r="E61" s="59"/>
      <c r="F61" s="59"/>
      <c r="G61" s="22"/>
      <c r="K61" s="2"/>
    </row>
    <row r="62" spans="1:11" x14ac:dyDescent="0.2">
      <c r="B62" s="24"/>
      <c r="C62" s="59"/>
      <c r="E62" s="59"/>
      <c r="F62" s="59"/>
      <c r="G62" s="22"/>
      <c r="K62" s="2"/>
    </row>
    <row r="63" spans="1:11" x14ac:dyDescent="0.2">
      <c r="B63" s="24"/>
      <c r="C63" s="59"/>
      <c r="E63" s="59"/>
      <c r="F63" s="59"/>
      <c r="G63" s="22"/>
      <c r="K63" s="2"/>
    </row>
    <row r="64" spans="1:11" x14ac:dyDescent="0.2">
      <c r="B64" s="24"/>
      <c r="C64" s="59"/>
      <c r="E64" s="59"/>
      <c r="F64" s="59"/>
      <c r="G64" s="22"/>
      <c r="K64" s="2"/>
    </row>
    <row r="65" spans="1:11" x14ac:dyDescent="0.2">
      <c r="B65" s="24"/>
      <c r="C65" s="59"/>
      <c r="E65" s="59"/>
      <c r="F65" s="59"/>
      <c r="G65" s="22"/>
      <c r="K65" s="2"/>
    </row>
    <row r="66" spans="1:11" x14ac:dyDescent="0.2">
      <c r="B66" s="24"/>
      <c r="C66" s="59"/>
      <c r="E66" s="59"/>
      <c r="F66" s="59"/>
      <c r="G66" s="22"/>
      <c r="K66" s="2"/>
    </row>
    <row r="67" spans="1:11" x14ac:dyDescent="0.2">
      <c r="B67" s="24"/>
      <c r="C67" s="59"/>
      <c r="E67" s="59"/>
      <c r="F67" s="59"/>
      <c r="G67" s="22"/>
      <c r="K67" s="2"/>
    </row>
    <row r="68" spans="1:11" x14ac:dyDescent="0.2">
      <c r="B68" s="24"/>
      <c r="C68" s="59"/>
      <c r="E68" s="59"/>
      <c r="F68" s="59"/>
      <c r="G68" s="22"/>
      <c r="K68" s="2"/>
    </row>
    <row r="69" spans="1:11" x14ac:dyDescent="0.2">
      <c r="B69" s="24"/>
      <c r="C69" s="59"/>
      <c r="E69" s="59"/>
      <c r="F69" s="59"/>
      <c r="G69" s="22"/>
      <c r="K69" s="2"/>
    </row>
    <row r="70" spans="1:11" ht="12" thickBot="1" x14ac:dyDescent="0.25">
      <c r="B70" s="24"/>
      <c r="C70" s="59"/>
      <c r="E70" s="59"/>
      <c r="F70" s="59"/>
      <c r="G70" s="22"/>
      <c r="K70" s="2"/>
    </row>
    <row r="71" spans="1:11" ht="12" thickBot="1" x14ac:dyDescent="0.25">
      <c r="A71" s="4"/>
      <c r="B71" s="5"/>
      <c r="C71" s="5"/>
      <c r="D71" s="5"/>
      <c r="E71" s="5"/>
      <c r="F71" s="5"/>
      <c r="G71" s="5"/>
      <c r="H71" s="5"/>
      <c r="I71" s="5"/>
      <c r="J71" s="5"/>
      <c r="K71" s="3"/>
    </row>
  </sheetData>
  <phoneticPr fontId="0" type="noConversion"/>
  <pageMargins left="0.5" right="0.5" top="0.5" bottom="0.5" header="0.5" footer="0.5"/>
  <pageSetup orientation="portrait" blackAndWhite="1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L69"/>
  <sheetViews>
    <sheetView showGridLines="0" view="pageBreakPreview" zoomScale="60" zoomScaleNormal="100" workbookViewId="0">
      <selection activeCell="J1" sqref="J1"/>
    </sheetView>
  </sheetViews>
  <sheetFormatPr defaultColWidth="11.33203125" defaultRowHeight="11.25" x14ac:dyDescent="0.2"/>
  <cols>
    <col min="1" max="1" width="5.1640625" bestFit="1" customWidth="1"/>
    <col min="2" max="2" width="11.33203125" customWidth="1"/>
    <col min="3" max="6" width="13" customWidth="1"/>
    <col min="7" max="7" width="15.6640625" customWidth="1"/>
    <col min="8" max="8" width="16.33203125" customWidth="1"/>
    <col min="9" max="9" width="11.33203125" customWidth="1"/>
    <col min="10" max="10" width="9.5" customWidth="1"/>
  </cols>
  <sheetData>
    <row r="1" spans="1:12" x14ac:dyDescent="0.2">
      <c r="A1" s="8" t="str">
        <f>'1'!$A$1</f>
        <v>Texas Windstorm Insurance Association</v>
      </c>
      <c r="B1" s="12"/>
      <c r="J1" s="7" t="s">
        <v>21</v>
      </c>
      <c r="K1" s="1"/>
    </row>
    <row r="2" spans="1:12" x14ac:dyDescent="0.2">
      <c r="A2" s="8" t="str">
        <f>'1'!$A$2</f>
        <v>Commercial Property - Wind &amp; Hail</v>
      </c>
      <c r="B2" s="12"/>
      <c r="J2" s="7" t="s">
        <v>22</v>
      </c>
      <c r="K2" s="2"/>
    </row>
    <row r="3" spans="1:12" x14ac:dyDescent="0.2">
      <c r="A3" s="8" t="str">
        <f>'1'!$A$3</f>
        <v>Rate Level Review</v>
      </c>
      <c r="B3" s="12"/>
      <c r="J3" s="7"/>
      <c r="K3" s="2"/>
    </row>
    <row r="4" spans="1:12" x14ac:dyDescent="0.2">
      <c r="A4" t="s">
        <v>20</v>
      </c>
      <c r="B4" s="12"/>
      <c r="K4" s="2"/>
    </row>
    <row r="5" spans="1:12" x14ac:dyDescent="0.2">
      <c r="A5" s="58"/>
      <c r="B5" s="21"/>
      <c r="C5" s="58"/>
      <c r="D5" s="58"/>
      <c r="E5" s="58"/>
      <c r="K5" s="2"/>
    </row>
    <row r="6" spans="1:12" x14ac:dyDescent="0.2">
      <c r="K6" s="2"/>
    </row>
    <row r="7" spans="1:12" ht="12" thickBot="1" x14ac:dyDescent="0.25">
      <c r="A7" s="6"/>
      <c r="B7" s="6"/>
      <c r="C7" s="6"/>
      <c r="D7" s="6"/>
      <c r="E7" s="6"/>
      <c r="F7" s="6"/>
      <c r="G7" s="6"/>
      <c r="H7" s="6"/>
      <c r="I7" s="47"/>
      <c r="K7" s="2"/>
      <c r="L7" t="s">
        <v>241</v>
      </c>
    </row>
    <row r="8" spans="1:12" ht="12" thickTop="1" x14ac:dyDescent="0.2">
      <c r="K8" s="2"/>
      <c r="L8" s="103">
        <v>43465</v>
      </c>
    </row>
    <row r="9" spans="1:12" x14ac:dyDescent="0.2">
      <c r="C9" s="21" t="s">
        <v>29</v>
      </c>
      <c r="E9" t="s">
        <v>32</v>
      </c>
      <c r="F9" t="s">
        <v>34</v>
      </c>
      <c r="G9" t="s">
        <v>38</v>
      </c>
      <c r="H9" t="s">
        <v>12</v>
      </c>
      <c r="K9" s="2"/>
      <c r="L9" s="26"/>
    </row>
    <row r="10" spans="1:12" x14ac:dyDescent="0.2">
      <c r="A10" t="s">
        <v>42</v>
      </c>
      <c r="C10" t="s">
        <v>7</v>
      </c>
      <c r="D10" t="s">
        <v>30</v>
      </c>
      <c r="E10" t="s">
        <v>33</v>
      </c>
      <c r="F10" t="s">
        <v>7</v>
      </c>
      <c r="G10" t="s">
        <v>36</v>
      </c>
      <c r="H10" t="s">
        <v>7</v>
      </c>
      <c r="K10" s="2"/>
    </row>
    <row r="11" spans="1:12" x14ac:dyDescent="0.2">
      <c r="A11" s="9" t="s">
        <v>43</v>
      </c>
      <c r="B11" s="9"/>
      <c r="C11" s="9" t="s">
        <v>35</v>
      </c>
      <c r="D11" s="9" t="s">
        <v>31</v>
      </c>
      <c r="E11" s="9" t="s">
        <v>31</v>
      </c>
      <c r="F11" s="9" t="s">
        <v>10</v>
      </c>
      <c r="G11" s="9" t="s">
        <v>109</v>
      </c>
      <c r="H11" s="9" t="s">
        <v>25</v>
      </c>
      <c r="I11" s="47"/>
      <c r="K11" s="2"/>
    </row>
    <row r="12" spans="1:12" x14ac:dyDescent="0.2">
      <c r="A12" s="13" t="str">
        <f>TEXT(COLUMN(),"(#)")</f>
        <v>(1)</v>
      </c>
      <c r="B12" s="13"/>
      <c r="C12" s="11" t="str">
        <f t="shared" ref="C12:H12" si="0">TEXT(COLUMN()-1,"(#)")</f>
        <v>(2)</v>
      </c>
      <c r="D12" s="11" t="str">
        <f t="shared" si="0"/>
        <v>(3)</v>
      </c>
      <c r="E12" s="11" t="str">
        <f t="shared" si="0"/>
        <v>(4)</v>
      </c>
      <c r="F12" s="11" t="str">
        <f t="shared" si="0"/>
        <v>(5)</v>
      </c>
      <c r="G12" s="11" t="str">
        <f t="shared" si="0"/>
        <v>(6)</v>
      </c>
      <c r="H12" s="11" t="str">
        <f t="shared" si="0"/>
        <v>(7)</v>
      </c>
      <c r="I12" s="11"/>
      <c r="K12" s="2"/>
    </row>
    <row r="13" spans="1:12" x14ac:dyDescent="0.2">
      <c r="K13" s="2"/>
    </row>
    <row r="14" spans="1:12" x14ac:dyDescent="0.2">
      <c r="A14" t="str">
        <f t="shared" ref="A14:A22" si="1">TEXT(A15-1,"#")</f>
        <v>2009</v>
      </c>
      <c r="B14" s="24"/>
      <c r="C14" s="31">
        <f>'2.2'!E14</f>
        <v>2553456</v>
      </c>
      <c r="D14" s="34">
        <f>'4.1'!$E$60</f>
        <v>0.26800000000000002</v>
      </c>
      <c r="E14" s="33">
        <f>'2.4'!G36</f>
        <v>1.1839999999999999</v>
      </c>
      <c r="F14" s="18">
        <f>ROUND(C14*(1+D14)*E14,0)</f>
        <v>3833534</v>
      </c>
      <c r="G14" s="31">
        <f>'10.1'!F29</f>
        <v>159214792</v>
      </c>
      <c r="H14" s="19">
        <f>ROUND(F14/G14,3)</f>
        <v>2.4E-2</v>
      </c>
      <c r="I14" s="19"/>
      <c r="K14" s="2"/>
    </row>
    <row r="15" spans="1:12" x14ac:dyDescent="0.2">
      <c r="A15" t="str">
        <f t="shared" si="1"/>
        <v>2010</v>
      </c>
      <c r="B15" s="24"/>
      <c r="C15" s="31">
        <f>'2.2'!E15</f>
        <v>7478289</v>
      </c>
      <c r="D15" s="34">
        <f t="shared" ref="D15:D23" si="2">D$14</f>
        <v>0.26800000000000002</v>
      </c>
      <c r="E15" s="33">
        <f>'2.4'!G37</f>
        <v>1.2190000000000001</v>
      </c>
      <c r="F15" s="18">
        <f t="shared" ref="F15:F23" si="3">ROUND(C15*(1+D15)*E15,0)</f>
        <v>11559131</v>
      </c>
      <c r="G15" s="31">
        <f>'10.1'!F30</f>
        <v>151048188</v>
      </c>
      <c r="H15" s="19">
        <f t="shared" ref="H15:H23" si="4">ROUND(F15/G15,3)</f>
        <v>7.6999999999999999E-2</v>
      </c>
      <c r="I15" s="19"/>
      <c r="K15" s="2"/>
    </row>
    <row r="16" spans="1:12" x14ac:dyDescent="0.2">
      <c r="A16" t="str">
        <f t="shared" si="1"/>
        <v>2011</v>
      </c>
      <c r="B16" s="24"/>
      <c r="C16" s="31">
        <f>'2.2'!E16</f>
        <v>19217587</v>
      </c>
      <c r="D16" s="34">
        <f t="shared" si="2"/>
        <v>0.26800000000000002</v>
      </c>
      <c r="E16" s="33">
        <f>'2.4'!G38</f>
        <v>1.1879999999999999</v>
      </c>
      <c r="F16" s="18">
        <f t="shared" si="3"/>
        <v>28949066</v>
      </c>
      <c r="G16" s="31">
        <f>'10.1'!F31</f>
        <v>138891291</v>
      </c>
      <c r="H16" s="19">
        <f t="shared" si="4"/>
        <v>0.20799999999999999</v>
      </c>
      <c r="I16" s="19"/>
      <c r="K16" s="2"/>
    </row>
    <row r="17" spans="1:11" x14ac:dyDescent="0.2">
      <c r="A17" t="str">
        <f t="shared" si="1"/>
        <v>2012</v>
      </c>
      <c r="B17" s="24"/>
      <c r="C17" s="31">
        <f>'2.2'!E17</f>
        <v>14459642</v>
      </c>
      <c r="D17" s="34">
        <f t="shared" si="2"/>
        <v>0.26800000000000002</v>
      </c>
      <c r="E17" s="33">
        <f>'2.4'!G39</f>
        <v>1.173</v>
      </c>
      <c r="F17" s="18">
        <f t="shared" si="3"/>
        <v>21506751</v>
      </c>
      <c r="G17" s="31">
        <f>'10.1'!F32</f>
        <v>137525969</v>
      </c>
      <c r="H17" s="19">
        <f t="shared" si="4"/>
        <v>0.156</v>
      </c>
      <c r="I17" s="19"/>
      <c r="K17" s="2"/>
    </row>
    <row r="18" spans="1:11" x14ac:dyDescent="0.2">
      <c r="A18" t="str">
        <f t="shared" si="1"/>
        <v>2013</v>
      </c>
      <c r="B18" s="24"/>
      <c r="C18" s="31">
        <f>'2.2'!E18</f>
        <v>7395437</v>
      </c>
      <c r="D18" s="34">
        <f t="shared" si="2"/>
        <v>0.26800000000000002</v>
      </c>
      <c r="E18" s="33">
        <f>'2.4'!G40</f>
        <v>1.1950000000000001</v>
      </c>
      <c r="F18" s="18">
        <f t="shared" si="3"/>
        <v>11206010</v>
      </c>
      <c r="G18" s="31">
        <f>'10.1'!F33</f>
        <v>139160577</v>
      </c>
      <c r="H18" s="19">
        <f t="shared" si="4"/>
        <v>8.1000000000000003E-2</v>
      </c>
      <c r="I18" s="19"/>
      <c r="K18" s="2"/>
    </row>
    <row r="19" spans="1:11" x14ac:dyDescent="0.2">
      <c r="A19" t="str">
        <f t="shared" si="1"/>
        <v>2014</v>
      </c>
      <c r="B19" s="24"/>
      <c r="C19" s="31">
        <f>'2.2'!E19</f>
        <v>1079519</v>
      </c>
      <c r="D19" s="34">
        <f t="shared" si="2"/>
        <v>0.26800000000000002</v>
      </c>
      <c r="E19" s="33">
        <f>'2.4'!G41</f>
        <v>1.167</v>
      </c>
      <c r="F19" s="18">
        <f t="shared" si="3"/>
        <v>1597425</v>
      </c>
      <c r="G19" s="31">
        <f>'10.1'!F34</f>
        <v>129234128</v>
      </c>
      <c r="H19" s="19">
        <f t="shared" si="4"/>
        <v>1.2E-2</v>
      </c>
      <c r="I19" s="19"/>
      <c r="K19" s="2"/>
    </row>
    <row r="20" spans="1:11" x14ac:dyDescent="0.2">
      <c r="A20" t="str">
        <f t="shared" si="1"/>
        <v>2015</v>
      </c>
      <c r="B20" s="24"/>
      <c r="C20" s="31">
        <f>'2.2'!E20</f>
        <v>19128970</v>
      </c>
      <c r="D20" s="34">
        <f t="shared" si="2"/>
        <v>0.26800000000000002</v>
      </c>
      <c r="E20" s="33">
        <f>'2.4'!G42</f>
        <v>1.1439999999999999</v>
      </c>
      <c r="F20" s="18">
        <f t="shared" si="3"/>
        <v>27748331</v>
      </c>
      <c r="G20" s="31">
        <f>'10.1'!F35</f>
        <v>114980596</v>
      </c>
      <c r="H20" s="19">
        <f t="shared" si="4"/>
        <v>0.24099999999999999</v>
      </c>
      <c r="I20" s="19"/>
      <c r="K20" s="2"/>
    </row>
    <row r="21" spans="1:11" x14ac:dyDescent="0.2">
      <c r="A21" t="str">
        <f t="shared" si="1"/>
        <v>2016</v>
      </c>
      <c r="B21" s="24"/>
      <c r="C21" s="31">
        <f>'2.2'!E21</f>
        <v>2726125</v>
      </c>
      <c r="D21" s="34">
        <f t="shared" si="2"/>
        <v>0.26800000000000002</v>
      </c>
      <c r="E21" s="33">
        <f>'2.4'!G43</f>
        <v>1.141</v>
      </c>
      <c r="F21" s="18">
        <f t="shared" si="3"/>
        <v>3944125</v>
      </c>
      <c r="G21" s="31">
        <f>'10.1'!F36</f>
        <v>100738792</v>
      </c>
      <c r="H21" s="19">
        <f t="shared" si="4"/>
        <v>3.9E-2</v>
      </c>
      <c r="I21" s="19"/>
      <c r="K21" s="2"/>
    </row>
    <row r="22" spans="1:11" x14ac:dyDescent="0.2">
      <c r="A22" t="str">
        <f t="shared" si="1"/>
        <v>2017</v>
      </c>
      <c r="B22" s="24"/>
      <c r="C22" s="31">
        <f>'2.2'!E22</f>
        <v>2249852</v>
      </c>
      <c r="D22" s="34">
        <f t="shared" si="2"/>
        <v>0.26800000000000002</v>
      </c>
      <c r="E22" s="33">
        <f>'2.4'!G44</f>
        <v>1.113</v>
      </c>
      <c r="F22" s="18">
        <f t="shared" si="3"/>
        <v>3175180</v>
      </c>
      <c r="G22" s="31">
        <f>'10.1'!F37</f>
        <v>83489580</v>
      </c>
      <c r="H22" s="19">
        <f t="shared" si="4"/>
        <v>3.7999999999999999E-2</v>
      </c>
      <c r="I22" s="19"/>
      <c r="K22" s="2"/>
    </row>
    <row r="23" spans="1:11" x14ac:dyDescent="0.2">
      <c r="A23" t="str">
        <f>TEXT(YEAR($L$8),"#")</f>
        <v>2018</v>
      </c>
      <c r="B23" s="24"/>
      <c r="C23" s="31">
        <f>'2.2'!E23</f>
        <v>226519</v>
      </c>
      <c r="D23" s="34">
        <f t="shared" si="2"/>
        <v>0.26800000000000002</v>
      </c>
      <c r="E23" s="33">
        <f>'2.4'!G45</f>
        <v>1.0669999999999999</v>
      </c>
      <c r="F23" s="18">
        <f t="shared" si="3"/>
        <v>306470</v>
      </c>
      <c r="G23" s="31">
        <f>'10.1'!F38</f>
        <v>69991684</v>
      </c>
      <c r="H23" s="19">
        <f t="shared" si="4"/>
        <v>4.0000000000000001E-3</v>
      </c>
      <c r="I23" s="19"/>
      <c r="K23" s="2"/>
    </row>
    <row r="24" spans="1:11" x14ac:dyDescent="0.2">
      <c r="A24" s="9"/>
      <c r="B24" s="25"/>
      <c r="C24" s="32"/>
      <c r="D24" s="35"/>
      <c r="E24" s="70"/>
      <c r="F24" s="27"/>
      <c r="G24" s="27"/>
      <c r="H24" s="20"/>
      <c r="K24" s="2"/>
    </row>
    <row r="25" spans="1:11" x14ac:dyDescent="0.2">
      <c r="I25" s="19"/>
      <c r="K25" s="2"/>
    </row>
    <row r="26" spans="1:11" x14ac:dyDescent="0.2">
      <c r="A26" t="s">
        <v>8</v>
      </c>
      <c r="C26" s="18">
        <f>SUM(C14:C24)</f>
        <v>76515396</v>
      </c>
      <c r="F26" s="18">
        <f>SUM(F14:F24)</f>
        <v>113826023</v>
      </c>
      <c r="G26" s="18">
        <f>SUM(G14:G24)</f>
        <v>1224275597</v>
      </c>
      <c r="H26" s="28">
        <f>ROUND(F26/G26,3)</f>
        <v>9.2999999999999999E-2</v>
      </c>
      <c r="I26" s="182"/>
      <c r="K26" s="2"/>
    </row>
    <row r="27" spans="1:11" ht="12" thickBot="1" x14ac:dyDescent="0.25">
      <c r="A27" s="6"/>
      <c r="B27" s="6"/>
      <c r="C27" s="6"/>
      <c r="D27" s="6"/>
      <c r="E27" s="6"/>
      <c r="F27" s="6"/>
      <c r="G27" s="6"/>
      <c r="H27" s="6"/>
      <c r="K27" s="2"/>
    </row>
    <row r="28" spans="1:11" ht="12" thickTop="1" x14ac:dyDescent="0.2">
      <c r="K28" s="2"/>
    </row>
    <row r="29" spans="1:11" x14ac:dyDescent="0.2">
      <c r="A29" t="s">
        <v>19</v>
      </c>
      <c r="K29" s="2"/>
    </row>
    <row r="30" spans="1:11" x14ac:dyDescent="0.2">
      <c r="B30" s="21" t="str">
        <f>C12&amp;" "&amp;'2.2'!$K$1&amp;", "&amp;'2.2'!$K$2</f>
        <v>(2) Exhibit 2, Sheet 2</v>
      </c>
      <c r="K30" s="2"/>
    </row>
    <row r="31" spans="1:11" x14ac:dyDescent="0.2">
      <c r="B31" s="21" t="str">
        <f>D12&amp;" "&amp;'4.1'!$J$1&amp;", "&amp;'4.1'!$J$2</f>
        <v>(3) Exhibit 4, Sheet 1</v>
      </c>
      <c r="K31" s="2"/>
    </row>
    <row r="32" spans="1:11" x14ac:dyDescent="0.2">
      <c r="B32" s="21" t="str">
        <f>E12&amp;" = "&amp;'2.4'!$L$1&amp;", "&amp;'2.4'!$L$2</f>
        <v>(4) = Exhibit 2, Sheet 4</v>
      </c>
      <c r="K32" s="2"/>
    </row>
    <row r="33" spans="2:11" x14ac:dyDescent="0.2">
      <c r="B33" s="21" t="str">
        <f>F12&amp;" = "&amp;C12&amp;" * [1 + "&amp;D12&amp;"] * "&amp;E12</f>
        <v>(5) = (2) * [1 + (3)] * (4)</v>
      </c>
      <c r="K33" s="2"/>
    </row>
    <row r="34" spans="2:11" x14ac:dyDescent="0.2">
      <c r="B34" s="21" t="str">
        <f>G12&amp;" "&amp;'10.1'!$J$1&amp;", "&amp;'10.1'!$J$2</f>
        <v>(6) Exhibit 10, Sheet 1</v>
      </c>
      <c r="K34" s="2"/>
    </row>
    <row r="35" spans="2:11" x14ac:dyDescent="0.2">
      <c r="B35" s="21" t="str">
        <f>H12&amp;" = "&amp;F12&amp;" / "&amp;G12</f>
        <v>(7) = (5) / (6)</v>
      </c>
      <c r="K35" s="2"/>
    </row>
    <row r="36" spans="2:11" x14ac:dyDescent="0.2">
      <c r="B36" s="24"/>
      <c r="K36" s="2"/>
    </row>
    <row r="37" spans="2:11" x14ac:dyDescent="0.2">
      <c r="B37" s="24"/>
      <c r="K37" s="2"/>
    </row>
    <row r="38" spans="2:11" x14ac:dyDescent="0.2">
      <c r="K38" s="2"/>
    </row>
    <row r="39" spans="2:11" x14ac:dyDescent="0.2">
      <c r="K39" s="2"/>
    </row>
    <row r="40" spans="2:11" x14ac:dyDescent="0.2">
      <c r="K40" s="2"/>
    </row>
    <row r="41" spans="2:11" x14ac:dyDescent="0.2">
      <c r="K41" s="2"/>
    </row>
    <row r="42" spans="2:11" x14ac:dyDescent="0.2">
      <c r="K42" s="2"/>
    </row>
    <row r="43" spans="2:11" x14ac:dyDescent="0.2">
      <c r="K43" s="2"/>
    </row>
    <row r="44" spans="2:11" x14ac:dyDescent="0.2">
      <c r="K44" s="2"/>
    </row>
    <row r="45" spans="2:11" x14ac:dyDescent="0.2">
      <c r="K45" s="2"/>
    </row>
    <row r="46" spans="2:11" x14ac:dyDescent="0.2">
      <c r="K46" s="2"/>
    </row>
    <row r="47" spans="2:11" x14ac:dyDescent="0.2">
      <c r="K47" s="2"/>
    </row>
    <row r="48" spans="2:11" x14ac:dyDescent="0.2">
      <c r="K48" s="2"/>
    </row>
    <row r="49" spans="11:11" x14ac:dyDescent="0.2">
      <c r="K49" s="2"/>
    </row>
    <row r="50" spans="11:11" x14ac:dyDescent="0.2">
      <c r="K50" s="2"/>
    </row>
    <row r="51" spans="11:11" x14ac:dyDescent="0.2">
      <c r="K51" s="2"/>
    </row>
    <row r="52" spans="11:11" x14ac:dyDescent="0.2">
      <c r="K52" s="2"/>
    </row>
    <row r="53" spans="11:11" x14ac:dyDescent="0.2">
      <c r="K53" s="2"/>
    </row>
    <row r="54" spans="11:11" x14ac:dyDescent="0.2">
      <c r="K54" s="2"/>
    </row>
    <row r="55" spans="11:11" x14ac:dyDescent="0.2">
      <c r="K55" s="2"/>
    </row>
    <row r="56" spans="11:11" x14ac:dyDescent="0.2">
      <c r="K56" s="2"/>
    </row>
    <row r="57" spans="11:11" x14ac:dyDescent="0.2">
      <c r="K57" s="2"/>
    </row>
    <row r="58" spans="11:11" x14ac:dyDescent="0.2">
      <c r="K58" s="2"/>
    </row>
    <row r="59" spans="11:11" x14ac:dyDescent="0.2">
      <c r="K59" s="2"/>
    </row>
    <row r="60" spans="11:11" x14ac:dyDescent="0.2">
      <c r="K60" s="2"/>
    </row>
    <row r="61" spans="11:11" x14ac:dyDescent="0.2">
      <c r="K61" s="2"/>
    </row>
    <row r="62" spans="11:11" x14ac:dyDescent="0.2">
      <c r="K62" s="2"/>
    </row>
    <row r="63" spans="11:11" x14ac:dyDescent="0.2">
      <c r="K63" s="2"/>
    </row>
    <row r="64" spans="11:11" x14ac:dyDescent="0.2">
      <c r="K64" s="2"/>
    </row>
    <row r="65" spans="1:11" x14ac:dyDescent="0.2">
      <c r="K65" s="2"/>
    </row>
    <row r="66" spans="1:11" x14ac:dyDescent="0.2">
      <c r="K66" s="2"/>
    </row>
    <row r="67" spans="1:11" x14ac:dyDescent="0.2">
      <c r="K67" s="2"/>
    </row>
    <row r="68" spans="1:11" ht="12" thickBot="1" x14ac:dyDescent="0.25">
      <c r="K68" s="2"/>
    </row>
    <row r="69" spans="1:11" ht="12" thickBot="1" x14ac:dyDescent="0.25">
      <c r="A69" s="4"/>
      <c r="B69" s="5"/>
      <c r="C69" s="5"/>
      <c r="D69" s="5"/>
      <c r="E69" s="5"/>
      <c r="F69" s="5"/>
      <c r="G69" s="5"/>
      <c r="H69" s="5"/>
      <c r="I69" s="5"/>
      <c r="J69" s="5"/>
      <c r="K69" s="3"/>
    </row>
  </sheetData>
  <phoneticPr fontId="0" type="noConversion"/>
  <pageMargins left="0.5" right="0.5" top="0.5" bottom="0.5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M69"/>
  <sheetViews>
    <sheetView showGridLines="0" view="pageBreakPreview" zoomScale="60" zoomScaleNormal="100" workbookViewId="0">
      <selection activeCell="A4" sqref="A4"/>
    </sheetView>
  </sheetViews>
  <sheetFormatPr defaultColWidth="11.33203125" defaultRowHeight="11.25" x14ac:dyDescent="0.2"/>
  <cols>
    <col min="1" max="1" width="5.1640625" bestFit="1" customWidth="1"/>
    <col min="2" max="2" width="11.33203125" customWidth="1"/>
    <col min="3" max="5" width="15.33203125" customWidth="1"/>
    <col min="6" max="10" width="11.33203125" customWidth="1"/>
    <col min="11" max="11" width="2.33203125" customWidth="1"/>
  </cols>
  <sheetData>
    <row r="1" spans="1:13" x14ac:dyDescent="0.2">
      <c r="A1" s="8" t="str">
        <f>'1'!$A$1</f>
        <v>Texas Windstorm Insurance Association</v>
      </c>
      <c r="B1" s="12"/>
      <c r="K1" s="7" t="s">
        <v>21</v>
      </c>
      <c r="L1" s="1"/>
    </row>
    <row r="2" spans="1:13" x14ac:dyDescent="0.2">
      <c r="A2" s="8" t="str">
        <f>'1'!$A$2</f>
        <v>Commercial Property - Wind &amp; Hail</v>
      </c>
      <c r="B2" s="12"/>
      <c r="K2" s="7" t="s">
        <v>66</v>
      </c>
      <c r="L2" s="2"/>
    </row>
    <row r="3" spans="1:13" x14ac:dyDescent="0.2">
      <c r="A3" s="8" t="str">
        <f>'1'!$A$3</f>
        <v>Rate Level Review</v>
      </c>
      <c r="B3" s="12"/>
      <c r="L3" s="2"/>
    </row>
    <row r="4" spans="1:13" x14ac:dyDescent="0.2">
      <c r="A4" t="s">
        <v>41</v>
      </c>
      <c r="B4" s="12"/>
      <c r="L4" s="2"/>
    </row>
    <row r="5" spans="1:13" x14ac:dyDescent="0.2">
      <c r="A5" s="58"/>
      <c r="B5" s="21"/>
      <c r="C5" s="58"/>
      <c r="D5" s="58"/>
      <c r="E5" s="58"/>
      <c r="L5" s="2"/>
    </row>
    <row r="6" spans="1:13" x14ac:dyDescent="0.2">
      <c r="L6" s="2"/>
    </row>
    <row r="7" spans="1:13" ht="12" thickBot="1" x14ac:dyDescent="0.25">
      <c r="A7" s="6"/>
      <c r="B7" s="6"/>
      <c r="C7" s="6"/>
      <c r="D7" s="6"/>
      <c r="E7" s="6"/>
      <c r="L7" s="2"/>
    </row>
    <row r="8" spans="1:13" ht="12" thickTop="1" x14ac:dyDescent="0.2">
      <c r="L8" s="2"/>
    </row>
    <row r="9" spans="1:13" x14ac:dyDescent="0.2">
      <c r="C9" s="21" t="s">
        <v>229</v>
      </c>
      <c r="E9" t="s">
        <v>29</v>
      </c>
      <c r="L9" s="2"/>
      <c r="M9" s="26"/>
    </row>
    <row r="10" spans="1:13" x14ac:dyDescent="0.2">
      <c r="A10" t="s">
        <v>42</v>
      </c>
      <c r="C10" t="s">
        <v>7</v>
      </c>
      <c r="D10" t="s">
        <v>45</v>
      </c>
      <c r="E10" t="s">
        <v>7</v>
      </c>
      <c r="L10" s="2"/>
    </row>
    <row r="11" spans="1:13" x14ac:dyDescent="0.2">
      <c r="A11" s="9" t="s">
        <v>43</v>
      </c>
      <c r="B11" s="9"/>
      <c r="C11" s="9" t="s">
        <v>44</v>
      </c>
      <c r="D11" s="9" t="s">
        <v>31</v>
      </c>
      <c r="E11" s="9" t="s">
        <v>35</v>
      </c>
      <c r="L11" s="2"/>
    </row>
    <row r="12" spans="1:13" x14ac:dyDescent="0.2">
      <c r="A12" s="13" t="str">
        <f>TEXT(COLUMN(),"(#)")</f>
        <v>(1)</v>
      </c>
      <c r="B12" s="13"/>
      <c r="C12" s="11" t="str">
        <f>TEXT(COLUMN()-1,"(#)")</f>
        <v>(2)</v>
      </c>
      <c r="D12" s="11" t="str">
        <f>TEXT(COLUMN()-1,"(#)")</f>
        <v>(3)</v>
      </c>
      <c r="E12" s="7" t="str">
        <f>TEXT(COLUMN()-1,"(#)")</f>
        <v>(4)</v>
      </c>
      <c r="L12" s="2"/>
    </row>
    <row r="13" spans="1:13" x14ac:dyDescent="0.2">
      <c r="D13" s="11"/>
      <c r="L13" s="2"/>
    </row>
    <row r="14" spans="1:13" x14ac:dyDescent="0.2">
      <c r="A14" t="str">
        <f t="shared" ref="A14:A22" si="0">TEXT(A15-1,"#")</f>
        <v>2009</v>
      </c>
      <c r="B14" s="24"/>
      <c r="C14" s="31">
        <f>'2.3'!C14</f>
        <v>2553456</v>
      </c>
      <c r="D14" s="415">
        <v>1</v>
      </c>
      <c r="E14" s="29">
        <f>ROUND(C14*D14,0)</f>
        <v>2553456</v>
      </c>
      <c r="L14" s="2"/>
      <c r="M14" s="33"/>
    </row>
    <row r="15" spans="1:13" x14ac:dyDescent="0.2">
      <c r="A15" t="str">
        <f t="shared" si="0"/>
        <v>2010</v>
      </c>
      <c r="B15" s="24"/>
      <c r="C15" s="31">
        <f>'2.3'!C15</f>
        <v>7478289</v>
      </c>
      <c r="D15" s="416">
        <f>D$14</f>
        <v>1</v>
      </c>
      <c r="E15" s="29">
        <f t="shared" ref="E15:E22" si="1">ROUND(C15*D15,0)</f>
        <v>7478289</v>
      </c>
      <c r="L15" s="2"/>
      <c r="M15" s="33"/>
    </row>
    <row r="16" spans="1:13" x14ac:dyDescent="0.2">
      <c r="A16" t="str">
        <f t="shared" si="0"/>
        <v>2011</v>
      </c>
      <c r="B16" s="24"/>
      <c r="C16" s="31">
        <f>'2.3'!C16</f>
        <v>19217587</v>
      </c>
      <c r="D16" s="416">
        <f>D$14</f>
        <v>1</v>
      </c>
      <c r="E16" s="29">
        <f t="shared" si="1"/>
        <v>19217587</v>
      </c>
      <c r="L16" s="2"/>
      <c r="M16" s="33"/>
    </row>
    <row r="17" spans="1:13" x14ac:dyDescent="0.2">
      <c r="A17" t="str">
        <f t="shared" si="0"/>
        <v>2012</v>
      </c>
      <c r="B17" s="24"/>
      <c r="C17" s="31">
        <f>'2.3'!C17</f>
        <v>14459642</v>
      </c>
      <c r="D17" s="416">
        <f>D$14</f>
        <v>1</v>
      </c>
      <c r="E17" s="29">
        <f t="shared" si="1"/>
        <v>14459642</v>
      </c>
      <c r="L17" s="2"/>
      <c r="M17" s="33"/>
    </row>
    <row r="18" spans="1:13" x14ac:dyDescent="0.2">
      <c r="A18" t="str">
        <f t="shared" si="0"/>
        <v>2013</v>
      </c>
      <c r="B18" s="24"/>
      <c r="C18" s="31">
        <f>'2.3'!C18</f>
        <v>7351329</v>
      </c>
      <c r="D18" s="416">
        <f>INDEX('3.1'!$C$48:$K$48,11-MATCH(A18,A$14:A$23))</f>
        <v>1.006</v>
      </c>
      <c r="E18" s="29">
        <f t="shared" si="1"/>
        <v>7395437</v>
      </c>
      <c r="L18" s="2"/>
      <c r="M18" s="33"/>
    </row>
    <row r="19" spans="1:13" x14ac:dyDescent="0.2">
      <c r="A19" t="str">
        <f t="shared" si="0"/>
        <v>2014</v>
      </c>
      <c r="B19" s="24"/>
      <c r="C19" s="31">
        <f>'2.3'!C19</f>
        <v>1056281</v>
      </c>
      <c r="D19" s="416">
        <f>INDEX('3.1'!$C$48:$K$48,11-MATCH(A19,A$14:A$23))</f>
        <v>1.022</v>
      </c>
      <c r="E19" s="29">
        <f t="shared" si="1"/>
        <v>1079519</v>
      </c>
      <c r="L19" s="2"/>
      <c r="M19" s="33"/>
    </row>
    <row r="20" spans="1:13" x14ac:dyDescent="0.2">
      <c r="A20" t="str">
        <f t="shared" si="0"/>
        <v>2015</v>
      </c>
      <c r="B20" s="24"/>
      <c r="C20" s="31">
        <f>'2.3'!C20</f>
        <v>18644220</v>
      </c>
      <c r="D20" s="416">
        <f>INDEX('3.1'!$C$48:$K$48,11-MATCH(A20,A$14:A$23))</f>
        <v>1.026</v>
      </c>
      <c r="E20" s="29">
        <f t="shared" si="1"/>
        <v>19128970</v>
      </c>
      <c r="L20" s="2"/>
      <c r="M20" s="33"/>
    </row>
    <row r="21" spans="1:13" x14ac:dyDescent="0.2">
      <c r="A21" t="str">
        <f t="shared" si="0"/>
        <v>2016</v>
      </c>
      <c r="B21" s="24"/>
      <c r="C21" s="31">
        <f>'2.3'!C21</f>
        <v>2584005</v>
      </c>
      <c r="D21" s="416">
        <f>INDEX('3.1'!$C$48:$K$48,11-MATCH(A21,A$14:A$23))</f>
        <v>1.0549999999999999</v>
      </c>
      <c r="E21" s="29">
        <f t="shared" si="1"/>
        <v>2726125</v>
      </c>
      <c r="L21" s="2"/>
      <c r="M21" s="33"/>
    </row>
    <row r="22" spans="1:13" x14ac:dyDescent="0.2">
      <c r="A22" t="str">
        <f t="shared" si="0"/>
        <v>2017</v>
      </c>
      <c r="B22" s="24"/>
      <c r="C22" s="31">
        <f>'2.3'!C22</f>
        <v>1963222</v>
      </c>
      <c r="D22" s="416">
        <f>INDEX('3.1'!$C$48:$K$48,11-MATCH(A22,A$14:A$23))</f>
        <v>1.1459999999999999</v>
      </c>
      <c r="E22" s="29">
        <f t="shared" si="1"/>
        <v>2249852</v>
      </c>
      <c r="L22" s="2"/>
      <c r="M22" s="33"/>
    </row>
    <row r="23" spans="1:13" x14ac:dyDescent="0.2">
      <c r="A23" s="24">
        <v>2018</v>
      </c>
      <c r="B23" s="24"/>
      <c r="C23" s="31">
        <f>'2.3'!C23</f>
        <v>164741</v>
      </c>
      <c r="D23" s="416">
        <f>INDEX('3.1'!$C$48:$K$48,11-MATCH(A23,A$14:A$23))</f>
        <v>1.375</v>
      </c>
      <c r="E23" s="29">
        <f>ROUND(C23*D23,0)</f>
        <v>226519</v>
      </c>
      <c r="L23" s="2"/>
      <c r="M23" s="33"/>
    </row>
    <row r="24" spans="1:13" x14ac:dyDescent="0.2">
      <c r="A24" s="9"/>
      <c r="B24" s="25"/>
      <c r="C24" s="32"/>
      <c r="D24" s="243"/>
      <c r="E24" s="30"/>
      <c r="L24" s="2"/>
    </row>
    <row r="25" spans="1:13" x14ac:dyDescent="0.2">
      <c r="L25" s="2"/>
    </row>
    <row r="26" spans="1:13" x14ac:dyDescent="0.2">
      <c r="A26" t="s">
        <v>8</v>
      </c>
      <c r="C26" s="18">
        <f>SUM(C14:C24)</f>
        <v>75472772</v>
      </c>
      <c r="E26" s="18">
        <f>SUM(E14:E24)</f>
        <v>76515396</v>
      </c>
      <c r="L26" s="2"/>
    </row>
    <row r="27" spans="1:13" ht="12" thickBot="1" x14ac:dyDescent="0.25">
      <c r="A27" s="6"/>
      <c r="B27" s="6"/>
      <c r="C27" s="6"/>
      <c r="D27" s="6"/>
      <c r="E27" s="6"/>
      <c r="L27" s="2"/>
    </row>
    <row r="28" spans="1:13" ht="12" thickTop="1" x14ac:dyDescent="0.2">
      <c r="L28" s="2"/>
    </row>
    <row r="29" spans="1:13" x14ac:dyDescent="0.2">
      <c r="A29" t="s">
        <v>19</v>
      </c>
      <c r="L29" s="2"/>
      <c r="M29" s="49">
        <v>43465</v>
      </c>
    </row>
    <row r="30" spans="1:13" x14ac:dyDescent="0.2">
      <c r="B30" s="21" t="str">
        <f>C12&amp;" "&amp;'2.3'!$K$1&amp;", "&amp;'2.3'!$K$2&amp;", as of "&amp;TEXT(M29,"m/d/yy")</f>
        <v>(2) Exhibit 2, Sheet 3, as of 12/31/18</v>
      </c>
      <c r="L30" s="2"/>
    </row>
    <row r="31" spans="1:13" x14ac:dyDescent="0.2">
      <c r="B31" s="21" t="str">
        <f>D12&amp;" "&amp;'3.1'!$K$1&amp;", "&amp;'3.1'!$K$2</f>
        <v>(3) Exhibit 3, Sheet 1</v>
      </c>
      <c r="L31" s="2"/>
    </row>
    <row r="32" spans="1:13" x14ac:dyDescent="0.2">
      <c r="B32" s="21" t="str">
        <f>E12&amp;" = "&amp;C12&amp;" * "&amp;D12</f>
        <v>(4) = (2) * (3)</v>
      </c>
      <c r="L32" s="2"/>
    </row>
    <row r="33" spans="2:12" x14ac:dyDescent="0.2">
      <c r="B33" s="21"/>
      <c r="L33" s="2"/>
    </row>
    <row r="34" spans="2:12" x14ac:dyDescent="0.2">
      <c r="B34" s="21"/>
      <c r="L34" s="2"/>
    </row>
    <row r="35" spans="2:12" x14ac:dyDescent="0.2">
      <c r="L35" s="2"/>
    </row>
    <row r="36" spans="2:12" x14ac:dyDescent="0.2">
      <c r="B36" s="24"/>
      <c r="L36" s="2"/>
    </row>
    <row r="37" spans="2:12" x14ac:dyDescent="0.2">
      <c r="B37" s="24"/>
      <c r="L37" s="2"/>
    </row>
    <row r="38" spans="2:12" x14ac:dyDescent="0.2">
      <c r="L38" s="2"/>
    </row>
    <row r="39" spans="2:12" x14ac:dyDescent="0.2">
      <c r="L39" s="2"/>
    </row>
    <row r="40" spans="2:12" x14ac:dyDescent="0.2">
      <c r="L40" s="2"/>
    </row>
    <row r="41" spans="2:12" x14ac:dyDescent="0.2">
      <c r="L41" s="2"/>
    </row>
    <row r="42" spans="2:12" x14ac:dyDescent="0.2">
      <c r="L42" s="2"/>
    </row>
    <row r="43" spans="2:12" x14ac:dyDescent="0.2">
      <c r="L43" s="2"/>
    </row>
    <row r="44" spans="2:12" x14ac:dyDescent="0.2">
      <c r="L44" s="2"/>
    </row>
    <row r="45" spans="2:12" x14ac:dyDescent="0.2">
      <c r="L45" s="2"/>
    </row>
    <row r="46" spans="2:12" x14ac:dyDescent="0.2">
      <c r="L46" s="2"/>
    </row>
    <row r="47" spans="2:12" x14ac:dyDescent="0.2">
      <c r="L47" s="2"/>
    </row>
    <row r="48" spans="2:12" x14ac:dyDescent="0.2">
      <c r="L48" s="2"/>
    </row>
    <row r="49" spans="12:12" x14ac:dyDescent="0.2">
      <c r="L49" s="2"/>
    </row>
    <row r="50" spans="12:12" x14ac:dyDescent="0.2">
      <c r="L50" s="2"/>
    </row>
    <row r="51" spans="12:12" x14ac:dyDescent="0.2">
      <c r="L51" s="2"/>
    </row>
    <row r="52" spans="12:12" x14ac:dyDescent="0.2">
      <c r="L52" s="2"/>
    </row>
    <row r="53" spans="12:12" x14ac:dyDescent="0.2">
      <c r="L53" s="2"/>
    </row>
    <row r="54" spans="12:12" x14ac:dyDescent="0.2">
      <c r="L54" s="2"/>
    </row>
    <row r="55" spans="12:12" x14ac:dyDescent="0.2">
      <c r="L55" s="2"/>
    </row>
    <row r="56" spans="12:12" x14ac:dyDescent="0.2">
      <c r="L56" s="2"/>
    </row>
    <row r="57" spans="12:12" x14ac:dyDescent="0.2">
      <c r="L57" s="2"/>
    </row>
    <row r="58" spans="12:12" x14ac:dyDescent="0.2">
      <c r="L58" s="2"/>
    </row>
    <row r="59" spans="12:12" x14ac:dyDescent="0.2">
      <c r="L59" s="2"/>
    </row>
    <row r="60" spans="12:12" x14ac:dyDescent="0.2">
      <c r="L60" s="2"/>
    </row>
    <row r="61" spans="12:12" x14ac:dyDescent="0.2">
      <c r="L61" s="2"/>
    </row>
    <row r="62" spans="12:12" x14ac:dyDescent="0.2">
      <c r="L62" s="2"/>
    </row>
    <row r="63" spans="12:12" x14ac:dyDescent="0.2">
      <c r="L63" s="2"/>
    </row>
    <row r="64" spans="12:12" x14ac:dyDescent="0.2">
      <c r="L64" s="2"/>
    </row>
    <row r="65" spans="1:12" x14ac:dyDescent="0.2">
      <c r="L65" s="2"/>
    </row>
    <row r="66" spans="1:12" x14ac:dyDescent="0.2">
      <c r="L66" s="2"/>
    </row>
    <row r="67" spans="1:12" x14ac:dyDescent="0.2">
      <c r="L67" s="2"/>
    </row>
    <row r="68" spans="1:12" ht="12" thickBot="1" x14ac:dyDescent="0.25">
      <c r="L68" s="2"/>
    </row>
    <row r="69" spans="1:12" ht="12" thickBot="1" x14ac:dyDescent="0.25">
      <c r="A69" s="4"/>
      <c r="B69" s="5"/>
      <c r="C69" s="5"/>
      <c r="D69" s="5"/>
      <c r="E69" s="5"/>
      <c r="F69" s="5"/>
      <c r="G69" s="5"/>
      <c r="H69" s="5"/>
      <c r="I69" s="5"/>
      <c r="J69" s="5"/>
      <c r="K69" s="5"/>
      <c r="L69" s="3"/>
    </row>
  </sheetData>
  <phoneticPr fontId="0" type="noConversion"/>
  <pageMargins left="0.5" right="0.5" top="0.5" bottom="0.5" header="0.5" footer="0.5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N69"/>
  <sheetViews>
    <sheetView showGridLines="0" view="pageBreakPreview" zoomScale="60" zoomScaleNormal="100" workbookViewId="0">
      <selection activeCell="A4" sqref="A4"/>
    </sheetView>
  </sheetViews>
  <sheetFormatPr defaultColWidth="11.33203125" defaultRowHeight="11.25" x14ac:dyDescent="0.2"/>
  <cols>
    <col min="1" max="1" width="2.5" bestFit="1" customWidth="1"/>
    <col min="2" max="2" width="11.33203125" customWidth="1"/>
    <col min="3" max="5" width="15.33203125" customWidth="1"/>
    <col min="6" max="10" width="11.33203125" customWidth="1"/>
    <col min="11" max="11" width="4.6640625" customWidth="1"/>
    <col min="12" max="12" width="11.33203125" customWidth="1"/>
    <col min="13" max="13" width="12.6640625" customWidth="1"/>
  </cols>
  <sheetData>
    <row r="1" spans="1:13" x14ac:dyDescent="0.2">
      <c r="A1" s="8" t="str">
        <f>'1'!$A$1</f>
        <v>Texas Windstorm Insurance Association</v>
      </c>
      <c r="B1" s="12"/>
      <c r="K1" s="7" t="s">
        <v>21</v>
      </c>
      <c r="L1" s="1"/>
    </row>
    <row r="2" spans="1:13" x14ac:dyDescent="0.2">
      <c r="A2" s="8" t="str">
        <f>'1'!$A$2</f>
        <v>Commercial Property - Wind &amp; Hail</v>
      </c>
      <c r="B2" s="12"/>
      <c r="K2" s="7" t="s">
        <v>69</v>
      </c>
      <c r="L2" s="2"/>
    </row>
    <row r="3" spans="1:13" x14ac:dyDescent="0.2">
      <c r="A3" s="8" t="str">
        <f>'1'!$A$3</f>
        <v>Rate Level Review</v>
      </c>
      <c r="B3" s="12"/>
      <c r="L3" s="2"/>
    </row>
    <row r="4" spans="1:13" x14ac:dyDescent="0.2">
      <c r="A4" t="str">
        <f>"Summary of TWIA Historical Paid Loss as of "&amp;TEXT(M26,"m/d/yy")</f>
        <v>Summary of TWIA Historical Paid Loss as of 12/31/18</v>
      </c>
      <c r="B4" s="12"/>
      <c r="L4" s="2"/>
    </row>
    <row r="5" spans="1:13" x14ac:dyDescent="0.2">
      <c r="A5" s="58"/>
      <c r="B5" s="21"/>
      <c r="C5" s="58"/>
      <c r="D5" s="58"/>
      <c r="E5" s="58"/>
      <c r="L5" s="2"/>
    </row>
    <row r="6" spans="1:13" x14ac:dyDescent="0.2">
      <c r="L6" s="2"/>
    </row>
    <row r="7" spans="1:13" ht="12" thickBot="1" x14ac:dyDescent="0.25">
      <c r="A7" s="6"/>
      <c r="B7" s="6"/>
      <c r="C7" s="6"/>
      <c r="D7" s="6"/>
      <c r="E7" s="6"/>
      <c r="L7" s="2"/>
    </row>
    <row r="8" spans="1:13" ht="12" thickTop="1" x14ac:dyDescent="0.2">
      <c r="L8" s="2"/>
    </row>
    <row r="9" spans="1:13" x14ac:dyDescent="0.2">
      <c r="C9" s="23" t="s">
        <v>46</v>
      </c>
      <c r="L9" s="2"/>
      <c r="M9" s="23"/>
    </row>
    <row r="10" spans="1:13" x14ac:dyDescent="0.2">
      <c r="A10" t="s">
        <v>42</v>
      </c>
      <c r="L10" s="2"/>
    </row>
    <row r="11" spans="1:13" x14ac:dyDescent="0.2">
      <c r="A11" s="9" t="s">
        <v>43</v>
      </c>
      <c r="B11" s="9"/>
      <c r="C11" s="9" t="s">
        <v>7</v>
      </c>
      <c r="D11" s="9" t="s">
        <v>5</v>
      </c>
      <c r="E11" s="9" t="s">
        <v>8</v>
      </c>
      <c r="L11" s="2"/>
    </row>
    <row r="12" spans="1:13" x14ac:dyDescent="0.2">
      <c r="A12" s="13" t="str">
        <f>TEXT(COLUMN(),"(#)")</f>
        <v>(1)</v>
      </c>
      <c r="B12" s="13"/>
      <c r="C12" s="11" t="str">
        <f>TEXT(COLUMN()-1,"(#)")</f>
        <v>(2)</v>
      </c>
      <c r="D12" s="11" t="str">
        <f>TEXT(COLUMN()-1,"(#)")</f>
        <v>(3)</v>
      </c>
      <c r="E12" s="11" t="str">
        <f>TEXT(COLUMN()-1,"(#)")</f>
        <v>(4)</v>
      </c>
      <c r="L12" s="2"/>
    </row>
    <row r="13" spans="1:13" x14ac:dyDescent="0.2">
      <c r="L13" s="2"/>
    </row>
    <row r="14" spans="1:13" x14ac:dyDescent="0.2">
      <c r="A14" t="str">
        <f t="shared" ref="A14:A22" si="0">TEXT(A15-1,"#")</f>
        <v>2009</v>
      </c>
      <c r="B14" s="24"/>
      <c r="C14" s="98">
        <f>ROUND('[2]TWIA 3'!H6,0)</f>
        <v>2553456</v>
      </c>
      <c r="D14" s="98">
        <f>ROUND('[2]TWIA 3'!J6,0)</f>
        <v>0</v>
      </c>
      <c r="E14" s="29">
        <f>C14+D14</f>
        <v>2553456</v>
      </c>
      <c r="L14" s="2"/>
    </row>
    <row r="15" spans="1:13" x14ac:dyDescent="0.2">
      <c r="A15" t="str">
        <f t="shared" si="0"/>
        <v>2010</v>
      </c>
      <c r="B15" s="24"/>
      <c r="C15" s="98">
        <f>ROUND('[2]TWIA 3'!H7,0)</f>
        <v>7478289</v>
      </c>
      <c r="D15" s="98">
        <f>ROUND('[2]TWIA 3'!J7,0)</f>
        <v>0</v>
      </c>
      <c r="E15" s="29">
        <f t="shared" ref="E15:E23" si="1">C15+D15</f>
        <v>7478289</v>
      </c>
      <c r="L15" s="2"/>
    </row>
    <row r="16" spans="1:13" x14ac:dyDescent="0.2">
      <c r="A16" t="str">
        <f t="shared" si="0"/>
        <v>2011</v>
      </c>
      <c r="B16" s="24"/>
      <c r="C16" s="98">
        <f>ROUND('[2]TWIA 3'!H8,0)</f>
        <v>19217587</v>
      </c>
      <c r="D16" s="98">
        <f>ROUND('[2]TWIA 3'!J8,0)</f>
        <v>0</v>
      </c>
      <c r="E16" s="29">
        <f t="shared" si="1"/>
        <v>19217587</v>
      </c>
      <c r="L16" s="2"/>
    </row>
    <row r="17" spans="1:14" x14ac:dyDescent="0.2">
      <c r="A17" t="str">
        <f t="shared" si="0"/>
        <v>2012</v>
      </c>
      <c r="B17" s="24"/>
      <c r="C17" s="98">
        <f>ROUND('[2]TWIA 3'!H9,0)</f>
        <v>14459642</v>
      </c>
      <c r="D17" s="98">
        <f>ROUND('[2]TWIA 3'!J9,0)</f>
        <v>0</v>
      </c>
      <c r="E17" s="29">
        <f t="shared" si="1"/>
        <v>14459642</v>
      </c>
      <c r="L17" s="2"/>
    </row>
    <row r="18" spans="1:14" x14ac:dyDescent="0.2">
      <c r="A18" t="str">
        <f t="shared" si="0"/>
        <v>2013</v>
      </c>
      <c r="B18" s="24"/>
      <c r="C18" s="98">
        <f>ROUND('[2]TWIA 3'!H10,0)</f>
        <v>7351329</v>
      </c>
      <c r="D18" s="98">
        <f>ROUND('[2]TWIA 3'!J10,0)</f>
        <v>0</v>
      </c>
      <c r="E18" s="29">
        <f t="shared" si="1"/>
        <v>7351329</v>
      </c>
      <c r="L18" s="2"/>
    </row>
    <row r="19" spans="1:14" x14ac:dyDescent="0.2">
      <c r="A19" t="str">
        <f t="shared" si="0"/>
        <v>2014</v>
      </c>
      <c r="B19" s="24"/>
      <c r="C19" s="98">
        <f>ROUND('[2]TWIA 3'!H11,0)</f>
        <v>1056281</v>
      </c>
      <c r="D19" s="98">
        <f>ROUND('[2]TWIA 3'!J11,0)</f>
        <v>0</v>
      </c>
      <c r="E19" s="29">
        <f t="shared" si="1"/>
        <v>1056281</v>
      </c>
      <c r="L19" s="2"/>
    </row>
    <row r="20" spans="1:14" x14ac:dyDescent="0.2">
      <c r="A20" t="str">
        <f t="shared" si="0"/>
        <v>2015</v>
      </c>
      <c r="B20" s="24"/>
      <c r="C20" s="98">
        <f>ROUND('[2]TWIA 3'!H12,0)</f>
        <v>18644220</v>
      </c>
      <c r="D20" s="98">
        <f>ROUND('[2]TWIA 3'!J12,0)</f>
        <v>0</v>
      </c>
      <c r="E20" s="29">
        <f t="shared" si="1"/>
        <v>18644220</v>
      </c>
      <c r="L20" s="2"/>
    </row>
    <row r="21" spans="1:14" x14ac:dyDescent="0.2">
      <c r="A21" t="str">
        <f t="shared" si="0"/>
        <v>2016</v>
      </c>
      <c r="B21" s="24"/>
      <c r="C21" s="98">
        <f>ROUND('[2]TWIA 3'!H13,0)</f>
        <v>2584005</v>
      </c>
      <c r="D21" s="98">
        <f>ROUND('[2]TWIA 3'!J13,0)</f>
        <v>0</v>
      </c>
      <c r="E21" s="29">
        <f t="shared" si="1"/>
        <v>2584005</v>
      </c>
      <c r="L21" s="2"/>
    </row>
    <row r="22" spans="1:14" x14ac:dyDescent="0.2">
      <c r="A22" t="str">
        <f t="shared" si="0"/>
        <v>2017</v>
      </c>
      <c r="B22" s="24"/>
      <c r="C22" s="98">
        <f>ROUND('[2]TWIA 3'!H14,0)</f>
        <v>1963222</v>
      </c>
      <c r="D22" s="98">
        <f>ROUND('[2]TWIA 3'!J14,0)</f>
        <v>384209207</v>
      </c>
      <c r="E22" s="29">
        <f t="shared" si="1"/>
        <v>386172429</v>
      </c>
      <c r="L22" s="2"/>
    </row>
    <row r="23" spans="1:14" x14ac:dyDescent="0.2">
      <c r="A23" t="str">
        <f>TEXT(YEAR($M$26),"#")</f>
        <v>2018</v>
      </c>
      <c r="B23" s="24"/>
      <c r="C23" s="98">
        <f>ROUND('[2]TWIA 3'!H15,0)</f>
        <v>164741</v>
      </c>
      <c r="D23" s="98">
        <f>ROUND('[2]TWIA 3'!J15,0)</f>
        <v>0</v>
      </c>
      <c r="E23" s="29">
        <f t="shared" si="1"/>
        <v>164741</v>
      </c>
      <c r="L23" s="2"/>
    </row>
    <row r="24" spans="1:14" x14ac:dyDescent="0.2">
      <c r="A24" s="25"/>
      <c r="B24" s="25"/>
      <c r="C24" s="71"/>
      <c r="D24" s="71"/>
      <c r="E24" s="30"/>
      <c r="L24" s="2"/>
    </row>
    <row r="25" spans="1:14" x14ac:dyDescent="0.2">
      <c r="L25" s="2"/>
      <c r="M25" t="s">
        <v>240</v>
      </c>
    </row>
    <row r="26" spans="1:14" x14ac:dyDescent="0.2">
      <c r="A26" t="s">
        <v>8</v>
      </c>
      <c r="C26" s="18">
        <f>SUM(C14:C24)</f>
        <v>75472772</v>
      </c>
      <c r="D26" s="18">
        <f>SUM(D14:D24)</f>
        <v>384209207</v>
      </c>
      <c r="E26" s="18">
        <f>SUM(E14:E24)</f>
        <v>459681979</v>
      </c>
      <c r="L26" s="2"/>
      <c r="M26" s="117">
        <v>43465</v>
      </c>
      <c r="N26" s="100"/>
    </row>
    <row r="27" spans="1:14" ht="12" thickBot="1" x14ac:dyDescent="0.25">
      <c r="A27" s="6"/>
      <c r="B27" s="6"/>
      <c r="C27" s="6"/>
      <c r="D27" s="6"/>
      <c r="E27" s="6"/>
      <c r="L27" s="2"/>
    </row>
    <row r="28" spans="1:14" ht="12" thickTop="1" x14ac:dyDescent="0.2">
      <c r="L28" s="2"/>
    </row>
    <row r="29" spans="1:14" x14ac:dyDescent="0.2">
      <c r="A29" t="s">
        <v>19</v>
      </c>
      <c r="L29" s="2"/>
    </row>
    <row r="30" spans="1:14" x14ac:dyDescent="0.2">
      <c r="B30" s="21" t="str">
        <f>C12&amp;", "&amp;D12&amp;" Provided by TWIA, includes commercial and farm"</f>
        <v>(2), (3) Provided by TWIA, includes commercial and farm</v>
      </c>
      <c r="C30" s="21"/>
      <c r="L30" s="2"/>
    </row>
    <row r="31" spans="1:14" x14ac:dyDescent="0.2">
      <c r="B31" s="21" t="str">
        <f>E12&amp;" = "&amp;C12&amp;" + "&amp;D12</f>
        <v>(4) = (2) + (3)</v>
      </c>
      <c r="L31" s="2"/>
    </row>
    <row r="32" spans="1:14" x14ac:dyDescent="0.2">
      <c r="L32" s="2"/>
    </row>
    <row r="33" spans="2:12" x14ac:dyDescent="0.2">
      <c r="B33" s="21"/>
      <c r="L33" s="2"/>
    </row>
    <row r="34" spans="2:12" x14ac:dyDescent="0.2">
      <c r="B34" s="21"/>
      <c r="L34" s="2"/>
    </row>
    <row r="35" spans="2:12" x14ac:dyDescent="0.2">
      <c r="L35" s="2"/>
    </row>
    <row r="36" spans="2:12" x14ac:dyDescent="0.2">
      <c r="B36" s="24"/>
      <c r="L36" s="2"/>
    </row>
    <row r="37" spans="2:12" x14ac:dyDescent="0.2">
      <c r="B37" s="24"/>
      <c r="L37" s="2"/>
    </row>
    <row r="38" spans="2:12" x14ac:dyDescent="0.2">
      <c r="L38" s="2"/>
    </row>
    <row r="39" spans="2:12" x14ac:dyDescent="0.2">
      <c r="L39" s="2"/>
    </row>
    <row r="40" spans="2:12" x14ac:dyDescent="0.2">
      <c r="L40" s="2"/>
    </row>
    <row r="41" spans="2:12" x14ac:dyDescent="0.2">
      <c r="L41" s="2"/>
    </row>
    <row r="42" spans="2:12" x14ac:dyDescent="0.2">
      <c r="L42" s="2"/>
    </row>
    <row r="43" spans="2:12" x14ac:dyDescent="0.2">
      <c r="L43" s="2"/>
    </row>
    <row r="44" spans="2:12" x14ac:dyDescent="0.2">
      <c r="L44" s="2"/>
    </row>
    <row r="45" spans="2:12" x14ac:dyDescent="0.2">
      <c r="L45" s="2"/>
    </row>
    <row r="46" spans="2:12" x14ac:dyDescent="0.2">
      <c r="L46" s="2"/>
    </row>
    <row r="47" spans="2:12" x14ac:dyDescent="0.2">
      <c r="L47" s="2"/>
    </row>
    <row r="48" spans="2:12" x14ac:dyDescent="0.2">
      <c r="L48" s="2"/>
    </row>
    <row r="49" spans="12:12" x14ac:dyDescent="0.2">
      <c r="L49" s="2"/>
    </row>
    <row r="50" spans="12:12" x14ac:dyDescent="0.2">
      <c r="L50" s="2"/>
    </row>
    <row r="51" spans="12:12" x14ac:dyDescent="0.2">
      <c r="L51" s="2"/>
    </row>
    <row r="52" spans="12:12" x14ac:dyDescent="0.2">
      <c r="L52" s="2"/>
    </row>
    <row r="53" spans="12:12" x14ac:dyDescent="0.2">
      <c r="L53" s="2"/>
    </row>
    <row r="54" spans="12:12" x14ac:dyDescent="0.2">
      <c r="L54" s="2"/>
    </row>
    <row r="55" spans="12:12" x14ac:dyDescent="0.2">
      <c r="L55" s="2"/>
    </row>
    <row r="56" spans="12:12" x14ac:dyDescent="0.2">
      <c r="L56" s="2"/>
    </row>
    <row r="57" spans="12:12" x14ac:dyDescent="0.2">
      <c r="L57" s="2"/>
    </row>
    <row r="58" spans="12:12" x14ac:dyDescent="0.2">
      <c r="L58" s="2"/>
    </row>
    <row r="59" spans="12:12" x14ac:dyDescent="0.2">
      <c r="L59" s="2"/>
    </row>
    <row r="60" spans="12:12" x14ac:dyDescent="0.2">
      <c r="L60" s="2"/>
    </row>
    <row r="61" spans="12:12" x14ac:dyDescent="0.2">
      <c r="L61" s="2"/>
    </row>
    <row r="62" spans="12:12" x14ac:dyDescent="0.2">
      <c r="L62" s="2"/>
    </row>
    <row r="63" spans="12:12" x14ac:dyDescent="0.2">
      <c r="L63" s="2"/>
    </row>
    <row r="64" spans="12:12" x14ac:dyDescent="0.2">
      <c r="L64" s="2"/>
    </row>
    <row r="65" spans="1:12" x14ac:dyDescent="0.2">
      <c r="L65" s="2"/>
    </row>
    <row r="66" spans="1:12" x14ac:dyDescent="0.2">
      <c r="L66" s="2"/>
    </row>
    <row r="67" spans="1:12" x14ac:dyDescent="0.2">
      <c r="L67" s="2"/>
    </row>
    <row r="68" spans="1:12" ht="12" thickBot="1" x14ac:dyDescent="0.25">
      <c r="L68" s="2"/>
    </row>
    <row r="69" spans="1:12" ht="12" thickBot="1" x14ac:dyDescent="0.25">
      <c r="A69" s="4"/>
      <c r="B69" s="5"/>
      <c r="C69" s="5"/>
      <c r="D69" s="5"/>
      <c r="E69" s="5"/>
      <c r="F69" s="5"/>
      <c r="G69" s="5"/>
      <c r="H69" s="5"/>
      <c r="I69" s="5"/>
      <c r="J69" s="5"/>
      <c r="K69" s="5"/>
      <c r="L69" s="3"/>
    </row>
  </sheetData>
  <phoneticPr fontId="0" type="noConversion"/>
  <pageMargins left="0.5" right="0.5" top="0.5" bottom="0.5" header="0.5" footer="0.5"/>
  <pageSetup orientation="portrait" blackAndWhite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66"/>
  <sheetViews>
    <sheetView showGridLines="0" view="pageBreakPreview" zoomScale="60" zoomScaleNormal="100" workbookViewId="0">
      <selection activeCell="L2" sqref="L2"/>
    </sheetView>
  </sheetViews>
  <sheetFormatPr defaultColWidth="11.33203125" defaultRowHeight="11.25" x14ac:dyDescent="0.2"/>
  <cols>
    <col min="1" max="1" width="5.1640625" style="152" bestFit="1" customWidth="1"/>
    <col min="2" max="2" width="10.6640625" style="152" customWidth="1"/>
    <col min="3" max="11" width="11.33203125" style="152" customWidth="1"/>
    <col min="12" max="12" width="3.33203125" style="152" customWidth="1"/>
    <col min="13" max="13" width="11.33203125" style="152" customWidth="1"/>
    <col min="14" max="14" width="11.33203125" customWidth="1"/>
    <col min="15" max="16384" width="11.33203125" style="152"/>
  </cols>
  <sheetData>
    <row r="1" spans="1:14" x14ac:dyDescent="0.2">
      <c r="A1" s="8" t="str">
        <f>'1'!$A$1</f>
        <v>Texas Windstorm Insurance Association</v>
      </c>
      <c r="B1" s="149"/>
      <c r="C1" s="150"/>
      <c r="D1" s="150"/>
      <c r="E1" s="150"/>
      <c r="F1" s="150"/>
      <c r="G1" s="150"/>
      <c r="H1" s="150"/>
      <c r="I1" s="150"/>
      <c r="J1" s="150"/>
      <c r="K1" s="150"/>
      <c r="L1" s="7" t="s">
        <v>21</v>
      </c>
      <c r="M1" s="151"/>
      <c r="N1" s="152"/>
    </row>
    <row r="2" spans="1:14" x14ac:dyDescent="0.2">
      <c r="A2" s="8" t="str">
        <f>'1'!$A$2</f>
        <v>Commercial Property - Wind &amp; Hail</v>
      </c>
      <c r="B2" s="149"/>
      <c r="C2" s="150"/>
      <c r="D2" s="150"/>
      <c r="E2" s="150"/>
      <c r="F2" s="150"/>
      <c r="G2" s="150"/>
      <c r="H2" s="150"/>
      <c r="I2" s="150"/>
      <c r="J2" s="150"/>
      <c r="K2" s="150"/>
      <c r="L2" s="7" t="s">
        <v>72</v>
      </c>
      <c r="M2" s="153"/>
      <c r="N2" s="152"/>
    </row>
    <row r="3" spans="1:14" x14ac:dyDescent="0.2">
      <c r="A3" s="8" t="str">
        <f>'1'!$A$3</f>
        <v>Rate Level Review</v>
      </c>
      <c r="B3" s="149"/>
      <c r="C3" s="150"/>
      <c r="D3" s="150"/>
      <c r="E3" s="150"/>
      <c r="F3" s="150"/>
      <c r="G3" s="150"/>
      <c r="H3" s="150"/>
      <c r="I3" s="150"/>
      <c r="J3" s="150"/>
      <c r="K3" s="150"/>
      <c r="L3" s="7"/>
      <c r="M3" s="153"/>
      <c r="N3" s="152"/>
    </row>
    <row r="4" spans="1:14" x14ac:dyDescent="0.2">
      <c r="A4" s="150" t="s">
        <v>305</v>
      </c>
      <c r="B4" s="149"/>
      <c r="C4" s="150"/>
      <c r="D4" s="150"/>
      <c r="E4" s="150"/>
      <c r="F4" s="150"/>
      <c r="G4" s="150"/>
      <c r="H4" s="150"/>
      <c r="I4" s="150"/>
      <c r="J4" s="150"/>
      <c r="K4" s="150"/>
      <c r="L4" s="150"/>
      <c r="M4" s="153"/>
      <c r="N4" s="152"/>
    </row>
    <row r="5" spans="1:14" x14ac:dyDescent="0.2">
      <c r="A5" s="154"/>
      <c r="B5" s="155"/>
      <c r="C5" s="154"/>
      <c r="D5" s="154"/>
      <c r="E5" s="154"/>
      <c r="F5" s="150"/>
      <c r="G5" s="150"/>
      <c r="H5" s="150"/>
      <c r="I5" s="150"/>
      <c r="J5" s="150"/>
      <c r="K5" s="150"/>
      <c r="L5" s="150"/>
      <c r="M5" s="153"/>
      <c r="N5" s="152"/>
    </row>
    <row r="6" spans="1:14" x14ac:dyDescent="0.2">
      <c r="A6" s="150"/>
      <c r="B6" s="150"/>
      <c r="C6" s="150"/>
      <c r="D6" s="150"/>
      <c r="E6" s="150"/>
      <c r="F6" s="150"/>
      <c r="G6" s="150"/>
      <c r="H6" s="150"/>
      <c r="I6" s="150"/>
      <c r="J6" s="150"/>
      <c r="K6" s="150"/>
      <c r="L6" s="150"/>
      <c r="M6" s="153"/>
      <c r="N6" s="152"/>
    </row>
    <row r="7" spans="1:14" ht="12" thickBot="1" x14ac:dyDescent="0.25">
      <c r="A7" s="156"/>
      <c r="B7" s="156"/>
      <c r="C7" s="156"/>
      <c r="D7" s="156"/>
      <c r="E7" s="156"/>
      <c r="F7" s="156"/>
      <c r="G7" s="156"/>
      <c r="H7" s="156"/>
      <c r="I7" s="156"/>
      <c r="J7" s="150"/>
      <c r="K7" s="150"/>
      <c r="L7" s="150"/>
      <c r="M7" s="153"/>
      <c r="N7" t="s">
        <v>240</v>
      </c>
    </row>
    <row r="8" spans="1:14" ht="12" thickTop="1" x14ac:dyDescent="0.2">
      <c r="A8" s="150"/>
      <c r="B8" s="150"/>
      <c r="C8" s="150" t="s">
        <v>52</v>
      </c>
      <c r="D8" s="150"/>
      <c r="E8" s="150"/>
      <c r="F8" s="150"/>
      <c r="G8" s="150"/>
      <c r="H8" s="150"/>
      <c r="I8" s="150"/>
      <c r="J8" s="150"/>
      <c r="K8" s="150"/>
      <c r="L8" s="150"/>
      <c r="M8" s="153"/>
      <c r="N8" s="117">
        <v>43465</v>
      </c>
    </row>
    <row r="9" spans="1:14" x14ac:dyDescent="0.2">
      <c r="A9" s="150"/>
      <c r="B9" s="150"/>
      <c r="C9" s="158" t="s">
        <v>485</v>
      </c>
      <c r="D9" s="150"/>
      <c r="E9" s="150"/>
      <c r="F9" s="150"/>
      <c r="G9" s="150"/>
      <c r="H9" s="150"/>
      <c r="I9" s="150"/>
      <c r="J9" s="150"/>
      <c r="K9" s="150"/>
      <c r="L9" s="150"/>
      <c r="M9" s="153"/>
    </row>
    <row r="10" spans="1:14" x14ac:dyDescent="0.2">
      <c r="A10" s="150" t="s">
        <v>266</v>
      </c>
      <c r="B10" s="150"/>
      <c r="C10" s="152" t="s">
        <v>516</v>
      </c>
      <c r="D10" s="150"/>
      <c r="E10" s="150"/>
      <c r="F10" s="150"/>
      <c r="G10" s="150"/>
      <c r="H10" s="150"/>
      <c r="I10" s="150"/>
      <c r="J10" s="150"/>
      <c r="K10" s="150"/>
      <c r="L10" s="150"/>
      <c r="M10" s="153"/>
    </row>
    <row r="11" spans="1:14" x14ac:dyDescent="0.2">
      <c r="A11" s="157" t="s">
        <v>268</v>
      </c>
      <c r="B11" s="157"/>
      <c r="C11" s="394" t="s">
        <v>486</v>
      </c>
      <c r="D11" s="158"/>
      <c r="E11" s="158"/>
      <c r="F11" s="158"/>
      <c r="G11" s="158"/>
      <c r="H11" s="150"/>
      <c r="I11" s="150"/>
      <c r="J11" s="150"/>
      <c r="K11" s="150"/>
      <c r="L11" s="150"/>
      <c r="M11" s="153"/>
    </row>
    <row r="12" spans="1:14" x14ac:dyDescent="0.2">
      <c r="A12" s="159" t="s">
        <v>167</v>
      </c>
      <c r="B12" s="160"/>
      <c r="C12" s="161" t="s">
        <v>168</v>
      </c>
      <c r="J12" s="150"/>
      <c r="K12" s="150"/>
      <c r="L12" s="150"/>
      <c r="M12" s="153"/>
    </row>
    <row r="13" spans="1:14" x14ac:dyDescent="0.2">
      <c r="A13" s="150"/>
      <c r="B13" s="150"/>
      <c r="C13" s="150"/>
      <c r="D13" s="163" t="s">
        <v>169</v>
      </c>
      <c r="E13" s="150" t="s">
        <v>306</v>
      </c>
      <c r="F13" s="150"/>
      <c r="G13" s="150"/>
      <c r="H13" s="150"/>
      <c r="I13" s="164">
        <v>43282</v>
      </c>
      <c r="J13" s="150"/>
      <c r="K13" s="150"/>
      <c r="L13" s="150"/>
      <c r="M13" s="153"/>
    </row>
    <row r="14" spans="1:14" x14ac:dyDescent="0.2">
      <c r="C14" s="178"/>
      <c r="D14" s="163" t="s">
        <v>113</v>
      </c>
      <c r="E14" s="150" t="s">
        <v>307</v>
      </c>
      <c r="I14" s="164">
        <v>43282</v>
      </c>
      <c r="J14" s="150"/>
      <c r="K14" s="150"/>
      <c r="L14" s="150"/>
      <c r="M14" s="153"/>
    </row>
    <row r="15" spans="1:14" x14ac:dyDescent="0.2">
      <c r="A15" s="152" t="s">
        <v>405</v>
      </c>
      <c r="C15" s="178">
        <f>ROUND('3.2 premium trend'!$H$20,2)</f>
        <v>3986.26</v>
      </c>
      <c r="D15" s="163" t="s">
        <v>93</v>
      </c>
      <c r="E15" s="150" t="s">
        <v>308</v>
      </c>
      <c r="F15" s="150"/>
      <c r="G15" s="150"/>
      <c r="H15" s="150"/>
      <c r="I15" s="164">
        <v>44197</v>
      </c>
      <c r="J15" s="150"/>
      <c r="K15" s="150"/>
      <c r="L15" s="150"/>
      <c r="M15" s="153"/>
    </row>
    <row r="16" spans="1:14" x14ac:dyDescent="0.2">
      <c r="A16" s="150" t="s">
        <v>415</v>
      </c>
      <c r="B16" s="162"/>
      <c r="C16" s="178">
        <f>ROUND('3.2 premium trend'!$H$24,2)</f>
        <v>4002.39</v>
      </c>
      <c r="D16" s="163" t="s">
        <v>97</v>
      </c>
      <c r="E16" s="150" t="s">
        <v>309</v>
      </c>
      <c r="F16" s="150"/>
      <c r="G16" s="150"/>
      <c r="H16" s="150"/>
      <c r="I16" s="268">
        <f>YEAR(I15)-YEAR(I13+1)+(MONTH(I15)-MONTH(I13+1))/12</f>
        <v>2.5</v>
      </c>
      <c r="J16" s="150"/>
      <c r="K16" s="150"/>
      <c r="L16" s="150"/>
      <c r="M16" s="153"/>
      <c r="N16" s="72">
        <v>43466</v>
      </c>
    </row>
    <row r="17" spans="1:13" x14ac:dyDescent="0.2">
      <c r="A17" s="152" t="s">
        <v>414</v>
      </c>
      <c r="B17" s="162"/>
      <c r="C17" s="178">
        <f>ROUND('3.2 premium trend'!$H$28,2)</f>
        <v>4097.53</v>
      </c>
      <c r="D17" s="163" t="s">
        <v>96</v>
      </c>
      <c r="E17" s="152" t="s">
        <v>310</v>
      </c>
      <c r="I17" s="268">
        <f>YEAR(I15)-YEAR(I14+1)+(MONTH(I15)-MONTH(I14+1))/12</f>
        <v>2.5</v>
      </c>
      <c r="J17" s="150"/>
      <c r="K17" s="150"/>
      <c r="L17" s="150"/>
      <c r="M17" s="153"/>
    </row>
    <row r="18" spans="1:13" x14ac:dyDescent="0.2">
      <c r="A18" s="150" t="s">
        <v>425</v>
      </c>
      <c r="B18" s="162"/>
      <c r="C18" s="178">
        <f>ROUND('3.2 premium trend'!$H$32,2)</f>
        <v>4252.75</v>
      </c>
      <c r="D18" s="163" t="s">
        <v>95</v>
      </c>
      <c r="E18" s="150" t="s">
        <v>263</v>
      </c>
      <c r="F18" s="150"/>
      <c r="G18" s="150"/>
      <c r="H18" s="150"/>
      <c r="I18" s="173">
        <f>'3.2 premium trend'!$L$58</f>
        <v>-7.9407906696610242E-3</v>
      </c>
      <c r="J18" s="150"/>
      <c r="K18" s="150"/>
      <c r="L18" s="150"/>
      <c r="M18" s="153"/>
    </row>
    <row r="19" spans="1:13" x14ac:dyDescent="0.2">
      <c r="A19" s="150" t="s">
        <v>428</v>
      </c>
      <c r="B19" s="162"/>
      <c r="C19" s="178">
        <f>ROUND('3.2 premium trend'!$H$36,2)</f>
        <v>4282.1499999999996</v>
      </c>
      <c r="D19" s="163" t="s">
        <v>94</v>
      </c>
      <c r="E19" s="150" t="s">
        <v>326</v>
      </c>
      <c r="F19" s="150"/>
      <c r="G19" s="150"/>
      <c r="H19" s="150"/>
      <c r="I19" s="173">
        <f>'3.3a'!$H$28</f>
        <v>1.7999999999999999E-2</v>
      </c>
      <c r="J19" s="150"/>
      <c r="K19" s="150"/>
      <c r="L19" s="150"/>
      <c r="M19" s="153"/>
    </row>
    <row r="20" spans="1:13" x14ac:dyDescent="0.2">
      <c r="A20" s="150" t="s">
        <v>455</v>
      </c>
      <c r="B20" s="162"/>
      <c r="C20" s="178">
        <f>ROUND('3.2 premium trend'!$H$40,2)</f>
        <v>4264.3999999999996</v>
      </c>
      <c r="D20" s="150"/>
      <c r="E20" s="150"/>
      <c r="F20" s="150"/>
      <c r="G20" s="150"/>
      <c r="H20" s="150"/>
      <c r="I20" s="150"/>
      <c r="J20" s="150"/>
      <c r="K20" s="150"/>
      <c r="L20" s="150"/>
      <c r="M20" s="153"/>
    </row>
    <row r="21" spans="1:13" x14ac:dyDescent="0.2">
      <c r="A21" s="150" t="s">
        <v>459</v>
      </c>
      <c r="C21" s="178">
        <f>ROUND('3.2 premium trend'!$H$44,2)</f>
        <v>4252.6000000000004</v>
      </c>
      <c r="J21" s="150"/>
      <c r="K21" s="150"/>
      <c r="L21" s="150"/>
      <c r="M21" s="153"/>
    </row>
    <row r="22" spans="1:13" x14ac:dyDescent="0.2">
      <c r="A22" s="150" t="s">
        <v>484</v>
      </c>
      <c r="B22" s="150"/>
      <c r="C22" s="178">
        <f>ROUND('3.2 premium trend'!$H$48,2)</f>
        <v>4215.24</v>
      </c>
      <c r="I22" s="293"/>
      <c r="J22" s="150"/>
      <c r="K22" s="150"/>
      <c r="L22" s="150"/>
      <c r="M22" s="153"/>
    </row>
    <row r="23" spans="1:13" x14ac:dyDescent="0.2">
      <c r="A23" s="150" t="s">
        <v>498</v>
      </c>
      <c r="B23" s="150"/>
      <c r="C23" s="178">
        <f>ROUND('3.2 premium trend'!$H$52,2)</f>
        <v>4176.71</v>
      </c>
      <c r="J23" s="150"/>
      <c r="K23" s="150"/>
      <c r="L23" s="150"/>
      <c r="M23" s="153"/>
    </row>
    <row r="24" spans="1:13" x14ac:dyDescent="0.2">
      <c r="A24" s="157"/>
      <c r="B24" s="166"/>
      <c r="C24" s="167"/>
      <c r="K24" s="150"/>
      <c r="L24" s="150"/>
      <c r="M24" s="153"/>
    </row>
    <row r="25" spans="1:13" x14ac:dyDescent="0.2">
      <c r="K25" s="150"/>
      <c r="L25" s="150"/>
      <c r="M25" s="153"/>
    </row>
    <row r="26" spans="1:13" x14ac:dyDescent="0.2">
      <c r="K26" s="150"/>
      <c r="L26" s="150"/>
      <c r="M26" s="153"/>
    </row>
    <row r="27" spans="1:13" x14ac:dyDescent="0.2">
      <c r="K27" s="150"/>
      <c r="L27" s="150"/>
      <c r="M27" s="153"/>
    </row>
    <row r="28" spans="1:13" x14ac:dyDescent="0.2">
      <c r="K28" s="150"/>
      <c r="L28" s="150"/>
      <c r="M28" s="153"/>
    </row>
    <row r="29" spans="1:13" x14ac:dyDescent="0.2">
      <c r="K29" s="150"/>
      <c r="L29" s="150"/>
      <c r="M29" s="153"/>
    </row>
    <row r="30" spans="1:13" x14ac:dyDescent="0.2">
      <c r="A30" s="150"/>
      <c r="B30" s="162"/>
      <c r="C30" s="168"/>
      <c r="D30" s="169"/>
      <c r="E30" s="169"/>
      <c r="F30" s="169"/>
      <c r="G30" s="169"/>
      <c r="H30" s="150"/>
      <c r="I30" s="150"/>
      <c r="J30" s="150"/>
      <c r="K30" s="150"/>
      <c r="L30" s="150"/>
      <c r="M30" s="153"/>
    </row>
    <row r="31" spans="1:13" x14ac:dyDescent="0.2">
      <c r="A31" s="150"/>
      <c r="B31" s="150"/>
      <c r="C31" s="155" t="s">
        <v>219</v>
      </c>
      <c r="D31" s="155" t="s">
        <v>219</v>
      </c>
      <c r="E31" s="155" t="s">
        <v>264</v>
      </c>
      <c r="F31" s="155" t="s">
        <v>264</v>
      </c>
      <c r="G31" s="155" t="s">
        <v>32</v>
      </c>
      <c r="H31" s="150"/>
      <c r="I31" s="150"/>
      <c r="J31" s="150"/>
      <c r="K31" s="150"/>
      <c r="L31" s="150"/>
      <c r="M31" s="153"/>
    </row>
    <row r="32" spans="1:13" x14ac:dyDescent="0.2">
      <c r="A32" s="150" t="s">
        <v>42</v>
      </c>
      <c r="B32" s="150"/>
      <c r="C32" s="150" t="s">
        <v>100</v>
      </c>
      <c r="D32" s="150" t="s">
        <v>35</v>
      </c>
      <c r="E32" s="150" t="s">
        <v>100</v>
      </c>
      <c r="F32" s="150" t="s">
        <v>35</v>
      </c>
      <c r="G32" s="150" t="s">
        <v>33</v>
      </c>
      <c r="H32" s="150"/>
      <c r="I32" s="150"/>
      <c r="J32" s="150"/>
      <c r="K32" s="150"/>
      <c r="L32" s="150"/>
      <c r="M32" s="153"/>
    </row>
    <row r="33" spans="1:13" x14ac:dyDescent="0.2">
      <c r="A33" s="157" t="s">
        <v>43</v>
      </c>
      <c r="B33" s="157"/>
      <c r="C33" s="157" t="s">
        <v>33</v>
      </c>
      <c r="D33" s="157" t="s">
        <v>33</v>
      </c>
      <c r="E33" s="157" t="s">
        <v>33</v>
      </c>
      <c r="F33" s="157" t="s">
        <v>33</v>
      </c>
      <c r="G33" s="157" t="s">
        <v>31</v>
      </c>
      <c r="H33" s="150"/>
      <c r="I33" s="150"/>
      <c r="J33" s="150"/>
      <c r="K33" s="150"/>
      <c r="L33" s="150"/>
      <c r="M33" s="153"/>
    </row>
    <row r="34" spans="1:13" x14ac:dyDescent="0.2">
      <c r="A34" s="159" t="s">
        <v>86</v>
      </c>
      <c r="B34" s="160"/>
      <c r="C34" s="159" t="s">
        <v>183</v>
      </c>
      <c r="D34" s="159" t="s">
        <v>311</v>
      </c>
      <c r="E34" s="161" t="s">
        <v>312</v>
      </c>
      <c r="F34" s="161" t="s">
        <v>313</v>
      </c>
      <c r="G34" s="161" t="s">
        <v>270</v>
      </c>
      <c r="H34" s="150"/>
      <c r="I34" s="150"/>
      <c r="J34" s="150"/>
      <c r="K34" s="150"/>
      <c r="L34" s="150"/>
      <c r="M34" s="153"/>
    </row>
    <row r="35" spans="1:13" x14ac:dyDescent="0.2">
      <c r="A35" s="150"/>
      <c r="B35" s="150"/>
      <c r="C35" s="150"/>
      <c r="D35" s="150"/>
      <c r="E35" s="150"/>
      <c r="F35" s="150"/>
      <c r="G35" s="150"/>
      <c r="H35" s="150"/>
      <c r="I35" s="150"/>
      <c r="J35" s="150"/>
      <c r="K35" s="150"/>
      <c r="L35" s="150"/>
      <c r="M35" s="153"/>
    </row>
    <row r="36" spans="1:13" x14ac:dyDescent="0.2">
      <c r="A36" t="str">
        <f t="shared" ref="A36:A44" si="0">TEXT(A37-1,"#")</f>
        <v>2009</v>
      </c>
      <c r="B36" s="162"/>
      <c r="C36" s="350">
        <f>C37</f>
        <v>1.0477766126645025</v>
      </c>
      <c r="D36" s="205">
        <f>'3.3a'!H14</f>
        <v>1.163</v>
      </c>
      <c r="E36" s="268">
        <f t="shared" ref="E36:E45" si="1">(1+I$18)^I$16</f>
        <v>0.98026609698985356</v>
      </c>
      <c r="F36" s="268">
        <f t="shared" ref="F36:F45" si="2">(1+I$19)^I$17</f>
        <v>1.0456093184213537</v>
      </c>
      <c r="G36" s="165">
        <f>ROUND(PRODUCT(D36,F36)/PRODUCT(C36,E36),3)</f>
        <v>1.1839999999999999</v>
      </c>
      <c r="H36" s="150"/>
      <c r="I36" s="150"/>
      <c r="J36" s="150"/>
      <c r="K36" s="150"/>
      <c r="L36" s="150"/>
      <c r="M36" s="153"/>
    </row>
    <row r="37" spans="1:13" x14ac:dyDescent="0.2">
      <c r="A37" t="str">
        <f t="shared" si="0"/>
        <v>2010</v>
      </c>
      <c r="B37" s="150"/>
      <c r="C37" s="205">
        <f t="shared" ref="C37:C45" si="3">C$23/C15</f>
        <v>1.0477766126645025</v>
      </c>
      <c r="D37" s="205">
        <f>'3.3a'!H15</f>
        <v>1.1970000000000001</v>
      </c>
      <c r="E37" s="268">
        <f t="shared" si="1"/>
        <v>0.98026609698985356</v>
      </c>
      <c r="F37" s="268">
        <f t="shared" si="2"/>
        <v>1.0456093184213537</v>
      </c>
      <c r="G37" s="165">
        <f t="shared" ref="G37:G44" si="4">ROUND(PRODUCT(D37,F37)/PRODUCT(C37,E37),3)</f>
        <v>1.2190000000000001</v>
      </c>
      <c r="H37" s="150"/>
      <c r="I37" s="150"/>
      <c r="J37" s="150"/>
      <c r="K37" s="150"/>
      <c r="L37" s="150"/>
      <c r="M37" s="153"/>
    </row>
    <row r="38" spans="1:13" x14ac:dyDescent="0.2">
      <c r="A38" t="str">
        <f t="shared" si="0"/>
        <v>2011</v>
      </c>
      <c r="B38" s="150"/>
      <c r="C38" s="205">
        <f t="shared" si="3"/>
        <v>1.0435539764990418</v>
      </c>
      <c r="D38" s="205">
        <f>'3.3a'!H16</f>
        <v>1.1619999999999999</v>
      </c>
      <c r="E38" s="268">
        <f t="shared" si="1"/>
        <v>0.98026609698985356</v>
      </c>
      <c r="F38" s="268">
        <f t="shared" si="2"/>
        <v>1.0456093184213537</v>
      </c>
      <c r="G38" s="165">
        <f t="shared" si="4"/>
        <v>1.1879999999999999</v>
      </c>
      <c r="H38" s="150"/>
      <c r="I38" s="150"/>
      <c r="J38" s="150"/>
      <c r="K38" s="150"/>
      <c r="L38" s="150"/>
      <c r="M38" s="153"/>
    </row>
    <row r="39" spans="1:13" x14ac:dyDescent="0.2">
      <c r="A39" t="str">
        <f t="shared" si="0"/>
        <v>2012</v>
      </c>
      <c r="B39" s="150"/>
      <c r="C39" s="205">
        <f t="shared" si="3"/>
        <v>1.0193238365551931</v>
      </c>
      <c r="D39" s="205">
        <f>'3.3a'!H17</f>
        <v>1.121</v>
      </c>
      <c r="E39" s="268">
        <f t="shared" si="1"/>
        <v>0.98026609698985356</v>
      </c>
      <c r="F39" s="268">
        <f t="shared" si="2"/>
        <v>1.0456093184213537</v>
      </c>
      <c r="G39" s="165">
        <f t="shared" si="4"/>
        <v>1.173</v>
      </c>
      <c r="H39" s="150"/>
      <c r="I39" s="150"/>
      <c r="J39" s="150"/>
      <c r="K39" s="150"/>
      <c r="L39" s="150"/>
      <c r="M39" s="153"/>
    </row>
    <row r="40" spans="1:13" x14ac:dyDescent="0.2">
      <c r="A40" t="str">
        <f t="shared" si="0"/>
        <v>2013</v>
      </c>
      <c r="B40" s="150"/>
      <c r="C40" s="205">
        <f t="shared" si="3"/>
        <v>0.98211980483216743</v>
      </c>
      <c r="D40" s="205">
        <f>'3.3a'!H18</f>
        <v>1.1000000000000001</v>
      </c>
      <c r="E40" s="268">
        <f t="shared" si="1"/>
        <v>0.98026609698985356</v>
      </c>
      <c r="F40" s="268">
        <f t="shared" si="2"/>
        <v>1.0456093184213537</v>
      </c>
      <c r="G40" s="165">
        <f t="shared" si="4"/>
        <v>1.1950000000000001</v>
      </c>
      <c r="H40" s="150"/>
      <c r="I40" s="150"/>
      <c r="J40" s="150"/>
      <c r="K40" s="150"/>
      <c r="L40" s="150"/>
      <c r="M40" s="153"/>
    </row>
    <row r="41" spans="1:13" x14ac:dyDescent="0.2">
      <c r="A41" t="str">
        <f t="shared" si="0"/>
        <v>2014</v>
      </c>
      <c r="B41" s="150"/>
      <c r="C41" s="205">
        <f t="shared" si="3"/>
        <v>0.97537685508447869</v>
      </c>
      <c r="D41" s="205">
        <f>'3.3a'!H19</f>
        <v>1.0669999999999999</v>
      </c>
      <c r="E41" s="268">
        <f t="shared" si="1"/>
        <v>0.98026609698985356</v>
      </c>
      <c r="F41" s="268">
        <f t="shared" si="2"/>
        <v>1.0456093184213537</v>
      </c>
      <c r="G41" s="165">
        <f t="shared" si="4"/>
        <v>1.167</v>
      </c>
      <c r="H41" s="150"/>
      <c r="I41" s="150"/>
      <c r="J41" s="150"/>
      <c r="K41" s="150"/>
      <c r="L41" s="150"/>
      <c r="M41" s="153"/>
    </row>
    <row r="42" spans="1:13" x14ac:dyDescent="0.2">
      <c r="A42" t="str">
        <f t="shared" si="0"/>
        <v>2015</v>
      </c>
      <c r="B42" s="150"/>
      <c r="C42" s="205">
        <f t="shared" si="3"/>
        <v>0.97943673201388248</v>
      </c>
      <c r="D42" s="205">
        <f>'3.3a'!H20</f>
        <v>1.05</v>
      </c>
      <c r="E42" s="268">
        <f t="shared" si="1"/>
        <v>0.98026609698985356</v>
      </c>
      <c r="F42" s="268">
        <f t="shared" si="2"/>
        <v>1.0456093184213537</v>
      </c>
      <c r="G42" s="165">
        <f t="shared" si="4"/>
        <v>1.1439999999999999</v>
      </c>
      <c r="H42" s="150"/>
      <c r="I42" s="150"/>
      <c r="J42" s="150"/>
      <c r="K42" s="150"/>
      <c r="L42" s="150"/>
      <c r="M42" s="153"/>
    </row>
    <row r="43" spans="1:13" x14ac:dyDescent="0.2">
      <c r="A43" t="str">
        <f t="shared" si="0"/>
        <v>2016</v>
      </c>
      <c r="B43" s="150"/>
      <c r="C43" s="205">
        <f t="shared" si="3"/>
        <v>0.9821544466914357</v>
      </c>
      <c r="D43" s="205">
        <f>'3.3a'!H21</f>
        <v>1.0509999999999999</v>
      </c>
      <c r="E43" s="268">
        <f t="shared" si="1"/>
        <v>0.98026609698985356</v>
      </c>
      <c r="F43" s="268">
        <f t="shared" si="2"/>
        <v>1.0456093184213537</v>
      </c>
      <c r="G43" s="165">
        <f t="shared" si="4"/>
        <v>1.141</v>
      </c>
      <c r="H43" s="150"/>
      <c r="I43" s="150"/>
      <c r="J43" s="150"/>
      <c r="K43" s="150"/>
      <c r="L43" s="150"/>
      <c r="M43" s="153"/>
    </row>
    <row r="44" spans="1:13" x14ac:dyDescent="0.2">
      <c r="A44" s="47" t="str">
        <f t="shared" si="0"/>
        <v>2017</v>
      </c>
      <c r="B44" s="150"/>
      <c r="C44" s="205">
        <f t="shared" si="3"/>
        <v>0.99085935794877644</v>
      </c>
      <c r="D44" s="205">
        <f>'3.3a'!H22</f>
        <v>1.034</v>
      </c>
      <c r="E44" s="268">
        <f t="shared" si="1"/>
        <v>0.98026609698985356</v>
      </c>
      <c r="F44" s="268">
        <f t="shared" si="2"/>
        <v>1.0456093184213537</v>
      </c>
      <c r="G44" s="165">
        <f t="shared" si="4"/>
        <v>1.113</v>
      </c>
      <c r="H44" s="150"/>
      <c r="I44" s="150"/>
      <c r="J44" s="150"/>
      <c r="K44" s="150"/>
      <c r="L44" s="150"/>
      <c r="M44" s="153"/>
    </row>
    <row r="45" spans="1:13" x14ac:dyDescent="0.2">
      <c r="A45" s="47" t="str">
        <f>TEXT(YEAR($N$8),"#")</f>
        <v>2018</v>
      </c>
      <c r="B45" s="150"/>
      <c r="C45" s="205">
        <f t="shared" si="3"/>
        <v>1</v>
      </c>
      <c r="D45" s="205">
        <f>'3.3a'!H23</f>
        <v>1</v>
      </c>
      <c r="E45" s="268">
        <f t="shared" si="1"/>
        <v>0.98026609698985356</v>
      </c>
      <c r="F45" s="268">
        <f t="shared" si="2"/>
        <v>1.0456093184213537</v>
      </c>
      <c r="G45" s="165">
        <f>ROUND(PRODUCT(D45,F45)/PRODUCT(C45,E45),3)</f>
        <v>1.0669999999999999</v>
      </c>
      <c r="H45" s="150"/>
      <c r="I45" s="150"/>
      <c r="J45" s="150"/>
      <c r="K45" s="150"/>
      <c r="L45" s="150"/>
      <c r="M45" s="153"/>
    </row>
    <row r="46" spans="1:13" ht="12" thickBot="1" x14ac:dyDescent="0.25">
      <c r="A46" s="6"/>
      <c r="B46" s="156"/>
      <c r="C46" s="267"/>
      <c r="D46" s="267"/>
      <c r="E46" s="267"/>
      <c r="F46" s="267"/>
      <c r="G46" s="267"/>
      <c r="H46" s="156"/>
      <c r="I46" s="156"/>
      <c r="J46" s="150"/>
      <c r="K46" s="150"/>
      <c r="L46" s="150"/>
      <c r="M46" s="153"/>
    </row>
    <row r="47" spans="1:13" ht="12" thickTop="1" x14ac:dyDescent="0.2">
      <c r="A47" s="150"/>
      <c r="B47" s="150"/>
      <c r="C47" s="150"/>
      <c r="D47" s="150"/>
      <c r="E47" s="150"/>
      <c r="F47" s="150"/>
      <c r="G47" s="150"/>
      <c r="H47" s="150"/>
      <c r="I47" s="150"/>
      <c r="J47" s="150"/>
      <c r="K47" s="150"/>
      <c r="L47" s="150"/>
      <c r="M47" s="153"/>
    </row>
    <row r="48" spans="1:13" x14ac:dyDescent="0.2">
      <c r="A48" s="150" t="s">
        <v>19</v>
      </c>
      <c r="B48" s="150"/>
      <c r="C48" s="150"/>
      <c r="D48" s="150"/>
      <c r="E48" s="150"/>
      <c r="F48" s="150"/>
      <c r="G48" s="150"/>
      <c r="H48" s="150"/>
      <c r="I48" s="150"/>
      <c r="J48" s="150"/>
      <c r="K48" s="150"/>
      <c r="L48" s="150"/>
      <c r="M48" s="153"/>
    </row>
    <row r="49" spans="1:13" x14ac:dyDescent="0.2">
      <c r="A49" s="150"/>
      <c r="B49" s="155" t="str">
        <f>C12&amp;" "&amp;'3.2 premium trend'!$L$1&amp;", "&amp;'3.2 premium trend'!$L$2&amp;" "&amp;'3.2 premium trend'!$H$12</f>
        <v>(2) Exhibit 3, Sheet 2 (7)</v>
      </c>
      <c r="C49" s="150"/>
      <c r="D49" s="150"/>
      <c r="E49" s="150"/>
      <c r="F49" s="150"/>
      <c r="G49" s="150"/>
      <c r="H49" s="150"/>
      <c r="I49" s="150"/>
      <c r="J49" s="150"/>
      <c r="K49" s="150"/>
      <c r="L49" s="150"/>
      <c r="M49" s="153"/>
    </row>
    <row r="50" spans="1:13" x14ac:dyDescent="0.2">
      <c r="A50" s="150"/>
      <c r="B50" s="150" t="str">
        <f>D13&amp;" Latest Year / Quarter Ending Date - 6 Months"</f>
        <v>(3) Latest Year / Quarter Ending Date - 6 Months</v>
      </c>
      <c r="C50" s="150"/>
      <c r="D50" s="150"/>
      <c r="E50" s="150"/>
      <c r="F50" s="150"/>
      <c r="G50" s="150"/>
      <c r="H50" s="150"/>
      <c r="I50" s="150"/>
      <c r="J50" s="150"/>
      <c r="K50" s="150"/>
      <c r="L50" s="150"/>
      <c r="M50" s="153"/>
    </row>
    <row r="51" spans="1:13" x14ac:dyDescent="0.2">
      <c r="A51" s="150"/>
      <c r="B51" s="150" t="str">
        <f>D14&amp;" Latest Accident Year Ending Date - 6 Months"</f>
        <v>(4) Latest Accident Year Ending Date - 6 Months</v>
      </c>
      <c r="C51" s="150"/>
      <c r="D51" s="150"/>
      <c r="E51" s="150"/>
      <c r="F51" s="150"/>
      <c r="G51" s="150"/>
      <c r="H51" s="150"/>
      <c r="I51" s="150"/>
      <c r="J51" s="150"/>
      <c r="K51" s="150"/>
      <c r="L51" s="150"/>
      <c r="M51" s="153"/>
    </row>
    <row r="52" spans="1:13" x14ac:dyDescent="0.2">
      <c r="A52" s="150"/>
      <c r="B52" s="150" t="str">
        <f>D15&amp;" Rate Effective Date + 12 Months"</f>
        <v>(5) Rate Effective Date + 12 Months</v>
      </c>
      <c r="C52" s="150"/>
      <c r="D52" s="150"/>
      <c r="E52" s="150"/>
      <c r="F52" s="150"/>
      <c r="G52" s="150"/>
      <c r="H52" s="150"/>
      <c r="I52" s="150"/>
      <c r="J52" s="150"/>
      <c r="K52" s="150"/>
      <c r="L52" s="150"/>
      <c r="M52" s="153"/>
    </row>
    <row r="53" spans="1:13" x14ac:dyDescent="0.2">
      <c r="A53" s="150"/>
      <c r="B53" s="150" t="str">
        <f>D16&amp;" = "&amp;D15&amp;" - "&amp;D13</f>
        <v>(6) = (5) - (3)</v>
      </c>
      <c r="C53" s="150"/>
      <c r="D53" s="150"/>
      <c r="E53" s="150"/>
      <c r="F53" s="150"/>
      <c r="G53" s="150"/>
      <c r="H53" s="150"/>
      <c r="I53" s="150"/>
      <c r="J53" s="150"/>
      <c r="K53" s="150"/>
      <c r="L53" s="150"/>
      <c r="M53" s="153"/>
    </row>
    <row r="54" spans="1:13" x14ac:dyDescent="0.2">
      <c r="A54" s="150"/>
      <c r="B54" s="150" t="str">
        <f>D17&amp;" = "&amp;D15&amp;" - "&amp;D14</f>
        <v>(7) = (5) - (4)</v>
      </c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3"/>
    </row>
    <row r="55" spans="1:13" x14ac:dyDescent="0.2">
      <c r="A55" s="150"/>
      <c r="B55" s="155" t="str">
        <f>D18&amp;" "&amp;'3.2 premium trend'!$L$1&amp;", "&amp;'3.2 premium trend'!$L$2</f>
        <v>(8) Exhibit 3, Sheet 2</v>
      </c>
      <c r="C55" s="150"/>
      <c r="D55" s="150"/>
      <c r="E55" s="150"/>
      <c r="F55" s="150"/>
      <c r="G55" s="150"/>
      <c r="H55" s="150"/>
      <c r="I55" s="150"/>
      <c r="J55" s="150"/>
      <c r="K55" s="150"/>
      <c r="L55" s="150"/>
      <c r="M55" s="153"/>
    </row>
    <row r="56" spans="1:13" x14ac:dyDescent="0.2">
      <c r="A56" s="150"/>
      <c r="B56" s="155" t="str">
        <f>D19&amp;" "&amp;'3.3a'!$L$1&amp;", "&amp;'3.3a'!$L$2</f>
        <v>(9) Exhibit 3, Sheet 3a</v>
      </c>
      <c r="C56" s="150"/>
      <c r="D56" s="150"/>
      <c r="E56" s="150"/>
      <c r="F56" s="150"/>
      <c r="G56" s="150"/>
      <c r="H56" s="150"/>
      <c r="I56" s="150"/>
      <c r="J56" s="150"/>
      <c r="K56" s="150"/>
      <c r="L56" s="150"/>
      <c r="M56" s="153"/>
    </row>
    <row r="57" spans="1:13" x14ac:dyDescent="0.2">
      <c r="A57" s="150"/>
      <c r="B57" s="265" t="str">
        <f>C34&amp;" = "&amp;C12&amp;" Indexed to "&amp;A23</f>
        <v>(11) = (2) Indexed to 2018 / 4</v>
      </c>
      <c r="C57" s="266"/>
      <c r="D57" s="266"/>
      <c r="E57" s="150"/>
      <c r="F57" s="150"/>
      <c r="G57" s="150"/>
      <c r="H57" s="150"/>
      <c r="I57" s="150"/>
      <c r="J57" s="150"/>
      <c r="K57" s="150"/>
      <c r="L57" s="150"/>
      <c r="M57" s="153"/>
    </row>
    <row r="58" spans="1:13" x14ac:dyDescent="0.2">
      <c r="A58" s="150"/>
      <c r="B58" s="155" t="str">
        <f>D34&amp;" "&amp;'3.3a'!$L$1&amp;", "&amp;'3.3a'!$L$2</f>
        <v>(12) Exhibit 3, Sheet 3a</v>
      </c>
      <c r="C58" s="150"/>
      <c r="D58" s="150"/>
      <c r="E58" s="150"/>
      <c r="F58" s="150"/>
      <c r="G58" s="150"/>
      <c r="H58" s="150"/>
      <c r="I58" s="150"/>
      <c r="J58" s="150"/>
      <c r="K58" s="150"/>
      <c r="L58" s="150"/>
      <c r="M58" s="153"/>
    </row>
    <row r="59" spans="1:13" x14ac:dyDescent="0.2">
      <c r="A59" s="150"/>
      <c r="B59" s="150" t="str">
        <f>E34&amp;" = [1 + "&amp;D18&amp;"] ^ "&amp;D16</f>
        <v>(13) = [1 + (8)] ^ (6)</v>
      </c>
      <c r="C59" s="150"/>
      <c r="D59" s="150"/>
      <c r="E59" s="150"/>
      <c r="F59" s="150"/>
      <c r="G59" s="150"/>
      <c r="H59" s="150"/>
      <c r="I59" s="150"/>
      <c r="J59" s="150"/>
      <c r="K59" s="150"/>
      <c r="L59" s="150"/>
      <c r="M59" s="153"/>
    </row>
    <row r="60" spans="1:13" x14ac:dyDescent="0.2">
      <c r="A60" s="150"/>
      <c r="B60" s="150" t="str">
        <f>F34&amp;" = [1 + "&amp;D19&amp;"] ^ "&amp;D17</f>
        <v>(14) = [1 + (9)] ^ (7)</v>
      </c>
      <c r="C60" s="150"/>
      <c r="D60" s="150"/>
      <c r="E60" s="150"/>
      <c r="F60" s="150"/>
      <c r="G60" s="150"/>
      <c r="H60" s="150"/>
      <c r="I60" s="150"/>
      <c r="J60" s="150"/>
      <c r="K60" s="150"/>
      <c r="L60" s="150"/>
      <c r="M60" s="153"/>
    </row>
    <row r="61" spans="1:13" x14ac:dyDescent="0.2">
      <c r="A61" s="150"/>
      <c r="B61" s="150" t="str">
        <f>G34&amp;" = ["&amp;D34&amp;" * "&amp;F34&amp;"] / ["&amp;C34&amp;" * "&amp;E34&amp;"]"</f>
        <v>(15) = [(12) * (14)] / [(11) * (13)]</v>
      </c>
      <c r="C61" s="150"/>
      <c r="D61" s="150"/>
      <c r="E61" s="150"/>
      <c r="F61" s="150"/>
      <c r="G61" s="150"/>
      <c r="H61" s="150"/>
      <c r="I61" s="150"/>
      <c r="J61" s="150"/>
      <c r="K61" s="150"/>
      <c r="L61" s="150"/>
      <c r="M61" s="153"/>
    </row>
    <row r="62" spans="1:13" ht="12" thickBot="1" x14ac:dyDescent="0.25">
      <c r="A62"/>
      <c r="C62" s="58"/>
      <c r="D62" s="58"/>
      <c r="E62" s="58"/>
      <c r="F62" s="58"/>
      <c r="G62" s="58"/>
      <c r="H62" s="154"/>
      <c r="I62" s="150"/>
      <c r="J62" s="150"/>
      <c r="K62" s="150"/>
      <c r="L62" s="150"/>
      <c r="M62" s="153"/>
    </row>
    <row r="63" spans="1:13" ht="12" thickBot="1" x14ac:dyDescent="0.25">
      <c r="A63" s="170"/>
      <c r="B63" s="171"/>
      <c r="C63" s="171"/>
      <c r="D63" s="171"/>
      <c r="E63" s="171"/>
      <c r="F63" s="171"/>
      <c r="G63" s="171"/>
      <c r="H63" s="171"/>
      <c r="I63" s="171"/>
      <c r="J63" s="171"/>
      <c r="K63" s="171"/>
      <c r="L63" s="171"/>
      <c r="M63" s="172"/>
    </row>
    <row r="66" spans="2:7" x14ac:dyDescent="0.2">
      <c r="B66" s="58"/>
      <c r="C66" s="301"/>
      <c r="D66" s="301"/>
      <c r="E66" s="301"/>
      <c r="F66" s="301"/>
      <c r="G66" s="301"/>
    </row>
  </sheetData>
  <phoneticPr fontId="0" type="noConversion"/>
  <pageMargins left="0.5" right="0.5" top="0.5" bottom="0.5" header="0.5" footer="0.5"/>
  <pageSetup orientation="portrait" blackAndWhite="1" r:id="rId1"/>
  <headerFooter alignWithMargins="0"/>
  <ignoredErrors>
    <ignoredError sqref="D13:D19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S69"/>
  <sheetViews>
    <sheetView showGridLines="0" view="pageBreakPreview" zoomScale="60" zoomScaleNormal="100" workbookViewId="0">
      <selection activeCell="K2" sqref="K2"/>
    </sheetView>
  </sheetViews>
  <sheetFormatPr defaultColWidth="11.33203125" defaultRowHeight="11.25" x14ac:dyDescent="0.2"/>
  <cols>
    <col min="1" max="1" width="2.5" bestFit="1" customWidth="1"/>
    <col min="2" max="2" width="11.6640625" customWidth="1"/>
    <col min="3" max="9" width="12.6640625" customWidth="1"/>
    <col min="10" max="10" width="11.33203125" customWidth="1"/>
    <col min="11" max="11" width="5.6640625" customWidth="1"/>
  </cols>
  <sheetData>
    <row r="1" spans="1:18" x14ac:dyDescent="0.2">
      <c r="A1" s="8" t="str">
        <f>'1'!$A$1</f>
        <v>Texas Windstorm Insurance Association</v>
      </c>
      <c r="B1" s="12"/>
      <c r="J1" s="47"/>
      <c r="K1" s="7" t="s">
        <v>48</v>
      </c>
      <c r="L1" s="1"/>
    </row>
    <row r="2" spans="1:18" x14ac:dyDescent="0.2">
      <c r="A2" s="8" t="str">
        <f>'1'!$A$2</f>
        <v>Commercial Property - Wind &amp; Hail</v>
      </c>
      <c r="B2" s="12"/>
      <c r="J2" s="47"/>
      <c r="K2" s="7" t="s">
        <v>22</v>
      </c>
      <c r="L2" s="2"/>
    </row>
    <row r="3" spans="1:18" x14ac:dyDescent="0.2">
      <c r="A3" s="8" t="str">
        <f>'1'!$A$3</f>
        <v>Rate Level Review</v>
      </c>
      <c r="B3" s="12"/>
      <c r="F3" s="275"/>
      <c r="J3" s="47"/>
      <c r="L3" s="2"/>
    </row>
    <row r="4" spans="1:18" x14ac:dyDescent="0.2">
      <c r="A4" t="s">
        <v>47</v>
      </c>
      <c r="B4" s="12"/>
      <c r="J4" s="47"/>
      <c r="L4" s="2"/>
    </row>
    <row r="5" spans="1:18" x14ac:dyDescent="0.2">
      <c r="A5" s="58" t="s">
        <v>239</v>
      </c>
      <c r="B5" s="21"/>
      <c r="C5" s="58"/>
      <c r="D5" s="58"/>
      <c r="E5" s="58"/>
      <c r="J5" s="47"/>
      <c r="L5" s="2"/>
    </row>
    <row r="6" spans="1:18" x14ac:dyDescent="0.2">
      <c r="J6" s="47"/>
      <c r="L6" s="2"/>
    </row>
    <row r="7" spans="1:18" ht="12" thickBot="1" x14ac:dyDescent="0.25">
      <c r="A7" s="6"/>
      <c r="B7" s="6"/>
      <c r="C7" s="6"/>
      <c r="D7" s="6"/>
      <c r="E7" s="6"/>
      <c r="F7" s="6"/>
      <c r="G7" s="6"/>
      <c r="H7" s="6"/>
      <c r="I7" s="6"/>
      <c r="J7" s="47"/>
      <c r="L7" s="2"/>
    </row>
    <row r="8" spans="1:18" ht="12" thickTop="1" x14ac:dyDescent="0.2">
      <c r="J8" s="47"/>
      <c r="L8" s="2"/>
    </row>
    <row r="9" spans="1:18" x14ac:dyDescent="0.2">
      <c r="C9" s="23" t="s">
        <v>49</v>
      </c>
      <c r="J9" s="47"/>
      <c r="L9" s="2"/>
      <c r="M9" s="26"/>
    </row>
    <row r="10" spans="1:18" x14ac:dyDescent="0.2">
      <c r="A10" t="s">
        <v>42</v>
      </c>
      <c r="J10" s="47"/>
      <c r="L10" s="2"/>
      <c r="M10" t="s">
        <v>50</v>
      </c>
    </row>
    <row r="11" spans="1:18" x14ac:dyDescent="0.2">
      <c r="A11" s="9" t="s">
        <v>43</v>
      </c>
      <c r="B11" s="9"/>
      <c r="C11" s="25">
        <f>$M$11</f>
        <v>12</v>
      </c>
      <c r="D11" s="25">
        <f t="shared" ref="D11:I11" si="0">C11+12</f>
        <v>24</v>
      </c>
      <c r="E11" s="25">
        <f t="shared" si="0"/>
        <v>36</v>
      </c>
      <c r="F11" s="25">
        <f t="shared" si="0"/>
        <v>48</v>
      </c>
      <c r="G11" s="25">
        <f t="shared" si="0"/>
        <v>60</v>
      </c>
      <c r="H11" s="25">
        <f t="shared" si="0"/>
        <v>72</v>
      </c>
      <c r="I11" s="25">
        <f t="shared" si="0"/>
        <v>84</v>
      </c>
      <c r="J11" s="48"/>
      <c r="L11" s="2"/>
      <c r="M11" s="112">
        <f>ROUND((YEAR($N$23)-YEAR($M$23)+1)*12+MONTH($N$23)-MONTH($M$23),0)</f>
        <v>12</v>
      </c>
    </row>
    <row r="12" spans="1:18" x14ac:dyDescent="0.2">
      <c r="A12" s="13" t="str">
        <f>TEXT(COLUMN(),"(#)")</f>
        <v>(1)</v>
      </c>
      <c r="B12" s="13"/>
      <c r="C12" s="11" t="str">
        <f t="shared" ref="C12:I12" si="1">TEXT(COLUMN()-1,"(#)")</f>
        <v>(2)</v>
      </c>
      <c r="D12" s="11" t="str">
        <f t="shared" si="1"/>
        <v>(3)</v>
      </c>
      <c r="E12" s="11" t="str">
        <f t="shared" si="1"/>
        <v>(4)</v>
      </c>
      <c r="F12" s="11" t="str">
        <f t="shared" si="1"/>
        <v>(5)</v>
      </c>
      <c r="G12" s="11" t="str">
        <f t="shared" si="1"/>
        <v>(6)</v>
      </c>
      <c r="H12" s="11" t="str">
        <f t="shared" si="1"/>
        <v>(7)</v>
      </c>
      <c r="I12" s="11" t="str">
        <f t="shared" si="1"/>
        <v>(8)</v>
      </c>
      <c r="J12" s="134"/>
      <c r="L12" s="2"/>
    </row>
    <row r="13" spans="1:18" x14ac:dyDescent="0.2">
      <c r="J13" s="47"/>
      <c r="L13" s="2"/>
      <c r="M13" s="246"/>
      <c r="N13" s="246"/>
      <c r="O13" s="246"/>
      <c r="P13" s="246"/>
      <c r="Q13" s="246"/>
      <c r="R13" s="246"/>
    </row>
    <row r="14" spans="1:18" x14ac:dyDescent="0.2">
      <c r="A14" t="str">
        <f t="shared" ref="A14:A22" si="2">TEXT(A15-1,"#")</f>
        <v>2009</v>
      </c>
      <c r="B14" s="24"/>
      <c r="C14" s="245">
        <v>706.2055600000001</v>
      </c>
      <c r="D14" s="245">
        <v>2288.88859</v>
      </c>
      <c r="E14" s="245">
        <v>2553</v>
      </c>
      <c r="F14" s="245">
        <v>2553</v>
      </c>
      <c r="G14" s="245">
        <v>2553</v>
      </c>
      <c r="H14" s="245">
        <v>2553</v>
      </c>
      <c r="I14" s="273">
        <f>ROUND('2.3'!$C14/1000,0)</f>
        <v>2553</v>
      </c>
      <c r="J14" s="180"/>
      <c r="L14" s="2"/>
      <c r="M14" s="246"/>
      <c r="N14" s="246"/>
      <c r="O14" s="246"/>
      <c r="P14" s="246"/>
      <c r="Q14" s="246"/>
      <c r="R14" s="246"/>
    </row>
    <row r="15" spans="1:18" x14ac:dyDescent="0.2">
      <c r="A15" t="str">
        <f t="shared" si="2"/>
        <v>2010</v>
      </c>
      <c r="B15" s="24"/>
      <c r="C15" s="36">
        <v>4488.9595099999997</v>
      </c>
      <c r="D15" s="245">
        <v>6162</v>
      </c>
      <c r="E15" s="245">
        <v>6783</v>
      </c>
      <c r="F15" s="245">
        <v>7280</v>
      </c>
      <c r="G15" s="245">
        <v>7280</v>
      </c>
      <c r="H15" s="245">
        <v>7302</v>
      </c>
      <c r="I15" s="273">
        <f>ROUND('2.3'!$C15/1000,0)</f>
        <v>7478</v>
      </c>
      <c r="J15" s="180"/>
      <c r="L15" s="2"/>
      <c r="M15" s="246"/>
      <c r="N15" s="246"/>
      <c r="O15" s="246"/>
      <c r="P15" s="246"/>
      <c r="Q15" s="246"/>
      <c r="R15" s="246"/>
    </row>
    <row r="16" spans="1:18" x14ac:dyDescent="0.2">
      <c r="A16" t="str">
        <f t="shared" si="2"/>
        <v>2011</v>
      </c>
      <c r="B16" s="24"/>
      <c r="C16" s="36">
        <v>13360</v>
      </c>
      <c r="D16" s="245">
        <v>16138</v>
      </c>
      <c r="E16" s="245">
        <v>18435</v>
      </c>
      <c r="F16" s="245">
        <v>18758</v>
      </c>
      <c r="G16" s="245">
        <v>19119</v>
      </c>
      <c r="H16" s="245">
        <v>19200</v>
      </c>
      <c r="I16" s="273">
        <f>ROUND('2.3'!$C16/1000,0)</f>
        <v>19218</v>
      </c>
      <c r="J16" s="180"/>
      <c r="L16" s="2"/>
      <c r="M16" s="246"/>
      <c r="N16" s="246"/>
      <c r="O16" s="246"/>
      <c r="P16" s="246"/>
      <c r="Q16" s="246"/>
      <c r="R16" s="246"/>
    </row>
    <row r="17" spans="1:19" x14ac:dyDescent="0.2">
      <c r="A17" t="str">
        <f>TEXT(A18-1,"#")</f>
        <v>2012</v>
      </c>
      <c r="B17" s="24"/>
      <c r="C17" s="36">
        <v>8512</v>
      </c>
      <c r="D17" s="245">
        <v>11404</v>
      </c>
      <c r="E17" s="245">
        <v>13135</v>
      </c>
      <c r="F17" s="245">
        <v>13284</v>
      </c>
      <c r="G17" s="245">
        <v>13309</v>
      </c>
      <c r="H17" s="274">
        <v>14460</v>
      </c>
      <c r="I17" s="273">
        <f>ROUND('2.3'!$C17/1000,0)</f>
        <v>14460</v>
      </c>
      <c r="J17" s="180"/>
      <c r="L17" s="2"/>
      <c r="M17" s="246"/>
      <c r="N17" s="246"/>
      <c r="O17" s="246"/>
      <c r="P17" s="246"/>
      <c r="Q17" s="246"/>
      <c r="R17" s="246"/>
    </row>
    <row r="18" spans="1:19" x14ac:dyDescent="0.2">
      <c r="A18" t="str">
        <f t="shared" si="2"/>
        <v>2013</v>
      </c>
      <c r="B18" s="24"/>
      <c r="C18" s="36">
        <v>6886</v>
      </c>
      <c r="D18" s="245">
        <v>7243</v>
      </c>
      <c r="E18" s="245">
        <v>7338</v>
      </c>
      <c r="F18" s="245">
        <v>7351</v>
      </c>
      <c r="G18" s="274">
        <v>7351</v>
      </c>
      <c r="H18" s="273">
        <f>ROUND('2.3'!C18/1000,0)</f>
        <v>7351</v>
      </c>
      <c r="I18" s="273"/>
      <c r="J18" s="180"/>
      <c r="L18" s="2"/>
      <c r="M18" s="246"/>
      <c r="N18" s="246"/>
      <c r="O18" s="246"/>
      <c r="P18" s="246"/>
      <c r="Q18" s="246"/>
      <c r="R18" s="246"/>
    </row>
    <row r="19" spans="1:19" x14ac:dyDescent="0.2">
      <c r="A19" t="str">
        <f t="shared" si="2"/>
        <v>2014</v>
      </c>
      <c r="B19" s="24"/>
      <c r="C19" s="36">
        <v>641</v>
      </c>
      <c r="D19" s="245">
        <v>875</v>
      </c>
      <c r="E19" s="245">
        <v>1015</v>
      </c>
      <c r="F19" s="274">
        <v>1056</v>
      </c>
      <c r="G19" s="273">
        <f>ROUND('2.3'!C19/1000,0)</f>
        <v>1056</v>
      </c>
      <c r="H19" s="273"/>
      <c r="I19" s="269"/>
      <c r="J19" s="44"/>
      <c r="L19" s="2"/>
      <c r="M19" s="246"/>
      <c r="N19" s="246"/>
      <c r="O19" s="246"/>
      <c r="P19" s="246"/>
      <c r="Q19" s="246"/>
      <c r="R19" s="246"/>
    </row>
    <row r="20" spans="1:19" x14ac:dyDescent="0.2">
      <c r="A20" t="str">
        <f t="shared" si="2"/>
        <v>2015</v>
      </c>
      <c r="B20" s="24"/>
      <c r="C20" s="36">
        <v>15923</v>
      </c>
      <c r="D20" s="245">
        <v>17690</v>
      </c>
      <c r="E20" s="274">
        <v>17780</v>
      </c>
      <c r="F20" s="273">
        <f>ROUND('2.3'!C20/1000,0)</f>
        <v>18644</v>
      </c>
      <c r="G20" s="269"/>
      <c r="H20" s="269"/>
      <c r="I20" s="269"/>
      <c r="J20" s="44"/>
      <c r="L20" s="2"/>
      <c r="M20" s="246"/>
      <c r="N20" s="246"/>
      <c r="O20" s="246"/>
      <c r="P20" s="246"/>
      <c r="Q20" s="246"/>
      <c r="R20" s="246"/>
    </row>
    <row r="21" spans="1:19" x14ac:dyDescent="0.2">
      <c r="A21" t="str">
        <f t="shared" si="2"/>
        <v>2016</v>
      </c>
      <c r="B21" s="24"/>
      <c r="C21" s="36">
        <v>2055</v>
      </c>
      <c r="D21" s="274">
        <v>2479</v>
      </c>
      <c r="E21" s="273">
        <f>ROUND('2.3'!C21/1000,0)</f>
        <v>2584</v>
      </c>
      <c r="F21" s="269"/>
      <c r="G21" s="269"/>
      <c r="H21" s="269"/>
      <c r="I21" s="269"/>
      <c r="J21" s="44"/>
      <c r="L21" s="2"/>
      <c r="M21" s="246"/>
      <c r="N21" s="246"/>
      <c r="O21" s="246"/>
      <c r="P21" s="246"/>
      <c r="Q21" s="246"/>
      <c r="R21" s="246"/>
    </row>
    <row r="22" spans="1:19" x14ac:dyDescent="0.2">
      <c r="A22" t="str">
        <f t="shared" si="2"/>
        <v>2017</v>
      </c>
      <c r="B22" s="24"/>
      <c r="C22" s="269">
        <v>1599</v>
      </c>
      <c r="D22" s="273">
        <f>ROUND('2.3'!C22/1000,0)</f>
        <v>1963</v>
      </c>
      <c r="E22" s="269"/>
      <c r="F22" s="269"/>
      <c r="G22" s="269"/>
      <c r="H22" s="269"/>
      <c r="I22" s="269"/>
      <c r="J22" s="44"/>
      <c r="L22" s="2"/>
      <c r="M22" t="s">
        <v>253</v>
      </c>
      <c r="N22" t="s">
        <v>254</v>
      </c>
    </row>
    <row r="23" spans="1:19" x14ac:dyDescent="0.2">
      <c r="A23" t="str">
        <f>TEXT(YEAR($M$23),"#")</f>
        <v>2018</v>
      </c>
      <c r="B23" s="24"/>
      <c r="C23" s="321">
        <f>ROUND('2.3'!$C23/1000,0)</f>
        <v>165</v>
      </c>
      <c r="D23" s="273"/>
      <c r="E23" s="269"/>
      <c r="F23" s="269"/>
      <c r="G23" s="269"/>
      <c r="H23" s="269"/>
      <c r="I23" s="269"/>
      <c r="J23" s="44"/>
      <c r="L23" s="2"/>
      <c r="M23" s="49">
        <f>'2.3'!$M$26</f>
        <v>43465</v>
      </c>
      <c r="N23" s="49">
        <f>'2.3'!$M$26</f>
        <v>43465</v>
      </c>
    </row>
    <row r="24" spans="1:19" x14ac:dyDescent="0.2">
      <c r="A24" s="9"/>
      <c r="B24" s="25"/>
      <c r="C24" s="30"/>
      <c r="D24" s="71"/>
      <c r="E24" s="71"/>
      <c r="F24" s="71"/>
      <c r="G24" s="71"/>
      <c r="H24" s="71"/>
      <c r="I24" s="71"/>
      <c r="J24" s="47"/>
      <c r="L24" s="2"/>
    </row>
    <row r="25" spans="1:19" x14ac:dyDescent="0.2">
      <c r="J25" s="47"/>
      <c r="L25" s="2"/>
    </row>
    <row r="26" spans="1:19" x14ac:dyDescent="0.2">
      <c r="C26" s="23" t="s">
        <v>51</v>
      </c>
      <c r="J26" s="47"/>
      <c r="L26" s="2"/>
      <c r="M26" s="18"/>
      <c r="N26" s="18"/>
      <c r="O26" s="18"/>
      <c r="P26" s="18"/>
      <c r="Q26" s="18"/>
      <c r="R26" s="18"/>
    </row>
    <row r="27" spans="1:19" x14ac:dyDescent="0.2">
      <c r="A27" t="s">
        <v>42</v>
      </c>
      <c r="J27" s="47"/>
      <c r="L27" s="2"/>
      <c r="M27" s="291"/>
      <c r="N27" s="270"/>
      <c r="O27" s="270"/>
      <c r="P27" s="270"/>
      <c r="Q27" s="270"/>
      <c r="R27" s="270"/>
      <c r="S27" s="270"/>
    </row>
    <row r="28" spans="1:19" x14ac:dyDescent="0.2">
      <c r="A28" s="9" t="s">
        <v>43</v>
      </c>
      <c r="B28" s="9"/>
      <c r="C28" s="9" t="str">
        <f t="shared" ref="C28:H28" si="3">C11&amp;" - "&amp;D11</f>
        <v>12 - 24</v>
      </c>
      <c r="D28" s="9" t="str">
        <f t="shared" si="3"/>
        <v>24 - 36</v>
      </c>
      <c r="E28" s="9" t="str">
        <f t="shared" si="3"/>
        <v>36 - 48</v>
      </c>
      <c r="F28" s="9" t="str">
        <f t="shared" si="3"/>
        <v>48 - 60</v>
      </c>
      <c r="G28" s="9" t="str">
        <f t="shared" si="3"/>
        <v>60 - 72</v>
      </c>
      <c r="H28" s="9" t="str">
        <f t="shared" si="3"/>
        <v>72 - 84</v>
      </c>
      <c r="I28" s="9" t="str">
        <f>I11&amp;" - Ult"</f>
        <v>84 - Ult</v>
      </c>
      <c r="J28" s="47"/>
      <c r="L28" s="2"/>
      <c r="M28" s="291"/>
      <c r="N28" s="270"/>
      <c r="O28" s="270"/>
      <c r="P28" s="270"/>
      <c r="Q28" s="270"/>
      <c r="R28" s="270"/>
      <c r="S28" s="271"/>
    </row>
    <row r="29" spans="1:19" x14ac:dyDescent="0.2">
      <c r="A29" s="13" t="str">
        <f>TEXT(COLUMN(),"(#)")</f>
        <v>(1)</v>
      </c>
      <c r="B29" s="13"/>
      <c r="C29" s="11" t="str">
        <f t="shared" ref="C29:I29" si="4">TEXT(COLUMN()-1,"(#)")</f>
        <v>(2)</v>
      </c>
      <c r="D29" s="11" t="str">
        <f t="shared" si="4"/>
        <v>(3)</v>
      </c>
      <c r="E29" s="11" t="str">
        <f t="shared" si="4"/>
        <v>(4)</v>
      </c>
      <c r="F29" s="11" t="str">
        <f t="shared" si="4"/>
        <v>(5)</v>
      </c>
      <c r="G29" s="11" t="str">
        <f t="shared" si="4"/>
        <v>(6)</v>
      </c>
      <c r="H29" s="11" t="str">
        <f t="shared" si="4"/>
        <v>(7)</v>
      </c>
      <c r="I29" s="11" t="str">
        <f t="shared" si="4"/>
        <v>(8)</v>
      </c>
      <c r="J29" s="134"/>
      <c r="L29" s="2"/>
      <c r="M29" s="291"/>
      <c r="N29" s="270"/>
      <c r="O29" s="270"/>
      <c r="P29" s="270"/>
      <c r="Q29" s="270"/>
      <c r="R29" s="270"/>
      <c r="S29" s="270"/>
    </row>
    <row r="30" spans="1:19" x14ac:dyDescent="0.2">
      <c r="J30" s="47"/>
      <c r="L30" s="2"/>
      <c r="M30" s="291"/>
      <c r="N30" s="270"/>
      <c r="O30" s="270"/>
      <c r="P30" s="270"/>
      <c r="Q30" s="270"/>
      <c r="R30" s="270"/>
      <c r="S30" s="270"/>
    </row>
    <row r="31" spans="1:19" ht="12.75" x14ac:dyDescent="0.2">
      <c r="A31" t="str">
        <f t="shared" ref="A31:A39" si="5">A14</f>
        <v>2009</v>
      </c>
      <c r="B31" s="24"/>
      <c r="C31" s="37">
        <f t="shared" ref="C31:C39" si="6">IF(ISNUMBER(D14),D14/C14,"")</f>
        <v>3.2411081413745872</v>
      </c>
      <c r="D31" s="37">
        <f t="shared" ref="D31:I31" si="7">IF(ISNUMBER(E14),E14/D14,"")</f>
        <v>1.1153884951648083</v>
      </c>
      <c r="E31" s="37">
        <f t="shared" si="7"/>
        <v>1</v>
      </c>
      <c r="F31" s="37">
        <f t="shared" si="7"/>
        <v>1</v>
      </c>
      <c r="G31" s="37">
        <f t="shared" si="7"/>
        <v>1</v>
      </c>
      <c r="H31" s="37">
        <f t="shared" si="7"/>
        <v>1</v>
      </c>
      <c r="I31" s="37" t="str">
        <f t="shared" si="7"/>
        <v/>
      </c>
      <c r="J31" s="183"/>
      <c r="L31" s="2"/>
      <c r="M31" s="291"/>
      <c r="N31" s="270"/>
      <c r="O31" s="270"/>
      <c r="P31" s="270"/>
      <c r="Q31" s="270"/>
      <c r="R31" s="270"/>
      <c r="S31" s="272"/>
    </row>
    <row r="32" spans="1:19" ht="12.75" x14ac:dyDescent="0.2">
      <c r="A32" t="str">
        <f t="shared" si="5"/>
        <v>2010</v>
      </c>
      <c r="B32" s="24"/>
      <c r="C32" s="37">
        <f t="shared" si="6"/>
        <v>1.372701176357904</v>
      </c>
      <c r="D32" s="37">
        <f t="shared" ref="D32:H39" si="8">IF(ISNUMBER(E15),E15/D15,"")</f>
        <v>1.1007789678675755</v>
      </c>
      <c r="E32" s="37">
        <f t="shared" si="8"/>
        <v>1.0732714138286894</v>
      </c>
      <c r="F32" s="37">
        <f t="shared" si="8"/>
        <v>1</v>
      </c>
      <c r="G32" s="37">
        <f t="shared" si="8"/>
        <v>1.003021978021978</v>
      </c>
      <c r="H32" s="37">
        <f t="shared" si="8"/>
        <v>1.0241029854834292</v>
      </c>
      <c r="I32" s="37" t="str">
        <f>IF(ISNUMBER(#REF!),#REF!/I15,"")</f>
        <v/>
      </c>
      <c r="J32" s="183"/>
      <c r="L32" s="2"/>
      <c r="M32" s="291"/>
      <c r="N32" s="270"/>
      <c r="O32" s="270"/>
      <c r="P32" s="270"/>
      <c r="Q32" s="270"/>
      <c r="R32" s="292"/>
      <c r="S32" s="272"/>
    </row>
    <row r="33" spans="1:19" ht="12.75" x14ac:dyDescent="0.2">
      <c r="A33" t="str">
        <f t="shared" si="5"/>
        <v>2011</v>
      </c>
      <c r="B33" s="24"/>
      <c r="C33" s="37">
        <f t="shared" si="6"/>
        <v>1.2079341317365269</v>
      </c>
      <c r="D33" s="37">
        <f t="shared" si="8"/>
        <v>1.1423348618168299</v>
      </c>
      <c r="E33" s="37">
        <f t="shared" si="8"/>
        <v>1.0175210197992948</v>
      </c>
      <c r="F33" s="37">
        <f t="shared" si="8"/>
        <v>1.0192451220812453</v>
      </c>
      <c r="G33" s="37">
        <f t="shared" si="8"/>
        <v>1.0042366232543543</v>
      </c>
      <c r="H33" s="37">
        <f t="shared" si="8"/>
        <v>1.0009375</v>
      </c>
      <c r="I33" s="37" t="str">
        <f>IF(ISNUMBER(#REF!),#REF!/I16,"")</f>
        <v/>
      </c>
      <c r="J33" s="183"/>
      <c r="L33" s="2"/>
      <c r="M33" s="291"/>
      <c r="N33" s="270"/>
      <c r="O33" s="270"/>
      <c r="P33" s="270"/>
      <c r="Q33" s="292"/>
      <c r="R33" s="292"/>
      <c r="S33" s="272"/>
    </row>
    <row r="34" spans="1:19" ht="12.75" x14ac:dyDescent="0.2">
      <c r="A34" t="str">
        <f t="shared" si="5"/>
        <v>2012</v>
      </c>
      <c r="B34" s="24"/>
      <c r="C34" s="37">
        <f t="shared" si="6"/>
        <v>1.3397556390977443</v>
      </c>
      <c r="D34" s="37">
        <f t="shared" si="8"/>
        <v>1.1517888460189407</v>
      </c>
      <c r="E34" s="37">
        <f t="shared" si="8"/>
        <v>1.0113437381043016</v>
      </c>
      <c r="F34" s="37">
        <f t="shared" si="8"/>
        <v>1.0018819632640772</v>
      </c>
      <c r="G34" s="37">
        <f t="shared" si="8"/>
        <v>1.0864828311668795</v>
      </c>
      <c r="H34" s="37">
        <f t="shared" si="8"/>
        <v>1</v>
      </c>
      <c r="I34" s="37" t="str">
        <f>IF(ISNUMBER(#REF!),#REF!/I17,"")</f>
        <v/>
      </c>
      <c r="J34" s="183"/>
      <c r="L34" s="2"/>
      <c r="M34" s="291"/>
      <c r="N34" s="270"/>
      <c r="O34" s="270"/>
      <c r="P34" s="292"/>
      <c r="Q34" s="292"/>
      <c r="R34" s="292"/>
      <c r="S34" s="272"/>
    </row>
    <row r="35" spans="1:19" ht="12.75" x14ac:dyDescent="0.2">
      <c r="A35" t="str">
        <f t="shared" si="5"/>
        <v>2013</v>
      </c>
      <c r="B35" s="24"/>
      <c r="C35" s="37">
        <f t="shared" si="6"/>
        <v>1.051844321812373</v>
      </c>
      <c r="D35" s="37">
        <f t="shared" si="8"/>
        <v>1.0131161121082424</v>
      </c>
      <c r="E35" s="37">
        <f t="shared" si="8"/>
        <v>1.0017715998909784</v>
      </c>
      <c r="F35" s="37">
        <f t="shared" si="8"/>
        <v>1</v>
      </c>
      <c r="G35" s="37">
        <f t="shared" si="8"/>
        <v>1</v>
      </c>
      <c r="H35" s="37" t="str">
        <f t="shared" si="8"/>
        <v/>
      </c>
      <c r="I35" s="37" t="str">
        <f>IF(ISNUMBER(#REF!),#REF!/I18,"")</f>
        <v/>
      </c>
      <c r="J35" s="183"/>
      <c r="L35" s="2"/>
      <c r="M35" s="291"/>
      <c r="N35" s="270"/>
      <c r="O35" s="292"/>
      <c r="P35" s="292"/>
      <c r="Q35" s="292"/>
      <c r="R35" s="292"/>
      <c r="S35" s="272"/>
    </row>
    <row r="36" spans="1:19" x14ac:dyDescent="0.2">
      <c r="A36" t="str">
        <f t="shared" si="5"/>
        <v>2014</v>
      </c>
      <c r="B36" s="24"/>
      <c r="C36" s="37">
        <f t="shared" si="6"/>
        <v>1.3650546021840875</v>
      </c>
      <c r="D36" s="37">
        <f t="shared" si="8"/>
        <v>1.1599999999999999</v>
      </c>
      <c r="E36" s="37">
        <f t="shared" si="8"/>
        <v>1.0403940886699508</v>
      </c>
      <c r="F36" s="37">
        <f t="shared" si="8"/>
        <v>1</v>
      </c>
      <c r="G36" s="37" t="str">
        <f t="shared" si="8"/>
        <v/>
      </c>
      <c r="H36" s="37" t="str">
        <f t="shared" si="8"/>
        <v/>
      </c>
      <c r="I36" s="37" t="str">
        <f>IF(ISNUMBER(#REF!),#REF!/I19,"")</f>
        <v/>
      </c>
      <c r="J36" s="183"/>
      <c r="L36" s="2"/>
      <c r="N36" s="18"/>
      <c r="O36" s="18"/>
      <c r="P36" s="18"/>
      <c r="Q36" s="18"/>
      <c r="R36" s="18"/>
      <c r="S36" s="18"/>
    </row>
    <row r="37" spans="1:19" x14ac:dyDescent="0.2">
      <c r="A37" t="str">
        <f t="shared" si="5"/>
        <v>2015</v>
      </c>
      <c r="B37" s="24"/>
      <c r="C37" s="37">
        <f t="shared" si="6"/>
        <v>1.1109715505872009</v>
      </c>
      <c r="D37" s="37">
        <f t="shared" si="8"/>
        <v>1.0050876201243641</v>
      </c>
      <c r="E37" s="37">
        <f t="shared" si="8"/>
        <v>1.04859392575928</v>
      </c>
      <c r="F37" s="37" t="str">
        <f t="shared" si="8"/>
        <v/>
      </c>
      <c r="G37" s="37" t="str">
        <f t="shared" si="8"/>
        <v/>
      </c>
      <c r="H37" s="37" t="str">
        <f t="shared" si="8"/>
        <v/>
      </c>
      <c r="I37" s="37" t="str">
        <f>IF(ISNUMBER(#REF!),#REF!/I20,"")</f>
        <v/>
      </c>
      <c r="J37" s="183"/>
      <c r="L37" s="2"/>
      <c r="N37" s="18"/>
      <c r="O37" s="18"/>
      <c r="P37" s="18"/>
      <c r="Q37" s="18"/>
      <c r="R37" s="18"/>
      <c r="S37" s="18"/>
    </row>
    <row r="38" spans="1:19" x14ac:dyDescent="0.2">
      <c r="A38" t="str">
        <f t="shared" si="5"/>
        <v>2016</v>
      </c>
      <c r="B38" s="24"/>
      <c r="C38" s="37">
        <f t="shared" si="6"/>
        <v>1.2063260340632604</v>
      </c>
      <c r="D38" s="37">
        <f t="shared" si="8"/>
        <v>1.0423557886244454</v>
      </c>
      <c r="E38" s="37" t="str">
        <f t="shared" si="8"/>
        <v/>
      </c>
      <c r="F38" s="37" t="str">
        <f t="shared" si="8"/>
        <v/>
      </c>
      <c r="G38" s="37" t="str">
        <f t="shared" si="8"/>
        <v/>
      </c>
      <c r="H38" s="37" t="str">
        <f t="shared" si="8"/>
        <v/>
      </c>
      <c r="I38" s="37" t="str">
        <f>IF(ISNUMBER(#REF!),#REF!/I21,"")</f>
        <v/>
      </c>
      <c r="J38" s="183"/>
      <c r="L38" s="2"/>
      <c r="N38" s="18"/>
      <c r="O38" s="18"/>
      <c r="P38" s="18"/>
      <c r="Q38" s="18"/>
      <c r="R38" s="18"/>
      <c r="S38" s="18"/>
    </row>
    <row r="39" spans="1:19" x14ac:dyDescent="0.2">
      <c r="A39" t="str">
        <f t="shared" si="5"/>
        <v>2017</v>
      </c>
      <c r="B39" s="24"/>
      <c r="C39" s="37">
        <f t="shared" si="6"/>
        <v>1.2276422764227641</v>
      </c>
      <c r="D39" s="37" t="str">
        <f t="shared" si="8"/>
        <v/>
      </c>
      <c r="E39" s="37" t="str">
        <f t="shared" si="8"/>
        <v/>
      </c>
      <c r="F39" s="37" t="str">
        <f t="shared" si="8"/>
        <v/>
      </c>
      <c r="G39" s="37" t="str">
        <f t="shared" si="8"/>
        <v/>
      </c>
      <c r="H39" s="37" t="str">
        <f t="shared" si="8"/>
        <v/>
      </c>
      <c r="I39" s="37" t="str">
        <f>IF(ISNUMBER(#REF!),#REF!/I22,"")</f>
        <v/>
      </c>
      <c r="J39" s="183"/>
      <c r="L39" s="2"/>
      <c r="N39" s="18"/>
      <c r="O39" s="18"/>
      <c r="P39" s="18"/>
      <c r="Q39" s="18"/>
      <c r="R39" s="18"/>
      <c r="S39" s="18"/>
    </row>
    <row r="40" spans="1:19" x14ac:dyDescent="0.2">
      <c r="A40" s="9"/>
      <c r="B40" s="25"/>
      <c r="C40" s="38"/>
      <c r="D40" s="38"/>
      <c r="E40" s="38"/>
      <c r="F40" s="38"/>
      <c r="G40" s="38"/>
      <c r="H40" s="38"/>
      <c r="I40" s="38"/>
      <c r="J40" s="47"/>
      <c r="L40" s="2"/>
    </row>
    <row r="41" spans="1:19" x14ac:dyDescent="0.2">
      <c r="C41" s="18"/>
      <c r="J41" s="47"/>
      <c r="L41" s="2"/>
      <c r="N41" s="18"/>
      <c r="O41" s="18"/>
      <c r="P41" s="18"/>
      <c r="Q41" s="18"/>
      <c r="R41" s="18"/>
    </row>
    <row r="42" spans="1:19" x14ac:dyDescent="0.2">
      <c r="A42" t="s">
        <v>52</v>
      </c>
      <c r="B42" s="24"/>
      <c r="C42" s="39">
        <f>AVERAGE(C31:C36,C37:C39)</f>
        <v>1.4581486526262719</v>
      </c>
      <c r="D42" s="39">
        <f>AVERAGE(D31:D36,D37:D38)</f>
        <v>1.0913563364656507</v>
      </c>
      <c r="E42" s="39">
        <f>AVERAGE(E31:E39)</f>
        <v>1.0275565408646421</v>
      </c>
      <c r="F42" s="39">
        <f>AVERAGE(F31:F39)</f>
        <v>1.003521180890887</v>
      </c>
      <c r="G42" s="39">
        <f>AVERAGE(G31:G39)</f>
        <v>1.0187482864886424</v>
      </c>
      <c r="H42" s="39">
        <f>AVERAGE(H31:H39)</f>
        <v>1.0062601213708573</v>
      </c>
      <c r="I42" s="39"/>
      <c r="J42" s="184"/>
      <c r="L42" s="2"/>
      <c r="N42" s="18"/>
      <c r="O42" s="18"/>
      <c r="P42" s="18"/>
      <c r="Q42" s="18"/>
    </row>
    <row r="43" spans="1:19" x14ac:dyDescent="0.2">
      <c r="A43" t="s">
        <v>76</v>
      </c>
      <c r="B43" s="21"/>
      <c r="C43" s="40">
        <f>(SUM(C31:C39)-MAX(C31:C39)-MIN(C31:C39))/(COUNT(C31:C39)-2)</f>
        <v>1.2614836300642125</v>
      </c>
      <c r="D43" s="40">
        <f>(SUM(D31:D39)-MAX(D31:D39)-MIN(D31:D39))/(COUNT(D31:D39)-2)</f>
        <v>1.094293845266807</v>
      </c>
      <c r="E43" s="40">
        <f t="shared" ref="E43:H43" si="9">(SUM(E31:E39)-MAX(E31:E39)-MIN(E31:E39))/(COUNT(E31:E39)-2)</f>
        <v>1.0239248744447611</v>
      </c>
      <c r="F43" s="40">
        <f t="shared" si="9"/>
        <v>1.0004704908160194</v>
      </c>
      <c r="G43" s="40">
        <f t="shared" si="9"/>
        <v>1.0024195337587773</v>
      </c>
      <c r="H43" s="40">
        <f t="shared" si="9"/>
        <v>1.00046875</v>
      </c>
      <c r="J43" s="47"/>
      <c r="L43" s="2"/>
      <c r="N43" s="18"/>
      <c r="O43" s="18"/>
      <c r="P43" s="18"/>
    </row>
    <row r="44" spans="1:19" x14ac:dyDescent="0.2">
      <c r="A44" t="s">
        <v>77</v>
      </c>
      <c r="C44" s="39">
        <f>AVERAGE(C37:C39)</f>
        <v>1.1816466203577418</v>
      </c>
      <c r="D44" s="39">
        <f>AVERAGE(D36:D38)</f>
        <v>1.0691478029162698</v>
      </c>
      <c r="E44" s="39">
        <f>AVERAGE(E35:E37)</f>
        <v>1.030253204773403</v>
      </c>
      <c r="F44" s="39">
        <f>AVERAGE(F34:F36)</f>
        <v>1.0006273210880259</v>
      </c>
      <c r="G44" s="39">
        <f>AVERAGE(G33:G35)</f>
        <v>1.0302398181404113</v>
      </c>
      <c r="H44" s="39">
        <f>AVERAGE(H32:H34)</f>
        <v>1.0083468284944763</v>
      </c>
      <c r="J44" s="47"/>
      <c r="L44" s="2"/>
      <c r="N44" s="18"/>
      <c r="O44" s="18"/>
    </row>
    <row r="45" spans="1:19" x14ac:dyDescent="0.2">
      <c r="A45" t="s">
        <v>53</v>
      </c>
      <c r="B45" s="24"/>
      <c r="C45" s="39">
        <f>AVERAGE(C35:C39)</f>
        <v>1.1923677570139373</v>
      </c>
      <c r="D45" s="39">
        <f>AVERAGE(D34:D38)</f>
        <v>1.0744696733751984</v>
      </c>
      <c r="E45" s="39">
        <f>AVERAGE(E33:E37)</f>
        <v>1.0239248744447611</v>
      </c>
      <c r="F45" s="39">
        <f>AVERAGE(F32:F36)</f>
        <v>1.0042254170690645</v>
      </c>
      <c r="G45" s="39">
        <f>AVERAGE(G31:G35)</f>
        <v>1.0187482864886424</v>
      </c>
      <c r="H45" s="39">
        <f>AVERAGE(H31:H34)</f>
        <v>1.0062601213708573</v>
      </c>
      <c r="I45" s="39"/>
      <c r="J45" s="184"/>
      <c r="L45" s="2"/>
      <c r="N45" s="18"/>
    </row>
    <row r="46" spans="1:19" x14ac:dyDescent="0.2">
      <c r="A46" t="s">
        <v>200</v>
      </c>
      <c r="C46" s="118">
        <v>1.2</v>
      </c>
      <c r="D46" s="118">
        <v>1.0811447498049076</v>
      </c>
      <c r="E46" s="118">
        <v>1.0294521827942869</v>
      </c>
      <c r="F46" s="118">
        <v>1.0034331960797243</v>
      </c>
      <c r="G46" s="118">
        <v>1.0124330435913493</v>
      </c>
      <c r="H46" s="118">
        <v>1.0062069021185902</v>
      </c>
      <c r="I46" s="118">
        <v>1</v>
      </c>
      <c r="J46" s="188"/>
      <c r="L46" s="2"/>
    </row>
    <row r="47" spans="1:19" x14ac:dyDescent="0.2">
      <c r="A47" t="s">
        <v>54</v>
      </c>
      <c r="C47" s="113">
        <v>1.2</v>
      </c>
      <c r="D47" s="113">
        <f>AVERAGE(D46,D42)</f>
        <v>1.0862505431352791</v>
      </c>
      <c r="E47" s="113">
        <f t="shared" ref="E47:I47" si="10">AVERAGE(E46,E42)</f>
        <v>1.0285043618294645</v>
      </c>
      <c r="F47" s="113">
        <f t="shared" si="10"/>
        <v>1.0034771884853058</v>
      </c>
      <c r="G47" s="113">
        <f t="shared" si="10"/>
        <v>1.015590665039996</v>
      </c>
      <c r="H47" s="113">
        <f t="shared" si="10"/>
        <v>1.0062335117447239</v>
      </c>
      <c r="I47" s="113">
        <f t="shared" si="10"/>
        <v>1</v>
      </c>
      <c r="J47" s="189"/>
      <c r="L47" s="2"/>
    </row>
    <row r="48" spans="1:19" x14ac:dyDescent="0.2">
      <c r="A48" t="s">
        <v>55</v>
      </c>
      <c r="C48" s="40">
        <f>ROUND(C47*D48,3)</f>
        <v>1.375</v>
      </c>
      <c r="D48" s="40">
        <f t="shared" ref="D48:H48" si="11">ROUND(D47*E48,3)</f>
        <v>1.1459999999999999</v>
      </c>
      <c r="E48" s="40">
        <f t="shared" si="11"/>
        <v>1.0549999999999999</v>
      </c>
      <c r="F48" s="40">
        <f t="shared" si="11"/>
        <v>1.026</v>
      </c>
      <c r="G48" s="40">
        <f t="shared" si="11"/>
        <v>1.022</v>
      </c>
      <c r="H48" s="40">
        <f t="shared" si="11"/>
        <v>1.006</v>
      </c>
      <c r="I48" s="40">
        <f>I47</f>
        <v>1</v>
      </c>
      <c r="J48" s="123"/>
      <c r="L48" s="2"/>
    </row>
    <row r="49" spans="1:12" ht="12" thickBot="1" x14ac:dyDescent="0.25">
      <c r="A49" s="6"/>
      <c r="B49" s="6"/>
      <c r="C49" s="6"/>
      <c r="D49" s="6"/>
      <c r="E49" s="6"/>
      <c r="F49" s="6"/>
      <c r="G49" s="6"/>
      <c r="H49" s="6"/>
      <c r="I49" s="6"/>
      <c r="J49" s="47"/>
      <c r="L49" s="2"/>
    </row>
    <row r="50" spans="1:12" ht="12" thickTop="1" x14ac:dyDescent="0.2">
      <c r="J50" s="47"/>
      <c r="L50" s="2"/>
    </row>
    <row r="51" spans="1:12" x14ac:dyDescent="0.2">
      <c r="A51" t="s">
        <v>19</v>
      </c>
      <c r="J51" s="47"/>
      <c r="L51" s="2"/>
    </row>
    <row r="52" spans="1:12" x14ac:dyDescent="0.2">
      <c r="B52" s="21" t="s">
        <v>383</v>
      </c>
      <c r="J52" s="47"/>
      <c r="L52" s="2"/>
    </row>
    <row r="53" spans="1:12" x14ac:dyDescent="0.2">
      <c r="B53" s="115" t="s">
        <v>487</v>
      </c>
      <c r="J53" s="47"/>
      <c r="L53" s="2"/>
    </row>
    <row r="54" spans="1:12" x14ac:dyDescent="0.2">
      <c r="J54" s="47"/>
      <c r="L54" s="2"/>
    </row>
    <row r="55" spans="1:12" x14ac:dyDescent="0.2">
      <c r="J55" s="47"/>
      <c r="L55" s="2"/>
    </row>
    <row r="56" spans="1:12" x14ac:dyDescent="0.2">
      <c r="J56" s="47"/>
      <c r="L56" s="2"/>
    </row>
    <row r="57" spans="1:12" x14ac:dyDescent="0.2">
      <c r="L57" s="2"/>
    </row>
    <row r="58" spans="1:12" x14ac:dyDescent="0.2">
      <c r="L58" s="2"/>
    </row>
    <row r="59" spans="1:12" x14ac:dyDescent="0.2">
      <c r="L59" s="2"/>
    </row>
    <row r="60" spans="1:12" x14ac:dyDescent="0.2">
      <c r="L60" s="2"/>
    </row>
    <row r="61" spans="1:12" x14ac:dyDescent="0.2">
      <c r="L61" s="2"/>
    </row>
    <row r="62" spans="1:12" x14ac:dyDescent="0.2">
      <c r="L62" s="2"/>
    </row>
    <row r="63" spans="1:12" x14ac:dyDescent="0.2">
      <c r="L63" s="2"/>
    </row>
    <row r="64" spans="1:12" x14ac:dyDescent="0.2">
      <c r="L64" s="2"/>
    </row>
    <row r="65" spans="1:12" x14ac:dyDescent="0.2">
      <c r="L65" s="2"/>
    </row>
    <row r="66" spans="1:12" x14ac:dyDescent="0.2">
      <c r="L66" s="2"/>
    </row>
    <row r="67" spans="1:12" x14ac:dyDescent="0.2">
      <c r="L67" s="2"/>
    </row>
    <row r="68" spans="1:12" ht="12" thickBot="1" x14ac:dyDescent="0.25">
      <c r="L68" s="2"/>
    </row>
    <row r="69" spans="1:12" ht="12" thickBot="1" x14ac:dyDescent="0.25">
      <c r="A69" s="4"/>
      <c r="B69" s="5"/>
      <c r="C69" s="5"/>
      <c r="D69" s="5"/>
      <c r="E69" s="5"/>
      <c r="F69" s="5"/>
      <c r="G69" s="5"/>
      <c r="H69" s="5"/>
      <c r="I69" s="5"/>
      <c r="J69" s="5"/>
      <c r="K69" s="5"/>
      <c r="L69" s="3"/>
    </row>
  </sheetData>
  <phoneticPr fontId="0" type="noConversion"/>
  <pageMargins left="0.5" right="0.5" top="0.5" bottom="0.5" header="0.5" footer="0.5"/>
  <pageSetup orientation="portrait" blackAndWhite="1" r:id="rId1"/>
  <headerFooter alignWithMargins="0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50"/>
  <dimension ref="A1:R76"/>
  <sheetViews>
    <sheetView showGridLines="0" view="pageBreakPreview" zoomScale="60" zoomScaleNormal="100" workbookViewId="0">
      <selection activeCell="F57" sqref="F57"/>
    </sheetView>
  </sheetViews>
  <sheetFormatPr defaultColWidth="11.33203125" defaultRowHeight="11.25" x14ac:dyDescent="0.2"/>
  <cols>
    <col min="1" max="1" width="4.5" style="190" bestFit="1" customWidth="1"/>
    <col min="2" max="2" width="3.5" style="190" customWidth="1"/>
    <col min="3" max="3" width="16.6640625" style="386" customWidth="1"/>
    <col min="4" max="4" width="10.1640625" style="190" customWidth="1"/>
    <col min="5" max="5" width="7" style="190" customWidth="1"/>
    <col min="6" max="6" width="13.83203125" style="190" customWidth="1"/>
    <col min="7" max="7" width="17.5" style="386" customWidth="1"/>
    <col min="8" max="8" width="19.5" style="190" customWidth="1"/>
    <col min="9" max="9" width="18.5" style="190" customWidth="1"/>
    <col min="10" max="10" width="14.1640625" style="190" customWidth="1"/>
    <col min="11" max="11" width="13.83203125" style="190" customWidth="1"/>
    <col min="12" max="12" width="17.1640625" style="190" customWidth="1"/>
    <col min="13" max="16384" width="11.33203125" style="190"/>
  </cols>
  <sheetData>
    <row r="1" spans="1:15" x14ac:dyDescent="0.2">
      <c r="A1" s="8" t="str">
        <f>'1'!$A$1</f>
        <v>Texas Windstorm Insurance Association</v>
      </c>
      <c r="C1" s="11"/>
      <c r="D1"/>
      <c r="E1"/>
      <c r="F1"/>
      <c r="G1" s="11"/>
      <c r="H1"/>
      <c r="I1"/>
      <c r="L1" s="7" t="s">
        <v>48</v>
      </c>
      <c r="M1" s="1"/>
    </row>
    <row r="2" spans="1:15" x14ac:dyDescent="0.2">
      <c r="A2" s="8" t="str">
        <f>'1'!$A$2</f>
        <v>Commercial Property - Wind &amp; Hail</v>
      </c>
      <c r="C2" s="11"/>
      <c r="D2"/>
      <c r="E2"/>
      <c r="F2"/>
      <c r="G2" s="11"/>
      <c r="H2"/>
      <c r="I2"/>
      <c r="L2" s="7" t="s">
        <v>66</v>
      </c>
      <c r="M2" s="2"/>
    </row>
    <row r="3" spans="1:15" x14ac:dyDescent="0.2">
      <c r="A3" s="8" t="str">
        <f>'1'!$A$3</f>
        <v>Rate Level Review</v>
      </c>
      <c r="C3" s="11"/>
      <c r="D3"/>
      <c r="E3"/>
      <c r="F3"/>
      <c r="G3" s="11"/>
      <c r="H3"/>
      <c r="I3"/>
      <c r="J3"/>
      <c r="K3"/>
      <c r="L3"/>
      <c r="M3" s="2"/>
    </row>
    <row r="4" spans="1:15" x14ac:dyDescent="0.2">
      <c r="A4" t="s">
        <v>265</v>
      </c>
      <c r="C4" s="11"/>
      <c r="D4"/>
      <c r="E4"/>
      <c r="F4"/>
      <c r="G4" s="11"/>
      <c r="H4"/>
      <c r="I4"/>
      <c r="J4"/>
      <c r="K4"/>
      <c r="L4"/>
      <c r="M4" s="2"/>
    </row>
    <row r="5" spans="1:15" x14ac:dyDescent="0.2">
      <c r="A5" s="12" t="s">
        <v>331</v>
      </c>
      <c r="C5" s="11"/>
      <c r="D5"/>
      <c r="E5"/>
      <c r="F5"/>
      <c r="G5" s="11"/>
      <c r="H5"/>
      <c r="I5"/>
      <c r="J5"/>
      <c r="K5"/>
      <c r="L5"/>
      <c r="M5" s="2"/>
    </row>
    <row r="6" spans="1:15" x14ac:dyDescent="0.2">
      <c r="A6"/>
      <c r="B6"/>
      <c r="C6" s="11"/>
      <c r="D6"/>
      <c r="E6"/>
      <c r="F6"/>
      <c r="G6" s="11"/>
      <c r="H6"/>
      <c r="I6"/>
      <c r="J6"/>
      <c r="K6"/>
      <c r="L6"/>
      <c r="M6" s="2"/>
    </row>
    <row r="7" spans="1:15" ht="12" thickBot="1" x14ac:dyDescent="0.25">
      <c r="A7" s="6"/>
      <c r="B7" s="6"/>
      <c r="C7" s="382"/>
      <c r="D7" s="6"/>
      <c r="E7" s="6"/>
      <c r="F7" s="6"/>
      <c r="G7" s="382"/>
      <c r="H7" s="6"/>
      <c r="I7" s="6"/>
      <c r="J7" s="6"/>
      <c r="K7" s="6"/>
      <c r="L7" s="6"/>
      <c r="M7" s="2"/>
    </row>
    <row r="8" spans="1:15" ht="12" thickTop="1" x14ac:dyDescent="0.2">
      <c r="A8"/>
      <c r="B8"/>
      <c r="C8" s="11"/>
      <c r="D8"/>
      <c r="E8"/>
      <c r="F8" t="s">
        <v>230</v>
      </c>
      <c r="G8" s="431" t="s">
        <v>52</v>
      </c>
      <c r="H8" s="47" t="s">
        <v>52</v>
      </c>
      <c r="I8"/>
      <c r="J8"/>
      <c r="K8"/>
      <c r="L8"/>
      <c r="M8" s="2"/>
    </row>
    <row r="9" spans="1:15" x14ac:dyDescent="0.2">
      <c r="A9"/>
      <c r="B9"/>
      <c r="C9" s="11"/>
      <c r="D9" s="12"/>
      <c r="E9" t="s">
        <v>366</v>
      </c>
      <c r="F9" t="s">
        <v>236</v>
      </c>
      <c r="G9" s="24" t="s">
        <v>189</v>
      </c>
      <c r="H9" t="s">
        <v>189</v>
      </c>
      <c r="I9"/>
      <c r="J9"/>
      <c r="K9"/>
      <c r="L9"/>
      <c r="M9" s="2"/>
    </row>
    <row r="10" spans="1:15" x14ac:dyDescent="0.2">
      <c r="A10" t="s">
        <v>266</v>
      </c>
      <c r="B10"/>
      <c r="C10" s="386" t="s">
        <v>511</v>
      </c>
      <c r="D10" t="s">
        <v>230</v>
      </c>
      <c r="E10" t="s">
        <v>226</v>
      </c>
      <c r="F10" s="190" t="s">
        <v>332</v>
      </c>
      <c r="G10" s="381" t="s">
        <v>333</v>
      </c>
      <c r="H10" s="190" t="s">
        <v>333</v>
      </c>
      <c r="I10" s="10" t="s">
        <v>334</v>
      </c>
      <c r="J10"/>
      <c r="K10"/>
      <c r="L10"/>
      <c r="M10" s="2"/>
      <c r="N10" t="s">
        <v>267</v>
      </c>
    </row>
    <row r="11" spans="1:15" x14ac:dyDescent="0.2">
      <c r="A11" s="9" t="s">
        <v>268</v>
      </c>
      <c r="B11" s="9"/>
      <c r="C11" s="383" t="s">
        <v>230</v>
      </c>
      <c r="D11" s="9" t="s">
        <v>100</v>
      </c>
      <c r="E11" s="9" t="s">
        <v>367</v>
      </c>
      <c r="F11" s="9" t="s">
        <v>230</v>
      </c>
      <c r="G11" s="432" t="s">
        <v>512</v>
      </c>
      <c r="H11" s="429" t="s">
        <v>513</v>
      </c>
      <c r="I11" s="9" t="s">
        <v>335</v>
      </c>
      <c r="J11" s="9" t="s">
        <v>323</v>
      </c>
      <c r="K11" s="9" t="s">
        <v>324</v>
      </c>
      <c r="L11" s="9" t="s">
        <v>325</v>
      </c>
      <c r="M11" s="2"/>
      <c r="N11" s="120" t="s">
        <v>28</v>
      </c>
      <c r="O11" s="192" t="s">
        <v>269</v>
      </c>
    </row>
    <row r="12" spans="1:15" x14ac:dyDescent="0.2">
      <c r="A12" s="13" t="str">
        <f>TEXT(COLUMN(),"(#)")</f>
        <v>(1)</v>
      </c>
      <c r="B12" s="13"/>
      <c r="C12" s="11" t="str">
        <f t="shared" ref="C12:L12" si="0">TEXT(COLUMN()-1,"(#)")</f>
        <v>(2)</v>
      </c>
      <c r="D12" s="11" t="str">
        <f t="shared" si="0"/>
        <v>(3)</v>
      </c>
      <c r="E12" s="11" t="str">
        <f t="shared" si="0"/>
        <v>(4)</v>
      </c>
      <c r="F12" s="11" t="str">
        <f t="shared" si="0"/>
        <v>(5)</v>
      </c>
      <c r="G12" s="11" t="str">
        <f t="shared" si="0"/>
        <v>(6)</v>
      </c>
      <c r="H12" s="430" t="s">
        <v>96</v>
      </c>
      <c r="I12" s="11" t="str">
        <f t="shared" si="0"/>
        <v>(8)</v>
      </c>
      <c r="J12" s="11" t="str">
        <f t="shared" si="0"/>
        <v>(9)</v>
      </c>
      <c r="K12" s="11" t="str">
        <f t="shared" si="0"/>
        <v>(10)</v>
      </c>
      <c r="L12" s="11" t="str">
        <f t="shared" si="0"/>
        <v>(11)</v>
      </c>
      <c r="M12" s="2"/>
    </row>
    <row r="13" spans="1:15" x14ac:dyDescent="0.2">
      <c r="A13" s="13"/>
      <c r="B13" s="13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2"/>
    </row>
    <row r="14" spans="1:15" x14ac:dyDescent="0.2">
      <c r="A14" s="76" t="str">
        <f t="shared" ref="A14:A21" si="1">YEAR(N14)&amp;" / "&amp;MONTH(N14)/3</f>
        <v>2009 / 2</v>
      </c>
      <c r="B14" s="13"/>
      <c r="C14" s="384">
        <f>'[2]TWIA 4 Premium Trend'!$C14</f>
        <v>11220</v>
      </c>
      <c r="D14" s="200">
        <f>'[2]TWIA 4 Premium Trend'!$B14</f>
        <v>31841452</v>
      </c>
      <c r="E14" s="37">
        <f>'[2]TWIA 5'!$I$117</f>
        <v>1.4071004226562505</v>
      </c>
      <c r="F14" s="319">
        <f>D14*E14</f>
        <v>44804120.56718871</v>
      </c>
      <c r="G14" s="342">
        <f>F14/C14</f>
        <v>3993.2371272004198</v>
      </c>
      <c r="H14" s="11"/>
      <c r="I14" s="11"/>
      <c r="J14" s="11"/>
      <c r="K14" s="11"/>
      <c r="L14" s="11"/>
      <c r="M14" s="2"/>
      <c r="N14" s="192">
        <f t="shared" ref="N14:N21" si="2">DATE(YEAR(N15+1),MONTH(N15+1)-3,1)-1</f>
        <v>39994</v>
      </c>
      <c r="O14" s="193">
        <f t="shared" ref="O14:O21" si="3">YEAR(N14)+MONTH(N14)/12</f>
        <v>2009.5</v>
      </c>
    </row>
    <row r="15" spans="1:15" x14ac:dyDescent="0.2">
      <c r="A15" s="76" t="str">
        <f t="shared" si="1"/>
        <v>2009 / 3</v>
      </c>
      <c r="B15" s="13"/>
      <c r="C15" s="384">
        <f>'[2]TWIA 4 Premium Trend'!$C15</f>
        <v>11788</v>
      </c>
      <c r="D15" s="200">
        <f>'[2]TWIA 4 Premium Trend'!$B15</f>
        <v>35544214</v>
      </c>
      <c r="E15" s="37">
        <f>E14</f>
        <v>1.4071004226562505</v>
      </c>
      <c r="F15" s="319">
        <f>D15*E15</f>
        <v>50014278.542384215</v>
      </c>
      <c r="G15" s="342">
        <f t="shared" ref="G15:G52" si="4">F15/C15</f>
        <v>4242.8129065476942</v>
      </c>
      <c r="H15" s="11"/>
      <c r="I15" s="11"/>
      <c r="J15" s="11"/>
      <c r="K15" s="11"/>
      <c r="L15" s="11"/>
      <c r="M15" s="2"/>
      <c r="N15" s="192">
        <f t="shared" si="2"/>
        <v>40086</v>
      </c>
      <c r="O15" s="193">
        <f t="shared" si="3"/>
        <v>2009.75</v>
      </c>
    </row>
    <row r="16" spans="1:15" x14ac:dyDescent="0.2">
      <c r="A16" s="76" t="str">
        <f t="shared" si="1"/>
        <v>2009 / 4</v>
      </c>
      <c r="B16" s="13"/>
      <c r="C16" s="384">
        <f>'[2]TWIA 4 Premium Trend'!$C16</f>
        <v>9742</v>
      </c>
      <c r="D16" s="200">
        <f>'[2]TWIA 4 Premium Trend'!$B16</f>
        <v>24176074</v>
      </c>
      <c r="E16" s="37">
        <f>E15</f>
        <v>1.4071004226562505</v>
      </c>
      <c r="F16" s="319">
        <f>D16*E16</f>
        <v>34018163.943568788</v>
      </c>
      <c r="G16" s="342">
        <f t="shared" si="4"/>
        <v>3491.9076107132814</v>
      </c>
      <c r="H16" s="11"/>
      <c r="I16" s="11"/>
      <c r="J16" s="11"/>
      <c r="K16" s="11"/>
      <c r="L16" s="11"/>
      <c r="M16" s="2"/>
      <c r="N16" s="192">
        <f t="shared" si="2"/>
        <v>40178</v>
      </c>
      <c r="O16" s="193">
        <f t="shared" si="3"/>
        <v>2010</v>
      </c>
    </row>
    <row r="17" spans="1:18" x14ac:dyDescent="0.2">
      <c r="A17" s="76" t="str">
        <f t="shared" si="1"/>
        <v>2010 / 1</v>
      </c>
      <c r="B17"/>
      <c r="C17" s="384">
        <f>'[2]TWIA 4 Premium Trend'!$C17</f>
        <v>7811</v>
      </c>
      <c r="D17" s="200">
        <f>'[2]TWIA 4 Premium Trend'!$B17</f>
        <v>23376688</v>
      </c>
      <c r="E17" s="37">
        <f>E16</f>
        <v>1.4071004226562505</v>
      </c>
      <c r="F17" s="319">
        <f>D17*E17</f>
        <v>32893347.5651033</v>
      </c>
      <c r="G17" s="342">
        <f t="shared" si="4"/>
        <v>4211.1570304830748</v>
      </c>
      <c r="H17" s="434">
        <f>IFERROR(SUM(F14:F17)/SUM(C14:C17),0)</f>
        <v>3987.3255249684426</v>
      </c>
      <c r="I17" s="392">
        <f>GROWTH($H$17:$H$52,$O$17:$O$52,$O17,1)</f>
        <v>4006.7333671843394</v>
      </c>
      <c r="J17"/>
      <c r="K17"/>
      <c r="L17"/>
      <c r="M17" s="2"/>
      <c r="N17" s="192">
        <f t="shared" si="2"/>
        <v>40268</v>
      </c>
      <c r="O17" s="193">
        <f t="shared" si="3"/>
        <v>2010.25</v>
      </c>
      <c r="P17" s="320"/>
      <c r="Q17" s="320"/>
    </row>
    <row r="18" spans="1:18" x14ac:dyDescent="0.2">
      <c r="A18" s="76" t="str">
        <f t="shared" si="1"/>
        <v>2010 / 2</v>
      </c>
      <c r="B18"/>
      <c r="C18" s="384">
        <f>'[2]TWIA 4 Premium Trend'!$C18</f>
        <v>10820</v>
      </c>
      <c r="D18" s="200">
        <f>'[2]TWIA 4 Premium Trend'!$B18</f>
        <v>34131354</v>
      </c>
      <c r="E18" s="37">
        <f>'[2]TWIA 5'!$I118</f>
        <v>1.4071004226562505</v>
      </c>
      <c r="F18" s="319">
        <f>D18*E18</f>
        <v>48026242.639230102</v>
      </c>
      <c r="G18" s="342">
        <f t="shared" si="4"/>
        <v>4438.6545877292147</v>
      </c>
      <c r="H18" s="434">
        <f t="shared" ref="H18:H52" si="5">IFERROR(SUM(F15:F18)/SUM(C15:C18),0)</f>
        <v>4107.2690592935032</v>
      </c>
      <c r="I18" s="392">
        <f t="shared" ref="I18:I51" si="6">GROWTH($H$17:$H$52,$O$17:$O$52,$O18,1)</f>
        <v>4015.0610428042742</v>
      </c>
      <c r="J18"/>
      <c r="K18" s="115"/>
      <c r="L18" s="115"/>
      <c r="M18" s="2"/>
      <c r="N18" s="192">
        <f t="shared" si="2"/>
        <v>40359</v>
      </c>
      <c r="O18" s="193">
        <f t="shared" si="3"/>
        <v>2010.5</v>
      </c>
      <c r="P18" s="320"/>
      <c r="Q18" s="320"/>
    </row>
    <row r="19" spans="1:18" x14ac:dyDescent="0.2">
      <c r="A19" s="76" t="str">
        <f t="shared" si="1"/>
        <v>2010 / 3</v>
      </c>
      <c r="C19" s="384">
        <f>'[2]TWIA 4 Premium Trend'!$C19</f>
        <v>11668</v>
      </c>
      <c r="D19" s="200">
        <f>'[2]TWIA 4 Premium Trend'!$B19</f>
        <v>31767550</v>
      </c>
      <c r="E19" s="37">
        <f>E18</f>
        <v>1.4071004226562505</v>
      </c>
      <c r="F19" s="319">
        <f t="shared" ref="F19:F51" si="7">D19*E19</f>
        <v>44700133.03175357</v>
      </c>
      <c r="G19" s="342">
        <f t="shared" si="4"/>
        <v>3831.0021453336963</v>
      </c>
      <c r="H19" s="434">
        <f t="shared" si="5"/>
        <v>3986.8606473278828</v>
      </c>
      <c r="I19" s="392">
        <f t="shared" si="6"/>
        <v>4023.406026833562</v>
      </c>
      <c r="J19" s="18"/>
      <c r="K19" s="18"/>
      <c r="L19" s="18"/>
      <c r="M19" s="2"/>
      <c r="N19" s="192">
        <f t="shared" si="2"/>
        <v>40451</v>
      </c>
      <c r="O19" s="193">
        <f t="shared" si="3"/>
        <v>2010.75</v>
      </c>
      <c r="P19" s="320"/>
      <c r="Q19" s="320"/>
    </row>
    <row r="20" spans="1:18" x14ac:dyDescent="0.2">
      <c r="A20" s="76" t="str">
        <f t="shared" si="1"/>
        <v>2010 / 4</v>
      </c>
      <c r="C20" s="384">
        <f>'[2]TWIA 4 Premium Trend'!$C20</f>
        <v>8548</v>
      </c>
      <c r="D20" s="200">
        <f>'[2]TWIA 4 Premium Trend'!$B20</f>
        <v>20776517</v>
      </c>
      <c r="E20" s="37">
        <f>E19</f>
        <v>1.4071004226562505</v>
      </c>
      <c r="F20" s="319">
        <f t="shared" si="7"/>
        <v>29234645.852024771</v>
      </c>
      <c r="G20" s="342">
        <f t="shared" si="4"/>
        <v>3420.0568380936793</v>
      </c>
      <c r="H20" s="434">
        <f t="shared" si="5"/>
        <v>3986.2632658406501</v>
      </c>
      <c r="I20" s="392">
        <f t="shared" si="6"/>
        <v>4031.7683552463368</v>
      </c>
      <c r="J20" s="18"/>
      <c r="K20" s="18"/>
      <c r="L20" s="18"/>
      <c r="M20" s="2"/>
      <c r="N20" s="192">
        <f t="shared" si="2"/>
        <v>40543</v>
      </c>
      <c r="O20" s="193">
        <f t="shared" si="3"/>
        <v>2011</v>
      </c>
      <c r="P20" s="320"/>
      <c r="Q20" s="320"/>
    </row>
    <row r="21" spans="1:18" x14ac:dyDescent="0.2">
      <c r="A21" s="76" t="str">
        <f t="shared" si="1"/>
        <v>2011 / 1</v>
      </c>
      <c r="B21"/>
      <c r="C21" s="384">
        <f>'[2]TWIA 4 Premium Trend'!$C21</f>
        <v>6214</v>
      </c>
      <c r="D21" s="200">
        <f>'[2]TWIA 4 Premium Trend'!$B21</f>
        <v>19850492</v>
      </c>
      <c r="E21" s="37">
        <f>'[2]TWIA 5'!$I$137</f>
        <v>1.3400956406250004</v>
      </c>
      <c r="F21" s="319">
        <f>D21*E21</f>
        <v>26601557.793461446</v>
      </c>
      <c r="G21" s="342">
        <f t="shared" si="4"/>
        <v>4280.9072728454212</v>
      </c>
      <c r="H21" s="434">
        <f t="shared" si="5"/>
        <v>3988.2571628582518</v>
      </c>
      <c r="I21" s="392">
        <f t="shared" si="6"/>
        <v>4040.1480640915006</v>
      </c>
      <c r="M21" s="2"/>
      <c r="N21" s="192">
        <f t="shared" si="2"/>
        <v>40633</v>
      </c>
      <c r="O21" s="193">
        <f t="shared" si="3"/>
        <v>2011.25</v>
      </c>
      <c r="P21" s="320"/>
      <c r="Q21" s="320"/>
    </row>
    <row r="22" spans="1:18" x14ac:dyDescent="0.2">
      <c r="A22" s="76" t="str">
        <f t="shared" ref="A22:A52" si="8">YEAR(N22)&amp;" / "&amp;MONTH(N22)/3</f>
        <v>2011 / 2</v>
      </c>
      <c r="B22" s="48"/>
      <c r="C22" s="384">
        <f>'[2]TWIA 4 Premium Trend'!$C22</f>
        <v>9658</v>
      </c>
      <c r="D22" s="200">
        <f>'[2]TWIA 4 Premium Trend'!$B22</f>
        <v>29228333</v>
      </c>
      <c r="E22" s="37">
        <f>E21</f>
        <v>1.3400956406250004</v>
      </c>
      <c r="F22" s="319">
        <f t="shared" si="7"/>
        <v>39168761.636035837</v>
      </c>
      <c r="G22" s="342">
        <f t="shared" si="4"/>
        <v>4055.5768933563718</v>
      </c>
      <c r="H22" s="434">
        <f t="shared" si="5"/>
        <v>3871.2341585367881</v>
      </c>
      <c r="I22" s="392">
        <f t="shared" si="6"/>
        <v>4048.5451894929251</v>
      </c>
      <c r="J22" s="123"/>
      <c r="K22" s="123"/>
      <c r="L22" s="123"/>
      <c r="M22" s="2"/>
      <c r="N22" s="192">
        <f t="shared" ref="N22:N47" si="9">DATE(YEAR(N23+1),MONTH(N23+1)-3,1)-1</f>
        <v>40724</v>
      </c>
      <c r="O22" s="193">
        <f t="shared" ref="O22:O47" si="10">YEAR(N22)+MONTH(N22)/12</f>
        <v>2011.5</v>
      </c>
      <c r="P22" s="323"/>
      <c r="Q22" s="320"/>
      <c r="R22" s="195"/>
    </row>
    <row r="23" spans="1:18" x14ac:dyDescent="0.2">
      <c r="A23" s="76" t="str">
        <f t="shared" si="8"/>
        <v>2011 / 3</v>
      </c>
      <c r="C23" s="384">
        <f>'[2]TWIA 4 Premium Trend'!$C23</f>
        <v>10928</v>
      </c>
      <c r="D23" s="200">
        <f>'[2]TWIA 4 Premium Trend'!$B23</f>
        <v>31567447</v>
      </c>
      <c r="E23" s="37">
        <f>E22</f>
        <v>1.3400956406250004</v>
      </c>
      <c r="F23" s="319">
        <f t="shared" si="7"/>
        <v>42303398.110360749</v>
      </c>
      <c r="G23" s="342">
        <f t="shared" si="4"/>
        <v>3871.1015840374039</v>
      </c>
      <c r="H23" s="434">
        <f t="shared" si="5"/>
        <v>3884.4733334808989</v>
      </c>
      <c r="I23" s="392">
        <f t="shared" si="6"/>
        <v>4056.9597676495032</v>
      </c>
      <c r="M23" s="2"/>
      <c r="N23" s="192">
        <f t="shared" si="9"/>
        <v>40816</v>
      </c>
      <c r="O23" s="193">
        <f t="shared" si="10"/>
        <v>2011.75</v>
      </c>
      <c r="P23" s="323"/>
      <c r="Q23" s="320"/>
      <c r="R23" s="195"/>
    </row>
    <row r="24" spans="1:18" x14ac:dyDescent="0.2">
      <c r="A24" s="76" t="str">
        <f t="shared" si="8"/>
        <v>2011 / 4</v>
      </c>
      <c r="C24" s="384">
        <f>'[2]TWIA 4 Premium Trend'!$C24</f>
        <v>7912</v>
      </c>
      <c r="D24" s="200">
        <f>'[2]TWIA 4 Premium Trend'!$B24</f>
        <v>23026165</v>
      </c>
      <c r="E24" s="37">
        <f>E23</f>
        <v>1.3400956406250004</v>
      </c>
      <c r="F24" s="319">
        <f t="shared" si="7"/>
        <v>30857263.336811963</v>
      </c>
      <c r="G24" s="342">
        <f t="shared" si="4"/>
        <v>3900.0585612755262</v>
      </c>
      <c r="H24" s="434">
        <f t="shared" si="5"/>
        <v>4002.3905530269071</v>
      </c>
      <c r="I24" s="392">
        <f t="shared" si="6"/>
        <v>4065.3918348354241</v>
      </c>
      <c r="J24" s="194"/>
      <c r="K24" s="194"/>
      <c r="L24" s="194"/>
      <c r="M24" s="2"/>
      <c r="N24" s="192">
        <f t="shared" si="9"/>
        <v>40908</v>
      </c>
      <c r="O24" s="193">
        <f t="shared" si="10"/>
        <v>2012</v>
      </c>
      <c r="P24" s="323"/>
      <c r="Q24" s="320"/>
      <c r="R24" s="195"/>
    </row>
    <row r="25" spans="1:18" x14ac:dyDescent="0.2">
      <c r="A25" s="76" t="str">
        <f t="shared" si="8"/>
        <v>2012 / 1</v>
      </c>
      <c r="B25"/>
      <c r="C25" s="384">
        <f>'[2]TWIA 4 Premium Trend'!$C25</f>
        <v>7909</v>
      </c>
      <c r="D25" s="200">
        <f>'[2]TWIA 4 Premium Trend'!$B25</f>
        <v>24771378</v>
      </c>
      <c r="E25" s="37">
        <f>'[2]TWIA 5'!$I$149</f>
        <v>1.2762815625000004</v>
      </c>
      <c r="F25" s="319">
        <f>D25*E25</f>
        <v>31615253.019118134</v>
      </c>
      <c r="G25" s="342">
        <f t="shared" si="4"/>
        <v>3997.3767883573314</v>
      </c>
      <c r="H25" s="434">
        <f t="shared" si="5"/>
        <v>3953.7637295664758</v>
      </c>
      <c r="I25" s="392">
        <f t="shared" si="6"/>
        <v>4073.8414274002243</v>
      </c>
      <c r="J25" s="194"/>
      <c r="K25" s="194"/>
      <c r="L25" s="194"/>
      <c r="M25" s="2"/>
      <c r="N25" s="192">
        <f t="shared" si="9"/>
        <v>40999</v>
      </c>
      <c r="O25" s="193">
        <f t="shared" si="10"/>
        <v>2012.25</v>
      </c>
      <c r="P25" s="323"/>
      <c r="Q25" s="320"/>
      <c r="R25" s="195"/>
    </row>
    <row r="26" spans="1:18" x14ac:dyDescent="0.2">
      <c r="A26" s="76" t="str">
        <f t="shared" si="8"/>
        <v>2012 / 2</v>
      </c>
      <c r="B26" s="24"/>
      <c r="C26" s="384">
        <f>'[2]TWIA 4 Premium Trend'!$C26</f>
        <v>9232</v>
      </c>
      <c r="D26" s="200">
        <f>'[2]TWIA 4 Premium Trend'!$B26</f>
        <v>32088566</v>
      </c>
      <c r="E26" s="37">
        <f>E25</f>
        <v>1.2762815625000004</v>
      </c>
      <c r="F26" s="319">
        <f t="shared" si="7"/>
        <v>40954045.152864389</v>
      </c>
      <c r="G26" s="342">
        <f t="shared" si="4"/>
        <v>4436.0967453275989</v>
      </c>
      <c r="H26" s="434">
        <f t="shared" si="5"/>
        <v>4050.1920352173433</v>
      </c>
      <c r="I26" s="392">
        <f t="shared" si="6"/>
        <v>4082.3085817689921</v>
      </c>
      <c r="J26" s="194"/>
      <c r="K26" s="194"/>
      <c r="L26" s="194"/>
      <c r="M26" s="2"/>
      <c r="N26" s="192">
        <f t="shared" si="9"/>
        <v>41090</v>
      </c>
      <c r="O26" s="193">
        <f t="shared" si="10"/>
        <v>2012.5</v>
      </c>
      <c r="P26" s="325"/>
      <c r="Q26" s="320"/>
      <c r="R26" s="195"/>
    </row>
    <row r="27" spans="1:18" x14ac:dyDescent="0.2">
      <c r="A27" s="76" t="str">
        <f t="shared" si="8"/>
        <v>2012 / 3</v>
      </c>
      <c r="B27" s="24"/>
      <c r="C27" s="384">
        <f>'[2]TWIA 4 Premium Trend'!$C27</f>
        <v>10836</v>
      </c>
      <c r="D27" s="200">
        <f>'[2]TWIA 4 Premium Trend'!$B27</f>
        <v>32876434</v>
      </c>
      <c r="E27" s="37">
        <f>E26</f>
        <v>1.2762815625000004</v>
      </c>
      <c r="F27" s="319">
        <f t="shared" si="7"/>
        <v>41959586.554948136</v>
      </c>
      <c r="G27" s="342">
        <f t="shared" si="4"/>
        <v>3872.2394384411346</v>
      </c>
      <c r="H27" s="434">
        <f t="shared" si="5"/>
        <v>4050.9946798111578</v>
      </c>
      <c r="I27" s="392">
        <f t="shared" si="6"/>
        <v>4090.7933344425633</v>
      </c>
      <c r="J27" s="194"/>
      <c r="K27" s="194"/>
      <c r="L27" s="194"/>
      <c r="M27" s="2"/>
      <c r="N27" s="192">
        <f t="shared" si="9"/>
        <v>41182</v>
      </c>
      <c r="O27" s="193">
        <f t="shared" si="10"/>
        <v>2012.75</v>
      </c>
      <c r="P27" s="325"/>
      <c r="Q27" s="320"/>
      <c r="R27" s="195"/>
    </row>
    <row r="28" spans="1:18" x14ac:dyDescent="0.2">
      <c r="A28" s="76" t="str">
        <f t="shared" si="8"/>
        <v>2012 / 4</v>
      </c>
      <c r="B28" s="24"/>
      <c r="C28" s="384">
        <f>'[2]TWIA 4 Premium Trend'!$C28</f>
        <v>7698</v>
      </c>
      <c r="D28" s="200">
        <f>'[2]TWIA 4 Premium Trend'!$B28</f>
        <v>24799106</v>
      </c>
      <c r="E28" s="37">
        <f>E27</f>
        <v>1.2762815625000004</v>
      </c>
      <c r="F28" s="319">
        <f t="shared" si="7"/>
        <v>31650641.754283134</v>
      </c>
      <c r="G28" s="342">
        <f t="shared" si="4"/>
        <v>4111.5408877998352</v>
      </c>
      <c r="H28" s="434">
        <f t="shared" si="5"/>
        <v>4097.5340289057831</v>
      </c>
      <c r="I28" s="392">
        <f t="shared" si="6"/>
        <v>4099.295721997597</v>
      </c>
      <c r="J28" s="194"/>
      <c r="K28" s="194"/>
      <c r="L28" s="194"/>
      <c r="M28" s="2"/>
      <c r="N28" s="192">
        <f t="shared" si="9"/>
        <v>41274</v>
      </c>
      <c r="O28" s="193">
        <f t="shared" si="10"/>
        <v>2013</v>
      </c>
      <c r="P28" s="325"/>
      <c r="Q28" s="320"/>
      <c r="R28" s="195"/>
    </row>
    <row r="29" spans="1:18" x14ac:dyDescent="0.2">
      <c r="A29" s="76" t="str">
        <f t="shared" si="8"/>
        <v>2013 / 1</v>
      </c>
      <c r="B29" s="24"/>
      <c r="C29" s="384">
        <f>'[2]TWIA 4 Premium Trend'!$C29</f>
        <v>7144</v>
      </c>
      <c r="D29" s="200">
        <f>'[2]TWIA 4 Premium Trend'!$B29</f>
        <v>24974712</v>
      </c>
      <c r="E29" s="37">
        <f>'[2]TWIA 5'!$I$161</f>
        <v>1.2155062500000002</v>
      </c>
      <c r="F29" s="319">
        <f t="shared" si="7"/>
        <v>30356918.527950007</v>
      </c>
      <c r="G29" s="342">
        <f t="shared" si="4"/>
        <v>4249.2887077197656</v>
      </c>
      <c r="H29" s="434">
        <f t="shared" si="5"/>
        <v>4151.280205959486</v>
      </c>
      <c r="I29" s="392">
        <f t="shared" si="6"/>
        <v>4107.8157810867724</v>
      </c>
      <c r="J29" s="202"/>
      <c r="K29" s="202"/>
      <c r="L29" s="202"/>
      <c r="M29" s="2"/>
      <c r="N29" s="192">
        <f t="shared" si="9"/>
        <v>41364</v>
      </c>
      <c r="O29" s="193">
        <f t="shared" si="10"/>
        <v>2013.25</v>
      </c>
      <c r="P29" s="325"/>
      <c r="Q29" s="320"/>
      <c r="R29" s="195"/>
    </row>
    <row r="30" spans="1:18" x14ac:dyDescent="0.2">
      <c r="A30" s="76" t="str">
        <f t="shared" si="8"/>
        <v>2013 / 2</v>
      </c>
      <c r="B30" s="24"/>
      <c r="C30" s="384">
        <f>'[2]TWIA 4 Premium Trend'!$C30</f>
        <v>9194</v>
      </c>
      <c r="D30" s="200">
        <f>'[2]TWIA 4 Premium Trend'!$B30</f>
        <v>32706056</v>
      </c>
      <c r="E30" s="37">
        <f>E29</f>
        <v>1.2155062500000002</v>
      </c>
      <c r="F30" s="319">
        <f t="shared" si="7"/>
        <v>39754415.480850011</v>
      </c>
      <c r="G30" s="342">
        <f t="shared" si="4"/>
        <v>4323.9520862355894</v>
      </c>
      <c r="H30" s="434">
        <f t="shared" si="5"/>
        <v>4121.4029111617137</v>
      </c>
      <c r="I30" s="392">
        <f t="shared" si="6"/>
        <v>4116.3535484389922</v>
      </c>
      <c r="J30" s="202"/>
      <c r="K30" s="202"/>
      <c r="L30" s="202"/>
      <c r="M30" s="2"/>
      <c r="N30" s="192">
        <f t="shared" si="9"/>
        <v>41455</v>
      </c>
      <c r="O30" s="193">
        <f t="shared" si="10"/>
        <v>2013.5</v>
      </c>
      <c r="P30" s="325"/>
      <c r="Q30" s="320"/>
      <c r="R30" s="195"/>
    </row>
    <row r="31" spans="1:18" x14ac:dyDescent="0.2">
      <c r="A31" s="76" t="str">
        <f t="shared" si="8"/>
        <v>2013 / 3</v>
      </c>
      <c r="B31" s="24"/>
      <c r="C31" s="384">
        <f>'[2]TWIA 4 Premium Trend'!$C31</f>
        <v>10002</v>
      </c>
      <c r="D31" s="200">
        <f>'[2]TWIA 4 Premium Trend'!$B31</f>
        <v>35220808</v>
      </c>
      <c r="E31" s="37">
        <f>E30</f>
        <v>1.2155062500000002</v>
      </c>
      <c r="F31" s="319">
        <f t="shared" si="7"/>
        <v>42811112.254050009</v>
      </c>
      <c r="G31" s="342">
        <f t="shared" si="4"/>
        <v>4280.255174370127</v>
      </c>
      <c r="H31" s="434">
        <f t="shared" si="5"/>
        <v>4247.4025505944292</v>
      </c>
      <c r="I31" s="392">
        <f t="shared" si="6"/>
        <v>4124.9090608594406</v>
      </c>
      <c r="J31" s="202"/>
      <c r="K31" s="202"/>
      <c r="L31" s="202"/>
      <c r="M31" s="2"/>
      <c r="N31" s="192">
        <f t="shared" si="9"/>
        <v>41547</v>
      </c>
      <c r="O31" s="193">
        <f t="shared" si="10"/>
        <v>2013.75</v>
      </c>
      <c r="P31" s="325"/>
      <c r="Q31" s="320"/>
      <c r="R31" s="195"/>
    </row>
    <row r="32" spans="1:18" x14ac:dyDescent="0.2">
      <c r="A32" s="76" t="str">
        <f t="shared" si="8"/>
        <v>2013 / 4</v>
      </c>
      <c r="B32" s="24"/>
      <c r="C32" s="384">
        <f>'[2]TWIA 4 Premium Trend'!$C32</f>
        <v>7133</v>
      </c>
      <c r="D32" s="200">
        <f>'[2]TWIA 4 Premium Trend'!$B32</f>
        <v>24211988</v>
      </c>
      <c r="E32" s="37">
        <f>E31</f>
        <v>1.2155062500000002</v>
      </c>
      <c r="F32" s="319">
        <f t="shared" si="7"/>
        <v>29429822.738925006</v>
      </c>
      <c r="G32" s="342">
        <f t="shared" si="4"/>
        <v>4125.8688825073614</v>
      </c>
      <c r="H32" s="434">
        <f t="shared" si="5"/>
        <v>4252.7490515273512</v>
      </c>
      <c r="I32" s="392">
        <f t="shared" si="6"/>
        <v>4133.4823552298531</v>
      </c>
      <c r="J32" s="202"/>
      <c r="K32" s="202"/>
      <c r="L32" s="202"/>
      <c r="M32" s="2"/>
      <c r="N32" s="192">
        <f t="shared" si="9"/>
        <v>41639</v>
      </c>
      <c r="O32" s="193">
        <f t="shared" si="10"/>
        <v>2014</v>
      </c>
      <c r="P32" s="325"/>
      <c r="Q32" s="320"/>
      <c r="R32" s="195"/>
    </row>
    <row r="33" spans="1:18" x14ac:dyDescent="0.2">
      <c r="A33" s="76" t="str">
        <f t="shared" si="8"/>
        <v>2014 / 1</v>
      </c>
      <c r="B33" s="24"/>
      <c r="C33" s="384">
        <f>'[2]TWIA 4 Premium Trend'!$C33</f>
        <v>6329</v>
      </c>
      <c r="D33" s="200">
        <f>'[2]TWIA 4 Premium Trend'!$B33</f>
        <v>23028882</v>
      </c>
      <c r="E33" s="37">
        <f>'[2]TWIA 5'!$I$173</f>
        <v>1.1576250000000001</v>
      </c>
      <c r="F33" s="319">
        <f t="shared" si="7"/>
        <v>26658809.525250003</v>
      </c>
      <c r="G33" s="342">
        <f t="shared" si="4"/>
        <v>4212.1677240085328</v>
      </c>
      <c r="H33" s="434">
        <f t="shared" si="5"/>
        <v>4245.641496695298</v>
      </c>
      <c r="I33" s="392">
        <f t="shared" si="6"/>
        <v>4142.0734685085799</v>
      </c>
      <c r="J33" s="202">
        <f>GROWTH($H$33:$H$52,$O$33:$O$52,$O33,1)</f>
        <v>4306.8927923933752</v>
      </c>
      <c r="K33" s="202"/>
      <c r="L33" s="202"/>
      <c r="M33" s="2"/>
      <c r="N33" s="192">
        <f t="shared" si="9"/>
        <v>41729</v>
      </c>
      <c r="O33" s="193">
        <f t="shared" si="10"/>
        <v>2014.25</v>
      </c>
      <c r="P33" s="325"/>
      <c r="Q33" s="320"/>
      <c r="R33" s="195"/>
    </row>
    <row r="34" spans="1:18" x14ac:dyDescent="0.2">
      <c r="A34" s="76" t="str">
        <f t="shared" si="8"/>
        <v>2014 / 2</v>
      </c>
      <c r="B34" s="24"/>
      <c r="C34" s="384">
        <f>'[2]TWIA 4 Premium Trend'!$C34</f>
        <v>8964</v>
      </c>
      <c r="D34" s="200">
        <f>'[2]TWIA 4 Premium Trend'!$B34</f>
        <v>35219745</v>
      </c>
      <c r="E34" s="37">
        <f>E33</f>
        <v>1.1576250000000001</v>
      </c>
      <c r="F34" s="319">
        <f t="shared" si="7"/>
        <v>40771257.305625007</v>
      </c>
      <c r="G34" s="342">
        <f t="shared" si="4"/>
        <v>4548.3330327560252</v>
      </c>
      <c r="H34" s="434">
        <f t="shared" si="5"/>
        <v>4307.1111947653271</v>
      </c>
      <c r="I34" s="392">
        <f t="shared" si="6"/>
        <v>4150.6824377307858</v>
      </c>
      <c r="J34" s="202">
        <f t="shared" ref="J34:J52" si="11">GROWTH($H$33:$H$52,$O$33:$O$52,$O34,1)</f>
        <v>4300.370524230585</v>
      </c>
      <c r="K34" s="202"/>
      <c r="L34" s="202"/>
      <c r="M34" s="2"/>
      <c r="N34" s="192">
        <f t="shared" si="9"/>
        <v>41820</v>
      </c>
      <c r="O34" s="193">
        <f t="shared" si="10"/>
        <v>2014.5</v>
      </c>
      <c r="P34" s="325"/>
      <c r="Q34" s="320"/>
      <c r="R34" s="195"/>
    </row>
    <row r="35" spans="1:18" x14ac:dyDescent="0.2">
      <c r="A35" s="76" t="str">
        <f t="shared" si="8"/>
        <v>2014 / 3</v>
      </c>
      <c r="B35" s="48"/>
      <c r="C35" s="384">
        <f>'[2]TWIA 4 Premium Trend'!$C35</f>
        <v>8292</v>
      </c>
      <c r="D35" s="200">
        <f>'[2]TWIA 4 Premium Trend'!$B35</f>
        <v>29887118</v>
      </c>
      <c r="E35" s="37">
        <f>E34</f>
        <v>1.1576250000000001</v>
      </c>
      <c r="F35" s="319">
        <f t="shared" si="7"/>
        <v>34598074.974750005</v>
      </c>
      <c r="G35" s="342">
        <f t="shared" si="4"/>
        <v>4172.4644204956594</v>
      </c>
      <c r="H35" s="434">
        <f t="shared" si="5"/>
        <v>4279.5092305667695</v>
      </c>
      <c r="I35" s="392">
        <f t="shared" si="6"/>
        <v>4159.3093000086546</v>
      </c>
      <c r="J35" s="202">
        <f t="shared" si="11"/>
        <v>4293.8581332539861</v>
      </c>
      <c r="K35" s="202"/>
      <c r="L35" s="202"/>
      <c r="M35" s="2"/>
      <c r="N35" s="192">
        <f t="shared" si="9"/>
        <v>41912</v>
      </c>
      <c r="O35" s="193">
        <f t="shared" si="10"/>
        <v>2014.75</v>
      </c>
      <c r="P35" s="325"/>
      <c r="Q35" s="320"/>
      <c r="R35" s="195"/>
    </row>
    <row r="36" spans="1:18" x14ac:dyDescent="0.2">
      <c r="A36" s="76" t="str">
        <f t="shared" si="8"/>
        <v>2014 / 4</v>
      </c>
      <c r="B36" s="47"/>
      <c r="C36" s="384">
        <f>'[2]TWIA 4 Premium Trend'!$C36</f>
        <v>6088</v>
      </c>
      <c r="D36" s="200">
        <f>'[2]TWIA 4 Premium Trend'!$B36</f>
        <v>21627063</v>
      </c>
      <c r="E36" s="37">
        <f>E35</f>
        <v>1.1576250000000001</v>
      </c>
      <c r="F36" s="319">
        <f t="shared" si="7"/>
        <v>25036028.805375002</v>
      </c>
      <c r="G36" s="342">
        <f t="shared" si="4"/>
        <v>4112.3568997002303</v>
      </c>
      <c r="H36" s="434">
        <f t="shared" si="5"/>
        <v>4282.147764331211</v>
      </c>
      <c r="I36" s="392">
        <f t="shared" si="6"/>
        <v>4167.9540925314595</v>
      </c>
      <c r="J36" s="202">
        <f t="shared" si="11"/>
        <v>4287.3556045057685</v>
      </c>
      <c r="K36" s="202"/>
      <c r="L36" s="202"/>
      <c r="M36" s="2"/>
      <c r="N36" s="192">
        <f t="shared" si="9"/>
        <v>42004</v>
      </c>
      <c r="O36" s="193">
        <f t="shared" si="10"/>
        <v>2015</v>
      </c>
      <c r="P36" s="325"/>
      <c r="Q36" s="320"/>
      <c r="R36" s="195"/>
    </row>
    <row r="37" spans="1:18" x14ac:dyDescent="0.2">
      <c r="A37" s="76" t="str">
        <f t="shared" si="8"/>
        <v>2015 / 1</v>
      </c>
      <c r="B37" s="47"/>
      <c r="C37" s="384">
        <f>'[2]TWIA 4 Premium Trend'!$C37</f>
        <v>6464</v>
      </c>
      <c r="D37" s="200">
        <f>'[2]TWIA 4 Premium Trend'!$B37</f>
        <v>24808373</v>
      </c>
      <c r="E37" s="37">
        <f>'[2]TWIA 5'!$I$185</f>
        <v>1.1025</v>
      </c>
      <c r="F37" s="319">
        <f t="shared" si="7"/>
        <v>27351231.232500002</v>
      </c>
      <c r="G37" s="342">
        <f t="shared" si="4"/>
        <v>4231.3167129486392</v>
      </c>
      <c r="H37" s="434">
        <f t="shared" si="5"/>
        <v>4285.9833708484302</v>
      </c>
      <c r="I37" s="392">
        <f t="shared" si="6"/>
        <v>4176.6168525657695</v>
      </c>
      <c r="J37" s="202">
        <f t="shared" si="11"/>
        <v>4280.8629230507804</v>
      </c>
      <c r="K37" s="202">
        <f>GROWTH($H$37:$H$52,$O$37:$O$52,$O37,1)</f>
        <v>4303.5373400791677</v>
      </c>
      <c r="L37" s="202"/>
      <c r="M37" s="2"/>
      <c r="N37" s="192">
        <f t="shared" si="9"/>
        <v>42094</v>
      </c>
      <c r="O37" s="193">
        <f>YEAR(N37)+MONTH(N37)/12</f>
        <v>2015.25</v>
      </c>
      <c r="P37" s="325"/>
      <c r="Q37" s="320"/>
      <c r="R37" s="195"/>
    </row>
    <row r="38" spans="1:18" x14ac:dyDescent="0.2">
      <c r="A38" s="76" t="str">
        <f t="shared" si="8"/>
        <v>2015 / 2</v>
      </c>
      <c r="B38" s="196"/>
      <c r="C38" s="384">
        <f>'[2]TWIA 4 Premium Trend'!$C38</f>
        <v>7870</v>
      </c>
      <c r="D38" s="200">
        <f>'[2]TWIA 4 Premium Trend'!$B38</f>
        <v>33339199</v>
      </c>
      <c r="E38" s="37">
        <f>E37</f>
        <v>1.1025</v>
      </c>
      <c r="F38" s="319">
        <f t="shared" si="7"/>
        <v>36756466.897500001</v>
      </c>
      <c r="G38" s="342">
        <f t="shared" si="4"/>
        <v>4670.4532271283351</v>
      </c>
      <c r="H38" s="434">
        <f t="shared" si="5"/>
        <v>4309.4588671075089</v>
      </c>
      <c r="I38" s="392">
        <f t="shared" si="6"/>
        <v>4185.2976174556534</v>
      </c>
      <c r="J38" s="202">
        <f t="shared" si="11"/>
        <v>4274.3800739764865</v>
      </c>
      <c r="K38" s="202">
        <f t="shared" ref="K38:K52" si="12">GROWTH($H$37:$H$52,$O$37:$O$52,$O38,1)</f>
        <v>4294.6143837686386</v>
      </c>
      <c r="L38" s="202"/>
      <c r="M38" s="2"/>
      <c r="N38" s="192">
        <f t="shared" si="9"/>
        <v>42185</v>
      </c>
      <c r="O38" s="193">
        <f t="shared" si="10"/>
        <v>2015.5</v>
      </c>
      <c r="P38" s="325"/>
      <c r="Q38" s="320"/>
      <c r="R38" s="195"/>
    </row>
    <row r="39" spans="1:18" x14ac:dyDescent="0.2">
      <c r="A39" s="76" t="str">
        <f t="shared" si="8"/>
        <v>2015 / 3</v>
      </c>
      <c r="B39" s="196"/>
      <c r="C39" s="384">
        <f>'[2]TWIA 4 Premium Trend'!$C39</f>
        <v>7657</v>
      </c>
      <c r="D39" s="200">
        <f>'[2]TWIA 4 Premium Trend'!$B39</f>
        <v>28055666</v>
      </c>
      <c r="E39" s="37">
        <f>E38</f>
        <v>1.1025</v>
      </c>
      <c r="F39" s="319">
        <f t="shared" si="7"/>
        <v>30931371.765000001</v>
      </c>
      <c r="G39" s="342">
        <f t="shared" si="4"/>
        <v>4039.6201861042186</v>
      </c>
      <c r="H39" s="434">
        <f t="shared" si="5"/>
        <v>4276.331019636561</v>
      </c>
      <c r="I39" s="392">
        <f t="shared" si="6"/>
        <v>4193.9964246227364</v>
      </c>
      <c r="J39" s="202">
        <f t="shared" si="11"/>
        <v>4267.9070423929361</v>
      </c>
      <c r="K39" s="202">
        <f t="shared" si="12"/>
        <v>4285.7099283198631</v>
      </c>
      <c r="L39" s="202"/>
      <c r="M39" s="2"/>
      <c r="N39" s="192">
        <f t="shared" si="9"/>
        <v>42277</v>
      </c>
      <c r="O39" s="193">
        <f t="shared" si="10"/>
        <v>2015.75</v>
      </c>
      <c r="P39" s="325"/>
      <c r="Q39" s="320"/>
      <c r="R39" s="195"/>
    </row>
    <row r="40" spans="1:18" x14ac:dyDescent="0.2">
      <c r="A40" s="76" t="str">
        <f t="shared" si="8"/>
        <v>2015 / 4</v>
      </c>
      <c r="B40" s="47"/>
      <c r="C40" s="384">
        <f>'[2]TWIA 4 Premium Trend'!$C40</f>
        <v>4802</v>
      </c>
      <c r="D40" s="200">
        <f>'[2]TWIA 4 Premium Trend'!$B40</f>
        <v>17430504</v>
      </c>
      <c r="E40" s="37">
        <f>E39</f>
        <v>1.1025</v>
      </c>
      <c r="F40" s="319">
        <f t="shared" si="7"/>
        <v>19217130.66</v>
      </c>
      <c r="G40" s="342">
        <f t="shared" si="4"/>
        <v>4001.9014285714288</v>
      </c>
      <c r="H40" s="434">
        <f t="shared" si="5"/>
        <v>4264.404902586497</v>
      </c>
      <c r="I40" s="392">
        <f t="shared" si="6"/>
        <v>4202.7133115664838</v>
      </c>
      <c r="J40" s="202">
        <f t="shared" si="11"/>
        <v>4261.4438134327183</v>
      </c>
      <c r="K40" s="202">
        <f t="shared" si="12"/>
        <v>4276.8239353731324</v>
      </c>
      <c r="L40" s="202"/>
      <c r="M40" s="2"/>
      <c r="N40" s="192">
        <f t="shared" si="9"/>
        <v>42369</v>
      </c>
      <c r="O40" s="193">
        <f t="shared" si="10"/>
        <v>2016</v>
      </c>
      <c r="P40" s="325"/>
      <c r="Q40" s="324"/>
      <c r="R40" s="195"/>
    </row>
    <row r="41" spans="1:18" x14ac:dyDescent="0.2">
      <c r="A41" s="76" t="str">
        <f t="shared" si="8"/>
        <v>2016 / 1</v>
      </c>
      <c r="B41" s="47"/>
      <c r="C41" s="384">
        <f>'[2]TWIA 4 Premium Trend'!$C41</f>
        <v>5512</v>
      </c>
      <c r="D41" s="200">
        <f>'[2]TWIA 4 Premium Trend'!$B41</f>
        <v>22487925</v>
      </c>
      <c r="E41" s="37">
        <f>'[2]TWIA 5'!$I$208</f>
        <v>1.05</v>
      </c>
      <c r="F41" s="319">
        <f t="shared" si="7"/>
        <v>23612321.25</v>
      </c>
      <c r="G41" s="342">
        <f t="shared" si="4"/>
        <v>4283.8028392597971</v>
      </c>
      <c r="H41" s="434">
        <f t="shared" si="5"/>
        <v>4276.8194176889438</v>
      </c>
      <c r="I41" s="392">
        <f t="shared" si="6"/>
        <v>4211.4483158642515</v>
      </c>
      <c r="J41" s="202">
        <f t="shared" si="11"/>
        <v>4254.9903722509625</v>
      </c>
      <c r="K41" s="202">
        <f t="shared" si="12"/>
        <v>4267.9563666482709</v>
      </c>
      <c r="L41" s="202">
        <f>GROWTH($H$41:$H$52,$O$41:$O$52,$O41,1)</f>
        <v>4277.3660451453452</v>
      </c>
      <c r="M41" s="2"/>
      <c r="N41" s="192">
        <f t="shared" si="9"/>
        <v>42460</v>
      </c>
      <c r="O41" s="193">
        <f t="shared" si="10"/>
        <v>2016.25</v>
      </c>
      <c r="P41" s="325"/>
      <c r="Q41" s="324"/>
      <c r="R41" s="195"/>
    </row>
    <row r="42" spans="1:18" x14ac:dyDescent="0.2">
      <c r="A42" s="76" t="str">
        <f t="shared" si="8"/>
        <v>2016 / 2</v>
      </c>
      <c r="B42" s="47"/>
      <c r="C42" s="384">
        <f>'[2]TWIA 4 Premium Trend'!$C42</f>
        <v>6522</v>
      </c>
      <c r="D42" s="200">
        <f>'[2]TWIA 4 Premium Trend'!$B42</f>
        <v>28623450</v>
      </c>
      <c r="E42" s="37">
        <f>E41</f>
        <v>1.05</v>
      </c>
      <c r="F42" s="319">
        <f t="shared" si="7"/>
        <v>30054622.5</v>
      </c>
      <c r="G42" s="342">
        <f t="shared" si="4"/>
        <v>4608.191122355106</v>
      </c>
      <c r="H42" s="434">
        <f t="shared" si="5"/>
        <v>4238.5761717633604</v>
      </c>
      <c r="I42" s="392">
        <f t="shared" si="6"/>
        <v>4220.2014751715014</v>
      </c>
      <c r="J42" s="202">
        <f t="shared" si="11"/>
        <v>4248.5467040252533</v>
      </c>
      <c r="K42" s="202">
        <f t="shared" si="12"/>
        <v>4259.1071839445176</v>
      </c>
      <c r="L42" s="202">
        <f t="shared" ref="L42:L52" si="13">GROWTH($H$41:$H$52,$O$41:$O$52,$O42,1)</f>
        <v>4267.1593211861136</v>
      </c>
      <c r="M42" s="2"/>
      <c r="N42" s="192">
        <f t="shared" si="9"/>
        <v>42551</v>
      </c>
      <c r="O42" s="193">
        <f t="shared" si="10"/>
        <v>2016.5</v>
      </c>
      <c r="P42" s="325"/>
      <c r="Q42" s="324"/>
      <c r="R42" s="195"/>
    </row>
    <row r="43" spans="1:18" x14ac:dyDescent="0.2">
      <c r="A43" s="76" t="str">
        <f t="shared" si="8"/>
        <v>2016 / 3</v>
      </c>
      <c r="B43" s="176"/>
      <c r="C43" s="384">
        <f>'[2]TWIA 4 Premium Trend'!$C43</f>
        <v>6507</v>
      </c>
      <c r="D43" s="200">
        <f>'[2]TWIA 4 Premium Trend'!$B43</f>
        <v>25417054</v>
      </c>
      <c r="E43" s="37">
        <f>E42</f>
        <v>1.05</v>
      </c>
      <c r="F43" s="319">
        <f t="shared" si="7"/>
        <v>26687906.700000003</v>
      </c>
      <c r="G43" s="342">
        <f t="shared" si="4"/>
        <v>4101.4148916551412</v>
      </c>
      <c r="H43" s="434">
        <f>IFERROR(SUM(F40:F43)/SUM(C40:C43),0)</f>
        <v>4265.6034404318207</v>
      </c>
      <c r="I43" s="392">
        <f t="shared" si="6"/>
        <v>4228.9728272220018</v>
      </c>
      <c r="J43" s="202">
        <f t="shared" si="11"/>
        <v>4242.1127939556318</v>
      </c>
      <c r="K43" s="202">
        <f t="shared" si="12"/>
        <v>4250.2763491402575</v>
      </c>
      <c r="L43" s="202">
        <f t="shared" si="13"/>
        <v>4256.9769526860464</v>
      </c>
      <c r="M43" s="2"/>
      <c r="N43" s="192">
        <f t="shared" si="9"/>
        <v>42643</v>
      </c>
      <c r="O43" s="193">
        <f t="shared" si="10"/>
        <v>2016.75</v>
      </c>
      <c r="P43" s="325"/>
      <c r="Q43" s="324"/>
      <c r="R43" s="195"/>
    </row>
    <row r="44" spans="1:18" x14ac:dyDescent="0.2">
      <c r="A44" s="76" t="str">
        <f t="shared" si="8"/>
        <v>2016 / 4</v>
      </c>
      <c r="B44" s="47"/>
      <c r="C44" s="384">
        <f>'[2]TWIA 4 Premium Trend'!$C44</f>
        <v>4047</v>
      </c>
      <c r="D44" s="200">
        <f>'[2]TWIA 4 Premium Trend'!$B44</f>
        <v>14955154</v>
      </c>
      <c r="E44" s="37">
        <f>E43</f>
        <v>1.05</v>
      </c>
      <c r="F44" s="319">
        <f t="shared" si="7"/>
        <v>15702911.700000001</v>
      </c>
      <c r="G44" s="342">
        <f t="shared" si="4"/>
        <v>3880.1363232023723</v>
      </c>
      <c r="H44" s="434">
        <f t="shared" si="5"/>
        <v>4252.6014764476713</v>
      </c>
      <c r="I44" s="392">
        <f t="shared" si="6"/>
        <v>4237.7624098279011</v>
      </c>
      <c r="J44" s="202">
        <f t="shared" si="11"/>
        <v>4235.6886272645515</v>
      </c>
      <c r="K44" s="202">
        <f t="shared" si="12"/>
        <v>4241.4638241929797</v>
      </c>
      <c r="L44" s="202">
        <f t="shared" si="13"/>
        <v>4246.8188815277008</v>
      </c>
      <c r="M44" s="2"/>
      <c r="N44" s="192">
        <f t="shared" si="9"/>
        <v>42735</v>
      </c>
      <c r="O44" s="193">
        <f t="shared" si="10"/>
        <v>2017</v>
      </c>
      <c r="P44" s="325"/>
      <c r="Q44" s="324"/>
      <c r="R44" s="195"/>
    </row>
    <row r="45" spans="1:18" x14ac:dyDescent="0.2">
      <c r="A45" s="76" t="str">
        <f t="shared" si="8"/>
        <v>2017 / 1</v>
      </c>
      <c r="B45" s="48"/>
      <c r="C45" s="384">
        <f>'[2]TWIA 4 Premium Trend'!$C45</f>
        <v>4263</v>
      </c>
      <c r="D45" s="200">
        <f>'[2]TWIA 4 Premium Trend'!$B45</f>
        <v>17482209</v>
      </c>
      <c r="E45" s="37">
        <f>'[2]TWIA 5'!$I$209</f>
        <v>1.05</v>
      </c>
      <c r="F45" s="319">
        <f t="shared" si="7"/>
        <v>18356319.449999999</v>
      </c>
      <c r="G45" s="342">
        <f t="shared" si="4"/>
        <v>4305.9628078817732</v>
      </c>
      <c r="H45" s="434">
        <f t="shared" si="5"/>
        <v>4255.2022283143542</v>
      </c>
      <c r="I45" s="392">
        <f t="shared" si="6"/>
        <v>4246.570260879942</v>
      </c>
      <c r="J45" s="202">
        <f t="shared" si="11"/>
        <v>4229.2741891968426</v>
      </c>
      <c r="K45" s="202">
        <f t="shared" si="12"/>
        <v>4232.6695711390012</v>
      </c>
      <c r="L45" s="202">
        <f t="shared" si="13"/>
        <v>4236.6850497323603</v>
      </c>
      <c r="M45" s="2"/>
      <c r="N45" s="192">
        <f t="shared" si="9"/>
        <v>42825</v>
      </c>
      <c r="O45" s="193">
        <f t="shared" si="10"/>
        <v>2017.25</v>
      </c>
      <c r="P45" s="325"/>
      <c r="Q45" s="324"/>
      <c r="R45" s="195"/>
    </row>
    <row r="46" spans="1:18" x14ac:dyDescent="0.2">
      <c r="A46" s="76" t="str">
        <f t="shared" si="8"/>
        <v>2017 / 2</v>
      </c>
      <c r="B46" s="48"/>
      <c r="C46" s="384">
        <f>'[2]TWIA 4 Premium Trend'!$C46</f>
        <v>5717</v>
      </c>
      <c r="D46" s="200">
        <f>'[2]TWIA 4 Premium Trend'!$B46</f>
        <v>25224489</v>
      </c>
      <c r="E46" s="37">
        <f>E45</f>
        <v>1.05</v>
      </c>
      <c r="F46" s="319">
        <f t="shared" si="7"/>
        <v>26485713.450000003</v>
      </c>
      <c r="G46" s="342">
        <f t="shared" si="4"/>
        <v>4632.7992740948057</v>
      </c>
      <c r="H46" s="434">
        <f t="shared" si="5"/>
        <v>4248.2152186617323</v>
      </c>
      <c r="I46" s="392">
        <f t="shared" si="6"/>
        <v>4255.3964183476592</v>
      </c>
      <c r="J46" s="202">
        <f t="shared" si="11"/>
        <v>4222.8694650196749</v>
      </c>
      <c r="K46" s="202">
        <f t="shared" si="12"/>
        <v>4223.8935520933555</v>
      </c>
      <c r="L46" s="202">
        <f t="shared" si="13"/>
        <v>4226.5753994596416</v>
      </c>
      <c r="M46" s="2"/>
      <c r="N46" s="192">
        <f t="shared" si="9"/>
        <v>42916</v>
      </c>
      <c r="O46" s="193">
        <f t="shared" si="10"/>
        <v>2017.5</v>
      </c>
      <c r="P46" s="325"/>
      <c r="Q46" s="324"/>
      <c r="R46" s="195"/>
    </row>
    <row r="47" spans="1:18" x14ac:dyDescent="0.2">
      <c r="A47" s="76" t="str">
        <f t="shared" si="8"/>
        <v>2017 / 3</v>
      </c>
      <c r="B47" s="48"/>
      <c r="C47" s="384">
        <f>'[2]TWIA 4 Premium Trend'!$C47</f>
        <v>5172</v>
      </c>
      <c r="D47" s="200">
        <f>'[2]TWIA 4 Premium Trend'!$B47</f>
        <v>19050031</v>
      </c>
      <c r="E47" s="37">
        <f>E46</f>
        <v>1.05</v>
      </c>
      <c r="F47" s="319">
        <f t="shared" si="7"/>
        <v>20002532.550000001</v>
      </c>
      <c r="G47" s="342">
        <f t="shared" si="4"/>
        <v>3867.4656902552206</v>
      </c>
      <c r="H47" s="434">
        <f t="shared" si="5"/>
        <v>4195.3996119589565</v>
      </c>
      <c r="I47" s="392">
        <f t="shared" si="6"/>
        <v>4264.2409202794497</v>
      </c>
      <c r="J47" s="202">
        <f t="shared" si="11"/>
        <v>4216.4744400225518</v>
      </c>
      <c r="K47" s="202">
        <f t="shared" si="12"/>
        <v>4215.1357292496705</v>
      </c>
      <c r="L47" s="202">
        <f t="shared" si="13"/>
        <v>4216.4898730071827</v>
      </c>
      <c r="M47" s="2"/>
      <c r="N47" s="192">
        <f t="shared" si="9"/>
        <v>43008</v>
      </c>
      <c r="O47" s="193">
        <f t="shared" si="10"/>
        <v>2017.75</v>
      </c>
      <c r="P47" s="325"/>
      <c r="Q47" s="324"/>
      <c r="R47" s="195"/>
    </row>
    <row r="48" spans="1:18" x14ac:dyDescent="0.2">
      <c r="A48" s="76" t="str">
        <f t="shared" si="8"/>
        <v>2017 / 4</v>
      </c>
      <c r="B48" s="47"/>
      <c r="C48" s="384">
        <f>'[2]TWIA 4 Premium Trend'!$C48</f>
        <v>3489</v>
      </c>
      <c r="D48" s="200">
        <f>'[2]TWIA 4 Premium Trend'!$B48</f>
        <v>13077837</v>
      </c>
      <c r="E48" s="37">
        <f>E47</f>
        <v>1.05</v>
      </c>
      <c r="F48" s="319">
        <f t="shared" si="7"/>
        <v>13731728.850000001</v>
      </c>
      <c r="G48" s="342">
        <f t="shared" si="4"/>
        <v>3935.7205073086848</v>
      </c>
      <c r="H48" s="434">
        <f t="shared" si="5"/>
        <v>4215.2402929027421</v>
      </c>
      <c r="I48" s="392">
        <f t="shared" si="6"/>
        <v>4273.1038048028477</v>
      </c>
      <c r="J48" s="202">
        <f t="shared" si="11"/>
        <v>4210.0890995172313</v>
      </c>
      <c r="K48" s="202">
        <f t="shared" si="12"/>
        <v>4206.3960648799048</v>
      </c>
      <c r="L48" s="202">
        <f t="shared" si="13"/>
        <v>4206.4284128103109</v>
      </c>
      <c r="M48" s="2"/>
      <c r="N48" s="192">
        <f>DATE(YEAR(N49+1),MONTH(N49+1)-3,1)-1</f>
        <v>43100</v>
      </c>
      <c r="O48" s="193">
        <f>YEAR(N48)+MONTH(N48)/12</f>
        <v>2018</v>
      </c>
      <c r="P48" s="325"/>
      <c r="R48" s="195"/>
    </row>
    <row r="49" spans="1:18" x14ac:dyDescent="0.2">
      <c r="A49" s="76" t="str">
        <f t="shared" si="8"/>
        <v>2018 / 1</v>
      </c>
      <c r="B49" s="48"/>
      <c r="C49" s="384">
        <f>'[2]TWIA 4 Premium Trend'!$C49</f>
        <v>3663</v>
      </c>
      <c r="D49" s="200">
        <f>'[2]TWIA 4 Premium Trend'!$B49</f>
        <v>15807970</v>
      </c>
      <c r="E49" s="37">
        <f>'[2]TWIA 5'!$I$232</f>
        <v>1</v>
      </c>
      <c r="F49" s="319">
        <f t="shared" si="7"/>
        <v>15807970</v>
      </c>
      <c r="G49" s="342">
        <f t="shared" si="4"/>
        <v>4315.5801255801252</v>
      </c>
      <c r="H49" s="434">
        <f t="shared" si="5"/>
        <v>4214.1757579956766</v>
      </c>
      <c r="I49" s="392">
        <f t="shared" si="6"/>
        <v>4281.9851101245877</v>
      </c>
      <c r="J49" s="202">
        <f t="shared" si="11"/>
        <v>4203.7134288377192</v>
      </c>
      <c r="K49" s="202">
        <f t="shared" si="12"/>
        <v>4197.6745213342983</v>
      </c>
      <c r="L49" s="202">
        <f t="shared" si="13"/>
        <v>4196.3909614417171</v>
      </c>
      <c r="M49" s="2"/>
      <c r="N49" s="192">
        <f>DATE(YEAR(N50+1),MONTH(N50+1)-3,1)-1</f>
        <v>43190</v>
      </c>
      <c r="O49" s="193">
        <f>YEAR(N49)+MONTH(N49)/12</f>
        <v>2018.25</v>
      </c>
      <c r="P49" s="325"/>
      <c r="R49" s="195"/>
    </row>
    <row r="50" spans="1:18" x14ac:dyDescent="0.2">
      <c r="A50" s="76" t="str">
        <f t="shared" si="8"/>
        <v>2018 / 2</v>
      </c>
      <c r="B50" s="48"/>
      <c r="C50" s="384">
        <f>'[2]TWIA 4 Premium Trend'!$C50</f>
        <v>5108</v>
      </c>
      <c r="D50" s="200">
        <f>'[2]TWIA 4 Premium Trend'!$B50</f>
        <v>22862777</v>
      </c>
      <c r="E50" s="37">
        <f>E49</f>
        <v>1</v>
      </c>
      <c r="F50" s="319">
        <f t="shared" si="7"/>
        <v>22862777</v>
      </c>
      <c r="G50" s="342">
        <f t="shared" si="4"/>
        <v>4475.8764682850433</v>
      </c>
      <c r="H50" s="434">
        <f t="shared" si="5"/>
        <v>4153.5686324001836</v>
      </c>
      <c r="I50" s="392">
        <f t="shared" si="6"/>
        <v>4290.8848745308142</v>
      </c>
      <c r="J50" s="202">
        <f t="shared" si="11"/>
        <v>4197.3474133402378</v>
      </c>
      <c r="K50" s="202">
        <f t="shared" si="12"/>
        <v>4188.9710610411121</v>
      </c>
      <c r="L50" s="202">
        <f t="shared" si="13"/>
        <v>4186.3774616111377</v>
      </c>
      <c r="M50" s="2"/>
      <c r="N50" s="192">
        <f>DATE(YEAR(N51+1),MONTH(N51+1)-3,1)-1</f>
        <v>43281</v>
      </c>
      <c r="O50" s="193">
        <f>YEAR(N50)+MONTH(N50)/12</f>
        <v>2018.5</v>
      </c>
      <c r="P50" s="325"/>
      <c r="R50" s="195"/>
    </row>
    <row r="51" spans="1:18" x14ac:dyDescent="0.2">
      <c r="A51" s="177" t="str">
        <f t="shared" si="8"/>
        <v>2018 / 3</v>
      </c>
      <c r="B51" s="48"/>
      <c r="C51" s="384">
        <f>'[2]TWIA 4 Premium Trend'!$C51</f>
        <v>4612</v>
      </c>
      <c r="D51" s="200">
        <f>'[2]TWIA 4 Premium Trend'!$B51</f>
        <v>17927115</v>
      </c>
      <c r="E51" s="37">
        <f>E50</f>
        <v>1</v>
      </c>
      <c r="F51" s="319">
        <f t="shared" si="7"/>
        <v>17927115</v>
      </c>
      <c r="G51" s="342">
        <f t="shared" si="4"/>
        <v>3887.0587597571553</v>
      </c>
      <c r="H51" s="434">
        <f t="shared" si="5"/>
        <v>4168.4205103129443</v>
      </c>
      <c r="I51" s="392">
        <f t="shared" si="6"/>
        <v>4299.8031363872924</v>
      </c>
      <c r="J51" s="202">
        <f t="shared" si="11"/>
        <v>4190.9910384031791</v>
      </c>
      <c r="K51" s="202">
        <f t="shared" si="12"/>
        <v>4180.2856465065051</v>
      </c>
      <c r="L51" s="202">
        <f t="shared" si="13"/>
        <v>4176.3878561649763</v>
      </c>
      <c r="M51" s="2"/>
      <c r="N51" s="192">
        <f>DATE(YEAR(N52+1),MONTH(N52+1)-3,1)-1</f>
        <v>43373</v>
      </c>
      <c r="O51" s="193">
        <f>YEAR(N51)+MONTH(N51)/12</f>
        <v>2018.75</v>
      </c>
      <c r="P51" s="325"/>
      <c r="R51" s="195"/>
    </row>
    <row r="52" spans="1:18" x14ac:dyDescent="0.2">
      <c r="A52" s="177" t="str">
        <f t="shared" si="8"/>
        <v>2018 / 4</v>
      </c>
      <c r="B52" s="48"/>
      <c r="C52" s="384">
        <f>'[2]TWIA 4 Premium Trend'!$C52</f>
        <v>3109</v>
      </c>
      <c r="D52" s="200">
        <f>'[2]TWIA 4 Premium Trend'!$B52</f>
        <v>12284401</v>
      </c>
      <c r="E52" s="37">
        <f>E51</f>
        <v>1</v>
      </c>
      <c r="F52" s="319">
        <f>D52*E52</f>
        <v>12284401</v>
      </c>
      <c r="G52" s="342">
        <f t="shared" si="4"/>
        <v>3951.2386619491799</v>
      </c>
      <c r="H52" s="434">
        <f t="shared" si="5"/>
        <v>4176.7076764491876</v>
      </c>
      <c r="I52" s="392">
        <f>GROWTH($H$17:$H$52,$O$17:$O$52,$O52,1)</f>
        <v>4308.7399341394812</v>
      </c>
      <c r="J52" s="202">
        <f t="shared" si="11"/>
        <v>4184.6442894270731</v>
      </c>
      <c r="K52" s="202">
        <f t="shared" si="12"/>
        <v>4171.6182403144257</v>
      </c>
      <c r="L52" s="202">
        <f t="shared" si="13"/>
        <v>4166.4220880860566</v>
      </c>
      <c r="M52" s="2"/>
      <c r="N52" s="117">
        <v>43465</v>
      </c>
      <c r="O52" s="193">
        <f>YEAR(N52)+MONTH(N52)/12</f>
        <v>2019</v>
      </c>
      <c r="P52" s="322"/>
      <c r="Q52" s="195"/>
      <c r="R52" s="195"/>
    </row>
    <row r="53" spans="1:18" x14ac:dyDescent="0.2">
      <c r="A53" s="204"/>
      <c r="B53" s="25"/>
      <c r="C53" s="385"/>
      <c r="D53" s="201"/>
      <c r="E53" s="38"/>
      <c r="F53" s="229"/>
      <c r="G53" s="393"/>
      <c r="H53" s="197"/>
      <c r="I53" s="203"/>
      <c r="J53" s="203"/>
      <c r="K53" s="203"/>
      <c r="L53" s="203"/>
      <c r="M53" s="2"/>
    </row>
    <row r="54" spans="1:18" x14ac:dyDescent="0.2">
      <c r="A54" s="177"/>
      <c r="B54" s="48"/>
      <c r="C54" s="384"/>
      <c r="D54" s="198"/>
      <c r="E54" s="198"/>
      <c r="F54" s="123"/>
      <c r="G54" s="433"/>
      <c r="H54" s="123"/>
      <c r="I54" s="123"/>
      <c r="J54" s="123"/>
      <c r="K54" s="123"/>
      <c r="L54" s="123"/>
      <c r="M54" s="2"/>
    </row>
    <row r="55" spans="1:18" x14ac:dyDescent="0.2">
      <c r="A55" s="124" t="s">
        <v>313</v>
      </c>
      <c r="B55" s="47" t="s">
        <v>336</v>
      </c>
      <c r="C55" s="11"/>
      <c r="D55"/>
      <c r="E55"/>
      <c r="F55"/>
      <c r="G55" s="11"/>
      <c r="H55" s="61"/>
      <c r="I55" s="61">
        <f>LOGEST($I$18:$I$52,$O$18:$O$52,1,1)-1</f>
        <v>8.3396357693374945E-3</v>
      </c>
      <c r="J55" s="61">
        <f>LOGEST($J$33:$J$52,$O$33:$O$52,1,1)-1</f>
        <v>-6.0437699746240803E-3</v>
      </c>
      <c r="K55" s="61">
        <f>LOGEST($K$37:$K$52,$O$37:$O$52,1,1)-1</f>
        <v>-8.2678435480327828E-3</v>
      </c>
      <c r="L55" s="61">
        <f>LOGEST($L$41:$L$52,$O$41:$O$52,1,1)-1</f>
        <v>-9.5107584863262096E-3</v>
      </c>
      <c r="M55" s="2"/>
    </row>
    <row r="56" spans="1:18" x14ac:dyDescent="0.2">
      <c r="A56" s="124" t="s">
        <v>270</v>
      </c>
      <c r="B56" s="47" t="s">
        <v>337</v>
      </c>
      <c r="C56" s="11"/>
      <c r="D56"/>
      <c r="E56"/>
      <c r="F56"/>
      <c r="G56" s="11"/>
      <c r="H56"/>
      <c r="I56" s="61">
        <f>INDEX(LOGEST($H$22:$H$52,$O$22:$O$52,1,1),3,1)</f>
        <v>0.36996676862206651</v>
      </c>
      <c r="J56" s="61">
        <f>INDEX(LOGEST($H$33:$H$52,$O$33:$O$52,1,1),3,1)</f>
        <v>0.71139908450742284</v>
      </c>
      <c r="K56" s="61">
        <f>INDEX(LOGEST($H$37:$H$52,$O$37:$O$52,1,1),3,1)</f>
        <v>0.84243848144158806</v>
      </c>
      <c r="L56" s="61">
        <f>INDEX(LOGEST($H$41:$H$52,$O$41:$O$52,1,1),3,1)</f>
        <v>0.79129200834048674</v>
      </c>
      <c r="M56" s="2"/>
    </row>
    <row r="57" spans="1:18" x14ac:dyDescent="0.2">
      <c r="B57"/>
      <c r="C57" s="11"/>
      <c r="D57"/>
      <c r="E57"/>
      <c r="F57"/>
      <c r="G57" s="11"/>
      <c r="H57"/>
      <c r="I57"/>
      <c r="J57"/>
      <c r="K57" s="115"/>
      <c r="L57" s="115"/>
      <c r="M57" s="2"/>
    </row>
    <row r="58" spans="1:18" x14ac:dyDescent="0.2">
      <c r="A58" s="124" t="s">
        <v>338</v>
      </c>
      <c r="B58" s="12" t="s">
        <v>263</v>
      </c>
      <c r="C58" s="11"/>
      <c r="D58"/>
      <c r="E58"/>
      <c r="F58"/>
      <c r="G58" s="11"/>
      <c r="H58"/>
      <c r="I58"/>
      <c r="J58"/>
      <c r="K58" s="115"/>
      <c r="L58" s="126">
        <f>AVERAGE(J55:L55)</f>
        <v>-7.9407906696610242E-3</v>
      </c>
      <c r="M58" s="2"/>
      <c r="N58" s="242"/>
    </row>
    <row r="59" spans="1:18" ht="12" thickBot="1" x14ac:dyDescent="0.25">
      <c r="A59" s="6"/>
      <c r="B59" s="6"/>
      <c r="C59" s="382"/>
      <c r="D59" s="6"/>
      <c r="E59" s="6"/>
      <c r="F59" s="6"/>
      <c r="G59" s="382"/>
      <c r="H59" s="6"/>
      <c r="I59" s="6"/>
      <c r="J59" s="6"/>
      <c r="K59" s="6"/>
      <c r="L59" s="6"/>
      <c r="M59" s="2"/>
    </row>
    <row r="60" spans="1:18" ht="12" thickTop="1" x14ac:dyDescent="0.2">
      <c r="A60"/>
      <c r="B60"/>
      <c r="C60" s="11"/>
      <c r="D60"/>
      <c r="E60"/>
      <c r="F60"/>
      <c r="G60" s="11"/>
      <c r="H60"/>
      <c r="I60"/>
      <c r="J60"/>
      <c r="K60"/>
      <c r="L60"/>
      <c r="M60" s="2"/>
    </row>
    <row r="61" spans="1:18" x14ac:dyDescent="0.2">
      <c r="A61" s="24" t="s">
        <v>19</v>
      </c>
      <c r="B61" s="24"/>
      <c r="C61" s="380" t="str">
        <f>C12&amp;" Provided by TWIA"</f>
        <v>(2) Provided by TWIA</v>
      </c>
      <c r="D61" s="381"/>
      <c r="E61" s="199"/>
      <c r="F61"/>
      <c r="G61" s="11"/>
      <c r="H61"/>
      <c r="I61" s="19"/>
      <c r="J61" s="19"/>
      <c r="K61" s="19"/>
      <c r="L61" s="19"/>
      <c r="M61" s="2"/>
    </row>
    <row r="62" spans="1:18" x14ac:dyDescent="0.2">
      <c r="A62" s="24"/>
      <c r="B62" s="379"/>
      <c r="C62" s="380" t="str">
        <f>D12&amp;" Provided by TWIA"</f>
        <v>(3) Provided by TWIA</v>
      </c>
      <c r="D62" s="381"/>
      <c r="E62" s="199"/>
      <c r="G62" s="11"/>
      <c r="I62" s="19"/>
      <c r="J62" s="290"/>
      <c r="K62" s="290"/>
      <c r="L62" s="290"/>
      <c r="M62" s="2"/>
    </row>
    <row r="63" spans="1:18" x14ac:dyDescent="0.2">
      <c r="A63" s="381"/>
      <c r="B63" s="102"/>
      <c r="C63" s="380" t="str">
        <f>E12&amp;" Factor to bring written premium to current rate level"</f>
        <v>(4) Factor to bring written premium to current rate level</v>
      </c>
      <c r="D63" s="388"/>
      <c r="F63" s="115"/>
      <c r="J63" s="115"/>
      <c r="K63" s="115"/>
      <c r="L63" s="115"/>
      <c r="M63" s="2"/>
    </row>
    <row r="64" spans="1:18" x14ac:dyDescent="0.2">
      <c r="A64" s="389"/>
      <c r="B64" s="381"/>
      <c r="C64" s="380" t="str">
        <f>F12&amp;" = "&amp;D12&amp;" * "&amp;E12&amp;" Indexed to "&amp;A52</f>
        <v>(5) = (3) * (4) Indexed to 2018 / 4</v>
      </c>
      <c r="D64" s="381"/>
      <c r="F64" s="115"/>
      <c r="J64" s="115"/>
      <c r="K64" s="115"/>
      <c r="L64" s="115"/>
      <c r="M64" s="2"/>
    </row>
    <row r="65" spans="1:13" x14ac:dyDescent="0.2">
      <c r="A65" s="24"/>
      <c r="B65" s="379"/>
      <c r="C65" s="389" t="s">
        <v>514</v>
      </c>
      <c r="D65" s="24"/>
      <c r="E65"/>
      <c r="J65" s="115"/>
      <c r="K65" s="115"/>
      <c r="L65" s="115"/>
      <c r="M65" s="2"/>
    </row>
    <row r="66" spans="1:13" x14ac:dyDescent="0.2">
      <c r="A66" s="381"/>
      <c r="B66" s="102"/>
      <c r="C66" s="435" t="s">
        <v>515</v>
      </c>
      <c r="D66" s="381"/>
      <c r="M66" s="2"/>
    </row>
    <row r="67" spans="1:13" x14ac:dyDescent="0.2">
      <c r="A67" s="381"/>
      <c r="B67" s="102"/>
      <c r="C67" s="380" t="str">
        <f>I12&amp;" - "&amp;L12&amp;" fitted to an exponential distribution"</f>
        <v>(8) - (11) fitted to an exponential distribution</v>
      </c>
      <c r="D67" s="390"/>
      <c r="E67" s="198"/>
      <c r="M67" s="2"/>
    </row>
    <row r="68" spans="1:13" x14ac:dyDescent="0.2">
      <c r="A68" s="48"/>
      <c r="B68" s="381"/>
      <c r="C68" s="102" t="str">
        <f>A55&amp;" Fitted average annual change"</f>
        <v>(14) Fitted average annual change</v>
      </c>
      <c r="D68" s="48"/>
      <c r="E68" s="47"/>
      <c r="F68" s="123"/>
      <c r="G68" s="433"/>
      <c r="H68" s="123"/>
      <c r="I68" s="123"/>
      <c r="J68" s="123"/>
      <c r="K68" s="123"/>
      <c r="L68" s="123"/>
      <c r="M68" s="2"/>
    </row>
    <row r="69" spans="1:13" x14ac:dyDescent="0.2">
      <c r="A69" s="48"/>
      <c r="B69" s="381"/>
      <c r="C69" s="102" t="str">
        <f>A56&amp;" Evaluates the predictability of the fitted curve"</f>
        <v>(15) Evaluates the predictability of the fitted curve</v>
      </c>
      <c r="D69" s="48"/>
      <c r="E69" s="47"/>
      <c r="F69" s="123"/>
      <c r="G69" s="433"/>
      <c r="H69" s="123"/>
      <c r="I69" s="123"/>
      <c r="J69" s="123"/>
      <c r="K69" s="123"/>
      <c r="L69" s="123"/>
      <c r="M69" s="2"/>
    </row>
    <row r="70" spans="1:13" x14ac:dyDescent="0.2">
      <c r="A70" s="48"/>
      <c r="B70" s="381"/>
      <c r="C70" s="102" t="str">
        <f>A58&amp;" Selected based on judgment"</f>
        <v>(16) Selected based on judgment</v>
      </c>
      <c r="D70" s="391"/>
      <c r="E70"/>
      <c r="F70" s="47"/>
      <c r="G70" s="356"/>
      <c r="H70" s="56"/>
      <c r="I70" s="56"/>
      <c r="J70" s="56"/>
      <c r="K70" s="56"/>
      <c r="L70" s="56"/>
      <c r="M70" s="2"/>
    </row>
    <row r="71" spans="1:13" x14ac:dyDescent="0.2">
      <c r="A71" s="48"/>
      <c r="B71" s="381"/>
      <c r="F71" s="47"/>
      <c r="G71" s="356"/>
      <c r="H71" s="56"/>
      <c r="I71" s="56"/>
      <c r="J71" s="56"/>
      <c r="K71" s="56"/>
      <c r="L71" s="56"/>
      <c r="M71" s="2"/>
    </row>
    <row r="72" spans="1:13" ht="12" thickBot="1" x14ac:dyDescent="0.25">
      <c r="A72" s="24"/>
      <c r="B72" s="381"/>
      <c r="F72" s="18"/>
      <c r="G72" s="342"/>
      <c r="H72" s="18"/>
      <c r="I72" s="18"/>
      <c r="J72" s="18"/>
      <c r="K72" s="18"/>
      <c r="L72" s="18"/>
      <c r="M72" s="2"/>
    </row>
    <row r="73" spans="1:13" ht="12" thickBot="1" x14ac:dyDescent="0.25">
      <c r="A73" s="4"/>
      <c r="B73" s="5"/>
      <c r="C73" s="387"/>
      <c r="D73" s="5"/>
      <c r="E73" s="5"/>
      <c r="F73" s="5"/>
      <c r="G73" s="387"/>
      <c r="H73" s="5"/>
      <c r="I73" s="5"/>
      <c r="J73" s="5"/>
      <c r="K73" s="5"/>
      <c r="L73" s="5"/>
      <c r="M73" s="3"/>
    </row>
    <row r="76" spans="1:13" x14ac:dyDescent="0.2">
      <c r="A76" s="190" t="s">
        <v>427</v>
      </c>
    </row>
  </sheetData>
  <phoneticPr fontId="0" type="noConversion"/>
  <pageMargins left="0.5" right="0.5" top="0.5" bottom="0.5" header="0.5" footer="0.5"/>
  <pageSetup scale="77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38</vt:i4>
      </vt:variant>
      <vt:variant>
        <vt:lpstr>Named Ranges</vt:lpstr>
      </vt:variant>
      <vt:variant>
        <vt:i4>38</vt:i4>
      </vt:variant>
    </vt:vector>
  </HeadingPairs>
  <TitlesOfParts>
    <vt:vector size="76" baseType="lpstr">
      <vt:lpstr>Cover Page</vt:lpstr>
      <vt:lpstr>Table of Contents</vt:lpstr>
      <vt:lpstr>1</vt:lpstr>
      <vt:lpstr>2.1</vt:lpstr>
      <vt:lpstr>2.2</vt:lpstr>
      <vt:lpstr>2.3</vt:lpstr>
      <vt:lpstr>2.4</vt:lpstr>
      <vt:lpstr>3.1</vt:lpstr>
      <vt:lpstr>3.2 premium trend</vt:lpstr>
      <vt:lpstr>3.3a</vt:lpstr>
      <vt:lpstr>3.3b</vt:lpstr>
      <vt:lpstr>3.3c</vt:lpstr>
      <vt:lpstr>3.3d</vt:lpstr>
      <vt:lpstr>4.1</vt:lpstr>
      <vt:lpstr>4.2</vt:lpstr>
      <vt:lpstr>4.3</vt:lpstr>
      <vt:lpstr>4.4</vt:lpstr>
      <vt:lpstr>4.5</vt:lpstr>
      <vt:lpstr>5</vt:lpstr>
      <vt:lpstr>6.1</vt:lpstr>
      <vt:lpstr>6.2 - industry</vt:lpstr>
      <vt:lpstr>6.3</vt:lpstr>
      <vt:lpstr>6.4</vt:lpstr>
      <vt:lpstr>6.5</vt:lpstr>
      <vt:lpstr>6.6</vt:lpstr>
      <vt:lpstr>6.7</vt:lpstr>
      <vt:lpstr>7.1</vt:lpstr>
      <vt:lpstr>7.2</vt:lpstr>
      <vt:lpstr>8.1</vt:lpstr>
      <vt:lpstr>8.2</vt:lpstr>
      <vt:lpstr>9</vt:lpstr>
      <vt:lpstr>10.1</vt:lpstr>
      <vt:lpstr>10.2</vt:lpstr>
      <vt:lpstr>10.3</vt:lpstr>
      <vt:lpstr>11.1</vt:lpstr>
      <vt:lpstr>11.2</vt:lpstr>
      <vt:lpstr>12.1</vt:lpstr>
      <vt:lpstr>12.2</vt:lpstr>
      <vt:lpstr>'1'!Print_Area</vt:lpstr>
      <vt:lpstr>'10.1'!Print_Area</vt:lpstr>
      <vt:lpstr>'10.2'!Print_Area</vt:lpstr>
      <vt:lpstr>'10.3'!Print_Area</vt:lpstr>
      <vt:lpstr>'11.1'!Print_Area</vt:lpstr>
      <vt:lpstr>'11.2'!Print_Area</vt:lpstr>
      <vt:lpstr>'12.1'!Print_Area</vt:lpstr>
      <vt:lpstr>'12.2'!Print_Area</vt:lpstr>
      <vt:lpstr>'2.1'!Print_Area</vt:lpstr>
      <vt:lpstr>'2.2'!Print_Area</vt:lpstr>
      <vt:lpstr>'2.3'!Print_Area</vt:lpstr>
      <vt:lpstr>'2.4'!Print_Area</vt:lpstr>
      <vt:lpstr>'3.1'!Print_Area</vt:lpstr>
      <vt:lpstr>'3.2 premium trend'!Print_Area</vt:lpstr>
      <vt:lpstr>'3.3a'!Print_Area</vt:lpstr>
      <vt:lpstr>'3.3b'!Print_Area</vt:lpstr>
      <vt:lpstr>'3.3c'!Print_Area</vt:lpstr>
      <vt:lpstr>'3.3d'!Print_Area</vt:lpstr>
      <vt:lpstr>'4.1'!Print_Area</vt:lpstr>
      <vt:lpstr>'4.2'!Print_Area</vt:lpstr>
      <vt:lpstr>'4.3'!Print_Area</vt:lpstr>
      <vt:lpstr>'4.4'!Print_Area</vt:lpstr>
      <vt:lpstr>'4.5'!Print_Area</vt:lpstr>
      <vt:lpstr>'5'!Print_Area</vt:lpstr>
      <vt:lpstr>'6.1'!Print_Area</vt:lpstr>
      <vt:lpstr>'6.2 - industry'!Print_Area</vt:lpstr>
      <vt:lpstr>'6.3'!Print_Area</vt:lpstr>
      <vt:lpstr>'6.4'!Print_Area</vt:lpstr>
      <vt:lpstr>'6.5'!Print_Area</vt:lpstr>
      <vt:lpstr>'6.6'!Print_Area</vt:lpstr>
      <vt:lpstr>'6.7'!Print_Area</vt:lpstr>
      <vt:lpstr>'7.1'!Print_Area</vt:lpstr>
      <vt:lpstr>'7.2'!Print_Area</vt:lpstr>
      <vt:lpstr>'8.1'!Print_Area</vt:lpstr>
      <vt:lpstr>'8.2'!Print_Area</vt:lpstr>
      <vt:lpstr>'9'!Print_Area</vt:lpstr>
      <vt:lpstr>'Cover Page'!Print_Area</vt:lpstr>
      <vt:lpstr>'Table of Contents'!Print_Area</vt:lpstr>
    </vt:vector>
  </TitlesOfParts>
  <Company>Republic Ins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xiuyu li</dc:creator>
  <cp:lastModifiedBy>Aaron Taylor</cp:lastModifiedBy>
  <cp:lastPrinted>2019-07-19T23:21:12Z</cp:lastPrinted>
  <dcterms:created xsi:type="dcterms:W3CDTF">2001-12-17T21:49:07Z</dcterms:created>
  <dcterms:modified xsi:type="dcterms:W3CDTF">2019-07-22T19:45:00Z</dcterms:modified>
</cp:coreProperties>
</file>