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hreadedComments/threadedComment1.xml" ContentType="application/vnd.ms-excel.threaded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S:\Actuarial\Tier 1 - Public\TWIA Rates Website Publishing\"/>
    </mc:Choice>
  </mc:AlternateContent>
  <xr:revisionPtr revIDLastSave="0" documentId="13_ncr:1_{EF545443-CCC4-40FA-A559-E331CA4BC543}" xr6:coauthVersionLast="47" xr6:coauthVersionMax="47" xr10:uidLastSave="{00000000-0000-0000-0000-000000000000}"/>
  <bookViews>
    <workbookView xWindow="-120" yWindow="-120" windowWidth="23070" windowHeight="13740" tabRatio="973" xr2:uid="{00000000-000D-0000-FFFF-FFFF00000000}"/>
  </bookViews>
  <sheets>
    <sheet name="Cover Page" sheetId="44" r:id="rId1"/>
    <sheet name="Table of Contents" sheetId="45" r:id="rId2"/>
    <sheet name="1" sheetId="1" r:id="rId3"/>
    <sheet name="2.1" sheetId="2" r:id="rId4"/>
    <sheet name="2.2" sheetId="3" r:id="rId5"/>
    <sheet name="2.3" sheetId="4" r:id="rId6"/>
    <sheet name="2.4" sheetId="5" r:id="rId7"/>
    <sheet name="3.1" sheetId="7" r:id="rId8"/>
    <sheet name="3.2a" sheetId="8" r:id="rId9"/>
    <sheet name="3.2b" sheetId="9" r:id="rId10"/>
    <sheet name="3.2c" sheetId="10" r:id="rId11"/>
    <sheet name="3.2d" sheetId="11" r:id="rId12"/>
    <sheet name="4" sheetId="13" r:id="rId13"/>
    <sheet name="5" sheetId="18" r:id="rId14"/>
    <sheet name="6.1" sheetId="19" r:id="rId15"/>
    <sheet name="6.2" sheetId="20" r:id="rId16"/>
    <sheet name="6.3" sheetId="21" r:id="rId17"/>
    <sheet name="6.4" sheetId="22" r:id="rId18"/>
    <sheet name="6.5" sheetId="23" r:id="rId19"/>
    <sheet name="6.6" sheetId="24" r:id="rId20"/>
    <sheet name="6.7" sheetId="25" r:id="rId21"/>
    <sheet name="7.1" sheetId="26" r:id="rId22"/>
    <sheet name="7.2" sheetId="28" r:id="rId23"/>
    <sheet name="7.3" sheetId="48" r:id="rId24"/>
    <sheet name="7.4" sheetId="49" r:id="rId25"/>
    <sheet name="8" sheetId="30" r:id="rId26"/>
    <sheet name="9.1" sheetId="31" r:id="rId27"/>
    <sheet name="9.2" sheetId="32" r:id="rId28"/>
    <sheet name="9.3" sheetId="33" r:id="rId29"/>
    <sheet name="10.1" sheetId="34" r:id="rId30"/>
    <sheet name="10.2" sheetId="50" r:id="rId31"/>
    <sheet name="11.1" sheetId="36" r:id="rId32"/>
    <sheet name="11.2" sheetId="37" r:id="rId33"/>
  </sheets>
  <externalReferences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2">'1'!$A$1:$K$68</definedName>
    <definedName name="_xlnm.Print_Area" localSheetId="29">'10.1'!$A$1:$J$65</definedName>
    <definedName name="_xlnm.Print_Area" localSheetId="30">'10.2'!$A$1:$H$60</definedName>
    <definedName name="_xlnm.Print_Area" localSheetId="31">'11.1'!$A$1:$I$37</definedName>
    <definedName name="_xlnm.Print_Area" localSheetId="32">'11.2'!$A$1:$J$72</definedName>
    <definedName name="_xlnm.Print_Area" localSheetId="3">'2.1'!$A$1:$J$68</definedName>
    <definedName name="_xlnm.Print_Area" localSheetId="4">'2.2'!$A$1:$M$59</definedName>
    <definedName name="_xlnm.Print_Area" localSheetId="5">'2.3'!$A$1:$K$68</definedName>
    <definedName name="_xlnm.Print_Area" localSheetId="6">'2.4'!$A$1:$K$62</definedName>
    <definedName name="_xlnm.Print_Area" localSheetId="7">'3.1'!$A$1:$L$72</definedName>
    <definedName name="_xlnm.Print_Area" localSheetId="8">'3.2a'!$A$1:$L$68</definedName>
    <definedName name="_xlnm.Print_Area" localSheetId="9">'3.2b'!$A$1:$L$68</definedName>
    <definedName name="_xlnm.Print_Area" localSheetId="10">'3.2c'!$A$1:$L$62</definedName>
    <definedName name="_xlnm.Print_Area" localSheetId="11">'3.2d'!$A$1:$L$68</definedName>
    <definedName name="_xlnm.Print_Area" localSheetId="12">'4'!$A$1:$J$71</definedName>
    <definedName name="_xlnm.Print_Area" localSheetId="13">'5'!$A$1:$H$34</definedName>
    <definedName name="_xlnm.Print_Area" localSheetId="14">'6.1'!$A$1:$J$47</definedName>
    <definedName name="_xlnm.Print_Area" localSheetId="15">'6.2'!$A$1:$J$79</definedName>
    <definedName name="_xlnm.Print_Area" localSheetId="16">'6.3'!$A$1:$I$70</definedName>
    <definedName name="_xlnm.Print_Area" localSheetId="17">'6.4'!$A$1:$J$70</definedName>
    <definedName name="_xlnm.Print_Area" localSheetId="18">'6.5'!$A$1:$J$70</definedName>
    <definedName name="_xlnm.Print_Area" localSheetId="19">'6.6'!$A$1:$J$70</definedName>
    <definedName name="_xlnm.Print_Area" localSheetId="20">'6.7'!$A$1:$J$70</definedName>
    <definedName name="_xlnm.Print_Area" localSheetId="21">'7.1'!$A$1:$J$68</definedName>
    <definedName name="_xlnm.Print_Area" localSheetId="22">'7.2'!$A$1:$J$68</definedName>
    <definedName name="_xlnm.Print_Area" localSheetId="23">'7.3'!$A$1:$J$68</definedName>
    <definedName name="_xlnm.Print_Area" localSheetId="24">'7.4'!$A$1:$J$68</definedName>
    <definedName name="_xlnm.Print_Area" localSheetId="25">'8'!$A$1:$J$69</definedName>
    <definedName name="_xlnm.Print_Area" localSheetId="26">'9.1'!$A$1:$J$72</definedName>
    <definedName name="_xlnm.Print_Area" localSheetId="27">'9.2'!$A$1:$O$70</definedName>
    <definedName name="_xlnm.Print_Area" localSheetId="28">'9.3'!$A$1:$K$65</definedName>
    <definedName name="_xlnm.Print_Area" localSheetId="0">'Cover Page'!$A$1:$K$46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34" l="1"/>
  <c r="B49" i="5" l="1"/>
  <c r="C67" i="7" l="1"/>
  <c r="C62" i="7"/>
  <c r="C61" i="7"/>
  <c r="B74" i="20"/>
  <c r="B33" i="50" l="1"/>
  <c r="B68" i="13"/>
  <c r="B40" i="49" l="1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B53" i="34"/>
  <c r="L11" i="28"/>
  <c r="L11" i="48" s="1"/>
  <c r="L11" i="49" s="1"/>
  <c r="L11" i="26"/>
  <c r="B33" i="3"/>
  <c r="B64" i="11"/>
  <c r="B62" i="10"/>
  <c r="B62" i="9"/>
  <c r="B31" i="2"/>
  <c r="B33" i="1"/>
  <c r="B31" i="1"/>
  <c r="B61" i="10"/>
  <c r="B61" i="9"/>
  <c r="B40" i="8"/>
  <c r="A33" i="5"/>
  <c r="A11" i="4"/>
  <c r="A11" i="3"/>
  <c r="A11" i="2"/>
  <c r="C70" i="7"/>
  <c r="C24" i="45"/>
  <c r="C23" i="45"/>
  <c r="E38" i="45"/>
  <c r="E37" i="45"/>
  <c r="D38" i="45"/>
  <c r="D37" i="45"/>
  <c r="E36" i="45"/>
  <c r="E35" i="45"/>
  <c r="E34" i="45"/>
  <c r="D36" i="45"/>
  <c r="B36" i="45"/>
  <c r="D35" i="45"/>
  <c r="D34" i="45"/>
  <c r="E32" i="45"/>
  <c r="E31" i="45"/>
  <c r="E30" i="45"/>
  <c r="E29" i="45"/>
  <c r="D32" i="45"/>
  <c r="D31" i="45"/>
  <c r="D30" i="45"/>
  <c r="D29" i="45"/>
  <c r="E28" i="45"/>
  <c r="E27" i="45"/>
  <c r="E26" i="45"/>
  <c r="E25" i="45"/>
  <c r="E24" i="45"/>
  <c r="E23" i="45"/>
  <c r="E22" i="45"/>
  <c r="D28" i="45"/>
  <c r="D27" i="45"/>
  <c r="D26" i="45"/>
  <c r="D25" i="45"/>
  <c r="D24" i="45"/>
  <c r="D23" i="45"/>
  <c r="D22" i="45"/>
  <c r="D21" i="45"/>
  <c r="E19" i="45"/>
  <c r="E18" i="45"/>
  <c r="E17" i="45"/>
  <c r="E16" i="45"/>
  <c r="D19" i="45"/>
  <c r="D18" i="45"/>
  <c r="D17" i="45"/>
  <c r="D16" i="45"/>
  <c r="E15" i="45"/>
  <c r="D15" i="45"/>
  <c r="E14" i="45"/>
  <c r="D14" i="45"/>
  <c r="E13" i="45"/>
  <c r="D13" i="45"/>
  <c r="E12" i="45"/>
  <c r="D12" i="45"/>
  <c r="E11" i="45"/>
  <c r="D11" i="45"/>
  <c r="D10" i="45"/>
  <c r="D33" i="45"/>
  <c r="C32" i="45"/>
  <c r="C31" i="45"/>
  <c r="C30" i="45"/>
  <c r="C29" i="45"/>
  <c r="C28" i="45"/>
  <c r="C27" i="45"/>
  <c r="C26" i="45"/>
  <c r="C25" i="45"/>
  <c r="B28" i="45"/>
  <c r="B27" i="45"/>
  <c r="B26" i="45"/>
  <c r="B25" i="45"/>
  <c r="B24" i="45"/>
  <c r="B23" i="45"/>
  <c r="C22" i="45"/>
  <c r="B22" i="45"/>
  <c r="B21" i="45"/>
  <c r="D20" i="45"/>
  <c r="B20" i="45"/>
  <c r="B19" i="45"/>
  <c r="B18" i="45"/>
  <c r="B17" i="45"/>
  <c r="B16" i="45"/>
  <c r="B15" i="45"/>
  <c r="B14" i="45"/>
  <c r="B12" i="45"/>
  <c r="B11" i="45"/>
  <c r="B10" i="45"/>
  <c r="B46" i="19"/>
  <c r="B27" i="18"/>
  <c r="E40" i="45"/>
  <c r="D40" i="45"/>
  <c r="E39" i="45"/>
  <c r="D39" i="45"/>
  <c r="B40" i="45"/>
  <c r="B39" i="45"/>
  <c r="C38" i="45"/>
  <c r="B38" i="45"/>
  <c r="B37" i="45"/>
  <c r="B35" i="45"/>
  <c r="B34" i="45"/>
  <c r="B38" i="49"/>
  <c r="B40" i="48"/>
  <c r="B38" i="48"/>
  <c r="B40" i="28"/>
  <c r="B38" i="28"/>
  <c r="B40" i="26"/>
  <c r="B38" i="26"/>
  <c r="B52" i="34"/>
  <c r="G31" i="34"/>
  <c r="G32" i="34" s="1"/>
  <c r="G23" i="34"/>
  <c r="G19" i="34"/>
  <c r="G36" i="34"/>
  <c r="A10" i="13"/>
  <c r="F14" i="7" l="1"/>
  <c r="F16" i="7"/>
  <c r="G16" i="7" s="1"/>
  <c r="F17" i="7"/>
  <c r="G17" i="7" s="1"/>
  <c r="F18" i="7"/>
  <c r="G18" i="7" s="1"/>
  <c r="F20" i="7"/>
  <c r="G20" i="7" s="1"/>
  <c r="F15" i="7"/>
  <c r="H16" i="7" s="1"/>
  <c r="F19" i="7"/>
  <c r="G19" i="7" s="1"/>
  <c r="H19" i="7"/>
  <c r="G14" i="7"/>
  <c r="O70" i="13"/>
  <c r="P70" i="13"/>
  <c r="N70" i="13"/>
  <c r="O54" i="13"/>
  <c r="P54" i="13"/>
  <c r="N54" i="13"/>
  <c r="O38" i="13"/>
  <c r="P38" i="13"/>
  <c r="N38" i="13"/>
  <c r="H20" i="7" l="1"/>
  <c r="H17" i="7"/>
  <c r="H18" i="7"/>
  <c r="G15" i="7"/>
  <c r="E24" i="20"/>
  <c r="B39" i="8" l="1"/>
  <c r="B36" i="50" l="1"/>
  <c r="B35" i="50"/>
  <c r="B30" i="50" l="1"/>
  <c r="F17" i="50"/>
  <c r="E17" i="50"/>
  <c r="C17" i="50"/>
  <c r="F13" i="50"/>
  <c r="E13" i="50"/>
  <c r="D10" i="50"/>
  <c r="B10" i="50"/>
  <c r="A3" i="50"/>
  <c r="A2" i="50"/>
  <c r="A1" i="50"/>
  <c r="E14" i="50" l="1"/>
  <c r="E18" i="50"/>
  <c r="F14" i="50"/>
  <c r="F18" i="50"/>
  <c r="D13" i="50"/>
  <c r="D17" i="50"/>
  <c r="B31" i="50"/>
  <c r="B32" i="50"/>
  <c r="F20" i="50" l="1"/>
  <c r="D18" i="50"/>
  <c r="D14" i="50"/>
  <c r="E20" i="50"/>
  <c r="E10" i="50" s="1"/>
  <c r="F10" i="50" l="1"/>
  <c r="D20" i="50"/>
  <c r="E33" i="26"/>
  <c r="F24" i="50" s="1"/>
  <c r="C19" i="45" l="1"/>
  <c r="C18" i="45"/>
  <c r="C17" i="45"/>
  <c r="C16" i="45"/>
  <c r="C15" i="45"/>
  <c r="C10" i="45"/>
  <c r="A5" i="19"/>
  <c r="F61" i="21"/>
  <c r="E61" i="21"/>
  <c r="D61" i="21"/>
  <c r="C61" i="21"/>
  <c r="N53" i="21"/>
  <c r="N52" i="21"/>
  <c r="N51" i="21"/>
  <c r="N50" i="21"/>
  <c r="N49" i="21"/>
  <c r="N48" i="21"/>
  <c r="N47" i="21"/>
  <c r="N46" i="21"/>
  <c r="N45" i="21"/>
  <c r="N44" i="21"/>
  <c r="M26" i="1"/>
  <c r="M24" i="1"/>
  <c r="M23" i="1"/>
  <c r="M22" i="1"/>
  <c r="M21" i="1"/>
  <c r="M19" i="1"/>
  <c r="M15" i="1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52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I14" i="5"/>
  <c r="E34" i="7" l="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D23" i="4"/>
  <c r="D22" i="4"/>
  <c r="D21" i="4"/>
  <c r="D20" i="4"/>
  <c r="D19" i="4"/>
  <c r="D18" i="4"/>
  <c r="D17" i="4"/>
  <c r="D16" i="4"/>
  <c r="D15" i="4"/>
  <c r="D14" i="4"/>
  <c r="C23" i="4"/>
  <c r="C22" i="4"/>
  <c r="C21" i="4"/>
  <c r="C20" i="4"/>
  <c r="C19" i="4"/>
  <c r="C18" i="4"/>
  <c r="C17" i="4"/>
  <c r="C16" i="4"/>
  <c r="C15" i="4"/>
  <c r="C14" i="4"/>
  <c r="B32" i="3"/>
  <c r="B31" i="3"/>
  <c r="D23" i="3"/>
  <c r="D22" i="3"/>
  <c r="D21" i="3"/>
  <c r="D20" i="3"/>
  <c r="D19" i="3"/>
  <c r="D18" i="3"/>
  <c r="D17" i="3"/>
  <c r="E17" i="3" s="1"/>
  <c r="D16" i="3"/>
  <c r="D15" i="3"/>
  <c r="D14" i="3"/>
  <c r="D12" i="3"/>
  <c r="C12" i="3"/>
  <c r="C23" i="3"/>
  <c r="C22" i="3"/>
  <c r="C21" i="3"/>
  <c r="C20" i="3"/>
  <c r="C19" i="3"/>
  <c r="E19" i="3" s="1"/>
  <c r="C18" i="3"/>
  <c r="C17" i="3"/>
  <c r="C16" i="3"/>
  <c r="C15" i="3"/>
  <c r="E15" i="3" s="1"/>
  <c r="C14" i="3"/>
  <c r="R29" i="13"/>
  <c r="R30" i="13"/>
  <c r="R31" i="13"/>
  <c r="R32" i="13"/>
  <c r="R33" i="13"/>
  <c r="R34" i="13"/>
  <c r="R35" i="13"/>
  <c r="R36" i="13"/>
  <c r="R37" i="13"/>
  <c r="R28" i="13"/>
  <c r="E23" i="3" l="1"/>
  <c r="E51" i="9"/>
  <c r="D44" i="9"/>
  <c r="E28" i="9"/>
  <c r="D45" i="9"/>
  <c r="E20" i="9"/>
  <c r="E29" i="9"/>
  <c r="E37" i="9"/>
  <c r="E45" i="9"/>
  <c r="E53" i="9"/>
  <c r="D52" i="9"/>
  <c r="D29" i="9"/>
  <c r="D21" i="9"/>
  <c r="D46" i="9"/>
  <c r="E38" i="9"/>
  <c r="E46" i="9"/>
  <c r="D57" i="9"/>
  <c r="D14" i="9"/>
  <c r="D23" i="9"/>
  <c r="D31" i="9"/>
  <c r="D39" i="9"/>
  <c r="D47" i="9"/>
  <c r="E14" i="9"/>
  <c r="E23" i="9"/>
  <c r="E31" i="9"/>
  <c r="E39" i="9"/>
  <c r="E47" i="9"/>
  <c r="E57" i="9"/>
  <c r="D36" i="9"/>
  <c r="E44" i="9"/>
  <c r="D37" i="9"/>
  <c r="D22" i="9"/>
  <c r="E22" i="9"/>
  <c r="D15" i="9"/>
  <c r="D24" i="9"/>
  <c r="D32" i="9"/>
  <c r="D40" i="9"/>
  <c r="D48" i="9"/>
  <c r="E15" i="9"/>
  <c r="E24" i="9"/>
  <c r="E32" i="9"/>
  <c r="E40" i="9"/>
  <c r="E48" i="9"/>
  <c r="E36" i="9"/>
  <c r="D38" i="9"/>
  <c r="D16" i="9"/>
  <c r="D25" i="9"/>
  <c r="D33" i="9"/>
  <c r="D41" i="9"/>
  <c r="D49" i="9"/>
  <c r="E16" i="9"/>
  <c r="E25" i="9"/>
  <c r="E33" i="9"/>
  <c r="E41" i="9"/>
  <c r="E49" i="9"/>
  <c r="D28" i="9"/>
  <c r="E52" i="9"/>
  <c r="D53" i="9"/>
  <c r="D30" i="9"/>
  <c r="E30" i="9"/>
  <c r="D17" i="9"/>
  <c r="D26" i="9"/>
  <c r="D34" i="9"/>
  <c r="D42" i="9"/>
  <c r="D50" i="9"/>
  <c r="E17" i="9"/>
  <c r="E26" i="9"/>
  <c r="E34" i="9"/>
  <c r="E42" i="9"/>
  <c r="E50" i="9"/>
  <c r="D19" i="9"/>
  <c r="E19" i="9"/>
  <c r="D20" i="9"/>
  <c r="E21" i="9"/>
  <c r="D18" i="9"/>
  <c r="D27" i="9"/>
  <c r="D35" i="9"/>
  <c r="D43" i="9"/>
  <c r="D51" i="9"/>
  <c r="E18" i="9"/>
  <c r="E27" i="9"/>
  <c r="E35" i="9"/>
  <c r="E43" i="9"/>
  <c r="E18" i="3"/>
  <c r="E20" i="3"/>
  <c r="E21" i="3"/>
  <c r="E16" i="3"/>
  <c r="E14" i="3"/>
  <c r="E22" i="3"/>
  <c r="B79" i="20"/>
  <c r="C50" i="20"/>
  <c r="C51" i="20"/>
  <c r="C52" i="20"/>
  <c r="C53" i="20"/>
  <c r="C54" i="20"/>
  <c r="C55" i="20"/>
  <c r="D64" i="13"/>
  <c r="C64" i="13"/>
  <c r="D60" i="13"/>
  <c r="C60" i="13"/>
  <c r="D58" i="13"/>
  <c r="C58" i="13"/>
  <c r="E56" i="13"/>
  <c r="D56" i="13"/>
  <c r="D55" i="13"/>
  <c r="D54" i="13"/>
  <c r="D53" i="13"/>
  <c r="D52" i="13"/>
  <c r="D51" i="13"/>
  <c r="D50" i="13"/>
  <c r="D49" i="13"/>
  <c r="D48" i="13"/>
  <c r="D47" i="13"/>
  <c r="Q61" i="13"/>
  <c r="Q62" i="13"/>
  <c r="Q63" i="13"/>
  <c r="Q64" i="13"/>
  <c r="Q65" i="13"/>
  <c r="Q66" i="13"/>
  <c r="Q67" i="13"/>
  <c r="Q68" i="13"/>
  <c r="Q69" i="13"/>
  <c r="M64" i="13"/>
  <c r="M63" i="13" s="1"/>
  <c r="M62" i="13" s="1"/>
  <c r="M61" i="13" s="1"/>
  <c r="M60" i="13" s="1"/>
  <c r="Q60" i="13"/>
  <c r="Q53" i="13"/>
  <c r="Q52" i="13"/>
  <c r="Q51" i="13"/>
  <c r="Q50" i="13"/>
  <c r="Q49" i="13"/>
  <c r="Q48" i="13"/>
  <c r="M48" i="13"/>
  <c r="M47" i="13" s="1"/>
  <c r="M46" i="13" s="1"/>
  <c r="M45" i="13" s="1"/>
  <c r="M44" i="13" s="1"/>
  <c r="Q47" i="13"/>
  <c r="Q46" i="13"/>
  <c r="Q45" i="13"/>
  <c r="Q44" i="13"/>
  <c r="Q70" i="13" l="1"/>
  <c r="Q54" i="13"/>
  <c r="E33" i="7" l="1"/>
  <c r="C55" i="13"/>
  <c r="C54" i="13"/>
  <c r="C53" i="13"/>
  <c r="C52" i="13"/>
  <c r="C51" i="13"/>
  <c r="C50" i="13"/>
  <c r="C49" i="13"/>
  <c r="C48" i="13"/>
  <c r="C47" i="13"/>
  <c r="C56" i="13"/>
  <c r="A56" i="13"/>
  <c r="Q37" i="13"/>
  <c r="Q36" i="13"/>
  <c r="Q35" i="13"/>
  <c r="Q34" i="13"/>
  <c r="Q33" i="13"/>
  <c r="Q32" i="13"/>
  <c r="M32" i="13"/>
  <c r="M31" i="13" s="1"/>
  <c r="M30" i="13" s="1"/>
  <c r="M29" i="13" s="1"/>
  <c r="M28" i="13" s="1"/>
  <c r="Q31" i="13"/>
  <c r="Q30" i="13"/>
  <c r="Q29" i="13"/>
  <c r="Q28" i="13"/>
  <c r="G54" i="25"/>
  <c r="G53" i="25"/>
  <c r="G52" i="25"/>
  <c r="G51" i="25"/>
  <c r="G50" i="25"/>
  <c r="G49" i="25"/>
  <c r="G48" i="25"/>
  <c r="G47" i="25"/>
  <c r="G46" i="25"/>
  <c r="G45" i="25"/>
  <c r="C54" i="25"/>
  <c r="C53" i="25"/>
  <c r="C52" i="25"/>
  <c r="C51" i="25"/>
  <c r="C50" i="25"/>
  <c r="C49" i="25"/>
  <c r="C48" i="25"/>
  <c r="C47" i="25"/>
  <c r="C46" i="25"/>
  <c r="C45" i="25"/>
  <c r="G54" i="24"/>
  <c r="G53" i="24"/>
  <c r="G52" i="24"/>
  <c r="G51" i="24"/>
  <c r="G50" i="24"/>
  <c r="G49" i="24"/>
  <c r="G48" i="24"/>
  <c r="G47" i="24"/>
  <c r="G46" i="24"/>
  <c r="G45" i="24"/>
  <c r="C54" i="24"/>
  <c r="C53" i="24"/>
  <c r="C52" i="24"/>
  <c r="C51" i="24"/>
  <c r="C50" i="24"/>
  <c r="C49" i="24"/>
  <c r="C48" i="24"/>
  <c r="C47" i="24"/>
  <c r="C46" i="24"/>
  <c r="C45" i="24"/>
  <c r="O57" i="23"/>
  <c r="O54" i="23"/>
  <c r="O55" i="23"/>
  <c r="O56" i="23"/>
  <c r="G54" i="23"/>
  <c r="G53" i="23"/>
  <c r="G52" i="23"/>
  <c r="G51" i="23"/>
  <c r="G50" i="23"/>
  <c r="G49" i="23"/>
  <c r="G48" i="23"/>
  <c r="G47" i="23"/>
  <c r="G46" i="23"/>
  <c r="G45" i="23"/>
  <c r="C54" i="23"/>
  <c r="C53" i="23"/>
  <c r="C52" i="23"/>
  <c r="C51" i="23"/>
  <c r="C50" i="23"/>
  <c r="C49" i="23"/>
  <c r="C48" i="23"/>
  <c r="C47" i="23"/>
  <c r="C46" i="23"/>
  <c r="C45" i="23"/>
  <c r="M50" i="22"/>
  <c r="B66" i="22" s="1"/>
  <c r="L50" i="22"/>
  <c r="L32" i="25"/>
  <c r="L32" i="24"/>
  <c r="L32" i="23"/>
  <c r="L32" i="22"/>
  <c r="G53" i="22"/>
  <c r="G52" i="22"/>
  <c r="G51" i="22"/>
  <c r="G50" i="22"/>
  <c r="G49" i="22"/>
  <c r="G48" i="22"/>
  <c r="G47" i="22"/>
  <c r="G46" i="22"/>
  <c r="G45" i="22"/>
  <c r="G54" i="22"/>
  <c r="C54" i="22"/>
  <c r="C53" i="22"/>
  <c r="C52" i="22"/>
  <c r="C51" i="22"/>
  <c r="C50" i="22"/>
  <c r="C49" i="22"/>
  <c r="C48" i="22"/>
  <c r="C47" i="22"/>
  <c r="C46" i="22"/>
  <c r="C45" i="22"/>
  <c r="Q48" i="22"/>
  <c r="S46" i="22"/>
  <c r="S45" i="22"/>
  <c r="R46" i="22"/>
  <c r="B60" i="22" l="1"/>
  <c r="B64" i="22"/>
  <c r="C63" i="20"/>
  <c r="G56" i="22"/>
  <c r="C56" i="23"/>
  <c r="C59" i="20"/>
  <c r="G56" i="23"/>
  <c r="C56" i="25"/>
  <c r="C56" i="24"/>
  <c r="G56" i="25"/>
  <c r="G56" i="24"/>
  <c r="C56" i="20"/>
  <c r="C57" i="20"/>
  <c r="C64" i="20"/>
  <c r="C65" i="20"/>
  <c r="C58" i="20"/>
  <c r="C56" i="22"/>
  <c r="C60" i="20"/>
  <c r="C61" i="20"/>
  <c r="C62" i="20"/>
  <c r="Q38" i="13"/>
  <c r="E28" i="26" l="1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B39" i="49"/>
  <c r="B39" i="48"/>
  <c r="B39" i="28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B39" i="26"/>
  <c r="C28" i="26"/>
  <c r="C28" i="49" s="1"/>
  <c r="C27" i="26"/>
  <c r="C27" i="48" s="1"/>
  <c r="C26" i="26"/>
  <c r="C26" i="28" s="1"/>
  <c r="C25" i="26"/>
  <c r="C25" i="28" s="1"/>
  <c r="C24" i="26"/>
  <c r="C24" i="28" s="1"/>
  <c r="C23" i="26"/>
  <c r="C23" i="28" s="1"/>
  <c r="C22" i="26"/>
  <c r="C22" i="28" s="1"/>
  <c r="C21" i="26"/>
  <c r="C21" i="28" s="1"/>
  <c r="C20" i="26"/>
  <c r="C20" i="49" s="1"/>
  <c r="C19" i="26"/>
  <c r="C19" i="48" s="1"/>
  <c r="C18" i="26"/>
  <c r="C18" i="28" s="1"/>
  <c r="C17" i="26"/>
  <c r="D17" i="26" s="1"/>
  <c r="C16" i="26"/>
  <c r="C16" i="28" s="1"/>
  <c r="C15" i="26"/>
  <c r="C14" i="26"/>
  <c r="C14" i="49" s="1"/>
  <c r="E32" i="7" l="1"/>
  <c r="D15" i="26"/>
  <c r="D14" i="49"/>
  <c r="D18" i="26"/>
  <c r="D16" i="26"/>
  <c r="D24" i="26"/>
  <c r="D22" i="28"/>
  <c r="D25" i="28"/>
  <c r="C21" i="49"/>
  <c r="D21" i="49" s="1"/>
  <c r="D19" i="26"/>
  <c r="C27" i="28"/>
  <c r="D27" i="28" s="1"/>
  <c r="C22" i="49"/>
  <c r="D22" i="49" s="1"/>
  <c r="D18" i="28"/>
  <c r="D26" i="28"/>
  <c r="D19" i="48"/>
  <c r="D27" i="48"/>
  <c r="D28" i="49"/>
  <c r="D22" i="26"/>
  <c r="C14" i="48"/>
  <c r="D14" i="48" s="1"/>
  <c r="C20" i="48"/>
  <c r="D20" i="48" s="1"/>
  <c r="C22" i="48"/>
  <c r="D22" i="48" s="1"/>
  <c r="C28" i="48"/>
  <c r="D28" i="48" s="1"/>
  <c r="C14" i="28"/>
  <c r="D14" i="28" s="1"/>
  <c r="C19" i="28"/>
  <c r="D19" i="28" s="1"/>
  <c r="C19" i="49"/>
  <c r="D19" i="49" s="1"/>
  <c r="D20" i="49"/>
  <c r="D21" i="28"/>
  <c r="D23" i="28"/>
  <c r="D16" i="28"/>
  <c r="D24" i="28"/>
  <c r="C20" i="28"/>
  <c r="D20" i="28" s="1"/>
  <c r="C28" i="28"/>
  <c r="D28" i="28" s="1"/>
  <c r="C21" i="48"/>
  <c r="D21" i="48" s="1"/>
  <c r="C15" i="49"/>
  <c r="D15" i="49" s="1"/>
  <c r="C23" i="49"/>
  <c r="D23" i="49" s="1"/>
  <c r="D23" i="26"/>
  <c r="C15" i="48"/>
  <c r="D15" i="48" s="1"/>
  <c r="C23" i="48"/>
  <c r="D23" i="48" s="1"/>
  <c r="C16" i="49"/>
  <c r="D16" i="49" s="1"/>
  <c r="C24" i="49"/>
  <c r="D24" i="49" s="1"/>
  <c r="C15" i="28"/>
  <c r="D15" i="28" s="1"/>
  <c r="C16" i="48"/>
  <c r="D16" i="48" s="1"/>
  <c r="C24" i="48"/>
  <c r="D24" i="48" s="1"/>
  <c r="C17" i="49"/>
  <c r="D17" i="49" s="1"/>
  <c r="C25" i="49"/>
  <c r="D25" i="49" s="1"/>
  <c r="D20" i="26"/>
  <c r="D28" i="26"/>
  <c r="D25" i="26"/>
  <c r="C17" i="48"/>
  <c r="D17" i="48" s="1"/>
  <c r="C25" i="48"/>
  <c r="D25" i="48" s="1"/>
  <c r="C18" i="49"/>
  <c r="D18" i="49" s="1"/>
  <c r="C26" i="49"/>
  <c r="D26" i="49" s="1"/>
  <c r="D21" i="26"/>
  <c r="D26" i="26"/>
  <c r="C18" i="48"/>
  <c r="D18" i="48" s="1"/>
  <c r="C26" i="48"/>
  <c r="D26" i="48" s="1"/>
  <c r="C27" i="49"/>
  <c r="D27" i="49" s="1"/>
  <c r="D14" i="26"/>
  <c r="C17" i="28"/>
  <c r="D17" i="28" s="1"/>
  <c r="D27" i="26"/>
  <c r="F25" i="36" l="1"/>
  <c r="D23" i="36"/>
  <c r="D22" i="36"/>
  <c r="D21" i="36"/>
  <c r="D20" i="36"/>
  <c r="D19" i="36"/>
  <c r="D18" i="36"/>
  <c r="D17" i="36"/>
  <c r="D16" i="36"/>
  <c r="D15" i="36"/>
  <c r="D14" i="36"/>
  <c r="C23" i="36"/>
  <c r="E23" i="36" s="1"/>
  <c r="G23" i="36" s="1"/>
  <c r="C22" i="36"/>
  <c r="C21" i="36"/>
  <c r="C20" i="36"/>
  <c r="C19" i="36"/>
  <c r="C18" i="36"/>
  <c r="C17" i="36"/>
  <c r="C16" i="36"/>
  <c r="C15" i="36"/>
  <c r="C14" i="36"/>
  <c r="I59" i="32"/>
  <c r="F57" i="32"/>
  <c r="I57" i="32" s="1"/>
  <c r="N57" i="32" s="1"/>
  <c r="D53" i="33"/>
  <c r="F45" i="37" l="1"/>
  <c r="D43" i="37"/>
  <c r="C43" i="37"/>
  <c r="D42" i="37"/>
  <c r="C42" i="37"/>
  <c r="D41" i="37"/>
  <c r="C41" i="37"/>
  <c r="D40" i="37"/>
  <c r="C40" i="37"/>
  <c r="D39" i="37"/>
  <c r="C39" i="37"/>
  <c r="D38" i="37"/>
  <c r="C38" i="37"/>
  <c r="D37" i="37"/>
  <c r="C37" i="37"/>
  <c r="D36" i="37"/>
  <c r="C36" i="37"/>
  <c r="D35" i="37"/>
  <c r="C35" i="37"/>
  <c r="D34" i="37"/>
  <c r="C34" i="37"/>
  <c r="D33" i="37"/>
  <c r="C33" i="37"/>
  <c r="D32" i="37"/>
  <c r="C32" i="37"/>
  <c r="D31" i="37"/>
  <c r="C31" i="37"/>
  <c r="D30" i="37"/>
  <c r="C30" i="37"/>
  <c r="D29" i="37"/>
  <c r="C29" i="37"/>
  <c r="D28" i="37"/>
  <c r="C28" i="37"/>
  <c r="D27" i="37"/>
  <c r="C27" i="37"/>
  <c r="D26" i="37"/>
  <c r="C26" i="37"/>
  <c r="D25" i="37"/>
  <c r="C25" i="37"/>
  <c r="D24" i="37"/>
  <c r="C24" i="37"/>
  <c r="D23" i="37"/>
  <c r="C23" i="37"/>
  <c r="E69" i="21"/>
  <c r="E31" i="7" l="1"/>
  <c r="C43" i="31"/>
  <c r="C45" i="37"/>
  <c r="D45" i="37"/>
  <c r="E43" i="37"/>
  <c r="G43" i="37" s="1"/>
  <c r="L43" i="37" s="1"/>
  <c r="G22" i="8" l="1"/>
  <c r="R45" i="22" l="1"/>
  <c r="E30" i="7" l="1"/>
  <c r="E22" i="36" l="1"/>
  <c r="G22" i="36" s="1"/>
  <c r="C25" i="36"/>
  <c r="D25" i="36"/>
  <c r="C42" i="31"/>
  <c r="E41" i="37" l="1"/>
  <c r="E42" i="37"/>
  <c r="G42" i="37" s="1"/>
  <c r="L42" i="37" s="1"/>
  <c r="M10" i="1"/>
  <c r="M11" i="1"/>
  <c r="M9" i="1"/>
  <c r="E29" i="7" l="1"/>
  <c r="R44" i="22"/>
  <c r="D15" i="33" l="1"/>
  <c r="F14" i="32"/>
  <c r="F15" i="32"/>
  <c r="R43" i="22" l="1"/>
  <c r="E28" i="7" l="1"/>
  <c r="K44" i="21"/>
  <c r="B32" i="45"/>
  <c r="B31" i="45"/>
  <c r="B30" i="45"/>
  <c r="B29" i="45"/>
  <c r="B41" i="49"/>
  <c r="E33" i="49"/>
  <c r="E12" i="49"/>
  <c r="B42" i="49" s="1"/>
  <c r="D12" i="49"/>
  <c r="C12" i="49"/>
  <c r="A12" i="49"/>
  <c r="A3" i="49"/>
  <c r="A2" i="49"/>
  <c r="A1" i="49"/>
  <c r="B41" i="48"/>
  <c r="E33" i="48"/>
  <c r="E12" i="48"/>
  <c r="B42" i="48" s="1"/>
  <c r="D12" i="48"/>
  <c r="C12" i="48"/>
  <c r="A12" i="48"/>
  <c r="A3" i="48"/>
  <c r="A2" i="48"/>
  <c r="A1" i="48"/>
  <c r="F11" i="34" l="1"/>
  <c r="O29" i="3"/>
  <c r="E11" i="34" l="1"/>
  <c r="D11" i="34" s="1"/>
  <c r="G11" i="34"/>
  <c r="C11" i="49"/>
  <c r="C11" i="48"/>
  <c r="E27" i="7" l="1"/>
  <c r="D53" i="30"/>
  <c r="F26" i="34" l="1"/>
  <c r="C41" i="31" l="1"/>
  <c r="G41" i="37"/>
  <c r="L41" i="37" s="1"/>
  <c r="E21" i="36"/>
  <c r="G21" i="36" s="1"/>
  <c r="E26" i="7" l="1"/>
  <c r="D31" i="34"/>
  <c r="D32" i="34" s="1"/>
  <c r="F31" i="34" l="1"/>
  <c r="F32" i="34" s="1"/>
  <c r="H32" i="34" s="1"/>
  <c r="E25" i="7" l="1"/>
  <c r="F36" i="34"/>
  <c r="A23" i="3" l="1"/>
  <c r="Q42" i="22" l="1"/>
  <c r="R42" i="22" s="1"/>
  <c r="E24" i="7" l="1"/>
  <c r="E40" i="37" l="1"/>
  <c r="G40" i="37" s="1"/>
  <c r="L40" i="37" s="1"/>
  <c r="C40" i="31"/>
  <c r="E23" i="7" l="1"/>
  <c r="E53" i="30"/>
  <c r="G53" i="30" s="1"/>
  <c r="E22" i="7" l="1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AU28" i="22" l="1"/>
  <c r="AU29" i="22" s="1"/>
  <c r="X10" i="22"/>
  <c r="O33" i="23" l="1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32" i="23"/>
  <c r="E21" i="7" l="1"/>
  <c r="BQ53" i="22"/>
  <c r="BU53" i="22" s="1"/>
  <c r="BY53" i="22" s="1"/>
  <c r="CC53" i="22" s="1"/>
  <c r="CG53" i="22" s="1"/>
  <c r="CK53" i="22" s="1"/>
  <c r="CO53" i="22" s="1"/>
  <c r="CS53" i="22" s="1"/>
  <c r="CW53" i="22" s="1"/>
  <c r="DA53" i="22" s="1"/>
  <c r="DE53" i="22" s="1"/>
  <c r="DI53" i="22" s="1"/>
  <c r="DM53" i="22" s="1"/>
  <c r="DQ53" i="22" s="1"/>
  <c r="DU53" i="22" s="1"/>
  <c r="DY53" i="22" s="1"/>
  <c r="EC53" i="22" s="1"/>
  <c r="EG53" i="22" s="1"/>
  <c r="EK53" i="22" s="1"/>
  <c r="EO53" i="22" s="1"/>
  <c r="ES53" i="22" s="1"/>
  <c r="EW53" i="22" s="1"/>
  <c r="FA53" i="22" s="1"/>
  <c r="FE53" i="22" s="1"/>
  <c r="FI53" i="22" s="1"/>
  <c r="FM53" i="22" s="1"/>
  <c r="FQ53" i="22" s="1"/>
  <c r="FU53" i="22" s="1"/>
  <c r="FY53" i="22" s="1"/>
  <c r="GC53" i="22" s="1"/>
  <c r="GG53" i="22" s="1"/>
  <c r="GK53" i="22" s="1"/>
  <c r="GO53" i="22" s="1"/>
  <c r="GS53" i="22" s="1"/>
  <c r="GW53" i="22" s="1"/>
  <c r="HA53" i="22" s="1"/>
  <c r="HE53" i="22" s="1"/>
  <c r="HI53" i="22" s="1"/>
  <c r="HM53" i="22" s="1"/>
  <c r="AW32" i="22"/>
  <c r="AX31" i="22"/>
  <c r="AX32" i="22" s="1"/>
  <c r="AV31" i="22"/>
  <c r="AV30" i="22" s="1"/>
  <c r="AW30" i="22"/>
  <c r="AU30" i="22"/>
  <c r="AT29" i="22"/>
  <c r="AT28" i="22" s="1"/>
  <c r="AH20" i="22"/>
  <c r="AG19" i="22"/>
  <c r="AF18" i="22"/>
  <c r="AD17" i="22"/>
  <c r="AD16" i="22" s="1"/>
  <c r="AE16" i="22"/>
  <c r="AE17" i="22" s="1"/>
  <c r="AB16" i="22"/>
  <c r="AB15" i="22" s="1"/>
  <c r="AC15" i="22"/>
  <c r="AC16" i="22" s="1"/>
  <c r="AA14" i="22"/>
  <c r="Y14" i="22"/>
  <c r="Z11" i="22"/>
  <c r="W11" i="22"/>
  <c r="X11" i="22"/>
  <c r="V10" i="22"/>
  <c r="W9" i="22"/>
  <c r="W10" i="22" s="1"/>
  <c r="U9" i="22"/>
  <c r="V8" i="22"/>
  <c r="V9" i="22" s="1"/>
  <c r="T8" i="22"/>
  <c r="T7" i="22" s="1"/>
  <c r="U7" i="22"/>
  <c r="U6" i="22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AH6" i="22" s="1"/>
  <c r="AI6" i="22" s="1"/>
  <c r="AJ6" i="22" s="1"/>
  <c r="AK6" i="22" s="1"/>
  <c r="AL6" i="22" s="1"/>
  <c r="AM6" i="22" s="1"/>
  <c r="AN6" i="22" s="1"/>
  <c r="AO6" i="22" s="1"/>
  <c r="AP6" i="22" s="1"/>
  <c r="AQ6" i="22" s="1"/>
  <c r="AR6" i="22" s="1"/>
  <c r="AS6" i="22" s="1"/>
  <c r="AT6" i="22" s="1"/>
  <c r="AU6" i="22" s="1"/>
  <c r="AV6" i="22" s="1"/>
  <c r="AW6" i="22" s="1"/>
  <c r="AX6" i="22" s="1"/>
  <c r="AY6" i="22" s="1"/>
  <c r="AZ6" i="22" s="1"/>
  <c r="BA6" i="22" s="1"/>
  <c r="BB6" i="22" s="1"/>
  <c r="BC6" i="22" s="1"/>
  <c r="BD6" i="22" s="1"/>
  <c r="BE6" i="22" s="1"/>
  <c r="BF6" i="22" s="1"/>
  <c r="BG6" i="22" s="1"/>
  <c r="U8" i="22" l="1"/>
  <c r="Y13" i="22"/>
  <c r="Y12" i="22" s="1"/>
  <c r="Y11" i="22" s="1"/>
  <c r="Z12" i="22"/>
  <c r="Z13" i="22" s="1"/>
  <c r="AW31" i="22"/>
  <c r="S7" i="22"/>
  <c r="Q9" i="22"/>
  <c r="R9" i="22" s="1"/>
  <c r="Q10" i="22"/>
  <c r="R10" i="22" s="1"/>
  <c r="Q11" i="22"/>
  <c r="R11" i="22" s="1"/>
  <c r="Q12" i="22"/>
  <c r="R12" i="22" s="1"/>
  <c r="Q13" i="22"/>
  <c r="R13" i="22" s="1"/>
  <c r="Q14" i="22"/>
  <c r="R14" i="22" s="1"/>
  <c r="Q15" i="22"/>
  <c r="R15" i="22" s="1"/>
  <c r="Q16" i="22"/>
  <c r="R16" i="22" s="1"/>
  <c r="Q17" i="22"/>
  <c r="R17" i="22" s="1"/>
  <c r="Q18" i="22"/>
  <c r="R18" i="22" s="1"/>
  <c r="Q19" i="22"/>
  <c r="R19" i="22" s="1"/>
  <c r="Q20" i="22"/>
  <c r="R20" i="22" s="1"/>
  <c r="Q21" i="22"/>
  <c r="R21" i="22" s="1"/>
  <c r="Q22" i="22"/>
  <c r="R22" i="22" s="1"/>
  <c r="Q23" i="22"/>
  <c r="R23" i="22" s="1"/>
  <c r="Q24" i="22"/>
  <c r="R24" i="22" s="1"/>
  <c r="Q25" i="22"/>
  <c r="R25" i="22" s="1"/>
  <c r="Q26" i="22"/>
  <c r="R26" i="22" s="1"/>
  <c r="Q27" i="22"/>
  <c r="R27" i="22" s="1"/>
  <c r="Q28" i="22"/>
  <c r="R28" i="22" s="1"/>
  <c r="Q29" i="22"/>
  <c r="R29" i="22" s="1"/>
  <c r="Q30" i="22"/>
  <c r="R30" i="22" s="1"/>
  <c r="Q31" i="22"/>
  <c r="R31" i="22" s="1"/>
  <c r="Q32" i="22"/>
  <c r="R32" i="22" s="1"/>
  <c r="Q33" i="22"/>
  <c r="R33" i="22" s="1"/>
  <c r="Q34" i="22"/>
  <c r="R34" i="22" s="1"/>
  <c r="Q35" i="22"/>
  <c r="R35" i="22" s="1"/>
  <c r="Q37" i="22"/>
  <c r="R37" i="22" s="1"/>
  <c r="Q38" i="22"/>
  <c r="R38" i="22" s="1"/>
  <c r="Q39" i="22"/>
  <c r="R39" i="22" s="1"/>
  <c r="Q40" i="22"/>
  <c r="R40" i="22" s="1"/>
  <c r="Q41" i="22"/>
  <c r="R41" i="22" s="1"/>
  <c r="Q8" i="22"/>
  <c r="R8" i="22" s="1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7" i="22"/>
  <c r="Z14" i="22" l="1"/>
  <c r="A45" i="5"/>
  <c r="A23" i="5" s="1"/>
  <c r="O32" i="8" l="1"/>
  <c r="D10" i="20" l="1"/>
  <c r="F12" i="19"/>
  <c r="B44" i="19" s="1"/>
  <c r="D12" i="19"/>
  <c r="C12" i="19"/>
  <c r="B40" i="19" s="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G61" i="21" l="1"/>
  <c r="F62" i="21" s="1"/>
  <c r="E39" i="37" l="1"/>
  <c r="G39" i="37" s="1"/>
  <c r="L39" i="37" s="1"/>
  <c r="C39" i="31"/>
  <c r="B45" i="19" l="1"/>
  <c r="G12" i="7" l="1"/>
  <c r="M47" i="23" l="1"/>
  <c r="M48" i="23" l="1"/>
  <c r="B66" i="23" l="1"/>
  <c r="B66" i="24" s="1"/>
  <c r="B66" i="25" l="1"/>
  <c r="F14" i="3"/>
  <c r="E19" i="4"/>
  <c r="F20" i="3"/>
  <c r="F22" i="3"/>
  <c r="G17" i="8"/>
  <c r="E38" i="37"/>
  <c r="G38" i="37" s="1"/>
  <c r="L38" i="37" s="1"/>
  <c r="E33" i="28"/>
  <c r="M48" i="25"/>
  <c r="L48" i="23"/>
  <c r="E36" i="34"/>
  <c r="D36" i="34"/>
  <c r="E31" i="34"/>
  <c r="E32" i="34" s="1"/>
  <c r="E23" i="34"/>
  <c r="D23" i="34"/>
  <c r="E19" i="34"/>
  <c r="D19" i="34"/>
  <c r="B41" i="28"/>
  <c r="B41" i="26"/>
  <c r="A15" i="25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H46" i="34"/>
  <c r="B56" i="34"/>
  <c r="F19" i="34"/>
  <c r="C68" i="7"/>
  <c r="O52" i="7"/>
  <c r="A1" i="37"/>
  <c r="A2" i="37"/>
  <c r="A3" i="37"/>
  <c r="A12" i="37"/>
  <c r="C12" i="37"/>
  <c r="D12" i="37"/>
  <c r="E12" i="37"/>
  <c r="F12" i="37"/>
  <c r="B51" i="37" s="1"/>
  <c r="G12" i="37"/>
  <c r="E14" i="37"/>
  <c r="G14" i="37" s="1"/>
  <c r="A15" i="37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E15" i="37"/>
  <c r="E16" i="37"/>
  <c r="G16" i="37" s="1"/>
  <c r="L16" i="37" s="1"/>
  <c r="E17" i="37"/>
  <c r="G17" i="37" s="1"/>
  <c r="L17" i="37" s="1"/>
  <c r="E18" i="37"/>
  <c r="G18" i="37" s="1"/>
  <c r="L18" i="37" s="1"/>
  <c r="E19" i="37"/>
  <c r="G19" i="37" s="1"/>
  <c r="L19" i="37" s="1"/>
  <c r="E20" i="37"/>
  <c r="G20" i="37" s="1"/>
  <c r="L20" i="37" s="1"/>
  <c r="E21" i="37"/>
  <c r="G21" i="37" s="1"/>
  <c r="L21" i="37" s="1"/>
  <c r="A1" i="36"/>
  <c r="A2" i="36"/>
  <c r="A3" i="36"/>
  <c r="A12" i="36"/>
  <c r="C12" i="36"/>
  <c r="D12" i="36"/>
  <c r="B29" i="36" s="1"/>
  <c r="E12" i="36"/>
  <c r="F12" i="36"/>
  <c r="B31" i="36" s="1"/>
  <c r="G12" i="36"/>
  <c r="A1" i="34"/>
  <c r="A2" i="34"/>
  <c r="A3" i="34"/>
  <c r="F23" i="34"/>
  <c r="B58" i="34"/>
  <c r="A1" i="33"/>
  <c r="A2" i="33"/>
  <c r="A3" i="33"/>
  <c r="A12" i="33"/>
  <c r="C12" i="33"/>
  <c r="B56" i="33" s="1"/>
  <c r="D12" i="33"/>
  <c r="S8" i="22"/>
  <c r="C43" i="33"/>
  <c r="Q36" i="22" s="1"/>
  <c r="R36" i="22" s="1"/>
  <c r="A1" i="32"/>
  <c r="A2" i="32"/>
  <c r="A3" i="32"/>
  <c r="A12" i="32"/>
  <c r="B12" i="32"/>
  <c r="C12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J14" i="32"/>
  <c r="M14" i="32" s="1"/>
  <c r="J15" i="32"/>
  <c r="M15" i="32" s="1"/>
  <c r="J16" i="32"/>
  <c r="M16" i="32" s="1"/>
  <c r="J17" i="32"/>
  <c r="M17" i="32" s="1"/>
  <c r="J18" i="32"/>
  <c r="M18" i="32" s="1"/>
  <c r="J19" i="32"/>
  <c r="J20" i="32"/>
  <c r="M20" i="32" s="1"/>
  <c r="J21" i="32"/>
  <c r="M21" i="32" s="1"/>
  <c r="J22" i="32"/>
  <c r="M22" i="32" s="1"/>
  <c r="J23" i="32"/>
  <c r="M23" i="32" s="1"/>
  <c r="J24" i="32"/>
  <c r="M24" i="32" s="1"/>
  <c r="J25" i="32"/>
  <c r="M25" i="32" s="1"/>
  <c r="J26" i="32"/>
  <c r="M26" i="32" s="1"/>
  <c r="J27" i="32"/>
  <c r="M27" i="32" s="1"/>
  <c r="J28" i="32"/>
  <c r="M28" i="32" s="1"/>
  <c r="J29" i="32"/>
  <c r="M29" i="32" s="1"/>
  <c r="J30" i="32"/>
  <c r="M30" i="32" s="1"/>
  <c r="J31" i="32"/>
  <c r="M31" i="32" s="1"/>
  <c r="J32" i="32"/>
  <c r="M32" i="32" s="1"/>
  <c r="J33" i="32"/>
  <c r="M33" i="32" s="1"/>
  <c r="J34" i="32"/>
  <c r="M34" i="32" s="1"/>
  <c r="J35" i="32"/>
  <c r="M35" i="32" s="1"/>
  <c r="J36" i="32"/>
  <c r="M36" i="32" s="1"/>
  <c r="J37" i="32"/>
  <c r="M37" i="32" s="1"/>
  <c r="J38" i="32"/>
  <c r="M38" i="32" s="1"/>
  <c r="J39" i="32"/>
  <c r="M39" i="32" s="1"/>
  <c r="J40" i="32"/>
  <c r="M40" i="32" s="1"/>
  <c r="J41" i="32"/>
  <c r="M41" i="32" s="1"/>
  <c r="J42" i="32"/>
  <c r="M42" i="32" s="1"/>
  <c r="J43" i="32"/>
  <c r="M43" i="32" s="1"/>
  <c r="J44" i="32"/>
  <c r="M44" i="32" s="1"/>
  <c r="J45" i="32"/>
  <c r="M46" i="32"/>
  <c r="J47" i="32"/>
  <c r="J48" i="32"/>
  <c r="A1" i="31"/>
  <c r="A2" i="31"/>
  <c r="A3" i="31"/>
  <c r="A12" i="31"/>
  <c r="C12" i="31"/>
  <c r="B49" i="31" s="1"/>
  <c r="D12" i="31"/>
  <c r="B50" i="31" s="1"/>
  <c r="E12" i="31"/>
  <c r="F12" i="31"/>
  <c r="C14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C15" i="31"/>
  <c r="C16" i="31"/>
  <c r="C17" i="31"/>
  <c r="C18" i="31"/>
  <c r="C19" i="31"/>
  <c r="C20" i="31"/>
  <c r="C21" i="31"/>
  <c r="L25" i="31"/>
  <c r="A11" i="31" s="1"/>
  <c r="A1" i="30"/>
  <c r="A2" i="30"/>
  <c r="A3" i="30"/>
  <c r="A4" i="30"/>
  <c r="B33" i="45" s="1"/>
  <c r="A12" i="30"/>
  <c r="C12" i="30"/>
  <c r="G12" i="30" s="1"/>
  <c r="A1" i="28"/>
  <c r="A2" i="28"/>
  <c r="A3" i="28"/>
  <c r="A12" i="28"/>
  <c r="C12" i="28"/>
  <c r="D12" i="28"/>
  <c r="E12" i="28"/>
  <c r="B42" i="28" s="1"/>
  <c r="A1" i="26"/>
  <c r="A2" i="26"/>
  <c r="A3" i="26"/>
  <c r="A12" i="26"/>
  <c r="C12" i="26"/>
  <c r="D12" i="26"/>
  <c r="E12" i="26"/>
  <c r="B42" i="26" s="1"/>
  <c r="A1" i="25"/>
  <c r="A2" i="25"/>
  <c r="A3" i="25"/>
  <c r="A12" i="25"/>
  <c r="C12" i="25"/>
  <c r="D12" i="25"/>
  <c r="B61" i="25" s="1"/>
  <c r="E12" i="25"/>
  <c r="F12" i="25"/>
  <c r="G12" i="25"/>
  <c r="H12" i="25"/>
  <c r="L47" i="25"/>
  <c r="M47" i="25"/>
  <c r="A1" i="24"/>
  <c r="A2" i="24"/>
  <c r="A3" i="24"/>
  <c r="A12" i="24"/>
  <c r="C12" i="24"/>
  <c r="D12" i="24"/>
  <c r="B61" i="24" s="1"/>
  <c r="E12" i="24"/>
  <c r="F12" i="24"/>
  <c r="G12" i="24"/>
  <c r="H12" i="24"/>
  <c r="L45" i="24"/>
  <c r="M45" i="24"/>
  <c r="A1" i="23"/>
  <c r="A2" i="23"/>
  <c r="A3" i="23"/>
  <c r="A12" i="23"/>
  <c r="C12" i="23"/>
  <c r="D12" i="23"/>
  <c r="B61" i="23" s="1"/>
  <c r="E12" i="23"/>
  <c r="F12" i="23"/>
  <c r="G12" i="23"/>
  <c r="H12" i="23"/>
  <c r="L46" i="23"/>
  <c r="M46" i="23"/>
  <c r="A1" i="22"/>
  <c r="A2" i="22"/>
  <c r="A3" i="22"/>
  <c r="A12" i="22"/>
  <c r="C12" i="22"/>
  <c r="D12" i="22"/>
  <c r="B61" i="22" s="1"/>
  <c r="E12" i="22"/>
  <c r="B62" i="22" s="1"/>
  <c r="F12" i="22"/>
  <c r="G12" i="22"/>
  <c r="B65" i="22" s="1"/>
  <c r="H12" i="22"/>
  <c r="A1" i="21"/>
  <c r="A2" i="21"/>
  <c r="A3" i="21"/>
  <c r="A11" i="21"/>
  <c r="C11" i="21"/>
  <c r="B66" i="21" s="1"/>
  <c r="D11" i="21"/>
  <c r="B67" i="21" s="1"/>
  <c r="E11" i="21"/>
  <c r="B68" i="21" s="1"/>
  <c r="F11" i="21"/>
  <c r="B69" i="21" s="1"/>
  <c r="G11" i="21"/>
  <c r="C57" i="21"/>
  <c r="E68" i="21"/>
  <c r="A1" i="20"/>
  <c r="A2" i="20"/>
  <c r="A3" i="20"/>
  <c r="A10" i="20"/>
  <c r="C10" i="20"/>
  <c r="E10" i="20"/>
  <c r="F10" i="20"/>
  <c r="B77" i="20" s="1"/>
  <c r="G10" i="20"/>
  <c r="B78" i="20" s="1"/>
  <c r="H10" i="20"/>
  <c r="B75" i="20"/>
  <c r="A1" i="19"/>
  <c r="A2" i="19"/>
  <c r="A3" i="19"/>
  <c r="E12" i="19"/>
  <c r="B41" i="19" s="1"/>
  <c r="B43" i="19"/>
  <c r="A1" i="18"/>
  <c r="A2" i="18"/>
  <c r="A3" i="18"/>
  <c r="A12" i="18"/>
  <c r="C12" i="18"/>
  <c r="B26" i="18" s="1"/>
  <c r="D12" i="18"/>
  <c r="E12" i="18"/>
  <c r="E30" i="13"/>
  <c r="E37" i="13"/>
  <c r="E38" i="13"/>
  <c r="A1" i="13"/>
  <c r="A2" i="13"/>
  <c r="A3" i="13"/>
  <c r="A11" i="13"/>
  <c r="C11" i="13"/>
  <c r="D11" i="13"/>
  <c r="E11" i="13"/>
  <c r="F11" i="13"/>
  <c r="B70" i="13" s="1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1" i="11"/>
  <c r="A2" i="11"/>
  <c r="A3" i="11"/>
  <c r="A12" i="11"/>
  <c r="C12" i="11"/>
  <c r="B63" i="11" s="1"/>
  <c r="D12" i="11"/>
  <c r="E12" i="11"/>
  <c r="F12" i="11"/>
  <c r="G12" i="11"/>
  <c r="H12" i="11"/>
  <c r="I12" i="11"/>
  <c r="J12" i="11"/>
  <c r="K12" i="11"/>
  <c r="A55" i="11"/>
  <c r="N55" i="11" s="1"/>
  <c r="A1" i="10"/>
  <c r="A2" i="10"/>
  <c r="A3" i="10"/>
  <c r="N9" i="10"/>
  <c r="A53" i="10" s="1"/>
  <c r="N53" i="10" s="1"/>
  <c r="A12" i="10"/>
  <c r="C12" i="10"/>
  <c r="D12" i="10"/>
  <c r="E12" i="10"/>
  <c r="A1" i="9"/>
  <c r="A2" i="9"/>
  <c r="A3" i="9"/>
  <c r="A12" i="9"/>
  <c r="C12" i="9"/>
  <c r="D12" i="9"/>
  <c r="E12" i="9"/>
  <c r="A53" i="9"/>
  <c r="N53" i="9" s="1"/>
  <c r="A1" i="8"/>
  <c r="A2" i="8"/>
  <c r="A3" i="8"/>
  <c r="A11" i="8"/>
  <c r="A12" i="8"/>
  <c r="C12" i="8"/>
  <c r="B34" i="8" s="1"/>
  <c r="D12" i="8"/>
  <c r="B35" i="8" s="1"/>
  <c r="E12" i="8"/>
  <c r="B36" i="8" s="1"/>
  <c r="F12" i="8"/>
  <c r="B37" i="8" s="1"/>
  <c r="G12" i="8"/>
  <c r="B38" i="8" s="1"/>
  <c r="H12" i="8"/>
  <c r="A23" i="8"/>
  <c r="A1" i="7"/>
  <c r="A2" i="7"/>
  <c r="A3" i="7"/>
  <c r="A12" i="7"/>
  <c r="C12" i="7"/>
  <c r="D12" i="7"/>
  <c r="E12" i="7"/>
  <c r="C63" i="7" s="1"/>
  <c r="F12" i="7"/>
  <c r="I12" i="7"/>
  <c r="J12" i="7"/>
  <c r="K12" i="7"/>
  <c r="L12" i="7"/>
  <c r="N51" i="7"/>
  <c r="O51" i="7" s="1"/>
  <c r="A52" i="7"/>
  <c r="C69" i="7"/>
  <c r="A1" i="5"/>
  <c r="A2" i="5"/>
  <c r="A3" i="5"/>
  <c r="A44" i="5"/>
  <c r="B50" i="5"/>
  <c r="B51" i="5"/>
  <c r="B52" i="5"/>
  <c r="B53" i="5"/>
  <c r="B54" i="5"/>
  <c r="B55" i="5"/>
  <c r="B56" i="5"/>
  <c r="B57" i="5"/>
  <c r="B58" i="5"/>
  <c r="B59" i="5"/>
  <c r="B60" i="5"/>
  <c r="B61" i="5"/>
  <c r="A1" i="4"/>
  <c r="A2" i="4"/>
  <c r="A3" i="4"/>
  <c r="A4" i="4"/>
  <c r="B13" i="45" s="1"/>
  <c r="A12" i="4"/>
  <c r="C12" i="4"/>
  <c r="D12" i="4"/>
  <c r="E12" i="4"/>
  <c r="A23" i="4"/>
  <c r="A22" i="4" s="1"/>
  <c r="A21" i="4" s="1"/>
  <c r="A20" i="4" s="1"/>
  <c r="A19" i="4" s="1"/>
  <c r="A18" i="4" s="1"/>
  <c r="A17" i="4" s="1"/>
  <c r="A16" i="4" s="1"/>
  <c r="A15" i="4" s="1"/>
  <c r="A14" i="4" s="1"/>
  <c r="A1" i="3"/>
  <c r="A2" i="3"/>
  <c r="A3" i="3"/>
  <c r="A12" i="3"/>
  <c r="F12" i="3"/>
  <c r="B34" i="3" s="1"/>
  <c r="E12" i="3"/>
  <c r="G12" i="3"/>
  <c r="B35" i="3" s="1"/>
  <c r="A22" i="3"/>
  <c r="A21" i="3" s="1"/>
  <c r="A20" i="3" s="1"/>
  <c r="A19" i="3" s="1"/>
  <c r="A18" i="3" s="1"/>
  <c r="A17" i="3" s="1"/>
  <c r="A16" i="3" s="1"/>
  <c r="A15" i="3" s="1"/>
  <c r="A14" i="3" s="1"/>
  <c r="A1" i="2"/>
  <c r="A2" i="2"/>
  <c r="A3" i="2"/>
  <c r="A12" i="2"/>
  <c r="C12" i="2"/>
  <c r="B30" i="2" s="1"/>
  <c r="D12" i="2"/>
  <c r="E12" i="2"/>
  <c r="B32" i="2" s="1"/>
  <c r="F12" i="2"/>
  <c r="G12" i="2"/>
  <c r="B34" i="2" s="1"/>
  <c r="H12" i="2"/>
  <c r="A23" i="2"/>
  <c r="A12" i="1"/>
  <c r="C12" i="1"/>
  <c r="B29" i="1" s="1"/>
  <c r="D12" i="1"/>
  <c r="B30" i="1" s="1"/>
  <c r="E12" i="1"/>
  <c r="F12" i="1"/>
  <c r="G12" i="1"/>
  <c r="H12" i="1"/>
  <c r="D16" i="33"/>
  <c r="E22" i="37"/>
  <c r="G22" i="37" s="1"/>
  <c r="L22" i="37" s="1"/>
  <c r="C22" i="31"/>
  <c r="A53" i="30"/>
  <c r="C49" i="20"/>
  <c r="C67" i="20" s="1"/>
  <c r="K19" i="32"/>
  <c r="L19" i="32" s="1"/>
  <c r="E35" i="19"/>
  <c r="C24" i="31"/>
  <c r="F23" i="3"/>
  <c r="F21" i="3"/>
  <c r="D20" i="8"/>
  <c r="C27" i="31"/>
  <c r="D22" i="8"/>
  <c r="D19" i="8"/>
  <c r="D21" i="8"/>
  <c r="D18" i="8"/>
  <c r="D16" i="8"/>
  <c r="C25" i="31"/>
  <c r="E25" i="37"/>
  <c r="G25" i="37" s="1"/>
  <c r="L25" i="37" s="1"/>
  <c r="L46" i="24"/>
  <c r="F17" i="3"/>
  <c r="E23" i="4"/>
  <c r="B63" i="22"/>
  <c r="D23" i="8"/>
  <c r="D17" i="8"/>
  <c r="D15" i="8"/>
  <c r="D14" i="8"/>
  <c r="G21" i="8"/>
  <c r="G23" i="8"/>
  <c r="F19" i="3"/>
  <c r="G16" i="8"/>
  <c r="G18" i="8"/>
  <c r="G15" i="8"/>
  <c r="G14" i="8"/>
  <c r="G19" i="8"/>
  <c r="C34" i="31"/>
  <c r="C28" i="31"/>
  <c r="B63" i="24"/>
  <c r="E28" i="37"/>
  <c r="G28" i="37" s="1"/>
  <c r="L28" i="37" s="1"/>
  <c r="G20" i="8"/>
  <c r="L48" i="25"/>
  <c r="B60" i="25" s="1"/>
  <c r="K34" i="21"/>
  <c r="C33" i="31"/>
  <c r="E27" i="37"/>
  <c r="G27" i="37" s="1"/>
  <c r="B64" i="24" l="1"/>
  <c r="B64" i="23"/>
  <c r="B60" i="23"/>
  <c r="B30" i="4"/>
  <c r="B64" i="25"/>
  <c r="B57" i="30"/>
  <c r="E36" i="13"/>
  <c r="E27" i="13"/>
  <c r="E35" i="13"/>
  <c r="B35" i="2"/>
  <c r="B76" i="20"/>
  <c r="A22" i="2"/>
  <c r="A21" i="2" s="1"/>
  <c r="A20" i="2" s="1"/>
  <c r="A19" i="2" s="1"/>
  <c r="A18" i="2" s="1"/>
  <c r="A17" i="2" s="1"/>
  <c r="A16" i="2" s="1"/>
  <c r="A15" i="2" s="1"/>
  <c r="A14" i="2" s="1"/>
  <c r="H8" i="1"/>
  <c r="M8" i="1" s="1"/>
  <c r="A43" i="5"/>
  <c r="A22" i="5"/>
  <c r="B67" i="32"/>
  <c r="H36" i="34"/>
  <c r="E34" i="13"/>
  <c r="E28" i="13"/>
  <c r="B65" i="23"/>
  <c r="B65" i="24" s="1"/>
  <c r="I15" i="32"/>
  <c r="N15" i="32" s="1"/>
  <c r="F16" i="32"/>
  <c r="G17" i="3"/>
  <c r="L14" i="37"/>
  <c r="B70" i="32"/>
  <c r="B32" i="1"/>
  <c r="H19" i="34"/>
  <c r="A22" i="8"/>
  <c r="E31" i="13"/>
  <c r="E23" i="13"/>
  <c r="E29" i="13"/>
  <c r="E17" i="13"/>
  <c r="G15" i="37"/>
  <c r="B28" i="18"/>
  <c r="C64" i="7"/>
  <c r="E21" i="13"/>
  <c r="B30" i="36"/>
  <c r="B33" i="2"/>
  <c r="B34" i="1"/>
  <c r="I14" i="32"/>
  <c r="N14" i="32" s="1"/>
  <c r="E18" i="13"/>
  <c r="E14" i="13"/>
  <c r="E12" i="30"/>
  <c r="D17" i="33"/>
  <c r="S9" i="22"/>
  <c r="G14" i="3"/>
  <c r="B62" i="25"/>
  <c r="B67" i="22"/>
  <c r="A52" i="9"/>
  <c r="A52" i="10"/>
  <c r="A54" i="11"/>
  <c r="E25" i="13"/>
  <c r="E19" i="13"/>
  <c r="E32" i="13"/>
  <c r="E24" i="13"/>
  <c r="E40" i="13"/>
  <c r="E33" i="13"/>
  <c r="E20" i="13"/>
  <c r="E16" i="13"/>
  <c r="E26" i="13"/>
  <c r="E22" i="13"/>
  <c r="E15" i="13"/>
  <c r="E13" i="13"/>
  <c r="E66" i="21"/>
  <c r="B67" i="23"/>
  <c r="B67" i="25" s="1"/>
  <c r="F35" i="19"/>
  <c r="B63" i="32"/>
  <c r="B69" i="32"/>
  <c r="B68" i="32"/>
  <c r="B57" i="33"/>
  <c r="H23" i="34"/>
  <c r="B32" i="36"/>
  <c r="B49" i="37"/>
  <c r="B52" i="37"/>
  <c r="B50" i="37"/>
  <c r="N50" i="7"/>
  <c r="N49" i="7" s="1"/>
  <c r="O49" i="7" s="1"/>
  <c r="A51" i="7"/>
  <c r="M19" i="32"/>
  <c r="B52" i="31"/>
  <c r="B31" i="4"/>
  <c r="B69" i="13"/>
  <c r="E39" i="13"/>
  <c r="B51" i="31"/>
  <c r="C53" i="30"/>
  <c r="B35" i="19" s="1"/>
  <c r="C29" i="31"/>
  <c r="E33" i="37"/>
  <c r="G33" i="37" s="1"/>
  <c r="L33" i="37" s="1"/>
  <c r="E31" i="37"/>
  <c r="G31" i="37" s="1"/>
  <c r="L31" i="37" s="1"/>
  <c r="C32" i="31"/>
  <c r="E24" i="37"/>
  <c r="G24" i="37" s="1"/>
  <c r="L24" i="37" s="1"/>
  <c r="E23" i="37"/>
  <c r="C31" i="31"/>
  <c r="C30" i="31"/>
  <c r="E30" i="37"/>
  <c r="G30" i="37" s="1"/>
  <c r="L30" i="37" s="1"/>
  <c r="C38" i="31"/>
  <c r="C35" i="31"/>
  <c r="E34" i="37"/>
  <c r="G34" i="37" s="1"/>
  <c r="L34" i="37" s="1"/>
  <c r="C23" i="31"/>
  <c r="E29" i="37"/>
  <c r="G29" i="37" s="1"/>
  <c r="L29" i="37" s="1"/>
  <c r="E62" i="21"/>
  <c r="E20" i="4"/>
  <c r="E18" i="4"/>
  <c r="F18" i="3"/>
  <c r="E37" i="37"/>
  <c r="G37" i="37" s="1"/>
  <c r="L37" i="37" s="1"/>
  <c r="C37" i="31"/>
  <c r="B63" i="23"/>
  <c r="E32" i="37"/>
  <c r="G32" i="37" s="1"/>
  <c r="L32" i="37" s="1"/>
  <c r="E21" i="4"/>
  <c r="L27" i="37"/>
  <c r="F15" i="3"/>
  <c r="G15" i="3" s="1"/>
  <c r="E15" i="4"/>
  <c r="C15" i="8"/>
  <c r="C14" i="8"/>
  <c r="C16" i="8"/>
  <c r="C19" i="8"/>
  <c r="E22" i="4"/>
  <c r="C26" i="4"/>
  <c r="E14" i="4"/>
  <c r="D26" i="4"/>
  <c r="C36" i="31"/>
  <c r="E36" i="37"/>
  <c r="G36" i="37" s="1"/>
  <c r="L36" i="37" s="1"/>
  <c r="M46" i="24"/>
  <c r="B60" i="24" s="1"/>
  <c r="E35" i="37"/>
  <c r="G35" i="37" s="1"/>
  <c r="L35" i="37" s="1"/>
  <c r="E17" i="4"/>
  <c r="E26" i="37"/>
  <c r="G26" i="37" s="1"/>
  <c r="L26" i="37" s="1"/>
  <c r="E16" i="4"/>
  <c r="C20" i="8"/>
  <c r="C21" i="8"/>
  <c r="C18" i="8"/>
  <c r="F16" i="3"/>
  <c r="C22" i="8"/>
  <c r="C17" i="8"/>
  <c r="C26" i="31"/>
  <c r="C23" i="8"/>
  <c r="C17" i="2" l="1"/>
  <c r="C15" i="2"/>
  <c r="C45" i="31"/>
  <c r="E45" i="37"/>
  <c r="A42" i="5"/>
  <c r="A21" i="5"/>
  <c r="H44" i="34"/>
  <c r="S10" i="22"/>
  <c r="F17" i="32"/>
  <c r="D18" i="33"/>
  <c r="B67" i="24"/>
  <c r="I18" i="32"/>
  <c r="A21" i="8"/>
  <c r="A49" i="7"/>
  <c r="A50" i="7"/>
  <c r="L15" i="37"/>
  <c r="O50" i="7"/>
  <c r="I16" i="32"/>
  <c r="N16" i="32" s="1"/>
  <c r="D19" i="33"/>
  <c r="S12" i="22" s="1"/>
  <c r="B62" i="24"/>
  <c r="F26" i="3"/>
  <c r="C14" i="2"/>
  <c r="B62" i="23"/>
  <c r="A51" i="9"/>
  <c r="N52" i="9"/>
  <c r="N52" i="10"/>
  <c r="A51" i="10"/>
  <c r="N54" i="11"/>
  <c r="A53" i="11"/>
  <c r="I17" i="32"/>
  <c r="G23" i="37"/>
  <c r="G45" i="37" s="1"/>
  <c r="N48" i="7"/>
  <c r="A48" i="7" s="1"/>
  <c r="D62" i="21"/>
  <c r="B65" i="25"/>
  <c r="C62" i="21"/>
  <c r="E26" i="4"/>
  <c r="C11" i="28"/>
  <c r="G16" i="3"/>
  <c r="B33" i="26" l="1"/>
  <c r="B24" i="50"/>
  <c r="H48" i="34"/>
  <c r="A41" i="5"/>
  <c r="A20" i="5"/>
  <c r="E43" i="13"/>
  <c r="E45" i="13"/>
  <c r="F19" i="32"/>
  <c r="F18" i="32"/>
  <c r="N18" i="32" s="1"/>
  <c r="S11" i="22"/>
  <c r="G19" i="32"/>
  <c r="D20" i="33"/>
  <c r="S13" i="22" s="1"/>
  <c r="A20" i="8"/>
  <c r="E44" i="13"/>
  <c r="N17" i="32"/>
  <c r="N47" i="7"/>
  <c r="A47" i="7" s="1"/>
  <c r="E42" i="13"/>
  <c r="G62" i="21"/>
  <c r="A35" i="25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N51" i="10"/>
  <c r="A50" i="10"/>
  <c r="A50" i="9"/>
  <c r="N51" i="9"/>
  <c r="A52" i="11"/>
  <c r="N53" i="11"/>
  <c r="C11" i="26"/>
  <c r="L23" i="37"/>
  <c r="G19" i="1"/>
  <c r="O48" i="7"/>
  <c r="H19" i="32"/>
  <c r="C16" i="2"/>
  <c r="A40" i="5" l="1"/>
  <c r="A19" i="5"/>
  <c r="G26" i="1"/>
  <c r="G22" i="1"/>
  <c r="G24" i="1"/>
  <c r="G21" i="1"/>
  <c r="G23" i="1"/>
  <c r="D21" i="33"/>
  <c r="B33" i="49"/>
  <c r="B33" i="48"/>
  <c r="A19" i="8"/>
  <c r="O47" i="7"/>
  <c r="N46" i="7"/>
  <c r="G15" i="1"/>
  <c r="B33" i="28"/>
  <c r="N50" i="9"/>
  <c r="A49" i="9"/>
  <c r="A49" i="10"/>
  <c r="N50" i="10"/>
  <c r="N52" i="11"/>
  <c r="A51" i="11"/>
  <c r="I20" i="32"/>
  <c r="I19" i="32"/>
  <c r="N19" i="32" s="1"/>
  <c r="G18" i="3"/>
  <c r="A39" i="5" l="1"/>
  <c r="A18" i="5"/>
  <c r="E41" i="13"/>
  <c r="S14" i="22"/>
  <c r="F20" i="32"/>
  <c r="N20" i="32" s="1"/>
  <c r="F21" i="32"/>
  <c r="D22" i="33"/>
  <c r="A18" i="8"/>
  <c r="N45" i="7"/>
  <c r="A46" i="7"/>
  <c r="O46" i="7"/>
  <c r="N49" i="10"/>
  <c r="A48" i="10"/>
  <c r="N49" i="9"/>
  <c r="A48" i="9"/>
  <c r="A50" i="11"/>
  <c r="N51" i="11"/>
  <c r="E46" i="13"/>
  <c r="I21" i="32"/>
  <c r="D23" i="33"/>
  <c r="G19" i="3"/>
  <c r="C18" i="2"/>
  <c r="C19" i="2" l="1"/>
  <c r="N21" i="32"/>
  <c r="A38" i="5"/>
  <c r="A17" i="5"/>
  <c r="A17" i="8"/>
  <c r="A16" i="8" s="1"/>
  <c r="S16" i="22"/>
  <c r="F24" i="32"/>
  <c r="F23" i="32"/>
  <c r="S15" i="22"/>
  <c r="F22" i="32"/>
  <c r="O45" i="7"/>
  <c r="A45" i="7"/>
  <c r="N44" i="7"/>
  <c r="E47" i="13"/>
  <c r="N48" i="9"/>
  <c r="A47" i="9"/>
  <c r="A47" i="10"/>
  <c r="N48" i="10"/>
  <c r="N50" i="11"/>
  <c r="A49" i="11"/>
  <c r="I23" i="32"/>
  <c r="I22" i="32"/>
  <c r="D24" i="33"/>
  <c r="G21" i="3"/>
  <c r="G20" i="3"/>
  <c r="C20" i="2" l="1"/>
  <c r="N22" i="32"/>
  <c r="A37" i="5"/>
  <c r="A16" i="5"/>
  <c r="S17" i="22"/>
  <c r="F25" i="32"/>
  <c r="A44" i="7"/>
  <c r="N43" i="7"/>
  <c r="A43" i="7" s="1"/>
  <c r="O44" i="7"/>
  <c r="A15" i="8"/>
  <c r="A46" i="10"/>
  <c r="N47" i="10"/>
  <c r="N47" i="9"/>
  <c r="A46" i="9"/>
  <c r="A48" i="11"/>
  <c r="N49" i="11"/>
  <c r="N23" i="32"/>
  <c r="D25" i="33"/>
  <c r="S18" i="22" s="1"/>
  <c r="I24" i="32"/>
  <c r="N24" i="32" s="1"/>
  <c r="E48" i="13"/>
  <c r="C21" i="2"/>
  <c r="G22" i="3"/>
  <c r="C22" i="2" l="1"/>
  <c r="A36" i="5"/>
  <c r="A14" i="5" s="1"/>
  <c r="A15" i="5"/>
  <c r="G23" i="3"/>
  <c r="O43" i="7"/>
  <c r="N42" i="7"/>
  <c r="A14" i="8"/>
  <c r="N46" i="9"/>
  <c r="A45" i="9"/>
  <c r="N46" i="10"/>
  <c r="A45" i="10"/>
  <c r="N48" i="11"/>
  <c r="A47" i="11"/>
  <c r="I25" i="32"/>
  <c r="N25" i="32" s="1"/>
  <c r="D26" i="33"/>
  <c r="G26" i="3" l="1"/>
  <c r="E55" i="13"/>
  <c r="S19" i="22"/>
  <c r="F26" i="32"/>
  <c r="F27" i="32"/>
  <c r="C23" i="2"/>
  <c r="C26" i="2" s="1"/>
  <c r="O42" i="7"/>
  <c r="A42" i="7"/>
  <c r="N41" i="7"/>
  <c r="N45" i="10"/>
  <c r="A44" i="10"/>
  <c r="A44" i="9"/>
  <c r="N45" i="9"/>
  <c r="N47" i="11"/>
  <c r="A46" i="11"/>
  <c r="I26" i="32"/>
  <c r="D27" i="33"/>
  <c r="E53" i="13" l="1"/>
  <c r="S20" i="22"/>
  <c r="F30" i="32"/>
  <c r="F31" i="32"/>
  <c r="F28" i="32"/>
  <c r="F29" i="32"/>
  <c r="E54" i="13"/>
  <c r="A41" i="7"/>
  <c r="O41" i="7"/>
  <c r="N40" i="7"/>
  <c r="E52" i="13"/>
  <c r="N44" i="9"/>
  <c r="A43" i="9"/>
  <c r="A43" i="10"/>
  <c r="N44" i="10"/>
  <c r="N46" i="11"/>
  <c r="A45" i="11"/>
  <c r="N26" i="32"/>
  <c r="I29" i="32"/>
  <c r="I28" i="32"/>
  <c r="I31" i="32"/>
  <c r="I30" i="32"/>
  <c r="D28" i="33"/>
  <c r="I27" i="32"/>
  <c r="N27" i="32" s="1"/>
  <c r="S21" i="22" l="1"/>
  <c r="F32" i="32"/>
  <c r="F33" i="32"/>
  <c r="D63" i="13"/>
  <c r="N39" i="7"/>
  <c r="O40" i="7"/>
  <c r="A40" i="7"/>
  <c r="N43" i="10"/>
  <c r="A42" i="10"/>
  <c r="N43" i="9"/>
  <c r="A42" i="9"/>
  <c r="N45" i="11"/>
  <c r="A44" i="11"/>
  <c r="N31" i="32"/>
  <c r="N29" i="32"/>
  <c r="D29" i="33"/>
  <c r="I32" i="32"/>
  <c r="I33" i="32"/>
  <c r="N30" i="32"/>
  <c r="N28" i="32"/>
  <c r="S22" i="22" l="1"/>
  <c r="F34" i="32"/>
  <c r="N38" i="7"/>
  <c r="A39" i="7"/>
  <c r="O39" i="7"/>
  <c r="A41" i="9"/>
  <c r="N42" i="9"/>
  <c r="A41" i="10"/>
  <c r="N42" i="10"/>
  <c r="A43" i="11"/>
  <c r="N44" i="11"/>
  <c r="N33" i="32"/>
  <c r="N32" i="32"/>
  <c r="D30" i="33"/>
  <c r="I34" i="32"/>
  <c r="K58" i="11" l="1"/>
  <c r="J55" i="11"/>
  <c r="K55" i="11"/>
  <c r="S23" i="22"/>
  <c r="F35" i="32"/>
  <c r="K48" i="11"/>
  <c r="J48" i="11"/>
  <c r="A38" i="7"/>
  <c r="O38" i="7"/>
  <c r="N37" i="7"/>
  <c r="N41" i="10"/>
  <c r="A40" i="10"/>
  <c r="A40" i="9"/>
  <c r="N41" i="9"/>
  <c r="K46" i="11"/>
  <c r="K50" i="11"/>
  <c r="J59" i="11"/>
  <c r="J45" i="11"/>
  <c r="K49" i="11"/>
  <c r="J53" i="11"/>
  <c r="J46" i="11"/>
  <c r="K52" i="11"/>
  <c r="K54" i="11"/>
  <c r="K44" i="11"/>
  <c r="J50" i="11"/>
  <c r="J44" i="11"/>
  <c r="J51" i="11"/>
  <c r="J54" i="11"/>
  <c r="K59" i="11"/>
  <c r="J47" i="11"/>
  <c r="K47" i="11"/>
  <c r="K45" i="11"/>
  <c r="K51" i="11"/>
  <c r="K53" i="11"/>
  <c r="J49" i="11"/>
  <c r="J52" i="11"/>
  <c r="A42" i="11"/>
  <c r="N43" i="11"/>
  <c r="N34" i="32"/>
  <c r="I35" i="32"/>
  <c r="D31" i="33"/>
  <c r="J58" i="11" l="1"/>
  <c r="S24" i="22"/>
  <c r="F36" i="32"/>
  <c r="O37" i="7"/>
  <c r="N36" i="7"/>
  <c r="A37" i="7"/>
  <c r="N40" i="9"/>
  <c r="A39" i="9"/>
  <c r="N40" i="10"/>
  <c r="A39" i="10"/>
  <c r="N42" i="11"/>
  <c r="A41" i="11"/>
  <c r="N35" i="32"/>
  <c r="D32" i="33"/>
  <c r="I36" i="32"/>
  <c r="S25" i="22" l="1"/>
  <c r="F37" i="32"/>
  <c r="N36" i="32"/>
  <c r="O36" i="7"/>
  <c r="A36" i="7"/>
  <c r="N35" i="7"/>
  <c r="N39" i="10"/>
  <c r="A38" i="10"/>
  <c r="A38" i="9"/>
  <c r="N39" i="9"/>
  <c r="A40" i="11"/>
  <c r="N41" i="11"/>
  <c r="D33" i="33"/>
  <c r="I37" i="32"/>
  <c r="S26" i="22" l="1"/>
  <c r="F38" i="32"/>
  <c r="A35" i="7"/>
  <c r="O35" i="7"/>
  <c r="N34" i="7"/>
  <c r="A37" i="9"/>
  <c r="N38" i="9"/>
  <c r="N38" i="10"/>
  <c r="A37" i="10"/>
  <c r="A39" i="11"/>
  <c r="N40" i="11"/>
  <c r="D34" i="33"/>
  <c r="I38" i="32"/>
  <c r="N37" i="32"/>
  <c r="I58" i="11" l="1"/>
  <c r="I55" i="11"/>
  <c r="S27" i="22"/>
  <c r="F39" i="32"/>
  <c r="H47" i="11"/>
  <c r="I48" i="11"/>
  <c r="O34" i="7"/>
  <c r="A34" i="7"/>
  <c r="N33" i="7"/>
  <c r="A36" i="10"/>
  <c r="N37" i="10"/>
  <c r="N37" i="9"/>
  <c r="A36" i="9"/>
  <c r="I43" i="11"/>
  <c r="I51" i="11"/>
  <c r="I59" i="11"/>
  <c r="I46" i="11"/>
  <c r="I41" i="11"/>
  <c r="H53" i="11"/>
  <c r="I49" i="11"/>
  <c r="I50" i="11"/>
  <c r="H52" i="11"/>
  <c r="H50" i="11"/>
  <c r="H41" i="11"/>
  <c r="H49" i="11"/>
  <c r="H44" i="11"/>
  <c r="I54" i="11"/>
  <c r="H48" i="11"/>
  <c r="I45" i="11"/>
  <c r="I47" i="11"/>
  <c r="H55" i="11"/>
  <c r="I44" i="11"/>
  <c r="H40" i="11"/>
  <c r="H54" i="11"/>
  <c r="I40" i="11"/>
  <c r="H43" i="11"/>
  <c r="H46" i="11"/>
  <c r="I52" i="11"/>
  <c r="I42" i="11"/>
  <c r="H51" i="11"/>
  <c r="H45" i="11"/>
  <c r="H59" i="11"/>
  <c r="I53" i="11"/>
  <c r="H42" i="11"/>
  <c r="N39" i="11"/>
  <c r="A38" i="11"/>
  <c r="I39" i="32"/>
  <c r="D35" i="33"/>
  <c r="N38" i="32"/>
  <c r="N39" i="32" l="1"/>
  <c r="S28" i="22"/>
  <c r="F40" i="32"/>
  <c r="N32" i="7"/>
  <c r="A33" i="7"/>
  <c r="O33" i="7"/>
  <c r="A35" i="9"/>
  <c r="N36" i="9"/>
  <c r="N36" i="10"/>
  <c r="A35" i="10"/>
  <c r="N38" i="11"/>
  <c r="A37" i="11"/>
  <c r="H58" i="11"/>
  <c r="D36" i="33"/>
  <c r="S29" i="22" s="1"/>
  <c r="A32" i="7" l="1"/>
  <c r="N31" i="7"/>
  <c r="O32" i="7"/>
  <c r="N35" i="10"/>
  <c r="A34" i="10"/>
  <c r="A34" i="9"/>
  <c r="N35" i="9"/>
  <c r="A36" i="11"/>
  <c r="N37" i="11"/>
  <c r="D37" i="33"/>
  <c r="I40" i="32"/>
  <c r="N40" i="32" s="1"/>
  <c r="S30" i="22" l="1"/>
  <c r="F41" i="32"/>
  <c r="F42" i="32"/>
  <c r="O31" i="7"/>
  <c r="A31" i="7"/>
  <c r="N30" i="7"/>
  <c r="A33" i="9"/>
  <c r="N34" i="9"/>
  <c r="E56" i="9" s="1"/>
  <c r="C28" i="8" s="1"/>
  <c r="A33" i="10"/>
  <c r="N34" i="10"/>
  <c r="E56" i="10" s="1"/>
  <c r="N36" i="11"/>
  <c r="A35" i="11"/>
  <c r="D38" i="33"/>
  <c r="I41" i="32"/>
  <c r="G55" i="11" l="1"/>
  <c r="F55" i="11"/>
  <c r="S31" i="22"/>
  <c r="F43" i="32"/>
  <c r="G46" i="11"/>
  <c r="F46" i="11"/>
  <c r="A30" i="7"/>
  <c r="O30" i="7"/>
  <c r="N29" i="7"/>
  <c r="N33" i="10"/>
  <c r="A32" i="10"/>
  <c r="A32" i="9"/>
  <c r="N33" i="9"/>
  <c r="A34" i="11"/>
  <c r="N35" i="11"/>
  <c r="G50" i="11"/>
  <c r="G45" i="11"/>
  <c r="G43" i="11"/>
  <c r="F45" i="11"/>
  <c r="F47" i="11"/>
  <c r="F53" i="11"/>
  <c r="F54" i="11"/>
  <c r="F42" i="11"/>
  <c r="G51" i="11"/>
  <c r="G39" i="11"/>
  <c r="G42" i="11"/>
  <c r="F51" i="11"/>
  <c r="F39" i="11"/>
  <c r="G44" i="11"/>
  <c r="F37" i="11"/>
  <c r="F36" i="11"/>
  <c r="G41" i="11"/>
  <c r="G40" i="11"/>
  <c r="G53" i="11"/>
  <c r="F44" i="11"/>
  <c r="F50" i="11"/>
  <c r="G36" i="11"/>
  <c r="G48" i="11"/>
  <c r="F48" i="11"/>
  <c r="G47" i="11"/>
  <c r="F41" i="11"/>
  <c r="G59" i="11"/>
  <c r="G37" i="11"/>
  <c r="F52" i="11"/>
  <c r="G52" i="11"/>
  <c r="G58" i="11"/>
  <c r="G28" i="8" s="1"/>
  <c r="F40" i="11"/>
  <c r="G54" i="11"/>
  <c r="F59" i="11"/>
  <c r="F43" i="11"/>
  <c r="G49" i="11"/>
  <c r="F38" i="11"/>
  <c r="F49" i="11"/>
  <c r="G38" i="11"/>
  <c r="N41" i="32"/>
  <c r="I42" i="32"/>
  <c r="N42" i="32" s="1"/>
  <c r="D39" i="33"/>
  <c r="S32" i="22" l="1"/>
  <c r="F44" i="32"/>
  <c r="F58" i="11"/>
  <c r="N28" i="7"/>
  <c r="O29" i="7"/>
  <c r="A29" i="7"/>
  <c r="N32" i="9"/>
  <c r="A31" i="9"/>
  <c r="N32" i="10"/>
  <c r="A31" i="10"/>
  <c r="N34" i="11"/>
  <c r="A33" i="11"/>
  <c r="D40" i="33"/>
  <c r="I44" i="32"/>
  <c r="I43" i="32"/>
  <c r="N43" i="32" s="1"/>
  <c r="S33" i="22" l="1"/>
  <c r="F45" i="32"/>
  <c r="A28" i="7"/>
  <c r="O28" i="7"/>
  <c r="N27" i="7"/>
  <c r="A30" i="10"/>
  <c r="N31" i="10"/>
  <c r="N31" i="9"/>
  <c r="A30" i="9"/>
  <c r="N33" i="11"/>
  <c r="A32" i="11"/>
  <c r="N44" i="32"/>
  <c r="I45" i="32"/>
  <c r="D41" i="33"/>
  <c r="S34" i="22" l="1"/>
  <c r="D42" i="33"/>
  <c r="F47" i="32" s="1"/>
  <c r="F46" i="32"/>
  <c r="O27" i="7"/>
  <c r="A27" i="7"/>
  <c r="N26" i="7"/>
  <c r="N30" i="9"/>
  <c r="A29" i="9"/>
  <c r="A29" i="10"/>
  <c r="N30" i="10"/>
  <c r="A31" i="11"/>
  <c r="N32" i="11"/>
  <c r="I46" i="32"/>
  <c r="N45" i="32"/>
  <c r="S35" i="22" l="1"/>
  <c r="N25" i="7"/>
  <c r="O26" i="7"/>
  <c r="A26" i="7"/>
  <c r="A28" i="10"/>
  <c r="N29" i="10"/>
  <c r="N29" i="9"/>
  <c r="A28" i="9"/>
  <c r="N31" i="11"/>
  <c r="A30" i="11"/>
  <c r="N46" i="32"/>
  <c r="D43" i="33"/>
  <c r="I47" i="32"/>
  <c r="S36" i="22" l="1"/>
  <c r="F48" i="32"/>
  <c r="O25" i="7"/>
  <c r="N24" i="7"/>
  <c r="A25" i="7"/>
  <c r="A27" i="9"/>
  <c r="N28" i="9"/>
  <c r="N28" i="10"/>
  <c r="A27" i="10"/>
  <c r="A29" i="11"/>
  <c r="N30" i="11"/>
  <c r="N47" i="32"/>
  <c r="I48" i="32"/>
  <c r="D44" i="33"/>
  <c r="S37" i="22" l="1"/>
  <c r="F49" i="32"/>
  <c r="A24" i="7"/>
  <c r="O24" i="7"/>
  <c r="N23" i="7"/>
  <c r="N27" i="10"/>
  <c r="A26" i="10"/>
  <c r="N27" i="9"/>
  <c r="A26" i="9"/>
  <c r="N29" i="11"/>
  <c r="A28" i="11"/>
  <c r="D45" i="33"/>
  <c r="N48" i="32"/>
  <c r="S38" i="22" l="1"/>
  <c r="F50" i="32"/>
  <c r="N22" i="7"/>
  <c r="O23" i="7"/>
  <c r="A23" i="7"/>
  <c r="N26" i="9"/>
  <c r="A25" i="9"/>
  <c r="A25" i="10"/>
  <c r="N26" i="10"/>
  <c r="A27" i="11"/>
  <c r="N28" i="11"/>
  <c r="I49" i="32"/>
  <c r="N49" i="32" s="1"/>
  <c r="D46" i="33"/>
  <c r="F51" i="32" l="1"/>
  <c r="D47" i="33"/>
  <c r="F52" i="32" s="1"/>
  <c r="A22" i="7"/>
  <c r="N21" i="7"/>
  <c r="N20" i="7" s="1"/>
  <c r="O22" i="7"/>
  <c r="S39" i="22"/>
  <c r="A24" i="10"/>
  <c r="N25" i="10"/>
  <c r="A24" i="9"/>
  <c r="N25" i="9"/>
  <c r="N27" i="11"/>
  <c r="A26" i="11"/>
  <c r="I50" i="32"/>
  <c r="N50" i="32" s="1"/>
  <c r="O20" i="7" l="1"/>
  <c r="N19" i="7"/>
  <c r="A20" i="7"/>
  <c r="D48" i="33"/>
  <c r="D49" i="33"/>
  <c r="S42" i="22" s="1"/>
  <c r="F53" i="32"/>
  <c r="A21" i="7"/>
  <c r="O21" i="7"/>
  <c r="S40" i="22"/>
  <c r="N24" i="9"/>
  <c r="A23" i="9"/>
  <c r="N24" i="10"/>
  <c r="A23" i="10"/>
  <c r="A25" i="11"/>
  <c r="N26" i="11"/>
  <c r="I51" i="32"/>
  <c r="N51" i="32" s="1"/>
  <c r="N18" i="7" l="1"/>
  <c r="A19" i="7"/>
  <c r="O19" i="7"/>
  <c r="D50" i="33"/>
  <c r="F54" i="32"/>
  <c r="I54" i="32" s="1"/>
  <c r="N54" i="32" s="1"/>
  <c r="S41" i="22"/>
  <c r="A22" i="10"/>
  <c r="N23" i="10"/>
  <c r="N23" i="9"/>
  <c r="A22" i="9"/>
  <c r="N25" i="11"/>
  <c r="A24" i="11"/>
  <c r="I52" i="32"/>
  <c r="N52" i="32" s="1"/>
  <c r="N17" i="7" l="1"/>
  <c r="A18" i="7"/>
  <c r="O18" i="7"/>
  <c r="D51" i="33"/>
  <c r="F55" i="32"/>
  <c r="I55" i="32" s="1"/>
  <c r="N55" i="32" s="1"/>
  <c r="S43" i="22"/>
  <c r="I53" i="32"/>
  <c r="N53" i="32" s="1"/>
  <c r="A21" i="9"/>
  <c r="N22" i="9"/>
  <c r="N22" i="10"/>
  <c r="A21" i="10"/>
  <c r="A23" i="11"/>
  <c r="N24" i="11"/>
  <c r="A17" i="7" l="1"/>
  <c r="O17" i="7"/>
  <c r="N16" i="7"/>
  <c r="D52" i="33"/>
  <c r="F56" i="32"/>
  <c r="S44" i="22"/>
  <c r="N59" i="32"/>
  <c r="A20" i="10"/>
  <c r="N21" i="10"/>
  <c r="N21" i="9"/>
  <c r="A20" i="9"/>
  <c r="A22" i="11"/>
  <c r="N23" i="11"/>
  <c r="A16" i="7" l="1"/>
  <c r="O16" i="7"/>
  <c r="N15" i="7"/>
  <c r="BC47" i="22"/>
  <c r="BH47" i="22"/>
  <c r="AW47" i="22"/>
  <c r="BD47" i="22"/>
  <c r="BF47" i="22"/>
  <c r="AD47" i="22"/>
  <c r="AX47" i="22"/>
  <c r="AF47" i="22"/>
  <c r="AC47" i="22"/>
  <c r="AR47" i="22"/>
  <c r="X47" i="22"/>
  <c r="AM47" i="22"/>
  <c r="AH47" i="22"/>
  <c r="BJ47" i="22"/>
  <c r="BJ48" i="22" s="1"/>
  <c r="V47" i="22"/>
  <c r="AB47" i="22"/>
  <c r="AE47" i="22"/>
  <c r="AN47" i="22"/>
  <c r="AS47" i="22"/>
  <c r="AO47" i="22"/>
  <c r="BG47" i="22"/>
  <c r="AU47" i="22"/>
  <c r="AQ47" i="22"/>
  <c r="AT47" i="22"/>
  <c r="AK47" i="22"/>
  <c r="AY47" i="22"/>
  <c r="AI47" i="22"/>
  <c r="Z47" i="22"/>
  <c r="T47" i="22"/>
  <c r="U47" i="22"/>
  <c r="BA47" i="22"/>
  <c r="AV47" i="22"/>
  <c r="AG47" i="22"/>
  <c r="AJ47" i="22"/>
  <c r="BI47" i="22"/>
  <c r="Y47" i="22"/>
  <c r="AP47" i="22"/>
  <c r="W47" i="22"/>
  <c r="BB47" i="22"/>
  <c r="AL47" i="22"/>
  <c r="BK47" i="22"/>
  <c r="BK48" i="22" s="1"/>
  <c r="AZ47" i="22"/>
  <c r="AA47" i="22"/>
  <c r="BL47" i="22"/>
  <c r="BE47" i="22"/>
  <c r="O53" i="32"/>
  <c r="D39" i="31" s="1"/>
  <c r="E39" i="31" s="1"/>
  <c r="O57" i="32"/>
  <c r="D43" i="31" s="1"/>
  <c r="E43" i="31" s="1"/>
  <c r="I56" i="32"/>
  <c r="N56" i="32" s="1"/>
  <c r="O56" i="32" s="1"/>
  <c r="D42" i="31" s="1"/>
  <c r="E42" i="31" s="1"/>
  <c r="O51" i="32"/>
  <c r="D37" i="31" s="1"/>
  <c r="E37" i="31" s="1"/>
  <c r="O55" i="32"/>
  <c r="D41" i="31" s="1"/>
  <c r="E41" i="31" s="1"/>
  <c r="O31" i="32"/>
  <c r="D17" i="31" s="1"/>
  <c r="E17" i="31" s="1"/>
  <c r="O35" i="32"/>
  <c r="D21" i="31" s="1"/>
  <c r="E21" i="31" s="1"/>
  <c r="O21" i="32"/>
  <c r="O38" i="32"/>
  <c r="D24" i="31" s="1"/>
  <c r="E24" i="31" s="1"/>
  <c r="O30" i="32"/>
  <c r="D16" i="31" s="1"/>
  <c r="E16" i="31" s="1"/>
  <c r="O37" i="32"/>
  <c r="D23" i="31" s="1"/>
  <c r="E23" i="31" s="1"/>
  <c r="O49" i="32"/>
  <c r="D35" i="31" s="1"/>
  <c r="E35" i="31" s="1"/>
  <c r="O24" i="32"/>
  <c r="O18" i="32"/>
  <c r="O47" i="32"/>
  <c r="D33" i="31" s="1"/>
  <c r="E33" i="31" s="1"/>
  <c r="O20" i="32"/>
  <c r="O36" i="32"/>
  <c r="D22" i="31" s="1"/>
  <c r="E22" i="31" s="1"/>
  <c r="O44" i="32"/>
  <c r="D30" i="31" s="1"/>
  <c r="E30" i="31" s="1"/>
  <c r="O15" i="32"/>
  <c r="O48" i="32"/>
  <c r="D34" i="31" s="1"/>
  <c r="E34" i="31" s="1"/>
  <c r="F35" i="31" s="1"/>
  <c r="O22" i="32"/>
  <c r="O34" i="32"/>
  <c r="D20" i="31" s="1"/>
  <c r="E20" i="31" s="1"/>
  <c r="O40" i="32"/>
  <c r="D26" i="31" s="1"/>
  <c r="E26" i="31" s="1"/>
  <c r="O43" i="32"/>
  <c r="D29" i="31" s="1"/>
  <c r="E29" i="31" s="1"/>
  <c r="O33" i="32"/>
  <c r="D19" i="31" s="1"/>
  <c r="E19" i="31" s="1"/>
  <c r="O27" i="32"/>
  <c r="O17" i="32"/>
  <c r="O14" i="32"/>
  <c r="O39" i="32"/>
  <c r="D25" i="31" s="1"/>
  <c r="E25" i="31" s="1"/>
  <c r="O19" i="32"/>
  <c r="O46" i="32"/>
  <c r="D32" i="31" s="1"/>
  <c r="E32" i="31" s="1"/>
  <c r="F33" i="31" s="1"/>
  <c r="O28" i="32"/>
  <c r="D14" i="31" s="1"/>
  <c r="E14" i="31" s="1"/>
  <c r="O16" i="32"/>
  <c r="O42" i="32"/>
  <c r="D28" i="31" s="1"/>
  <c r="E28" i="31" s="1"/>
  <c r="O23" i="32"/>
  <c r="O45" i="32"/>
  <c r="D31" i="31" s="1"/>
  <c r="E31" i="31" s="1"/>
  <c r="O26" i="32"/>
  <c r="O50" i="32"/>
  <c r="D36" i="31" s="1"/>
  <c r="E36" i="31" s="1"/>
  <c r="O32" i="32"/>
  <c r="D18" i="31" s="1"/>
  <c r="E18" i="31" s="1"/>
  <c r="O29" i="32"/>
  <c r="D15" i="31" s="1"/>
  <c r="E15" i="31" s="1"/>
  <c r="F16" i="31" s="1"/>
  <c r="O41" i="32"/>
  <c r="D27" i="31" s="1"/>
  <c r="E27" i="31" s="1"/>
  <c r="O25" i="32"/>
  <c r="O54" i="32"/>
  <c r="D40" i="31" s="1"/>
  <c r="E40" i="31" s="1"/>
  <c r="O52" i="32"/>
  <c r="D38" i="31" s="1"/>
  <c r="E38" i="31" s="1"/>
  <c r="N20" i="9"/>
  <c r="A19" i="9"/>
  <c r="A19" i="10"/>
  <c r="N20" i="10"/>
  <c r="A21" i="11"/>
  <c r="N22" i="11"/>
  <c r="F43" i="31" l="1"/>
  <c r="A15" i="7"/>
  <c r="N14" i="7"/>
  <c r="O15" i="7"/>
  <c r="G15" i="2"/>
  <c r="F40" i="31"/>
  <c r="F39" i="31"/>
  <c r="G23" i="2"/>
  <c r="AT48" i="22"/>
  <c r="P75" i="22"/>
  <c r="Q75" i="22" s="1"/>
  <c r="P40" i="23" s="1"/>
  <c r="BB48" i="22"/>
  <c r="P83" i="22"/>
  <c r="Q83" i="22" s="1"/>
  <c r="P48" i="23" s="1"/>
  <c r="W48" i="22"/>
  <c r="P52" i="22"/>
  <c r="Q52" i="22" s="1"/>
  <c r="U48" i="22"/>
  <c r="P50" i="22"/>
  <c r="Q50" i="22" s="1"/>
  <c r="AU48" i="22"/>
  <c r="P76" i="22"/>
  <c r="Q76" i="22" s="1"/>
  <c r="P41" i="23" s="1"/>
  <c r="AD48" i="22"/>
  <c r="P59" i="22"/>
  <c r="Q59" i="22" s="1"/>
  <c r="E21" i="22" s="1"/>
  <c r="E21" i="25" s="1"/>
  <c r="AL48" i="22"/>
  <c r="P67" i="22"/>
  <c r="Q67" i="22" s="1"/>
  <c r="E29" i="22" s="1"/>
  <c r="F29" i="22" s="1"/>
  <c r="H29" i="22" s="1"/>
  <c r="C28" i="21" s="1"/>
  <c r="AQ48" i="22"/>
  <c r="P72" i="22"/>
  <c r="Q72" i="22" s="1"/>
  <c r="P37" i="23" s="1"/>
  <c r="BE48" i="22"/>
  <c r="P86" i="22"/>
  <c r="Q86" i="22" s="1"/>
  <c r="P51" i="23" s="1"/>
  <c r="AP48" i="22"/>
  <c r="P71" i="22"/>
  <c r="Q71" i="22" s="1"/>
  <c r="T48" i="22"/>
  <c r="P49" i="22"/>
  <c r="Q49" i="22" s="1"/>
  <c r="BG48" i="22"/>
  <c r="P88" i="22"/>
  <c r="Q88" i="22" s="1"/>
  <c r="P53" i="23" s="1"/>
  <c r="AH48" i="22"/>
  <c r="P63" i="22"/>
  <c r="Q63" i="22" s="1"/>
  <c r="E25" i="22" s="1"/>
  <c r="E25" i="23" s="1"/>
  <c r="F25" i="23" s="1"/>
  <c r="H25" i="23" s="1"/>
  <c r="D24" i="21" s="1"/>
  <c r="BF48" i="22"/>
  <c r="P87" i="22"/>
  <c r="Q87" i="22" s="1"/>
  <c r="AV48" i="22"/>
  <c r="P77" i="22"/>
  <c r="Q77" i="22" s="1"/>
  <c r="P42" i="23" s="1"/>
  <c r="AF48" i="22"/>
  <c r="P61" i="22"/>
  <c r="Q61" i="22" s="1"/>
  <c r="BA48" i="22"/>
  <c r="P82" i="22"/>
  <c r="Q82" i="22" s="1"/>
  <c r="P47" i="23" s="1"/>
  <c r="P93" i="22"/>
  <c r="Q93" i="22" s="1"/>
  <c r="BL48" i="22"/>
  <c r="Y48" i="22"/>
  <c r="P54" i="22"/>
  <c r="Q54" i="22" s="1"/>
  <c r="E16" i="22" s="1"/>
  <c r="E16" i="23" s="1"/>
  <c r="Z48" i="22"/>
  <c r="P55" i="22"/>
  <c r="Q55" i="22" s="1"/>
  <c r="AO48" i="22"/>
  <c r="P70" i="22"/>
  <c r="Q70" i="22" s="1"/>
  <c r="P35" i="23" s="1"/>
  <c r="AM48" i="22"/>
  <c r="P68" i="22"/>
  <c r="Q68" i="22" s="1"/>
  <c r="BD48" i="22"/>
  <c r="P85" i="22"/>
  <c r="Q85" i="22" s="1"/>
  <c r="P50" i="23" s="1"/>
  <c r="AB48" i="22"/>
  <c r="P57" i="22"/>
  <c r="Q57" i="22" s="1"/>
  <c r="E19" i="22" s="1"/>
  <c r="E19" i="23" s="1"/>
  <c r="V48" i="22"/>
  <c r="P51" i="22"/>
  <c r="Q51" i="22" s="1"/>
  <c r="AA48" i="22"/>
  <c r="P56" i="22"/>
  <c r="Q56" i="22" s="1"/>
  <c r="BI48" i="22"/>
  <c r="P90" i="22"/>
  <c r="Q90" i="22" s="1"/>
  <c r="P55" i="23" s="1"/>
  <c r="AI48" i="22"/>
  <c r="P64" i="22"/>
  <c r="Q64" i="22" s="1"/>
  <c r="AS48" i="22"/>
  <c r="P74" i="22"/>
  <c r="Q74" i="22" s="1"/>
  <c r="P39" i="23" s="1"/>
  <c r="X48" i="22"/>
  <c r="P53" i="22"/>
  <c r="Q53" i="22" s="1"/>
  <c r="AW48" i="22"/>
  <c r="P78" i="22"/>
  <c r="Q78" i="22" s="1"/>
  <c r="P43" i="23" s="1"/>
  <c r="AX48" i="22"/>
  <c r="P79" i="22"/>
  <c r="Q79" i="22" s="1"/>
  <c r="P44" i="23" s="1"/>
  <c r="AZ48" i="22"/>
  <c r="P81" i="22"/>
  <c r="Q81" i="22" s="1"/>
  <c r="P46" i="23" s="1"/>
  <c r="AJ48" i="22"/>
  <c r="P65" i="22"/>
  <c r="Q65" i="22" s="1"/>
  <c r="E27" i="22" s="1"/>
  <c r="E27" i="25" s="1"/>
  <c r="AY48" i="22"/>
  <c r="P80" i="22"/>
  <c r="Q80" i="22" s="1"/>
  <c r="P45" i="23" s="1"/>
  <c r="AN48" i="22"/>
  <c r="P69" i="22"/>
  <c r="Q69" i="22" s="1"/>
  <c r="AR48" i="22"/>
  <c r="P73" i="22"/>
  <c r="Q73" i="22" s="1"/>
  <c r="P38" i="23" s="1"/>
  <c r="BH48" i="22"/>
  <c r="P89" i="22"/>
  <c r="Q89" i="22" s="1"/>
  <c r="P54" i="23" s="1"/>
  <c r="AG48" i="22"/>
  <c r="P62" i="22"/>
  <c r="Q62" i="22" s="1"/>
  <c r="AK48" i="22"/>
  <c r="P66" i="22"/>
  <c r="Q66" i="22" s="1"/>
  <c r="E28" i="22" s="1"/>
  <c r="E28" i="24" s="1"/>
  <c r="F28" i="24" s="1"/>
  <c r="H28" i="24" s="1"/>
  <c r="E27" i="21" s="1"/>
  <c r="AE48" i="22"/>
  <c r="P60" i="22"/>
  <c r="Q60" i="22" s="1"/>
  <c r="E22" i="22" s="1"/>
  <c r="E22" i="23" s="1"/>
  <c r="AC48" i="22"/>
  <c r="P58" i="22"/>
  <c r="Q58" i="22" s="1"/>
  <c r="BC48" i="22"/>
  <c r="P84" i="22"/>
  <c r="Q84" i="22" s="1"/>
  <c r="P49" i="23" s="1"/>
  <c r="E45" i="31"/>
  <c r="F19" i="31"/>
  <c r="F37" i="31"/>
  <c r="F42" i="31"/>
  <c r="P91" i="22"/>
  <c r="Q91" i="22" s="1"/>
  <c r="P56" i="23" s="1"/>
  <c r="F28" i="31"/>
  <c r="F24" i="31"/>
  <c r="F21" i="31"/>
  <c r="F18" i="31"/>
  <c r="F26" i="31"/>
  <c r="F29" i="31"/>
  <c r="F32" i="31"/>
  <c r="F36" i="31"/>
  <c r="F38" i="31"/>
  <c r="F41" i="31"/>
  <c r="F31" i="31"/>
  <c r="F17" i="31"/>
  <c r="F20" i="31"/>
  <c r="F23" i="31"/>
  <c r="F25" i="31"/>
  <c r="F15" i="31"/>
  <c r="F14" i="31"/>
  <c r="F30" i="31"/>
  <c r="F27" i="31"/>
  <c r="F34" i="31"/>
  <c r="F22" i="31"/>
  <c r="E27" i="24"/>
  <c r="F27" i="24" s="1"/>
  <c r="H27" i="24" s="1"/>
  <c r="E26" i="21" s="1"/>
  <c r="E27" i="23"/>
  <c r="F27" i="23" s="1"/>
  <c r="H27" i="23" s="1"/>
  <c r="D26" i="21" s="1"/>
  <c r="P24" i="23"/>
  <c r="P31" i="23"/>
  <c r="E29" i="24"/>
  <c r="F29" i="24" s="1"/>
  <c r="H29" i="24" s="1"/>
  <c r="E28" i="21" s="1"/>
  <c r="E29" i="23"/>
  <c r="E29" i="25"/>
  <c r="E21" i="23"/>
  <c r="P52" i="23"/>
  <c r="E21" i="24"/>
  <c r="P32" i="23"/>
  <c r="D56" i="9"/>
  <c r="N19" i="10"/>
  <c r="A18" i="10"/>
  <c r="A18" i="9"/>
  <c r="N19" i="9"/>
  <c r="N21" i="11"/>
  <c r="A20" i="11"/>
  <c r="A14" i="7" l="1"/>
  <c r="O14" i="7"/>
  <c r="G21" i="2"/>
  <c r="G19" i="2"/>
  <c r="G20" i="2"/>
  <c r="G16" i="2"/>
  <c r="G18" i="2"/>
  <c r="G17" i="2"/>
  <c r="G22" i="2"/>
  <c r="G14" i="2"/>
  <c r="E32" i="22"/>
  <c r="E22" i="24"/>
  <c r="P28" i="23"/>
  <c r="P22" i="23"/>
  <c r="P19" i="23"/>
  <c r="E16" i="24"/>
  <c r="E16" i="25"/>
  <c r="F27" i="22"/>
  <c r="H27" i="22" s="1"/>
  <c r="C26" i="21" s="1"/>
  <c r="F45" i="31"/>
  <c r="E31" i="22"/>
  <c r="P34" i="23"/>
  <c r="E26" i="22"/>
  <c r="P29" i="23"/>
  <c r="P26" i="23"/>
  <c r="E23" i="22"/>
  <c r="E19" i="24"/>
  <c r="E24" i="22"/>
  <c r="P27" i="23"/>
  <c r="E14" i="22"/>
  <c r="P17" i="23"/>
  <c r="E28" i="25"/>
  <c r="F28" i="25" s="1"/>
  <c r="H28" i="25" s="1"/>
  <c r="F27" i="21" s="1"/>
  <c r="F28" i="22"/>
  <c r="H28" i="22" s="1"/>
  <c r="C27" i="21" s="1"/>
  <c r="E19" i="25"/>
  <c r="E28" i="23"/>
  <c r="F28" i="23" s="1"/>
  <c r="H28" i="23" s="1"/>
  <c r="D27" i="21" s="1"/>
  <c r="P23" i="23"/>
  <c r="E20" i="22"/>
  <c r="P18" i="23"/>
  <c r="E15" i="22"/>
  <c r="P21" i="23"/>
  <c r="E18" i="22"/>
  <c r="P33" i="23"/>
  <c r="E30" i="22"/>
  <c r="P36" i="23"/>
  <c r="E33" i="22"/>
  <c r="P25" i="23"/>
  <c r="P30" i="23"/>
  <c r="E22" i="25"/>
  <c r="E17" i="22"/>
  <c r="P20" i="23"/>
  <c r="F25" i="22"/>
  <c r="H25" i="22" s="1"/>
  <c r="C24" i="21" s="1"/>
  <c r="E25" i="25"/>
  <c r="F25" i="25" s="1"/>
  <c r="H25" i="25" s="1"/>
  <c r="F24" i="21" s="1"/>
  <c r="E25" i="24"/>
  <c r="F25" i="24" s="1"/>
  <c r="H25" i="24" s="1"/>
  <c r="E24" i="21" s="1"/>
  <c r="P92" i="22"/>
  <c r="Q92" i="22" s="1"/>
  <c r="P57" i="23" s="1"/>
  <c r="F29" i="23"/>
  <c r="H29" i="23" s="1"/>
  <c r="D28" i="21" s="1"/>
  <c r="F27" i="25"/>
  <c r="H27" i="25" s="1"/>
  <c r="F26" i="21" s="1"/>
  <c r="G26" i="21" s="1"/>
  <c r="H26" i="21" s="1"/>
  <c r="G38" i="20" s="1"/>
  <c r="E32" i="24"/>
  <c r="F32" i="24" s="1"/>
  <c r="H32" i="24" s="1"/>
  <c r="E31" i="21" s="1"/>
  <c r="E32" i="23"/>
  <c r="F32" i="23" s="1"/>
  <c r="H32" i="23" s="1"/>
  <c r="D31" i="21" s="1"/>
  <c r="E32" i="25"/>
  <c r="F32" i="22"/>
  <c r="H32" i="22" s="1"/>
  <c r="C31" i="21" s="1"/>
  <c r="A17" i="9"/>
  <c r="N18" i="9"/>
  <c r="N18" i="10"/>
  <c r="A17" i="10"/>
  <c r="A19" i="11"/>
  <c r="N20" i="11"/>
  <c r="G26" i="2" l="1"/>
  <c r="G27" i="21"/>
  <c r="H27" i="21" s="1"/>
  <c r="G39" i="20" s="1"/>
  <c r="G24" i="21"/>
  <c r="H24" i="21" s="1"/>
  <c r="G36" i="20" s="1"/>
  <c r="E30" i="23"/>
  <c r="F30" i="23" s="1"/>
  <c r="H30" i="23" s="1"/>
  <c r="D29" i="21" s="1"/>
  <c r="E30" i="24"/>
  <c r="F30" i="24" s="1"/>
  <c r="H30" i="24" s="1"/>
  <c r="E29" i="21" s="1"/>
  <c r="F30" i="22"/>
  <c r="H30" i="22" s="1"/>
  <c r="C29" i="21" s="1"/>
  <c r="E30" i="25"/>
  <c r="E23" i="25"/>
  <c r="E14" i="20"/>
  <c r="G14" i="20" s="1"/>
  <c r="E13" i="20"/>
  <c r="F22" i="22"/>
  <c r="H22" i="22" s="1"/>
  <c r="C21" i="21" s="1"/>
  <c r="E18" i="20"/>
  <c r="G18" i="20" s="1"/>
  <c r="F18" i="22"/>
  <c r="H18" i="22" s="1"/>
  <c r="C17" i="21" s="1"/>
  <c r="F14" i="22"/>
  <c r="H14" i="22" s="1"/>
  <c r="C13" i="21" s="1"/>
  <c r="E23" i="23"/>
  <c r="F16" i="22"/>
  <c r="H16" i="22" s="1"/>
  <c r="C15" i="21" s="1"/>
  <c r="E21" i="20"/>
  <c r="G21" i="20" s="1"/>
  <c r="F23" i="22"/>
  <c r="H23" i="22" s="1"/>
  <c r="C22" i="21" s="1"/>
  <c r="E20" i="20"/>
  <c r="G20" i="20" s="1"/>
  <c r="E23" i="24"/>
  <c r="E15" i="20"/>
  <c r="G15" i="20" s="1"/>
  <c r="E19" i="20"/>
  <c r="G19" i="20" s="1"/>
  <c r="E17" i="20"/>
  <c r="G17" i="20" s="1"/>
  <c r="F20" i="22"/>
  <c r="H20" i="22" s="1"/>
  <c r="C19" i="21" s="1"/>
  <c r="E22" i="20"/>
  <c r="E16" i="20"/>
  <c r="G16" i="20" s="1"/>
  <c r="E12" i="20"/>
  <c r="F19" i="22"/>
  <c r="H19" i="22" s="1"/>
  <c r="C18" i="21" s="1"/>
  <c r="F21" i="22"/>
  <c r="H21" i="22" s="1"/>
  <c r="C20" i="21" s="1"/>
  <c r="F15" i="22"/>
  <c r="H15" i="22" s="1"/>
  <c r="C14" i="21" s="1"/>
  <c r="E23" i="20"/>
  <c r="G23" i="20" s="1"/>
  <c r="F17" i="22"/>
  <c r="H17" i="22" s="1"/>
  <c r="C16" i="21" s="1"/>
  <c r="F24" i="22"/>
  <c r="H24" i="22" s="1"/>
  <c r="C23" i="21" s="1"/>
  <c r="E24" i="25"/>
  <c r="F24" i="25" s="1"/>
  <c r="H24" i="25" s="1"/>
  <c r="F23" i="21" s="1"/>
  <c r="E24" i="24"/>
  <c r="F24" i="24" s="1"/>
  <c r="H24" i="24" s="1"/>
  <c r="E23" i="21" s="1"/>
  <c r="E24" i="23"/>
  <c r="F24" i="23" s="1"/>
  <c r="H24" i="23" s="1"/>
  <c r="D23" i="21" s="1"/>
  <c r="E17" i="25"/>
  <c r="E17" i="23"/>
  <c r="E17" i="24"/>
  <c r="E18" i="23"/>
  <c r="E18" i="25"/>
  <c r="E18" i="24"/>
  <c r="E15" i="24"/>
  <c r="E15" i="23"/>
  <c r="E15" i="25"/>
  <c r="E26" i="24"/>
  <c r="F26" i="24" s="1"/>
  <c r="H26" i="24" s="1"/>
  <c r="E25" i="21" s="1"/>
  <c r="F26" i="22"/>
  <c r="E26" i="25"/>
  <c r="F26" i="25" s="1"/>
  <c r="H26" i="25" s="1"/>
  <c r="F25" i="21" s="1"/>
  <c r="E26" i="23"/>
  <c r="F26" i="23" s="1"/>
  <c r="H26" i="23" s="1"/>
  <c r="D25" i="21" s="1"/>
  <c r="E36" i="20"/>
  <c r="E14" i="23"/>
  <c r="E14" i="24"/>
  <c r="E14" i="25"/>
  <c r="F33" i="22"/>
  <c r="H33" i="22" s="1"/>
  <c r="C32" i="21" s="1"/>
  <c r="E33" i="25"/>
  <c r="E33" i="23"/>
  <c r="F33" i="23" s="1"/>
  <c r="H33" i="23" s="1"/>
  <c r="D32" i="21" s="1"/>
  <c r="E33" i="24"/>
  <c r="F33" i="24" s="1"/>
  <c r="H33" i="24" s="1"/>
  <c r="E32" i="21" s="1"/>
  <c r="E20" i="25"/>
  <c r="E20" i="24"/>
  <c r="E20" i="23"/>
  <c r="E31" i="24"/>
  <c r="F31" i="24" s="1"/>
  <c r="H31" i="24" s="1"/>
  <c r="E30" i="21" s="1"/>
  <c r="E31" i="23"/>
  <c r="F31" i="23" s="1"/>
  <c r="H31" i="23" s="1"/>
  <c r="D30" i="21" s="1"/>
  <c r="F31" i="22"/>
  <c r="H31" i="22" s="1"/>
  <c r="C30" i="21" s="1"/>
  <c r="E31" i="25"/>
  <c r="E39" i="20"/>
  <c r="E38" i="20"/>
  <c r="N17" i="10"/>
  <c r="A16" i="10"/>
  <c r="A16" i="9"/>
  <c r="N17" i="9"/>
  <c r="A18" i="11"/>
  <c r="N19" i="11"/>
  <c r="C16" i="19" l="1"/>
  <c r="G22" i="20"/>
  <c r="E16" i="19" s="1"/>
  <c r="G13" i="20"/>
  <c r="E15" i="19" s="1"/>
  <c r="C15" i="19"/>
  <c r="F23" i="23"/>
  <c r="H23" i="23" s="1"/>
  <c r="D22" i="21" s="1"/>
  <c r="F20" i="23"/>
  <c r="F18" i="23"/>
  <c r="F14" i="23"/>
  <c r="F15" i="23"/>
  <c r="H15" i="23" s="1"/>
  <c r="D14" i="21" s="1"/>
  <c r="F21" i="23"/>
  <c r="F19" i="23"/>
  <c r="F22" i="23"/>
  <c r="F16" i="23"/>
  <c r="H16" i="23" s="1"/>
  <c r="D15" i="21" s="1"/>
  <c r="F17" i="23"/>
  <c r="F23" i="25"/>
  <c r="H23" i="25" s="1"/>
  <c r="F22" i="21" s="1"/>
  <c r="F18" i="25"/>
  <c r="H18" i="25" s="1"/>
  <c r="F17" i="21" s="1"/>
  <c r="F15" i="25"/>
  <c r="H15" i="25" s="1"/>
  <c r="F14" i="21" s="1"/>
  <c r="F16" i="25"/>
  <c r="H16" i="25" s="1"/>
  <c r="F15" i="21" s="1"/>
  <c r="F20" i="25"/>
  <c r="H20" i="25" s="1"/>
  <c r="F19" i="21" s="1"/>
  <c r="F19" i="25"/>
  <c r="H19" i="25" s="1"/>
  <c r="F18" i="21" s="1"/>
  <c r="F22" i="25"/>
  <c r="H22" i="25" s="1"/>
  <c r="F21" i="21" s="1"/>
  <c r="F17" i="25"/>
  <c r="H17" i="25" s="1"/>
  <c r="F16" i="21" s="1"/>
  <c r="F14" i="25"/>
  <c r="H14" i="25" s="1"/>
  <c r="F13" i="21" s="1"/>
  <c r="F21" i="25"/>
  <c r="H21" i="25" s="1"/>
  <c r="F20" i="21" s="1"/>
  <c r="G12" i="20"/>
  <c r="E14" i="19" s="1"/>
  <c r="C14" i="19"/>
  <c r="F19" i="24"/>
  <c r="H19" i="24" s="1"/>
  <c r="E18" i="21" s="1"/>
  <c r="F20" i="24"/>
  <c r="H20" i="24" s="1"/>
  <c r="E19" i="21" s="1"/>
  <c r="F15" i="24"/>
  <c r="H15" i="24" s="1"/>
  <c r="E14" i="21" s="1"/>
  <c r="F16" i="24"/>
  <c r="H16" i="24" s="1"/>
  <c r="E15" i="21" s="1"/>
  <c r="F22" i="24"/>
  <c r="H22" i="24" s="1"/>
  <c r="E21" i="21" s="1"/>
  <c r="F17" i="24"/>
  <c r="H17" i="24" s="1"/>
  <c r="E16" i="21" s="1"/>
  <c r="F21" i="24"/>
  <c r="H21" i="24" s="1"/>
  <c r="E20" i="21" s="1"/>
  <c r="F18" i="24"/>
  <c r="H18" i="24" s="1"/>
  <c r="E17" i="21" s="1"/>
  <c r="F14" i="24"/>
  <c r="H14" i="24" s="1"/>
  <c r="E13" i="21" s="1"/>
  <c r="F23" i="24"/>
  <c r="H23" i="24" s="1"/>
  <c r="E22" i="21" s="1"/>
  <c r="H26" i="22"/>
  <c r="C25" i="21" s="1"/>
  <c r="E37" i="20"/>
  <c r="E35" i="20"/>
  <c r="G23" i="21"/>
  <c r="H23" i="21" s="1"/>
  <c r="G35" i="20" s="1"/>
  <c r="N16" i="9"/>
  <c r="A15" i="9"/>
  <c r="A15" i="10"/>
  <c r="N16" i="10"/>
  <c r="A17" i="11"/>
  <c r="N18" i="11"/>
  <c r="G25" i="21" l="1"/>
  <c r="H25" i="21" s="1"/>
  <c r="G37" i="20" s="1"/>
  <c r="G15" i="21"/>
  <c r="H15" i="21" s="1"/>
  <c r="G27" i="20" s="1"/>
  <c r="H18" i="23"/>
  <c r="D17" i="21" s="1"/>
  <c r="G17" i="21" s="1"/>
  <c r="H17" i="21" s="1"/>
  <c r="G29" i="20" s="1"/>
  <c r="E29" i="20"/>
  <c r="H17" i="23"/>
  <c r="D16" i="21" s="1"/>
  <c r="G16" i="21" s="1"/>
  <c r="H16" i="21" s="1"/>
  <c r="G28" i="20" s="1"/>
  <c r="E18" i="19" s="1"/>
  <c r="E28" i="20"/>
  <c r="C18" i="19" s="1"/>
  <c r="H20" i="23"/>
  <c r="D19" i="21" s="1"/>
  <c r="G19" i="21" s="1"/>
  <c r="H19" i="21" s="1"/>
  <c r="G31" i="20" s="1"/>
  <c r="E19" i="19" s="1"/>
  <c r="E31" i="20"/>
  <c r="C19" i="19" s="1"/>
  <c r="G22" i="21"/>
  <c r="H22" i="21" s="1"/>
  <c r="G34" i="20" s="1"/>
  <c r="H22" i="23"/>
  <c r="D21" i="21" s="1"/>
  <c r="G21" i="21" s="1"/>
  <c r="H21" i="21" s="1"/>
  <c r="G33" i="20" s="1"/>
  <c r="E33" i="20"/>
  <c r="E34" i="20"/>
  <c r="H19" i="23"/>
  <c r="D18" i="21" s="1"/>
  <c r="G18" i="21" s="1"/>
  <c r="H18" i="21" s="1"/>
  <c r="G30" i="20" s="1"/>
  <c r="E30" i="20"/>
  <c r="E26" i="20"/>
  <c r="H21" i="23"/>
  <c r="D20" i="21" s="1"/>
  <c r="G20" i="21" s="1"/>
  <c r="H20" i="21" s="1"/>
  <c r="G32" i="20" s="1"/>
  <c r="E32" i="20"/>
  <c r="E27" i="20"/>
  <c r="G14" i="21"/>
  <c r="H14" i="21" s="1"/>
  <c r="G26" i="20" s="1"/>
  <c r="E25" i="20"/>
  <c r="C17" i="19" s="1"/>
  <c r="H14" i="23"/>
  <c r="D13" i="21" s="1"/>
  <c r="G13" i="21" s="1"/>
  <c r="N15" i="10"/>
  <c r="A14" i="10"/>
  <c r="N15" i="9"/>
  <c r="A14" i="9"/>
  <c r="N14" i="9" s="1"/>
  <c r="A16" i="11"/>
  <c r="N17" i="11"/>
  <c r="H13" i="21" l="1"/>
  <c r="G25" i="20" s="1"/>
  <c r="E17" i="19" s="1"/>
  <c r="N14" i="10"/>
  <c r="A15" i="11"/>
  <c r="N16" i="11"/>
  <c r="E51" i="10" l="1"/>
  <c r="E43" i="10"/>
  <c r="E35" i="10"/>
  <c r="E27" i="10"/>
  <c r="E19" i="10"/>
  <c r="D50" i="10"/>
  <c r="D42" i="10"/>
  <c r="D34" i="10"/>
  <c r="D26" i="10"/>
  <c r="D18" i="10"/>
  <c r="D36" i="10"/>
  <c r="E28" i="10"/>
  <c r="D27" i="10"/>
  <c r="E50" i="10"/>
  <c r="E42" i="10"/>
  <c r="E34" i="10"/>
  <c r="E26" i="10"/>
  <c r="E18" i="10"/>
  <c r="D49" i="10"/>
  <c r="D41" i="10"/>
  <c r="D33" i="10"/>
  <c r="D25" i="10"/>
  <c r="D17" i="10"/>
  <c r="E29" i="10"/>
  <c r="D51" i="10"/>
  <c r="E49" i="10"/>
  <c r="E41" i="10"/>
  <c r="E33" i="10"/>
  <c r="E25" i="10"/>
  <c r="E17" i="10"/>
  <c r="D48" i="10"/>
  <c r="D40" i="10"/>
  <c r="D32" i="10"/>
  <c r="D24" i="10"/>
  <c r="D16" i="10"/>
  <c r="D44" i="10"/>
  <c r="E44" i="10"/>
  <c r="D19" i="10"/>
  <c r="E48" i="10"/>
  <c r="E40" i="10"/>
  <c r="E32" i="10"/>
  <c r="E24" i="10"/>
  <c r="E16" i="10"/>
  <c r="D47" i="10"/>
  <c r="D39" i="10"/>
  <c r="D31" i="10"/>
  <c r="D23" i="10"/>
  <c r="D15" i="10"/>
  <c r="E37" i="10"/>
  <c r="D28" i="10"/>
  <c r="E20" i="10"/>
  <c r="E57" i="10"/>
  <c r="E47" i="10"/>
  <c r="E39" i="10"/>
  <c r="E31" i="10"/>
  <c r="E23" i="10"/>
  <c r="E15" i="10"/>
  <c r="D46" i="10"/>
  <c r="D38" i="10"/>
  <c r="D30" i="10"/>
  <c r="D22" i="10"/>
  <c r="D14" i="10"/>
  <c r="E45" i="10"/>
  <c r="E21" i="10"/>
  <c r="D20" i="10"/>
  <c r="E52" i="10"/>
  <c r="D43" i="10"/>
  <c r="D57" i="10"/>
  <c r="E46" i="10"/>
  <c r="E38" i="10"/>
  <c r="E30" i="10"/>
  <c r="E22" i="10"/>
  <c r="D53" i="10"/>
  <c r="D45" i="10"/>
  <c r="D37" i="10"/>
  <c r="D29" i="10"/>
  <c r="D21" i="10"/>
  <c r="E53" i="10"/>
  <c r="D52" i="10"/>
  <c r="E36" i="10"/>
  <c r="D35" i="10"/>
  <c r="A14" i="11"/>
  <c r="N14" i="11" s="1"/>
  <c r="N15" i="11"/>
  <c r="D14" i="11" l="1"/>
  <c r="E55" i="11"/>
  <c r="E46" i="11"/>
  <c r="E58" i="11"/>
  <c r="D55" i="11"/>
  <c r="D28" i="8"/>
  <c r="E14" i="10"/>
  <c r="D49" i="11"/>
  <c r="D51" i="11"/>
  <c r="E45" i="11"/>
  <c r="D32" i="11"/>
  <c r="E50" i="11"/>
  <c r="D18" i="11"/>
  <c r="D44" i="11"/>
  <c r="D38" i="11"/>
  <c r="E23" i="11"/>
  <c r="E52" i="11"/>
  <c r="E19" i="11"/>
  <c r="D31" i="11"/>
  <c r="E20" i="11"/>
  <c r="D52" i="11"/>
  <c r="D47" i="11"/>
  <c r="E17" i="11"/>
  <c r="E38" i="11"/>
  <c r="E49" i="11"/>
  <c r="E37" i="11"/>
  <c r="E28" i="11"/>
  <c r="D53" i="11"/>
  <c r="E53" i="11"/>
  <c r="E27" i="11"/>
  <c r="E44" i="11"/>
  <c r="D50" i="11"/>
  <c r="D45" i="11"/>
  <c r="E35" i="11"/>
  <c r="E32" i="11"/>
  <c r="E54" i="11"/>
  <c r="E21" i="11"/>
  <c r="E24" i="11"/>
  <c r="D59" i="11"/>
  <c r="D27" i="11"/>
  <c r="E14" i="11"/>
  <c r="E31" i="11"/>
  <c r="D23" i="11"/>
  <c r="D21" i="11"/>
  <c r="D41" i="11"/>
  <c r="D15" i="11"/>
  <c r="E51" i="11"/>
  <c r="D40" i="11"/>
  <c r="D43" i="11"/>
  <c r="E15" i="11"/>
  <c r="D29" i="11"/>
  <c r="D22" i="11"/>
  <c r="E25" i="11"/>
  <c r="E42" i="11"/>
  <c r="E26" i="11"/>
  <c r="D20" i="11"/>
  <c r="E29" i="11"/>
  <c r="D16" i="11"/>
  <c r="E34" i="11"/>
  <c r="E40" i="11"/>
  <c r="E16" i="11"/>
  <c r="D42" i="11"/>
  <c r="D17" i="11"/>
  <c r="D24" i="11"/>
  <c r="D19" i="11"/>
  <c r="D54" i="11"/>
  <c r="E41" i="11"/>
  <c r="D37" i="11"/>
  <c r="E18" i="11"/>
  <c r="E39" i="11"/>
  <c r="D39" i="11"/>
  <c r="D35" i="11"/>
  <c r="D46" i="11"/>
  <c r="D26" i="11"/>
  <c r="E33" i="11"/>
  <c r="E59" i="11"/>
  <c r="E30" i="11"/>
  <c r="D30" i="11"/>
  <c r="D36" i="11"/>
  <c r="D34" i="11"/>
  <c r="E47" i="11"/>
  <c r="D48" i="11"/>
  <c r="E22" i="11"/>
  <c r="D25" i="11"/>
  <c r="D33" i="11"/>
  <c r="E36" i="11"/>
  <c r="E43" i="11"/>
  <c r="E48" i="11"/>
  <c r="D28" i="11"/>
  <c r="D58" i="11" l="1"/>
  <c r="D56" i="10"/>
  <c r="B63" i="25" l="1"/>
  <c r="F29" i="25"/>
  <c r="F31" i="25"/>
  <c r="F32" i="25"/>
  <c r="F30" i="25"/>
  <c r="F33" i="25"/>
  <c r="H31" i="25" l="1"/>
  <c r="F30" i="21" s="1"/>
  <c r="G30" i="21" s="1"/>
  <c r="H30" i="21" s="1"/>
  <c r="G42" i="20" s="1"/>
  <c r="E42" i="20"/>
  <c r="H30" i="25"/>
  <c r="F29" i="21" s="1"/>
  <c r="G29" i="21" s="1"/>
  <c r="H29" i="21" s="1"/>
  <c r="G41" i="20" s="1"/>
  <c r="E20" i="19" s="1"/>
  <c r="E41" i="20"/>
  <c r="H33" i="25"/>
  <c r="F32" i="21" s="1"/>
  <c r="G32" i="21" s="1"/>
  <c r="H32" i="21" s="1"/>
  <c r="G44" i="20" s="1"/>
  <c r="E44" i="20"/>
  <c r="H32" i="25"/>
  <c r="F31" i="21" s="1"/>
  <c r="G31" i="21" s="1"/>
  <c r="H31" i="21" s="1"/>
  <c r="G43" i="20" s="1"/>
  <c r="E43" i="20"/>
  <c r="H29" i="25"/>
  <c r="F28" i="21" s="1"/>
  <c r="E40" i="20"/>
  <c r="G28" i="21" l="1"/>
  <c r="C20" i="19"/>
  <c r="H28" i="21" l="1"/>
  <c r="G40" i="20" s="1"/>
  <c r="E16" i="36" l="1"/>
  <c r="G16" i="36" s="1"/>
  <c r="E18" i="36" l="1"/>
  <c r="G18" i="36" s="1"/>
  <c r="E17" i="36"/>
  <c r="G17" i="36" s="1"/>
  <c r="E15" i="36"/>
  <c r="G15" i="36" s="1"/>
  <c r="E20" i="36"/>
  <c r="G20" i="36" s="1"/>
  <c r="E19" i="36"/>
  <c r="G19" i="36" s="1"/>
  <c r="E14" i="36"/>
  <c r="G14" i="36" s="1"/>
  <c r="E25" i="36" l="1"/>
  <c r="G25" i="36" l="1"/>
  <c r="E64" i="13" l="1"/>
  <c r="D14" i="2" s="1"/>
  <c r="E58" i="13"/>
  <c r="E60" i="13"/>
  <c r="D14" i="18" s="1"/>
  <c r="J18" i="50" s="1"/>
  <c r="E50" i="13"/>
  <c r="E49" i="13"/>
  <c r="E51" i="13"/>
  <c r="B34" i="50" l="1"/>
  <c r="F22" i="50"/>
  <c r="E22" i="50"/>
  <c r="D19" i="18"/>
  <c r="D20" i="18"/>
  <c r="C63" i="13"/>
  <c r="E63" i="13" s="1"/>
  <c r="D17" i="18"/>
  <c r="D22" i="18"/>
  <c r="D18" i="18"/>
  <c r="D19" i="2"/>
  <c r="D17" i="2"/>
  <c r="D15" i="2"/>
  <c r="D20" i="2"/>
  <c r="D16" i="2"/>
  <c r="D23" i="2"/>
  <c r="D21" i="2"/>
  <c r="D18" i="2"/>
  <c r="D22" i="2"/>
  <c r="D22" i="50" l="1"/>
  <c r="F26" i="50"/>
  <c r="H38" i="34" l="1"/>
  <c r="H42" i="34" s="1"/>
  <c r="E19" i="1" s="1"/>
  <c r="E23" i="1" l="1"/>
  <c r="E15" i="1"/>
  <c r="E26" i="1"/>
  <c r="E22" i="1"/>
  <c r="E21" i="1"/>
  <c r="E24" i="1"/>
  <c r="F51" i="7"/>
  <c r="G51" i="7" s="1"/>
  <c r="F48" i="7"/>
  <c r="F34" i="7"/>
  <c r="F31" i="7"/>
  <c r="F47" i="7"/>
  <c r="F42" i="7"/>
  <c r="F37" i="7"/>
  <c r="G37" i="7" s="1"/>
  <c r="F25" i="7"/>
  <c r="F38" i="7"/>
  <c r="F29" i="7"/>
  <c r="F23" i="7"/>
  <c r="F28" i="7"/>
  <c r="F24" i="7"/>
  <c r="F35" i="7"/>
  <c r="G35" i="7" s="1"/>
  <c r="F27" i="7"/>
  <c r="F26" i="7"/>
  <c r="F36" i="7"/>
  <c r="F45" i="7"/>
  <c r="F43" i="7"/>
  <c r="F39" i="7"/>
  <c r="F33" i="7"/>
  <c r="F21" i="7"/>
  <c r="F40" i="7"/>
  <c r="F41" i="7"/>
  <c r="F32" i="7"/>
  <c r="F44" i="7"/>
  <c r="F46" i="7"/>
  <c r="F30" i="7"/>
  <c r="F22" i="7"/>
  <c r="F50" i="7"/>
  <c r="G50" i="7" s="1"/>
  <c r="F49" i="7"/>
  <c r="F52" i="7"/>
  <c r="G52" i="7" s="1"/>
  <c r="H52" i="7" l="1"/>
  <c r="G43" i="7"/>
  <c r="H46" i="7"/>
  <c r="H40" i="7"/>
  <c r="C20" i="5" s="1"/>
  <c r="H43" i="7"/>
  <c r="G40" i="7"/>
  <c r="G26" i="7"/>
  <c r="H29" i="7"/>
  <c r="G23" i="7"/>
  <c r="H26" i="7"/>
  <c r="H28" i="7"/>
  <c r="C17" i="5" s="1"/>
  <c r="G25" i="7"/>
  <c r="G42" i="7"/>
  <c r="H45" i="7"/>
  <c r="G29" i="7"/>
  <c r="H32" i="7"/>
  <c r="C18" i="5" s="1"/>
  <c r="G31" i="7"/>
  <c r="H34" i="7"/>
  <c r="G22" i="7"/>
  <c r="H25" i="7"/>
  <c r="G41" i="7"/>
  <c r="H44" i="7"/>
  <c r="C21" i="5" s="1"/>
  <c r="G21" i="7"/>
  <c r="H24" i="7"/>
  <c r="C16" i="5" s="1"/>
  <c r="C15" i="5"/>
  <c r="H23" i="7"/>
  <c r="G45" i="7"/>
  <c r="H48" i="7"/>
  <c r="C22" i="5" s="1"/>
  <c r="H22" i="7"/>
  <c r="G38" i="7"/>
  <c r="H41" i="7"/>
  <c r="G34" i="7"/>
  <c r="H37" i="7"/>
  <c r="G33" i="7"/>
  <c r="H36" i="7"/>
  <c r="C19" i="5" s="1"/>
  <c r="G27" i="7"/>
  <c r="H30" i="7"/>
  <c r="H31" i="7"/>
  <c r="G28" i="7"/>
  <c r="H51" i="7"/>
  <c r="G48" i="7"/>
  <c r="G30" i="7"/>
  <c r="H33" i="7"/>
  <c r="G44" i="7"/>
  <c r="H47" i="7"/>
  <c r="G39" i="7"/>
  <c r="H42" i="7"/>
  <c r="H38" i="7"/>
  <c r="H39" i="7"/>
  <c r="G36" i="7"/>
  <c r="G24" i="7"/>
  <c r="H27" i="7"/>
  <c r="H21" i="7"/>
  <c r="C23" i="5"/>
  <c r="C45" i="5" s="1"/>
  <c r="G49" i="7"/>
  <c r="G46" i="7"/>
  <c r="H49" i="7"/>
  <c r="G32" i="7"/>
  <c r="H35" i="7"/>
  <c r="H50" i="7"/>
  <c r="G47" i="7"/>
  <c r="I17" i="7" l="1"/>
  <c r="I18" i="7"/>
  <c r="I19" i="7"/>
  <c r="I20" i="7"/>
  <c r="C14" i="5"/>
  <c r="C36" i="5" s="1"/>
  <c r="I56" i="7"/>
  <c r="J51" i="7"/>
  <c r="J42" i="7"/>
  <c r="J36" i="7"/>
  <c r="J41" i="7"/>
  <c r="J34" i="7"/>
  <c r="J46" i="7"/>
  <c r="J43" i="7"/>
  <c r="J35" i="7"/>
  <c r="J40" i="7"/>
  <c r="J48" i="7"/>
  <c r="J33" i="7"/>
  <c r="J39" i="7"/>
  <c r="J49" i="7"/>
  <c r="J56" i="7"/>
  <c r="J44" i="7"/>
  <c r="J45" i="7"/>
  <c r="J47" i="7"/>
  <c r="J50" i="7"/>
  <c r="J52" i="7"/>
  <c r="J38" i="7"/>
  <c r="J37" i="7"/>
  <c r="C41" i="5"/>
  <c r="C38" i="5"/>
  <c r="L41" i="7"/>
  <c r="L45" i="7"/>
  <c r="L50" i="7"/>
  <c r="L48" i="7"/>
  <c r="L43" i="7"/>
  <c r="L44" i="7"/>
  <c r="L51" i="7"/>
  <c r="L42" i="7"/>
  <c r="L46" i="7"/>
  <c r="L52" i="7"/>
  <c r="L47" i="7"/>
  <c r="L56" i="7"/>
  <c r="L49" i="7"/>
  <c r="C43" i="5"/>
  <c r="I48" i="7"/>
  <c r="I42" i="7"/>
  <c r="I25" i="7"/>
  <c r="I51" i="7"/>
  <c r="I52" i="7"/>
  <c r="I41" i="7"/>
  <c r="I37" i="7"/>
  <c r="I36" i="7"/>
  <c r="I40" i="7"/>
  <c r="I50" i="7"/>
  <c r="I29" i="7"/>
  <c r="I44" i="7"/>
  <c r="I47" i="7"/>
  <c r="I46" i="7"/>
  <c r="I35" i="7"/>
  <c r="I32" i="7"/>
  <c r="I34" i="7"/>
  <c r="I30" i="7"/>
  <c r="I24" i="7"/>
  <c r="I22" i="7"/>
  <c r="I26" i="7"/>
  <c r="I31" i="7"/>
  <c r="I38" i="7"/>
  <c r="I39" i="7"/>
  <c r="I27" i="7"/>
  <c r="I21" i="7"/>
  <c r="I45" i="7"/>
  <c r="I28" i="7"/>
  <c r="I49" i="7"/>
  <c r="I23" i="7"/>
  <c r="I33" i="7"/>
  <c r="I43" i="7"/>
  <c r="C42" i="5"/>
  <c r="C39" i="5"/>
  <c r="C40" i="5"/>
  <c r="K43" i="7"/>
  <c r="K46" i="7"/>
  <c r="K56" i="7"/>
  <c r="K39" i="7"/>
  <c r="K41" i="7"/>
  <c r="K38" i="7"/>
  <c r="K51" i="7"/>
  <c r="K37" i="7"/>
  <c r="K50" i="7"/>
  <c r="K48" i="7"/>
  <c r="K42" i="7"/>
  <c r="K49" i="7"/>
  <c r="K45" i="7"/>
  <c r="K44" i="7"/>
  <c r="K47" i="7"/>
  <c r="K52" i="7"/>
  <c r="K40" i="7"/>
  <c r="C44" i="5"/>
  <c r="C37" i="5"/>
  <c r="I55" i="7" l="1"/>
  <c r="K55" i="7"/>
  <c r="L55" i="7"/>
  <c r="J55" i="7"/>
  <c r="N58" i="7" l="1"/>
  <c r="I18" i="5"/>
  <c r="C31" i="28" l="1"/>
  <c r="C31" i="48"/>
  <c r="C31" i="49"/>
  <c r="C31" i="26"/>
  <c r="E31" i="28" l="1"/>
  <c r="D31" i="28" s="1"/>
  <c r="E31" i="48"/>
  <c r="D31" i="48" s="1"/>
  <c r="E31" i="49"/>
  <c r="D31" i="49" s="1"/>
  <c r="E31" i="26" l="1"/>
  <c r="D31" i="26" s="1"/>
  <c r="E34" i="48"/>
  <c r="C19" i="18" s="1"/>
  <c r="E19" i="18" s="1"/>
  <c r="E34" i="49"/>
  <c r="C20" i="18" s="1"/>
  <c r="E20" i="18" s="1"/>
  <c r="E34" i="28"/>
  <c r="C18" i="18" s="1"/>
  <c r="E18" i="18" s="1"/>
  <c r="C22" i="1" l="1"/>
  <c r="C24" i="1"/>
  <c r="C23" i="1"/>
  <c r="E34" i="26"/>
  <c r="C17" i="18" s="1"/>
  <c r="E17" i="18" s="1"/>
  <c r="C21" i="1" l="1"/>
  <c r="C22" i="18"/>
  <c r="E22" i="18" s="1"/>
  <c r="C26" i="1" l="1"/>
  <c r="I17" i="5"/>
  <c r="I16" i="5"/>
  <c r="E42" i="5" s="1"/>
  <c r="P32" i="8"/>
  <c r="N32" i="8" s="1"/>
  <c r="C30" i="8" l="1"/>
  <c r="G30" i="8"/>
  <c r="E43" i="5"/>
  <c r="E36" i="5"/>
  <c r="E45" i="5"/>
  <c r="E44" i="5"/>
  <c r="E38" i="5"/>
  <c r="E39" i="5"/>
  <c r="E41" i="5"/>
  <c r="E40" i="5"/>
  <c r="B41" i="8"/>
  <c r="E37" i="5"/>
  <c r="D30" i="8"/>
  <c r="E34" i="22" l="1"/>
  <c r="E35" i="22"/>
  <c r="E37" i="22" l="1"/>
  <c r="E35" i="24"/>
  <c r="F35" i="24" s="1"/>
  <c r="H35" i="24" s="1"/>
  <c r="E34" i="21" s="1"/>
  <c r="E35" i="25"/>
  <c r="F35" i="25" s="1"/>
  <c r="H35" i="25" s="1"/>
  <c r="F34" i="21" s="1"/>
  <c r="E35" i="23"/>
  <c r="F35" i="23" s="1"/>
  <c r="H35" i="23" s="1"/>
  <c r="D34" i="21" s="1"/>
  <c r="F35" i="22"/>
  <c r="E34" i="25"/>
  <c r="F34" i="25" s="1"/>
  <c r="H34" i="25" s="1"/>
  <c r="F33" i="21" s="1"/>
  <c r="E34" i="24"/>
  <c r="F34" i="24" s="1"/>
  <c r="E34" i="23"/>
  <c r="F34" i="23" s="1"/>
  <c r="H34" i="23" s="1"/>
  <c r="D33" i="21" s="1"/>
  <c r="F34" i="22"/>
  <c r="E37" i="23" l="1"/>
  <c r="F37" i="23" s="1"/>
  <c r="H37" i="23" s="1"/>
  <c r="D36" i="21" s="1"/>
  <c r="E37" i="24"/>
  <c r="F37" i="24" s="1"/>
  <c r="H37" i="24" s="1"/>
  <c r="E36" i="21" s="1"/>
  <c r="E37" i="25"/>
  <c r="F37" i="25" s="1"/>
  <c r="H37" i="25" s="1"/>
  <c r="F36" i="21" s="1"/>
  <c r="F37" i="22"/>
  <c r="H34" i="22"/>
  <c r="C33" i="21" s="1"/>
  <c r="E45" i="20"/>
  <c r="C21" i="19" s="1"/>
  <c r="H34" i="24"/>
  <c r="E33" i="21" s="1"/>
  <c r="H35" i="22"/>
  <c r="C34" i="21" s="1"/>
  <c r="G34" i="21" s="1"/>
  <c r="H34" i="21" s="1"/>
  <c r="G46" i="20" s="1"/>
  <c r="E46" i="20"/>
  <c r="E36" i="22"/>
  <c r="G33" i="21" l="1"/>
  <c r="H33" i="21" s="1"/>
  <c r="G45" i="20" s="1"/>
  <c r="E21" i="19" s="1"/>
  <c r="H37" i="22"/>
  <c r="C36" i="21" s="1"/>
  <c r="G36" i="21" s="1"/>
  <c r="H36" i="21" s="1"/>
  <c r="G48" i="20" s="1"/>
  <c r="E48" i="20"/>
  <c r="E38" i="22"/>
  <c r="E39" i="22"/>
  <c r="E36" i="25"/>
  <c r="F36" i="25" s="1"/>
  <c r="H36" i="25" s="1"/>
  <c r="F35" i="21" s="1"/>
  <c r="E36" i="23"/>
  <c r="F36" i="23" s="1"/>
  <c r="H36" i="23" s="1"/>
  <c r="D35" i="21" s="1"/>
  <c r="E36" i="24"/>
  <c r="F36" i="24" s="1"/>
  <c r="F36" i="22"/>
  <c r="H36" i="24" l="1"/>
  <c r="E35" i="21" s="1"/>
  <c r="E39" i="24"/>
  <c r="F39" i="24" s="1"/>
  <c r="H39" i="24" s="1"/>
  <c r="E38" i="21" s="1"/>
  <c r="E39" i="25"/>
  <c r="F39" i="25" s="1"/>
  <c r="E39" i="23"/>
  <c r="F39" i="23" s="1"/>
  <c r="H39" i="23" s="1"/>
  <c r="D38" i="21" s="1"/>
  <c r="F39" i="22"/>
  <c r="H39" i="22" s="1"/>
  <c r="C38" i="21" s="1"/>
  <c r="E38" i="25"/>
  <c r="F38" i="25" s="1"/>
  <c r="H38" i="25" s="1"/>
  <c r="F37" i="21" s="1"/>
  <c r="E38" i="23"/>
  <c r="F38" i="23" s="1"/>
  <c r="H38" i="23" s="1"/>
  <c r="D37" i="21" s="1"/>
  <c r="E38" i="24"/>
  <c r="F38" i="24" s="1"/>
  <c r="H38" i="24" s="1"/>
  <c r="E37" i="21" s="1"/>
  <c r="F38" i="22"/>
  <c r="H36" i="22"/>
  <c r="C35" i="21" s="1"/>
  <c r="E47" i="20"/>
  <c r="C22" i="19" s="1"/>
  <c r="G35" i="21" l="1"/>
  <c r="H35" i="21" s="1"/>
  <c r="G47" i="20" s="1"/>
  <c r="E22" i="19" s="1"/>
  <c r="H38" i="22"/>
  <c r="C37" i="21" s="1"/>
  <c r="G37" i="21" s="1"/>
  <c r="H37" i="21" s="1"/>
  <c r="G49" i="20" s="1"/>
  <c r="E49" i="20"/>
  <c r="C23" i="19" s="1"/>
  <c r="E50" i="20"/>
  <c r="C24" i="19" s="1"/>
  <c r="H39" i="25"/>
  <c r="F38" i="21" s="1"/>
  <c r="G38" i="21" s="1"/>
  <c r="H38" i="21" s="1"/>
  <c r="G50" i="20" s="1"/>
  <c r="E24" i="19" s="1"/>
  <c r="E40" i="22"/>
  <c r="E23" i="19" l="1"/>
  <c r="E41" i="22"/>
  <c r="E40" i="25"/>
  <c r="F40" i="25" s="1"/>
  <c r="E40" i="24"/>
  <c r="F40" i="24" s="1"/>
  <c r="E40" i="23"/>
  <c r="F40" i="23" s="1"/>
  <c r="H40" i="23" s="1"/>
  <c r="D39" i="21" s="1"/>
  <c r="F40" i="22"/>
  <c r="H40" i="24" l="1"/>
  <c r="E39" i="21" s="1"/>
  <c r="E42" i="22"/>
  <c r="E41" i="23"/>
  <c r="F41" i="23" s="1"/>
  <c r="H41" i="23" s="1"/>
  <c r="D40" i="21" s="1"/>
  <c r="E41" i="24"/>
  <c r="F41" i="24" s="1"/>
  <c r="H41" i="24" s="1"/>
  <c r="E40" i="21" s="1"/>
  <c r="E41" i="25"/>
  <c r="F41" i="25" s="1"/>
  <c r="F41" i="22"/>
  <c r="H41" i="22" s="1"/>
  <c r="C40" i="21" s="1"/>
  <c r="E51" i="20"/>
  <c r="H40" i="25"/>
  <c r="F39" i="21" s="1"/>
  <c r="H40" i="22"/>
  <c r="C39" i="21" s="1"/>
  <c r="E43" i="22" l="1"/>
  <c r="G39" i="21"/>
  <c r="H39" i="21" s="1"/>
  <c r="G51" i="20" s="1"/>
  <c r="E52" i="20"/>
  <c r="H41" i="25"/>
  <c r="F40" i="21" s="1"/>
  <c r="G40" i="21" s="1"/>
  <c r="H40" i="21" s="1"/>
  <c r="G52" i="20" s="1"/>
  <c r="F42" i="22"/>
  <c r="H42" i="22" s="1"/>
  <c r="C41" i="21" s="1"/>
  <c r="E42" i="25"/>
  <c r="F42" i="25" s="1"/>
  <c r="H42" i="25" s="1"/>
  <c r="F41" i="21" s="1"/>
  <c r="E42" i="23"/>
  <c r="F42" i="23" s="1"/>
  <c r="E42" i="24"/>
  <c r="F42" i="24" s="1"/>
  <c r="H42" i="24" s="1"/>
  <c r="E41" i="21" s="1"/>
  <c r="E44" i="22" l="1"/>
  <c r="E53" i="20"/>
  <c r="H42" i="23"/>
  <c r="D41" i="21" s="1"/>
  <c r="G41" i="21" s="1"/>
  <c r="H41" i="21" s="1"/>
  <c r="G53" i="20" s="1"/>
  <c r="E43" i="24"/>
  <c r="F43" i="24" s="1"/>
  <c r="H43" i="24" s="1"/>
  <c r="E42" i="21" s="1"/>
  <c r="E43" i="23"/>
  <c r="F43" i="23" s="1"/>
  <c r="H43" i="23" s="1"/>
  <c r="D42" i="21" s="1"/>
  <c r="E43" i="25"/>
  <c r="F43" i="25" s="1"/>
  <c r="F43" i="22"/>
  <c r="E45" i="22" l="1"/>
  <c r="H43" i="25"/>
  <c r="F42" i="21" s="1"/>
  <c r="E44" i="25"/>
  <c r="F44" i="25" s="1"/>
  <c r="H44" i="25" s="1"/>
  <c r="F43" i="21" s="1"/>
  <c r="E44" i="24"/>
  <c r="F44" i="24" s="1"/>
  <c r="E44" i="23"/>
  <c r="F44" i="23" s="1"/>
  <c r="H44" i="23" s="1"/>
  <c r="D43" i="21" s="1"/>
  <c r="F44" i="22"/>
  <c r="H44" i="22" s="1"/>
  <c r="C43" i="21" s="1"/>
  <c r="H43" i="22"/>
  <c r="C42" i="21" s="1"/>
  <c r="E54" i="20"/>
  <c r="G42" i="21" l="1"/>
  <c r="H42" i="21" s="1"/>
  <c r="E46" i="22"/>
  <c r="E55" i="20"/>
  <c r="H44" i="24"/>
  <c r="E43" i="21" s="1"/>
  <c r="E45" i="23"/>
  <c r="F45" i="23" s="1"/>
  <c r="H45" i="23" s="1"/>
  <c r="D44" i="21" s="1"/>
  <c r="E45" i="24"/>
  <c r="F45" i="24" s="1"/>
  <c r="E45" i="25"/>
  <c r="F45" i="25" s="1"/>
  <c r="F45" i="22"/>
  <c r="H45" i="22" s="1"/>
  <c r="C44" i="21" s="1"/>
  <c r="G54" i="20" l="1"/>
  <c r="H45" i="25"/>
  <c r="F44" i="21" s="1"/>
  <c r="E47" i="22"/>
  <c r="E56" i="20"/>
  <c r="H45" i="24"/>
  <c r="E44" i="21" s="1"/>
  <c r="G43" i="21"/>
  <c r="E46" i="25"/>
  <c r="F46" i="25" s="1"/>
  <c r="H46" i="25" s="1"/>
  <c r="F45" i="21" s="1"/>
  <c r="E46" i="24"/>
  <c r="F46" i="24" s="1"/>
  <c r="E46" i="23"/>
  <c r="F46" i="23" s="1"/>
  <c r="H46" i="23" s="1"/>
  <c r="D45" i="21" s="1"/>
  <c r="F46" i="22"/>
  <c r="H46" i="22" s="1"/>
  <c r="C45" i="21" s="1"/>
  <c r="H43" i="21" l="1"/>
  <c r="G44" i="21"/>
  <c r="H44" i="21" s="1"/>
  <c r="G56" i="20" s="1"/>
  <c r="E48" i="22"/>
  <c r="E47" i="24"/>
  <c r="F47" i="24" s="1"/>
  <c r="E47" i="25"/>
  <c r="F47" i="25" s="1"/>
  <c r="H47" i="25" s="1"/>
  <c r="F46" i="21" s="1"/>
  <c r="E47" i="23"/>
  <c r="F47" i="23" s="1"/>
  <c r="H47" i="23" s="1"/>
  <c r="D46" i="21" s="1"/>
  <c r="F47" i="22"/>
  <c r="H47" i="22" s="1"/>
  <c r="C46" i="21" s="1"/>
  <c r="E57" i="20"/>
  <c r="H46" i="24"/>
  <c r="E45" i="21" s="1"/>
  <c r="G55" i="20" l="1"/>
  <c r="G45" i="21"/>
  <c r="E48" i="25"/>
  <c r="F48" i="25" s="1"/>
  <c r="H48" i="25" s="1"/>
  <c r="F47" i="21" s="1"/>
  <c r="E48" i="24"/>
  <c r="F48" i="24" s="1"/>
  <c r="E48" i="23"/>
  <c r="F48" i="23" s="1"/>
  <c r="H48" i="23" s="1"/>
  <c r="D47" i="21" s="1"/>
  <c r="F48" i="22"/>
  <c r="H48" i="22" s="1"/>
  <c r="C47" i="21" s="1"/>
  <c r="E49" i="22"/>
  <c r="E58" i="20"/>
  <c r="H47" i="24"/>
  <c r="E46" i="21" s="1"/>
  <c r="G46" i="21" s="1"/>
  <c r="H46" i="21" s="1"/>
  <c r="G58" i="20" s="1"/>
  <c r="E59" i="20" l="1"/>
  <c r="C25" i="19" s="1"/>
  <c r="H48" i="24"/>
  <c r="E47" i="21" s="1"/>
  <c r="G47" i="21" s="1"/>
  <c r="H47" i="21" s="1"/>
  <c r="G59" i="20" s="1"/>
  <c r="E25" i="19" s="1"/>
  <c r="H45" i="21"/>
  <c r="E50" i="22"/>
  <c r="E49" i="23"/>
  <c r="F49" i="23" s="1"/>
  <c r="H49" i="23" s="1"/>
  <c r="D48" i="21" s="1"/>
  <c r="E49" i="24"/>
  <c r="F49" i="24" s="1"/>
  <c r="E49" i="25"/>
  <c r="F49" i="25" s="1"/>
  <c r="H49" i="25" s="1"/>
  <c r="F48" i="21" s="1"/>
  <c r="F49" i="22"/>
  <c r="H49" i="22" s="1"/>
  <c r="C48" i="21" s="1"/>
  <c r="E50" i="25" l="1"/>
  <c r="F50" i="25" s="1"/>
  <c r="H50" i="25" s="1"/>
  <c r="F49" i="21" s="1"/>
  <c r="E50" i="23"/>
  <c r="F50" i="23" s="1"/>
  <c r="E50" i="24"/>
  <c r="F50" i="24" s="1"/>
  <c r="H50" i="24" s="1"/>
  <c r="E49" i="21" s="1"/>
  <c r="F50" i="22"/>
  <c r="G57" i="20"/>
  <c r="E60" i="20"/>
  <c r="H49" i="24"/>
  <c r="E48" i="21" s="1"/>
  <c r="G48" i="21" s="1"/>
  <c r="H48" i="21" s="1"/>
  <c r="G60" i="20" s="1"/>
  <c r="E51" i="22"/>
  <c r="H50" i="23" l="1"/>
  <c r="D49" i="21" s="1"/>
  <c r="E52" i="22"/>
  <c r="F51" i="22"/>
  <c r="E51" i="25"/>
  <c r="F51" i="25" s="1"/>
  <c r="H51" i="25" s="1"/>
  <c r="F50" i="21" s="1"/>
  <c r="E51" i="24"/>
  <c r="F51" i="24" s="1"/>
  <c r="H51" i="24" s="1"/>
  <c r="E50" i="21" s="1"/>
  <c r="E51" i="23"/>
  <c r="F51" i="23" s="1"/>
  <c r="H51" i="23" s="1"/>
  <c r="D50" i="21" s="1"/>
  <c r="H50" i="22"/>
  <c r="C49" i="21" s="1"/>
  <c r="E61" i="20"/>
  <c r="E53" i="22" l="1"/>
  <c r="E54" i="22"/>
  <c r="E52" i="25"/>
  <c r="F52" i="25" s="1"/>
  <c r="H52" i="25" s="1"/>
  <c r="F51" i="21" s="1"/>
  <c r="E52" i="24"/>
  <c r="F52" i="24" s="1"/>
  <c r="H52" i="24" s="1"/>
  <c r="E51" i="21" s="1"/>
  <c r="F52" i="22"/>
  <c r="E52" i="23"/>
  <c r="F52" i="23" s="1"/>
  <c r="H52" i="23" s="1"/>
  <c r="D51" i="21" s="1"/>
  <c r="H51" i="22"/>
  <c r="C50" i="21" s="1"/>
  <c r="G50" i="21" s="1"/>
  <c r="H50" i="21" s="1"/>
  <c r="G62" i="20" s="1"/>
  <c r="E26" i="19" s="1"/>
  <c r="E62" i="20"/>
  <c r="C26" i="19" s="1"/>
  <c r="G49" i="21"/>
  <c r="E53" i="25" l="1"/>
  <c r="F53" i="25" s="1"/>
  <c r="H53" i="25" s="1"/>
  <c r="F52" i="21" s="1"/>
  <c r="E53" i="24"/>
  <c r="F53" i="24" s="1"/>
  <c r="H53" i="24" s="1"/>
  <c r="E52" i="21" s="1"/>
  <c r="F53" i="22"/>
  <c r="E53" i="23"/>
  <c r="F53" i="23" s="1"/>
  <c r="H49" i="21"/>
  <c r="H52" i="22"/>
  <c r="C51" i="21" s="1"/>
  <c r="G51" i="21" s="1"/>
  <c r="H51" i="21" s="1"/>
  <c r="G63" i="20" s="1"/>
  <c r="E27" i="19" s="1"/>
  <c r="E28" i="19" s="1"/>
  <c r="E63" i="20"/>
  <c r="C27" i="19" s="1"/>
  <c r="E54" i="25"/>
  <c r="F54" i="25" s="1"/>
  <c r="E54" i="23"/>
  <c r="F54" i="23" s="1"/>
  <c r="H54" i="23" s="1"/>
  <c r="D53" i="21" s="1"/>
  <c r="E54" i="24"/>
  <c r="F54" i="24" s="1"/>
  <c r="F54" i="22"/>
  <c r="H53" i="23" l="1"/>
  <c r="D52" i="21" s="1"/>
  <c r="D55" i="21" s="1"/>
  <c r="F56" i="23"/>
  <c r="H56" i="23" s="1"/>
  <c r="H53" i="22"/>
  <c r="C52" i="21" s="1"/>
  <c r="E64" i="20"/>
  <c r="H54" i="22"/>
  <c r="C53" i="21" s="1"/>
  <c r="E65" i="20"/>
  <c r="F56" i="22"/>
  <c r="H56" i="22" s="1"/>
  <c r="H54" i="24"/>
  <c r="E53" i="21" s="1"/>
  <c r="E55" i="21" s="1"/>
  <c r="F56" i="24"/>
  <c r="H56" i="24" s="1"/>
  <c r="G61" i="20"/>
  <c r="H54" i="25"/>
  <c r="F53" i="21" s="1"/>
  <c r="F55" i="21" s="1"/>
  <c r="F56" i="25"/>
  <c r="H56" i="25" s="1"/>
  <c r="E67" i="20" l="1"/>
  <c r="G53" i="21"/>
  <c r="G52" i="21"/>
  <c r="H52" i="21" s="1"/>
  <c r="C55" i="21"/>
  <c r="H53" i="21" l="1"/>
  <c r="G65" i="20" s="1"/>
  <c r="G55" i="21"/>
  <c r="G64" i="20"/>
  <c r="G67" i="20" l="1"/>
  <c r="G70" i="20"/>
  <c r="G69" i="20"/>
  <c r="H55" i="21"/>
  <c r="G71" i="20" l="1"/>
  <c r="E30" i="19" s="1"/>
  <c r="F27" i="19" s="1"/>
  <c r="F15" i="19" l="1"/>
  <c r="F21" i="19"/>
  <c r="F17" i="19"/>
  <c r="F22" i="19"/>
  <c r="F19" i="19"/>
  <c r="F14" i="19"/>
  <c r="F16" i="19"/>
  <c r="F26" i="19"/>
  <c r="F25" i="19"/>
  <c r="F23" i="19"/>
  <c r="F24" i="19"/>
  <c r="F20" i="19"/>
  <c r="F18" i="19"/>
  <c r="E32" i="19" l="1"/>
  <c r="E37" i="19" s="1"/>
  <c r="C14" i="18" s="1"/>
  <c r="E14" i="18" s="1"/>
  <c r="C19" i="1" s="1"/>
  <c r="C15" i="1" s="1"/>
  <c r="F28" i="19"/>
  <c r="E24" i="50" l="1"/>
  <c r="D24" i="50" s="1"/>
  <c r="D26" i="50" l="1"/>
  <c r="E26" i="50"/>
  <c r="F16" i="8"/>
  <c r="E21" i="8"/>
  <c r="E17" i="8" l="1"/>
  <c r="E14" i="8"/>
  <c r="E16" i="8"/>
  <c r="H16" i="8" s="1"/>
  <c r="D38" i="5" s="1"/>
  <c r="E19" i="8"/>
  <c r="H19" i="8" s="1"/>
  <c r="D41" i="5" s="1"/>
  <c r="E20" i="8"/>
  <c r="F22" i="8"/>
  <c r="F20" i="8"/>
  <c r="H20" i="8" s="1"/>
  <c r="D42" i="5" s="1"/>
  <c r="F19" i="8"/>
  <c r="E22" i="8"/>
  <c r="F14" i="8"/>
  <c r="F18" i="8"/>
  <c r="F23" i="8"/>
  <c r="F15" i="8"/>
  <c r="E23" i="8"/>
  <c r="E18" i="8"/>
  <c r="H18" i="8" s="1"/>
  <c r="D40" i="5" s="1"/>
  <c r="F17" i="8"/>
  <c r="F21" i="8"/>
  <c r="H21" i="8" s="1"/>
  <c r="D43" i="5" s="1"/>
  <c r="E15" i="8"/>
  <c r="H15" i="8"/>
  <c r="D37" i="5" s="1"/>
  <c r="H14" i="8"/>
  <c r="D36" i="5" s="1"/>
  <c r="H23" i="8" l="1"/>
  <c r="D45" i="5" s="1"/>
  <c r="H17" i="8"/>
  <c r="D39" i="5" s="1"/>
  <c r="H22" i="8"/>
  <c r="D44" i="5" s="1"/>
  <c r="E28" i="8"/>
  <c r="E30" i="8" s="1"/>
  <c r="F28" i="8" l="1"/>
  <c r="F30" i="8" s="1"/>
  <c r="H28" i="8"/>
  <c r="I19" i="5" l="1"/>
  <c r="H30" i="8"/>
  <c r="F37" i="5" l="1"/>
  <c r="G37" i="5" s="1"/>
  <c r="E15" i="2" s="1"/>
  <c r="F15" i="2" s="1"/>
  <c r="H15" i="2" s="1"/>
  <c r="F43" i="5"/>
  <c r="G43" i="5" s="1"/>
  <c r="E21" i="2" s="1"/>
  <c r="F21" i="2" s="1"/>
  <c r="H21" i="2" s="1"/>
  <c r="F38" i="5"/>
  <c r="G38" i="5" s="1"/>
  <c r="E16" i="2" s="1"/>
  <c r="F16" i="2" s="1"/>
  <c r="H16" i="2" s="1"/>
  <c r="F44" i="5"/>
  <c r="G44" i="5" s="1"/>
  <c r="E22" i="2" s="1"/>
  <c r="F22" i="2" s="1"/>
  <c r="H22" i="2" s="1"/>
  <c r="F40" i="5"/>
  <c r="G40" i="5" s="1"/>
  <c r="E18" i="2" s="1"/>
  <c r="F18" i="2" s="1"/>
  <c r="H18" i="2" s="1"/>
  <c r="F42" i="5"/>
  <c r="G42" i="5" s="1"/>
  <c r="E20" i="2" s="1"/>
  <c r="F20" i="2" s="1"/>
  <c r="H20" i="2" s="1"/>
  <c r="F39" i="5"/>
  <c r="G39" i="5" s="1"/>
  <c r="E17" i="2" s="1"/>
  <c r="F17" i="2" s="1"/>
  <c r="H17" i="2" s="1"/>
  <c r="F45" i="5"/>
  <c r="G45" i="5" s="1"/>
  <c r="E23" i="2" s="1"/>
  <c r="F23" i="2" s="1"/>
  <c r="H23" i="2" s="1"/>
  <c r="F36" i="5"/>
  <c r="G36" i="5" s="1"/>
  <c r="E14" i="2" s="1"/>
  <c r="F14" i="2" s="1"/>
  <c r="F41" i="5"/>
  <c r="G41" i="5" s="1"/>
  <c r="E19" i="2" s="1"/>
  <c r="F19" i="2" s="1"/>
  <c r="H19" i="2" s="1"/>
  <c r="H14" i="2" l="1"/>
  <c r="F26" i="2"/>
  <c r="H26" i="2" s="1"/>
  <c r="D19" i="1" s="1"/>
  <c r="D23" i="1" l="1"/>
  <c r="F23" i="1" s="1"/>
  <c r="H23" i="1" s="1"/>
  <c r="D22" i="1"/>
  <c r="F22" i="1" s="1"/>
  <c r="H22" i="1" s="1"/>
  <c r="D21" i="1"/>
  <c r="F21" i="1" s="1"/>
  <c r="H21" i="1" s="1"/>
  <c r="D26" i="1"/>
  <c r="F26" i="1" s="1"/>
  <c r="H26" i="1" s="1"/>
  <c r="D24" i="1"/>
  <c r="F24" i="1" s="1"/>
  <c r="H24" i="1" s="1"/>
  <c r="D15" i="1"/>
  <c r="F15" i="1" s="1"/>
  <c r="H15" i="1" s="1"/>
  <c r="F19" i="1"/>
  <c r="H19" i="1" s="1"/>
  <c r="L7" i="25" l="1"/>
  <c r="K1" i="50"/>
  <c r="R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B64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10 Non-Hurricane Years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  <author>xli</author>
    <author>jmurphy</author>
  </authors>
  <commentList>
    <comment ref="L32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Jim Murphy:
Total of actual TWIA / Industry EP from ISO data for all available years</t>
        </r>
      </text>
    </comment>
    <comment ref="G39" authorId="1" shapeId="0" xr:uid="{00000000-0006-0000-1500-000002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jmurphy:
subtract litigation related costs</t>
        </r>
      </text>
    </comment>
    <comment ref="L43" authorId="2" shapeId="0" xr:uid="{00000000-0006-0000-1500-000003000000}">
      <text>
        <r>
          <rPr>
            <b/>
            <sz val="8"/>
            <color indexed="81"/>
            <rFont val="Tahoma"/>
            <family val="2"/>
          </rPr>
          <t>jmurphy:</t>
        </r>
        <r>
          <rPr>
            <sz val="8"/>
            <color indexed="81"/>
            <rFont val="Tahoma"/>
            <family val="2"/>
          </rPr>
          <t xml:space="preserve">
from Ike Dolly Lit Reduction spreadsheet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6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7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8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8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  <author>Jim Murphy</author>
    <author>tc={327F9B74-17C9-488E-9AEE-D425FF8B5D2F}</author>
  </authors>
  <commentList>
    <comment ref="F26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Xiu: total other UW exp + Aggregate Write in + Invest Exp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08E59AE1-4564-4930-AA4B-75762D7A26ED}">
      <text>
        <r>
          <rPr>
            <b/>
            <sz val="9"/>
            <color indexed="81"/>
            <rFont val="Tahoma"/>
            <family val="2"/>
          </rPr>
          <t>Jim Murphy:</t>
        </r>
        <r>
          <rPr>
            <sz val="9"/>
            <color indexed="81"/>
            <rFont val="Tahoma"/>
            <family val="2"/>
          </rPr>
          <t xml:space="preserve">
changed back to written premium due to majority of expenses incurred at policy issuance</t>
        </r>
      </text>
    </comment>
    <comment ref="H32" authorId="2" shapeId="0" xr:uid="{327F9B74-17C9-488E-9AEE-D425FF8B5D2F}">
      <text>
        <t>[Threaded comment]
Your version of Excel allows you to read this threaded comment; however, any edits to it will get removed if the file is opened in a newer version of Excel. Learn more: https://go.microsoft.com/fwlink/?linkid=870924
Comment:
    50% weight to budget given growth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D10" authorId="0" shapeId="0" xr:uid="{C6CE62A4-DB9D-4276-9F2C-09C8CEE42D41}">
      <text>
        <r>
          <rPr>
            <b/>
            <sz val="8"/>
            <color indexed="81"/>
            <rFont val="Tahoma"/>
            <family val="2"/>
          </rPr>
          <t xml:space="preserve">
net of commission and broker discount, depop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F11" authorId="0" shapeId="0" xr:uid="{00000000-0006-0000-2300-000001000000}">
      <text>
        <r>
          <rPr>
            <b/>
            <sz val="8"/>
            <color indexed="81"/>
            <rFont val="Tahoma"/>
            <family val="2"/>
          </rPr>
          <t>Twia Admin:</t>
        </r>
        <r>
          <rPr>
            <sz val="8"/>
            <color indexed="81"/>
            <rFont val="Tahoma"/>
            <family val="2"/>
          </rPr>
          <t xml:space="preserve">
only loss; no adjustment expenses</t>
        </r>
      </text>
    </comment>
  </commentList>
</comments>
</file>

<file path=xl/sharedStrings.xml><?xml version="1.0" encoding="utf-8"?>
<sst xmlns="http://schemas.openxmlformats.org/spreadsheetml/2006/main" count="1365" uniqueCount="557">
  <si>
    <t>Texas Windstorm Insurance Association</t>
  </si>
  <si>
    <t>Rate Level Review</t>
  </si>
  <si>
    <t>Summary of Indicated Rate Change</t>
  </si>
  <si>
    <t>By Method for Projecting Hurricane Loss &amp; LAE</t>
  </si>
  <si>
    <t>Hurricane</t>
  </si>
  <si>
    <t>Indicated Loss &amp; LAE Ratio</t>
  </si>
  <si>
    <t>Non-Hurricane</t>
  </si>
  <si>
    <t>Total</t>
  </si>
  <si>
    <t>Permissible</t>
  </si>
  <si>
    <t>Loss &amp; LAE</t>
  </si>
  <si>
    <t>Ratio</t>
  </si>
  <si>
    <t>Indicated</t>
  </si>
  <si>
    <t>Rate</t>
  </si>
  <si>
    <t>Change</t>
  </si>
  <si>
    <t>A</t>
  </si>
  <si>
    <t>B</t>
  </si>
  <si>
    <t>Hurricane Projection Method</t>
  </si>
  <si>
    <t>Notes:</t>
  </si>
  <si>
    <t>Projected Ultimate Non-Hurricane Loss &amp; LAE Ratio</t>
  </si>
  <si>
    <t>Exhibit 2</t>
  </si>
  <si>
    <t>Sheet 1</t>
  </si>
  <si>
    <t>Tier 2</t>
  </si>
  <si>
    <t>Amount</t>
  </si>
  <si>
    <t>Loss &amp; LAE Ratio</t>
  </si>
  <si>
    <t>Total / Average</t>
  </si>
  <si>
    <t>Tier 1 -- Territory 8 (Galveston County)</t>
  </si>
  <si>
    <t>Ending</t>
  </si>
  <si>
    <t>Ultimate</t>
  </si>
  <si>
    <t>LAE</t>
  </si>
  <si>
    <t>Factor</t>
  </si>
  <si>
    <t>Net</t>
  </si>
  <si>
    <t>Trend</t>
  </si>
  <si>
    <t>Projected</t>
  </si>
  <si>
    <t>Loss</t>
  </si>
  <si>
    <t>at Current</t>
  </si>
  <si>
    <t>TWIA Rate Level</t>
  </si>
  <si>
    <t>Earned Premium</t>
  </si>
  <si>
    <t>Tier 1 -- Territory 9 (Nueces County)</t>
  </si>
  <si>
    <t>Tier 1 -- Territory 10 (Other Tier 1)</t>
  </si>
  <si>
    <t>Projected Ultimate Non-Hurricane Loss</t>
  </si>
  <si>
    <t>Accident</t>
  </si>
  <si>
    <t>Year</t>
  </si>
  <si>
    <t>Paid Loss</t>
  </si>
  <si>
    <t>Development</t>
  </si>
  <si>
    <t>Paid Loss Excluding Expense</t>
  </si>
  <si>
    <t>Exhibit 3</t>
  </si>
  <si>
    <t>Average</t>
  </si>
  <si>
    <t>Selected</t>
  </si>
  <si>
    <t>Cumulative</t>
  </si>
  <si>
    <t>Exhibit 4</t>
  </si>
  <si>
    <t>LAE to</t>
  </si>
  <si>
    <t>Loss Ratio</t>
  </si>
  <si>
    <t>Indicator</t>
  </si>
  <si>
    <t>H</t>
  </si>
  <si>
    <t>Hurricane Years Total</t>
  </si>
  <si>
    <t>All Years Total</t>
  </si>
  <si>
    <t>Non-Hurricane Years</t>
  </si>
  <si>
    <t>10 Year</t>
  </si>
  <si>
    <t>Sheet 2</t>
  </si>
  <si>
    <t>Incurred</t>
  </si>
  <si>
    <t>Sheet 3</t>
  </si>
  <si>
    <t>Sheet 4</t>
  </si>
  <si>
    <t>Sheet 5</t>
  </si>
  <si>
    <t>Summary of Indicated Hurricane Loss &amp; LAE Ratios</t>
  </si>
  <si>
    <t>Exhibit 5</t>
  </si>
  <si>
    <t>Basis for Hurricane Loss Ratio</t>
  </si>
  <si>
    <t>Hurricane Models</t>
  </si>
  <si>
    <t>Average of Models</t>
  </si>
  <si>
    <t>Exhibit 6</t>
  </si>
  <si>
    <t>(10)</t>
  </si>
  <si>
    <t>Start</t>
  </si>
  <si>
    <t>End</t>
  </si>
  <si>
    <t>Losses</t>
  </si>
  <si>
    <t>(5)</t>
  </si>
  <si>
    <t>(9)</t>
  </si>
  <si>
    <t>(8)</t>
  </si>
  <si>
    <t>(7)</t>
  </si>
  <si>
    <t>(6)</t>
  </si>
  <si>
    <t>Selected Non-Hurricane Loss Ratio</t>
  </si>
  <si>
    <t>Earned</t>
  </si>
  <si>
    <t>Premium</t>
  </si>
  <si>
    <t>Average of Non-Hurricane Years</t>
  </si>
  <si>
    <t>Average of Non-Hurricane Years Excluding 1991</t>
  </si>
  <si>
    <t>Territory 8</t>
  </si>
  <si>
    <t>Territory 9</t>
  </si>
  <si>
    <t>Territory 10</t>
  </si>
  <si>
    <t>Weighted</t>
  </si>
  <si>
    <t>Loss Ratios by Territory / Tier</t>
  </si>
  <si>
    <t>% Share</t>
  </si>
  <si>
    <t>Rate Level</t>
  </si>
  <si>
    <t>Sheet 6</t>
  </si>
  <si>
    <t>Sheet 7</t>
  </si>
  <si>
    <t>(4)</t>
  </si>
  <si>
    <t>County</t>
  </si>
  <si>
    <t>TWIA Insured</t>
  </si>
  <si>
    <t>Values (000s)</t>
  </si>
  <si>
    <t>Modeled</t>
  </si>
  <si>
    <t>Loss Cost</t>
  </si>
  <si>
    <t>Hurricane Loss</t>
  </si>
  <si>
    <t>Expected Annual</t>
  </si>
  <si>
    <t>Indicated Hurricane Loss Ratio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</si>
  <si>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</si>
  <si>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</si>
  <si>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</si>
  <si>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</si>
  <si>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</si>
  <si>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</si>
  <si>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</si>
  <si>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</si>
  <si>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</si>
  <si>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</si>
  <si>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</si>
  <si>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</si>
  <si>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</si>
  <si>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</si>
  <si>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</si>
  <si>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Insured Values as of</t>
  </si>
  <si>
    <t>Annual</t>
  </si>
  <si>
    <t>Exhibit 8</t>
  </si>
  <si>
    <t>Exhibit 9</t>
  </si>
  <si>
    <t>Hurricane Loss Ratio -- RMS Model</t>
  </si>
  <si>
    <t>Exhibit 10</t>
  </si>
  <si>
    <t>Date</t>
  </si>
  <si>
    <t>Name</t>
  </si>
  <si>
    <t>Audrey</t>
  </si>
  <si>
    <t>Debra</t>
  </si>
  <si>
    <t>Carla</t>
  </si>
  <si>
    <t>Cindy</t>
  </si>
  <si>
    <t>Celia</t>
  </si>
  <si>
    <t>Fern</t>
  </si>
  <si>
    <t>Allen</t>
  </si>
  <si>
    <t>Alicia</t>
  </si>
  <si>
    <t>Bonnie</t>
  </si>
  <si>
    <t>Chantal</t>
  </si>
  <si>
    <t>Jerry</t>
  </si>
  <si>
    <t>Frequency</t>
  </si>
  <si>
    <t>Date Period</t>
  </si>
  <si>
    <t>Hurricanes</t>
  </si>
  <si>
    <t>Annual Frequency</t>
  </si>
  <si>
    <t>Exhibit 11</t>
  </si>
  <si>
    <t>Expense Category</t>
  </si>
  <si>
    <t>(1)</t>
  </si>
  <si>
    <t>(2)</t>
  </si>
  <si>
    <t>(3)</t>
  </si>
  <si>
    <t>Direct Earned Premium</t>
  </si>
  <si>
    <t>Direct Written Premium</t>
  </si>
  <si>
    <t>Commission</t>
  </si>
  <si>
    <t>$ Amount</t>
  </si>
  <si>
    <t>% of DWP</t>
  </si>
  <si>
    <t>Other Acquisition</t>
  </si>
  <si>
    <t>General Expense</t>
  </si>
  <si>
    <t>Unadjusted $ Amount</t>
  </si>
  <si>
    <t>Adjustments</t>
  </si>
  <si>
    <t>Contribution to Statutory Fund</t>
  </si>
  <si>
    <t>Adjusted $ Amount</t>
  </si>
  <si>
    <t>Taxes, Licenses &amp; Fees</t>
  </si>
  <si>
    <t>Reinsurance Expense</t>
  </si>
  <si>
    <t>(11)</t>
  </si>
  <si>
    <t>Reconciliation of Premium Data to Annual Statement</t>
  </si>
  <si>
    <t>Calendar</t>
  </si>
  <si>
    <t>TWIA Provided Written Premium</t>
  </si>
  <si>
    <t>Commercial</t>
  </si>
  <si>
    <t>Residential</t>
  </si>
  <si>
    <t>Written Premium</t>
  </si>
  <si>
    <t>Statement Gross</t>
  </si>
  <si>
    <t>Difference</t>
  </si>
  <si>
    <t>Commercial Property - Wind &amp; Hail</t>
  </si>
  <si>
    <t>Reconciliation of Paid Loss Data to Schedule P</t>
  </si>
  <si>
    <t>TWIA Provided Paid Loss</t>
  </si>
  <si>
    <t>Schedule P</t>
  </si>
  <si>
    <t>Direct &amp; Assumed</t>
  </si>
  <si>
    <t>&amp; Farm</t>
  </si>
  <si>
    <t>History of Rate Level Changes</t>
  </si>
  <si>
    <t>Effective</t>
  </si>
  <si>
    <t>Prior</t>
  </si>
  <si>
    <t>8/1/80</t>
  </si>
  <si>
    <t>9/1/81</t>
  </si>
  <si>
    <t>9/1/82</t>
  </si>
  <si>
    <t>10/10/83</t>
  </si>
  <si>
    <t>3/1/85</t>
  </si>
  <si>
    <t>3/15/85</t>
  </si>
  <si>
    <t>11/15/85</t>
  </si>
  <si>
    <t>7/1/87</t>
  </si>
  <si>
    <t>11/1/88</t>
  </si>
  <si>
    <t>3/1/90</t>
  </si>
  <si>
    <t>4/1/91</t>
  </si>
  <si>
    <t>1/1/92</t>
  </si>
  <si>
    <t>10/1/93</t>
  </si>
  <si>
    <t>1/1/98</t>
  </si>
  <si>
    <t>1/1/00</t>
  </si>
  <si>
    <t>1/1/01</t>
  </si>
  <si>
    <t>1/1/02</t>
  </si>
  <si>
    <t>Calculation of On-Level Premium Factors</t>
  </si>
  <si>
    <t>Current</t>
  </si>
  <si>
    <t>Applicable Rates</t>
  </si>
  <si>
    <t>Rate Level in Effect</t>
  </si>
  <si>
    <t>B.O.Y.</t>
  </si>
  <si>
    <t>E.O.Y.</t>
  </si>
  <si>
    <t>Cumulative Rate Level</t>
  </si>
  <si>
    <t># Months</t>
  </si>
  <si>
    <t>Level</t>
  </si>
  <si>
    <t>Factor to</t>
  </si>
  <si>
    <t>Calculation of Earned Premium at Present Rate Level</t>
  </si>
  <si>
    <t>TWIA</t>
  </si>
  <si>
    <t>Written</t>
  </si>
  <si>
    <t>Industry Experience -- Commercial Extended Coverage</t>
  </si>
  <si>
    <t>at 1992 MR</t>
  </si>
  <si>
    <t>TWIA Factor</t>
  </si>
  <si>
    <t>to Current</t>
  </si>
  <si>
    <t>Premium at</t>
  </si>
  <si>
    <t>Current Rates</t>
  </si>
  <si>
    <t>TWIA premium as % of industry</t>
  </si>
  <si>
    <t>CY Data Ending</t>
  </si>
  <si>
    <t>Latest Annual Statement Date</t>
  </si>
  <si>
    <t>CAY Ending</t>
  </si>
  <si>
    <t>Evaluated as of</t>
  </si>
  <si>
    <t>TDI</t>
  </si>
  <si>
    <t>ISO</t>
  </si>
  <si>
    <t>at 1992 CMR</t>
  </si>
  <si>
    <t>1/1/03</t>
  </si>
  <si>
    <t>Calculation of On-Level Factors</t>
  </si>
  <si>
    <t>Rate Change</t>
  </si>
  <si>
    <t>RC + 1</t>
  </si>
  <si>
    <t>OLF</t>
  </si>
  <si>
    <t>Average OLF</t>
  </si>
  <si>
    <t>Fixed</t>
  </si>
  <si>
    <t>Expenses</t>
  </si>
  <si>
    <t>LLAE Ratio</t>
  </si>
  <si>
    <t>Total Fixed Expenses</t>
  </si>
  <si>
    <t>Total Variable Expenses</t>
  </si>
  <si>
    <t>In-Force</t>
  </si>
  <si>
    <t>Trend Length</t>
  </si>
  <si>
    <t>Selected Premium Trend</t>
  </si>
  <si>
    <t>Prospective</t>
  </si>
  <si>
    <t>Premium Trend Analysis</t>
  </si>
  <si>
    <t>Year /</t>
  </si>
  <si>
    <t>Period</t>
  </si>
  <si>
    <t>Quarter</t>
  </si>
  <si>
    <t>Index</t>
  </si>
  <si>
    <t>(15)</t>
  </si>
  <si>
    <t>Loss Trend Analysis</t>
  </si>
  <si>
    <t>Summary of Indices and Calculation of Prospective Loss Costs</t>
  </si>
  <si>
    <t>Statewide</t>
  </si>
  <si>
    <t>Coastal</t>
  </si>
  <si>
    <t>Modified</t>
  </si>
  <si>
    <t>Weights</t>
  </si>
  <si>
    <t>Boeckh</t>
  </si>
  <si>
    <t>CPI</t>
  </si>
  <si>
    <t>MCPI</t>
  </si>
  <si>
    <t>Factors to Adjust For Prospective Loss Costs</t>
  </si>
  <si>
    <t>Fitted Trend</t>
  </si>
  <si>
    <t>Average Accident Date</t>
  </si>
  <si>
    <t>Cost Factor</t>
  </si>
  <si>
    <t>CY Ending</t>
  </si>
  <si>
    <t>Texas</t>
  </si>
  <si>
    <t>Fitted Trends</t>
  </si>
  <si>
    <t>All Years</t>
  </si>
  <si>
    <t>5 Years</t>
  </si>
  <si>
    <t>4 Years</t>
  </si>
  <si>
    <t>3 Years</t>
  </si>
  <si>
    <t>Linear</t>
  </si>
  <si>
    <t>Exponential</t>
  </si>
  <si>
    <t>Annual Trend</t>
  </si>
  <si>
    <t>R-Squared</t>
  </si>
  <si>
    <t>Modified Consumer Price Index - External Trend</t>
  </si>
  <si>
    <t>Payments</t>
  </si>
  <si>
    <t>IBNR</t>
  </si>
  <si>
    <t>Case Resv</t>
  </si>
  <si>
    <t>1/1/04</t>
  </si>
  <si>
    <t>Calculation of Net Trend Factors</t>
  </si>
  <si>
    <t>Current Average Earned Date</t>
  </si>
  <si>
    <t>Current Average Accident Date</t>
  </si>
  <si>
    <t>Prospective Average Earned / Accident Date</t>
  </si>
  <si>
    <t>Premium Trend Length</t>
  </si>
  <si>
    <t>Loss Trend Length</t>
  </si>
  <si>
    <t>(12)</t>
  </si>
  <si>
    <t>(13)</t>
  </si>
  <si>
    <t>(14)</t>
  </si>
  <si>
    <t>Claudette</t>
  </si>
  <si>
    <t>1/1/05</t>
  </si>
  <si>
    <t>Boeckh Commercial Construction Index Trend (Coastal)</t>
  </si>
  <si>
    <t>Boeckh Commercial Construction Index Trend (Statewide)</t>
  </si>
  <si>
    <t xml:space="preserve"> </t>
  </si>
  <si>
    <t>Historical Hurricane Frequency</t>
  </si>
  <si>
    <t>Industry Experience</t>
  </si>
  <si>
    <t>Using Actual Industry Experience</t>
  </si>
  <si>
    <t>5-Year</t>
  </si>
  <si>
    <t>4-Year</t>
  </si>
  <si>
    <t>3-Year</t>
  </si>
  <si>
    <t>Selected Loss Trend</t>
  </si>
  <si>
    <t>1/1/06</t>
  </si>
  <si>
    <t>Rita</t>
  </si>
  <si>
    <t>2005</t>
  </si>
  <si>
    <t>at Present Rates</t>
  </si>
  <si>
    <t>Exponential Fitted Trends</t>
  </si>
  <si>
    <t>All-Year</t>
  </si>
  <si>
    <t>Average Annual Change</t>
  </si>
  <si>
    <t>Correlation Coefficient</t>
  </si>
  <si>
    <t>(16)</t>
  </si>
  <si>
    <t>9/1/06</t>
  </si>
  <si>
    <t>1/1/07</t>
  </si>
  <si>
    <t>C</t>
  </si>
  <si>
    <t>D</t>
  </si>
  <si>
    <t>E</t>
  </si>
  <si>
    <t>F</t>
  </si>
  <si>
    <t>G</t>
  </si>
  <si>
    <t>I</t>
  </si>
  <si>
    <t>J</t>
  </si>
  <si>
    <t>K</t>
  </si>
  <si>
    <t>Avg Cuml</t>
  </si>
  <si>
    <t>Month</t>
  </si>
  <si>
    <t>Landfall</t>
  </si>
  <si>
    <t>Jun</t>
  </si>
  <si>
    <t>Sep</t>
  </si>
  <si>
    <t>Jul</t>
  </si>
  <si>
    <t>Oct</t>
  </si>
  <si>
    <t>Aug</t>
  </si>
  <si>
    <t>“Matagorda”</t>
  </si>
  <si>
    <t>“Sabine River-Lake Calcasieu”</t>
  </si>
  <si>
    <t>“Galveston”</t>
  </si>
  <si>
    <t>“Lower Texas Coast"</t>
  </si>
  <si>
    <t>“Indianola”</t>
  </si>
  <si>
    <t>“Velasco”</t>
  </si>
  <si>
    <t>“Freeport”</t>
  </si>
  <si>
    <t>Beulah</t>
  </si>
  <si>
    <t>Bret</t>
  </si>
  <si>
    <t>Factors</t>
  </si>
  <si>
    <t>Exhibit 7</t>
  </si>
  <si>
    <t>Humberto</t>
  </si>
  <si>
    <t>2/1/08</t>
  </si>
  <si>
    <t xml:space="preserve">              For each year except 1985, 2006, and 2008 the B.O.Y. and E.O.Y. rates are the only rates applicable</t>
  </si>
  <si>
    <t xml:space="preserve">              For 2008, the rate change took effect mid-year</t>
  </si>
  <si>
    <t>Tier 2 (Territories 1 and 11)</t>
  </si>
  <si>
    <t>L</t>
  </si>
  <si>
    <t>2007</t>
  </si>
  <si>
    <t>2/1/09</t>
  </si>
  <si>
    <t>Dolly</t>
  </si>
  <si>
    <t>Ike</t>
  </si>
  <si>
    <t>M</t>
  </si>
  <si>
    <t>2008</t>
  </si>
  <si>
    <t>Using Experience and Models</t>
  </si>
  <si>
    <t>Development of Reinsurer Expense</t>
  </si>
  <si>
    <t>Reinsurance Contract</t>
  </si>
  <si>
    <t>Expiring</t>
  </si>
  <si>
    <t>(2a)</t>
  </si>
  <si>
    <t>Hurricane Model</t>
  </si>
  <si>
    <t>(2b)</t>
  </si>
  <si>
    <t>Average Annual Loss by Reinsurance Layer (RMS)</t>
  </si>
  <si>
    <t>(2c)</t>
  </si>
  <si>
    <t>Selected Total Average Annual Loss</t>
  </si>
  <si>
    <t>Net Cost of Reinsurance</t>
  </si>
  <si>
    <t>Indicated Reinsurance Expense %</t>
  </si>
  <si>
    <t>1/1/11</t>
  </si>
  <si>
    <t>N</t>
  </si>
  <si>
    <t>1/1/12</t>
  </si>
  <si>
    <t>1/1/13</t>
  </si>
  <si>
    <t>2006</t>
  </si>
  <si>
    <t>2009</t>
  </si>
  <si>
    <t>2010</t>
  </si>
  <si>
    <t>O</t>
  </si>
  <si>
    <t>P</t>
  </si>
  <si>
    <t>2011</t>
  </si>
  <si>
    <t>1/1/14</t>
  </si>
  <si>
    <t>Q</t>
  </si>
  <si>
    <t>R</t>
  </si>
  <si>
    <t>Deducted Litigation Costs</t>
  </si>
  <si>
    <t>Notes: premium trend derived above include impact from exposure change, deductible change, policy limits change, and etc.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</si>
  <si>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</si>
  <si>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</si>
  <si>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</si>
  <si>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</si>
  <si>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</si>
  <si>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</si>
  <si>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</si>
  <si>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</si>
  <si>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</si>
  <si>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</si>
  <si>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</si>
  <si>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</si>
  <si>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2012</t>
  </si>
  <si>
    <t>2013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</si>
  <si>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</si>
  <si>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</si>
  <si>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</si>
  <si>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</si>
  <si>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</si>
  <si>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</si>
  <si>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</si>
  <si>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</si>
  <si>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</si>
  <si>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</si>
  <si>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1/1/15</t>
  </si>
  <si>
    <t>S</t>
  </si>
  <si>
    <t>1/1/16</t>
  </si>
  <si>
    <t>Overall Indication</t>
  </si>
  <si>
    <t>Harvey</t>
  </si>
  <si>
    <t>Outstanding Class 1 Public Security Repayment</t>
  </si>
  <si>
    <t>CRTF Contribution &amp; UW Contingency &amp; Uncertainty</t>
  </si>
  <si>
    <t>T</t>
  </si>
  <si>
    <t>1/1/17</t>
  </si>
  <si>
    <t>1/1/18</t>
  </si>
  <si>
    <t>2014</t>
  </si>
  <si>
    <t>2015</t>
  </si>
  <si>
    <t>2016</t>
  </si>
  <si>
    <t>2017</t>
  </si>
  <si>
    <t>(9) = (5) + (7) + (8)</t>
  </si>
  <si>
    <t>Exposure</t>
  </si>
  <si>
    <t>Quarterly</t>
  </si>
  <si>
    <t>LAE loading</t>
  </si>
  <si>
    <t>Number of Hurricanes</t>
  </si>
  <si>
    <t>During the Year</t>
  </si>
  <si>
    <t>Average Hurricane Loss Ratio Per Hurricane</t>
  </si>
  <si>
    <t>Hurricane Year</t>
  </si>
  <si>
    <t>Per Hurricane</t>
  </si>
  <si>
    <t>Simple Average Loss Ratio Per Hurricane Year</t>
  </si>
  <si>
    <t>Permissible Loss, LAE, and Fixed Expense Ratio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</si>
  <si>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</si>
  <si>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</si>
  <si>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</si>
  <si>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</si>
  <si>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</si>
  <si>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</si>
  <si>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</si>
  <si>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</si>
  <si>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</si>
  <si>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</si>
  <si>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</si>
  <si>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</si>
  <si>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</si>
  <si>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</si>
  <si>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</si>
  <si>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Premium Surcharge</t>
  </si>
  <si>
    <t>surcharge removed</t>
  </si>
  <si>
    <t>Table of Contents</t>
  </si>
  <si>
    <t>Main Heading</t>
  </si>
  <si>
    <t xml:space="preserve">Exhibit </t>
  </si>
  <si>
    <t>Sheet</t>
  </si>
  <si>
    <t>Industry experience is for EC, where wind and hail related loss is predominant</t>
  </si>
  <si>
    <t>UW &amp; Investment Exhibit - part 3</t>
  </si>
  <si>
    <t>line 24, col 2</t>
  </si>
  <si>
    <t>line 24, col 3</t>
  </si>
  <si>
    <t>AJ</t>
  </si>
  <si>
    <t>Hanna</t>
  </si>
  <si>
    <t>Laura</t>
  </si>
  <si>
    <t>Delta</t>
  </si>
  <si>
    <t>Combined</t>
  </si>
  <si>
    <t>Update columns (2), (3), and (4)</t>
  </si>
  <si>
    <t>x</t>
  </si>
  <si>
    <t>Update column (2)</t>
  </si>
  <si>
    <t>Update Cell N8</t>
  </si>
  <si>
    <t>Nicholas</t>
  </si>
  <si>
    <t>update the link and indices</t>
  </si>
  <si>
    <t>Add most recent year</t>
  </si>
  <si>
    <t>Update the total row</t>
  </si>
  <si>
    <t>Update the table for latest rate change</t>
  </si>
  <si>
    <t>Update column F for latest year's data</t>
  </si>
  <si>
    <t>Update column R's data</t>
  </si>
  <si>
    <t>Add latest year's rate change.</t>
  </si>
  <si>
    <t>Include latest calendar year and copy and paste formulas for new row</t>
  </si>
  <si>
    <t>Add new hurricanes, if any</t>
  </si>
  <si>
    <t>Update hurricane count formula</t>
  </si>
  <si>
    <t>Add new row to include latest accident year</t>
  </si>
  <si>
    <t>Include hurricane indicator if applicable</t>
  </si>
  <si>
    <t>Update total row to include latest row</t>
  </si>
  <si>
    <t>Update column (6)'s indices</t>
  </si>
  <si>
    <t>Update Debt Service</t>
  </si>
  <si>
    <t>Update EPPR</t>
  </si>
  <si>
    <t>Update print area</t>
  </si>
  <si>
    <t>Update Average Earned Date</t>
  </si>
  <si>
    <t>Update Average Accident Date</t>
  </si>
  <si>
    <t>Update latest year referred in the footnotes</t>
  </si>
  <si>
    <t>Average of All Models</t>
  </si>
  <si>
    <t>AK</t>
  </si>
  <si>
    <t>Add new row for latest accident year</t>
  </si>
  <si>
    <t>Update on-level factor column (4)</t>
  </si>
  <si>
    <t>Update total row</t>
  </si>
  <si>
    <t>Update total row to include latest accident year</t>
  </si>
  <si>
    <t>Update average row to include latest accident year</t>
  </si>
  <si>
    <t>Update row (8) to latest year</t>
  </si>
  <si>
    <t>Update column (7) with latest LRs from page 2.2</t>
  </si>
  <si>
    <t>Update total/average row to include latest accident year</t>
  </si>
  <si>
    <t>Add latest accident year, if applicable</t>
  </si>
  <si>
    <t>Update average for non-hurricane years</t>
  </si>
  <si>
    <t>Update average for hurricane years</t>
  </si>
  <si>
    <t>Update formula for (6)</t>
  </si>
  <si>
    <t>Update litigation cost reduction</t>
  </si>
  <si>
    <t>Update links to external files</t>
  </si>
  <si>
    <t>Copied from accounting or previous analysis</t>
  </si>
  <si>
    <t>Tentative, will be updated when available</t>
  </si>
  <si>
    <t>RMS</t>
  </si>
  <si>
    <t>Hurricane Loss Ratio -- CoreLogic RQE Model</t>
  </si>
  <si>
    <t>Impact Forecasting</t>
  </si>
  <si>
    <t>Hurricane Loss Ratio -- Impact Forecasting Model</t>
  </si>
  <si>
    <t>Update N52</t>
  </si>
  <si>
    <t>Indicated Rate Change</t>
  </si>
  <si>
    <t>Indicated Premium Trend</t>
  </si>
  <si>
    <t>COMPLETE</t>
  </si>
  <si>
    <t>Hurricane Loss Ratio -- Verisk (AIR) Model</t>
  </si>
  <si>
    <t>update formula for (5)</t>
  </si>
  <si>
    <t>update combined reinsurance premium</t>
  </si>
  <si>
    <t>update AALs</t>
  </si>
  <si>
    <t>update dates</t>
  </si>
  <si>
    <t>update exposure trend</t>
  </si>
  <si>
    <t>update link for EPPR for residential and commercial to latest year</t>
  </si>
  <si>
    <t>Using Average of Verisk and  RMS Hurricane Models</t>
  </si>
  <si>
    <t>Average Annual Loss by Reinsurance Layer (Verisk)</t>
  </si>
  <si>
    <t>Verisk</t>
  </si>
  <si>
    <t>line 19, col 2</t>
  </si>
  <si>
    <t>(8) Outstanding principal paid off in 2023</t>
  </si>
  <si>
    <t>100% of $4050M XS $2450M</t>
  </si>
  <si>
    <t>AL</t>
  </si>
  <si>
    <t>AM</t>
  </si>
  <si>
    <t>AN</t>
  </si>
  <si>
    <t>Losses at 12/31/2023</t>
  </si>
  <si>
    <t>DCC at 12/31/2023</t>
  </si>
  <si>
    <t>AOO at 12/31/2023</t>
  </si>
  <si>
    <t>Ultimate Loss</t>
  </si>
  <si>
    <t>Implied</t>
  </si>
  <si>
    <t>2024 Rate Level Review</t>
  </si>
  <si>
    <t>Ult /  Incurred</t>
  </si>
  <si>
    <t>(7) = (6) * implied loss development factors from annual statement</t>
  </si>
  <si>
    <t>Expenses and Permissible Loss &amp; LAE Ratios</t>
  </si>
  <si>
    <t>Model Version: Verisk Touchstone 10.0 Tropical Cyclone (TC) and Severe Thunderstorm (ST)</t>
  </si>
  <si>
    <t>Model Version: RMS RiskLink 23.0 Windstorm/Hurricane and Convective Storm (WS/CS)</t>
  </si>
  <si>
    <t>Model Version: Impact Forecasting ELEMENTS 18.0 Atlantic Tropical Cyclone and Severe Convective Storm</t>
  </si>
  <si>
    <t>Model Version: CoreLogic Risk Quantification &amp; Engineering (RQE) v23 North Atlantic Hurricane (HU) and Severe Convective Storm (SCS)</t>
  </si>
  <si>
    <t>Sheet 2a</t>
  </si>
  <si>
    <t>Sheet 2b</t>
  </si>
  <si>
    <t>Sheet 2c</t>
  </si>
  <si>
    <t>Sheet 2d</t>
  </si>
  <si>
    <t>3.2a</t>
  </si>
  <si>
    <t>3.2b</t>
  </si>
  <si>
    <t>3.2c</t>
  </si>
  <si>
    <t>3.2d</t>
  </si>
  <si>
    <t>Sub-Heading</t>
  </si>
  <si>
    <t>Non-Hurricane Loss Ratio</t>
  </si>
  <si>
    <t>Summary by Territory</t>
  </si>
  <si>
    <t xml:space="preserve">Calendar </t>
  </si>
  <si>
    <t>Tab Label</t>
  </si>
  <si>
    <t>CoreLogic RQE</t>
  </si>
  <si>
    <t>At Present Rates</t>
  </si>
  <si>
    <t>Update Prospective Average Earned  / Accident Date</t>
  </si>
  <si>
    <t>Developed Weighted</t>
  </si>
  <si>
    <t>84 manual rate change</t>
  </si>
  <si>
    <t>Exhibit of Premium and Loss</t>
  </si>
  <si>
    <t>(4) = MAX [(3)-(5),0]/(2)</t>
  </si>
  <si>
    <t>All Territories Combined</t>
  </si>
  <si>
    <t>Exhibit 1</t>
  </si>
  <si>
    <t>TWIA Commercial Written Premium at Present Rates (WPPR)</t>
  </si>
  <si>
    <t>WPPR</t>
  </si>
  <si>
    <t>Annualized</t>
  </si>
  <si>
    <t>On-Level</t>
  </si>
  <si>
    <t>(7) Four-quarter rolling average written premium</t>
  </si>
  <si>
    <t>(6) = (5) / (2). WPPR = Written Premium at Present Rates</t>
  </si>
  <si>
    <t>Development of LAE Factor Using TWIA Commercial + Residential Experience</t>
  </si>
  <si>
    <t>July</t>
  </si>
  <si>
    <t xml:space="preserve">              For 1985 and 2006, there were additional rate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</si>
</sst>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0.0%"/>
    <numFmt numFmtId="165" formatCode="\+0%;\-0%;0%"/>
    <numFmt numFmtId="166" formatCode="0.000"/>
    <numFmt numFmtId="167" formatCode="#,##0.000"/>
    <numFmt numFmtId="168" formatCode="0.0000"/>
    <numFmt numFmtId="169" formatCode="&quot;$&quot;#,##0"/>
    <numFmt numFmtId="170" formatCode="_(* #,##0_);_(* \(#,##0\);_(* &quot;-&quot;??_);_(@_)"/>
    <numFmt numFmtId="171" formatCode="0.0"/>
    <numFmt numFmtId="172" formatCode="_(&quot;$&quot;* #,##0.00_);_(&quot;$&quot;* \(#,##0.00\);_(&quot;$&quot;* &quot;0.00&quot;_);_(@_)"/>
    <numFmt numFmtId="173" formatCode="_(* #,##0.00_);_(* \(#,##0.00\);_(* &quot;0.00&quot;_);_(@_)"/>
    <numFmt numFmtId="174" formatCode="_(* #,##0.000_);_(* \(#,##0.000\);_(* &quot;0.000&quot;_);_(@_)"/>
    <numFmt numFmtId="175" formatCode="_(&quot;$&quot;* #,##0.0_);_(&quot;$&quot;* \(#,##0.0\);_(&quot;$&quot;* &quot;0.0&quot;_);_(@_)"/>
    <numFmt numFmtId="176" formatCode="_(* #,##0.0_);_(* \(#,##0.0\);_(* &quot;0.0&quot;_);_(@_)"/>
    <numFmt numFmtId="177" formatCode="_(* #,##0.00000_);_(* \(#,##0.00000\);_(* &quot;0.00000&quot;_);_(@_)"/>
    <numFmt numFmtId="178" formatCode="0.0000000000000000%"/>
    <numFmt numFmtId="179" formatCode="m/d/yy;@"/>
    <numFmt numFmtId="180" formatCode="_(* #,##0.000_);_(* \(#,##0.000\);_(* &quot;-&quot;???_);_(@_)"/>
    <numFmt numFmtId="181" formatCode="_(* #,##0.0_);_(* \(#,##0.0\);_(* &quot;-&quot;??_);_(@_)"/>
    <numFmt numFmtId="182" formatCode="_(* #,##0.000_);_(* \(#,##0.000\);_(* &quot;-&quot;??_);_(@_)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14"/>
      <name val="Arial"/>
      <family val="2"/>
    </font>
    <font>
      <sz val="8"/>
      <color indexed="54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sz val="10"/>
      <color rgb="FF1F497D"/>
      <name val="Arial"/>
      <family val="2"/>
    </font>
    <font>
      <sz val="8"/>
      <color theme="1"/>
      <name val="Arial"/>
      <family val="2"/>
    </font>
    <font>
      <b/>
      <sz val="10"/>
      <color rgb="FF26282A"/>
      <name val="Arial"/>
      <family val="2"/>
    </font>
    <font>
      <sz val="8"/>
      <color rgb="FF3366FF"/>
      <name val="Arial"/>
      <family val="2"/>
    </font>
    <font>
      <sz val="8"/>
      <color rgb="FF0000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7030A0"/>
      <name val="Arial"/>
      <family val="2"/>
    </font>
    <font>
      <sz val="8"/>
      <color theme="9" tint="-0.499984740745262"/>
      <name val="Arial"/>
      <family val="2"/>
    </font>
    <font>
      <sz val="8"/>
      <color rgb="FF7030A0"/>
      <name val="Wingdings"/>
      <charset val="2"/>
    </font>
    <font>
      <sz val="8"/>
      <color rgb="FFFF0000"/>
      <name val="Wingdings"/>
      <charset val="2"/>
    </font>
    <font>
      <sz val="8"/>
      <name val="Wingdings"/>
      <charset val="2"/>
    </font>
    <font>
      <sz val="8"/>
      <color theme="0" tint="-0.34998626667073579"/>
      <name val="Arial"/>
      <family val="2"/>
    </font>
    <font>
      <sz val="8"/>
      <color theme="6" tint="-0.249977111117893"/>
      <name val="Arial"/>
      <family val="2"/>
    </font>
    <font>
      <sz val="8"/>
      <color rgb="FFFF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176" fontId="11" fillId="0" borderId="0"/>
    <xf numFmtId="173" fontId="11" fillId="0" borderId="0"/>
    <xf numFmtId="174" fontId="11" fillId="0" borderId="0"/>
    <xf numFmtId="177" fontId="11" fillId="0" borderId="0"/>
    <xf numFmtId="175" fontId="11" fillId="0" borderId="0"/>
    <xf numFmtId="172" fontId="11" fillId="0" borderId="0"/>
    <xf numFmtId="0" fontId="5" fillId="0" borderId="0"/>
    <xf numFmtId="9" fontId="2" fillId="0" borderId="0" applyFont="0" applyFill="0" applyBorder="0" applyAlignment="0" applyProtection="0"/>
    <xf numFmtId="164" fontId="11" fillId="0" borderId="0"/>
    <xf numFmtId="0" fontId="1" fillId="0" borderId="0"/>
    <xf numFmtId="43" fontId="1" fillId="0" borderId="0" applyFont="0" applyFill="0" applyBorder="0" applyAlignment="0" applyProtection="0"/>
    <xf numFmtId="0" fontId="23" fillId="0" borderId="0"/>
  </cellStyleXfs>
  <cellXfs count="28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0" xfId="0" applyAlignment="1">
      <alignment horizontal="right"/>
    </xf>
    <xf numFmtId="0" fontId="3" fillId="0" borderId="0" xfId="0" applyFont="1"/>
    <xf numFmtId="0" fontId="0" fillId="0" borderId="7" xfId="0" applyBorder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Continuous"/>
    </xf>
    <xf numFmtId="164" fontId="6" fillId="0" borderId="0" xfId="9" applyNumberFormat="1" applyFont="1"/>
    <xf numFmtId="165" fontId="6" fillId="0" borderId="0" xfId="9" applyNumberFormat="1" applyFont="1"/>
    <xf numFmtId="165" fontId="5" fillId="0" borderId="0" xfId="9" applyNumberFormat="1" applyFont="1"/>
    <xf numFmtId="164" fontId="5" fillId="0" borderId="0" xfId="9" applyNumberFormat="1" applyFont="1"/>
    <xf numFmtId="3" fontId="0" fillId="0" borderId="0" xfId="0" applyNumberFormat="1"/>
    <xf numFmtId="164" fontId="0" fillId="0" borderId="0" xfId="0" applyNumberFormat="1"/>
    <xf numFmtId="164" fontId="0" fillId="0" borderId="7" xfId="0" applyNumberFormat="1" applyBorder="1"/>
    <xf numFmtId="164" fontId="5" fillId="0" borderId="0" xfId="9" applyNumberFormat="1" applyFont="1" applyFill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6" fillId="0" borderId="0" xfId="0" applyFont="1"/>
    <xf numFmtId="3" fontId="0" fillId="0" borderId="7" xfId="0" applyNumberFormat="1" applyBorder="1"/>
    <xf numFmtId="3" fontId="5" fillId="0" borderId="0" xfId="0" applyNumberFormat="1" applyFont="1"/>
    <xf numFmtId="3" fontId="5" fillId="0" borderId="7" xfId="0" applyNumberFormat="1" applyFont="1" applyBorder="1"/>
    <xf numFmtId="166" fontId="5" fillId="0" borderId="0" xfId="0" applyNumberFormat="1" applyFont="1"/>
    <xf numFmtId="166" fontId="0" fillId="0" borderId="0" xfId="0" applyNumberFormat="1"/>
    <xf numFmtId="166" fontId="0" fillId="0" borderId="7" xfId="0" applyNumberFormat="1" applyBorder="1"/>
    <xf numFmtId="3" fontId="6" fillId="0" borderId="0" xfId="0" applyNumberFormat="1" applyFont="1"/>
    <xf numFmtId="167" fontId="5" fillId="0" borderId="0" xfId="0" applyNumberFormat="1" applyFont="1"/>
    <xf numFmtId="167" fontId="5" fillId="0" borderId="7" xfId="0" applyNumberFormat="1" applyFont="1" applyBorder="1"/>
    <xf numFmtId="167" fontId="0" fillId="0" borderId="0" xfId="0" applyNumberFormat="1"/>
    <xf numFmtId="166" fontId="6" fillId="0" borderId="0" xfId="0" applyNumberFormat="1" applyFont="1"/>
    <xf numFmtId="14" fontId="5" fillId="0" borderId="0" xfId="0" applyNumberFormat="1" applyFont="1"/>
    <xf numFmtId="164" fontId="5" fillId="0" borderId="0" xfId="9" applyNumberFormat="1" applyFont="1" applyFill="1" applyBorder="1"/>
    <xf numFmtId="165" fontId="5" fillId="0" borderId="0" xfId="9" applyNumberFormat="1" applyFont="1" applyFill="1" applyBorder="1"/>
    <xf numFmtId="166" fontId="5" fillId="0" borderId="0" xfId="9" applyNumberFormat="1" applyFont="1" applyFill="1"/>
    <xf numFmtId="0" fontId="0" fillId="0" borderId="0" xfId="0" quotePrefix="1"/>
    <xf numFmtId="164" fontId="5" fillId="0" borderId="0" xfId="0" applyNumberFormat="1" applyFont="1"/>
    <xf numFmtId="164" fontId="6" fillId="0" borderId="0" xfId="0" applyNumberFormat="1" applyFont="1"/>
    <xf numFmtId="0" fontId="0" fillId="0" borderId="0" xfId="0" quotePrefix="1" applyAlignment="1">
      <alignment horizontal="center"/>
    </xf>
    <xf numFmtId="164" fontId="7" fillId="0" borderId="0" xfId="0" applyNumberFormat="1" applyFont="1"/>
    <xf numFmtId="164" fontId="5" fillId="0" borderId="7" xfId="0" applyNumberFormat="1" applyFont="1" applyBorder="1"/>
    <xf numFmtId="3" fontId="5" fillId="0" borderId="0" xfId="9" applyNumberFormat="1" applyFont="1" applyFill="1"/>
    <xf numFmtId="166" fontId="5" fillId="0" borderId="7" xfId="0" applyNumberFormat="1" applyFont="1" applyBorder="1"/>
    <xf numFmtId="3" fontId="6" fillId="0" borderId="7" xfId="0" applyNumberFormat="1" applyFont="1" applyBorder="1"/>
    <xf numFmtId="14" fontId="0" fillId="0" borderId="0" xfId="0" applyNumberFormat="1"/>
    <xf numFmtId="49" fontId="0" fillId="0" borderId="0" xfId="0" applyNumberFormat="1"/>
    <xf numFmtId="49" fontId="5" fillId="0" borderId="7" xfId="0" applyNumberFormat="1" applyFont="1" applyBorder="1"/>
    <xf numFmtId="170" fontId="5" fillId="0" borderId="0" xfId="9" applyNumberFormat="1" applyFont="1" applyFill="1"/>
    <xf numFmtId="170" fontId="5" fillId="0" borderId="7" xfId="9" applyNumberFormat="1" applyFont="1" applyFill="1" applyBorder="1"/>
    <xf numFmtId="170" fontId="0" fillId="0" borderId="0" xfId="0" applyNumberFormat="1"/>
    <xf numFmtId="171" fontId="5" fillId="0" borderId="0" xfId="0" applyNumberFormat="1" applyFont="1"/>
    <xf numFmtId="171" fontId="0" fillId="0" borderId="0" xfId="0" applyNumberFormat="1"/>
    <xf numFmtId="49" fontId="0" fillId="0" borderId="0" xfId="0" quotePrefix="1" applyNumberFormat="1"/>
    <xf numFmtId="3" fontId="9" fillId="0" borderId="7" xfId="0" applyNumberFormat="1" applyFont="1" applyBorder="1"/>
    <xf numFmtId="3" fontId="9" fillId="0" borderId="0" xfId="0" applyNumberFormat="1" applyFont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171" fontId="8" fillId="0" borderId="0" xfId="0" applyNumberFormat="1" applyFont="1"/>
    <xf numFmtId="14" fontId="9" fillId="0" borderId="0" xfId="0" applyNumberFormat="1" applyFont="1"/>
    <xf numFmtId="14" fontId="6" fillId="0" borderId="0" xfId="0" applyNumberFormat="1" applyFont="1"/>
    <xf numFmtId="169" fontId="6" fillId="0" borderId="0" xfId="0" applyNumberFormat="1" applyFont="1"/>
    <xf numFmtId="9" fontId="0" fillId="0" borderId="0" xfId="0" applyNumberFormat="1"/>
    <xf numFmtId="2" fontId="0" fillId="0" borderId="0" xfId="0" applyNumberFormat="1"/>
    <xf numFmtId="164" fontId="7" fillId="0" borderId="0" xfId="9" applyNumberFormat="1" applyFont="1" applyFill="1"/>
    <xf numFmtId="1" fontId="5" fillId="0" borderId="0" xfId="0" applyNumberFormat="1" applyFont="1"/>
    <xf numFmtId="0" fontId="5" fillId="0" borderId="0" xfId="0" quotePrefix="1" applyFont="1"/>
    <xf numFmtId="0" fontId="5" fillId="0" borderId="0" xfId="8"/>
    <xf numFmtId="3" fontId="9" fillId="0" borderId="0" xfId="8" applyNumberFormat="1" applyFont="1"/>
    <xf numFmtId="2" fontId="6" fillId="0" borderId="0" xfId="0" applyNumberFormat="1" applyFont="1"/>
    <xf numFmtId="2" fontId="5" fillId="0" borderId="0" xfId="0" applyNumberFormat="1" applyFont="1"/>
    <xf numFmtId="2" fontId="5" fillId="0" borderId="7" xfId="0" applyNumberFormat="1" applyFont="1" applyBorder="1"/>
    <xf numFmtId="14" fontId="0" fillId="0" borderId="7" xfId="0" applyNumberFormat="1" applyBorder="1"/>
    <xf numFmtId="10" fontId="0" fillId="0" borderId="0" xfId="0" applyNumberFormat="1"/>
    <xf numFmtId="3" fontId="7" fillId="0" borderId="0" xfId="0" applyNumberFormat="1" applyFont="1"/>
    <xf numFmtId="2" fontId="7" fillId="0" borderId="0" xfId="0" applyNumberFormat="1" applyFont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quotePrefix="1" applyAlignment="1">
      <alignment horizontal="centerContinuous"/>
    </xf>
    <xf numFmtId="0" fontId="0" fillId="0" borderId="0" xfId="0" quotePrefix="1" applyAlignment="1">
      <alignment horizontal="right"/>
    </xf>
    <xf numFmtId="14" fontId="7" fillId="0" borderId="0" xfId="0" applyNumberFormat="1" applyFont="1"/>
    <xf numFmtId="168" fontId="0" fillId="0" borderId="7" xfId="0" applyNumberFormat="1" applyBorder="1"/>
    <xf numFmtId="168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6" fillId="0" borderId="0" xfId="9" applyNumberFormat="1" applyFont="1" applyFill="1"/>
    <xf numFmtId="166" fontId="7" fillId="0" borderId="0" xfId="0" applyNumberFormat="1" applyFont="1"/>
    <xf numFmtId="4" fontId="5" fillId="0" borderId="0" xfId="0" applyNumberFormat="1" applyFont="1"/>
    <xf numFmtId="170" fontId="5" fillId="0" borderId="0" xfId="9" applyNumberFormat="1" applyFont="1" applyFill="1" applyBorder="1"/>
    <xf numFmtId="0" fontId="5" fillId="0" borderId="7" xfId="0" applyFont="1" applyBorder="1"/>
    <xf numFmtId="4" fontId="0" fillId="0" borderId="7" xfId="0" applyNumberFormat="1" applyBorder="1"/>
    <xf numFmtId="178" fontId="0" fillId="0" borderId="0" xfId="0" applyNumberFormat="1"/>
    <xf numFmtId="4" fontId="5" fillId="0" borderId="7" xfId="0" applyNumberFormat="1" applyFont="1" applyBorder="1"/>
    <xf numFmtId="166" fontId="8" fillId="0" borderId="0" xfId="0" applyNumberFormat="1" applyFont="1"/>
    <xf numFmtId="166" fontId="5" fillId="0" borderId="0" xfId="0" applyNumberFormat="1" applyFont="1" applyAlignment="1">
      <alignment horizontal="left"/>
    </xf>
    <xf numFmtId="0" fontId="7" fillId="0" borderId="0" xfId="0" applyFont="1"/>
    <xf numFmtId="166" fontId="9" fillId="0" borderId="7" xfId="0" applyNumberFormat="1" applyFont="1" applyBorder="1"/>
    <xf numFmtId="2" fontId="9" fillId="0" borderId="0" xfId="0" applyNumberFormat="1" applyFont="1"/>
    <xf numFmtId="2" fontId="9" fillId="0" borderId="7" xfId="0" applyNumberFormat="1" applyFont="1" applyBorder="1"/>
    <xf numFmtId="0" fontId="5" fillId="0" borderId="0" xfId="0" applyFont="1" applyAlignment="1">
      <alignment horizontal="right"/>
    </xf>
    <xf numFmtId="166" fontId="7" fillId="0" borderId="7" xfId="0" applyNumberFormat="1" applyFont="1" applyBorder="1"/>
    <xf numFmtId="0" fontId="3" fillId="0" borderId="0" xfId="0" applyFont="1" applyAlignment="1">
      <alignment horizontal="center"/>
    </xf>
    <xf numFmtId="3" fontId="16" fillId="0" borderId="0" xfId="0" applyNumberFormat="1" applyFont="1"/>
    <xf numFmtId="3" fontId="16" fillId="0" borderId="7" xfId="0" applyNumberFormat="1" applyFont="1" applyBorder="1"/>
    <xf numFmtId="0" fontId="13" fillId="0" borderId="0" xfId="0" applyFont="1" applyAlignment="1">
      <alignment vertical="center"/>
    </xf>
    <xf numFmtId="0" fontId="7" fillId="3" borderId="0" xfId="0" applyFont="1" applyFill="1" applyAlignment="1">
      <alignment horizontal="left"/>
    </xf>
    <xf numFmtId="0" fontId="0" fillId="3" borderId="0" xfId="0" applyFill="1"/>
    <xf numFmtId="166" fontId="0" fillId="0" borderId="6" xfId="0" applyNumberFormat="1" applyBorder="1"/>
    <xf numFmtId="167" fontId="5" fillId="0" borderId="6" xfId="0" applyNumberFormat="1" applyFont="1" applyBorder="1"/>
    <xf numFmtId="3" fontId="5" fillId="0" borderId="6" xfId="0" applyNumberFormat="1" applyFont="1" applyBorder="1"/>
    <xf numFmtId="0" fontId="16" fillId="0" borderId="0" xfId="0" applyFont="1"/>
    <xf numFmtId="14" fontId="0" fillId="0" borderId="0" xfId="0" applyNumberFormat="1" applyProtection="1">
      <protection locked="0"/>
    </xf>
    <xf numFmtId="0" fontId="0" fillId="0" borderId="0" xfId="0" applyAlignment="1">
      <alignment vertical="center"/>
    </xf>
    <xf numFmtId="3" fontId="16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2" fontId="0" fillId="0" borderId="7" xfId="0" applyNumberFormat="1" applyBorder="1" applyAlignment="1">
      <alignment horizontal="center"/>
    </xf>
    <xf numFmtId="3" fontId="17" fillId="0" borderId="0" xfId="0" applyNumberFormat="1" applyFont="1"/>
    <xf numFmtId="164" fontId="16" fillId="0" borderId="0" xfId="0" applyNumberFormat="1" applyFont="1"/>
    <xf numFmtId="0" fontId="5" fillId="0" borderId="0" xfId="0" applyFont="1" applyAlignment="1">
      <alignment horizontal="left"/>
    </xf>
    <xf numFmtId="179" fontId="6" fillId="0" borderId="0" xfId="0" applyNumberFormat="1" applyFont="1"/>
    <xf numFmtId="179" fontId="6" fillId="0" borderId="0" xfId="0" quotePrefix="1" applyNumberFormat="1" applyFont="1" applyAlignment="1">
      <alignment horizontal="left"/>
    </xf>
    <xf numFmtId="3" fontId="18" fillId="0" borderId="0" xfId="0" applyNumberFormat="1" applyFont="1"/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16" fillId="0" borderId="0" xfId="0" applyNumberFormat="1" applyFont="1" applyAlignment="1">
      <alignment horizontal="left"/>
    </xf>
    <xf numFmtId="179" fontId="6" fillId="0" borderId="6" xfId="0" quotePrefix="1" applyNumberFormat="1" applyFont="1" applyBorder="1" applyAlignment="1">
      <alignment horizontal="left"/>
    </xf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64" fontId="16" fillId="0" borderId="7" xfId="9" applyNumberFormat="1" applyFont="1" applyFill="1" applyBorder="1"/>
    <xf numFmtId="164" fontId="16" fillId="0" borderId="6" xfId="0" applyNumberFormat="1" applyFont="1" applyBorder="1"/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178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166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0" borderId="7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/>
    <xf numFmtId="3" fontId="20" fillId="0" borderId="0" xfId="0" applyNumberFormat="1" applyFont="1"/>
    <xf numFmtId="37" fontId="0" fillId="0" borderId="0" xfId="1" applyNumberFormat="1" applyFont="1" applyFill="1" applyBorder="1" applyAlignment="1">
      <alignment horizontal="center" wrapText="1"/>
    </xf>
    <xf numFmtId="0" fontId="0" fillId="0" borderId="15" xfId="0" applyBorder="1"/>
    <xf numFmtId="0" fontId="0" fillId="0" borderId="14" xfId="0" applyBorder="1"/>
    <xf numFmtId="0" fontId="0" fillId="0" borderId="19" xfId="0" applyBorder="1"/>
    <xf numFmtId="0" fontId="0" fillId="0" borderId="18" xfId="0" applyBorder="1"/>
    <xf numFmtId="164" fontId="0" fillId="0" borderId="0" xfId="9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1" fillId="0" borderId="0" xfId="0" applyFont="1"/>
    <xf numFmtId="0" fontId="0" fillId="0" borderId="16" xfId="0" applyBorder="1"/>
    <xf numFmtId="0" fontId="0" fillId="0" borderId="21" xfId="0" applyBorder="1" applyAlignment="1">
      <alignment horizontal="centerContinuous"/>
    </xf>
    <xf numFmtId="0" fontId="0" fillId="0" borderId="20" xfId="0" applyBorder="1"/>
    <xf numFmtId="0" fontId="0" fillId="0" borderId="22" xfId="0" applyBorder="1"/>
    <xf numFmtId="0" fontId="0" fillId="0" borderId="7" xfId="0" applyBorder="1" applyAlignment="1">
      <alignment horizontal="centerContinuous"/>
    </xf>
    <xf numFmtId="0" fontId="0" fillId="0" borderId="23" xfId="0" applyBorder="1"/>
    <xf numFmtId="0" fontId="0" fillId="0" borderId="17" xfId="0" applyBorder="1"/>
    <xf numFmtId="0" fontId="0" fillId="0" borderId="24" xfId="0" applyBorder="1"/>
    <xf numFmtId="0" fontId="21" fillId="0" borderId="16" xfId="0" applyFont="1" applyBorder="1"/>
    <xf numFmtId="0" fontId="21" fillId="0" borderId="14" xfId="0" applyFont="1" applyBorder="1"/>
    <xf numFmtId="0" fontId="21" fillId="0" borderId="24" xfId="0" applyFont="1" applyBorder="1"/>
    <xf numFmtId="0" fontId="21" fillId="0" borderId="15" xfId="0" applyFont="1" applyBorder="1"/>
    <xf numFmtId="180" fontId="0" fillId="0" borderId="0" xfId="0" applyNumberFormat="1"/>
    <xf numFmtId="0" fontId="3" fillId="0" borderId="7" xfId="0" applyFont="1" applyBorder="1"/>
    <xf numFmtId="181" fontId="0" fillId="0" borderId="0" xfId="1" applyNumberFormat="1" applyFont="1"/>
    <xf numFmtId="0" fontId="3" fillId="0" borderId="8" xfId="0" applyFont="1" applyBorder="1" applyAlignment="1">
      <alignment horizontal="left"/>
    </xf>
    <xf numFmtId="0" fontId="0" fillId="0" borderId="25" xfId="0" applyBorder="1"/>
    <xf numFmtId="0" fontId="0" fillId="0" borderId="9" xfId="0" applyBorder="1"/>
    <xf numFmtId="0" fontId="3" fillId="0" borderId="10" xfId="0" applyFont="1" applyBorder="1" applyAlignment="1">
      <alignment horizontal="left"/>
    </xf>
    <xf numFmtId="0" fontId="0" fillId="0" borderId="11" xfId="0" applyBorder="1"/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0" fillId="0" borderId="10" xfId="0" applyBorder="1" applyAlignment="1">
      <alignment horizontal="left"/>
    </xf>
    <xf numFmtId="181" fontId="0" fillId="0" borderId="11" xfId="1" applyNumberFormat="1" applyFont="1" applyBorder="1"/>
    <xf numFmtId="0" fontId="0" fillId="0" borderId="11" xfId="0" applyBorder="1" applyAlignment="1">
      <alignment horizontal="left"/>
    </xf>
    <xf numFmtId="181" fontId="0" fillId="0" borderId="0" xfId="1" applyNumberFormat="1" applyFont="1" applyBorder="1"/>
    <xf numFmtId="0" fontId="0" fillId="0" borderId="13" xfId="0" applyBorder="1" applyAlignment="1">
      <alignment horizontal="left"/>
    </xf>
    <xf numFmtId="0" fontId="0" fillId="0" borderId="28" xfId="0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0" borderId="12" xfId="0" applyBorder="1"/>
    <xf numFmtId="164" fontId="0" fillId="0" borderId="6" xfId="0" applyNumberFormat="1" applyBorder="1"/>
    <xf numFmtId="164" fontId="0" fillId="0" borderId="6" xfId="0" applyNumberForma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0" fontId="0" fillId="0" borderId="29" xfId="0" applyBorder="1"/>
    <xf numFmtId="14" fontId="6" fillId="0" borderId="29" xfId="0" applyNumberFormat="1" applyFont="1" applyBorder="1" applyAlignment="1">
      <alignment horizontal="left"/>
    </xf>
    <xf numFmtId="166" fontId="5" fillId="0" borderId="29" xfId="0" applyNumberFormat="1" applyFont="1" applyBorder="1"/>
    <xf numFmtId="171" fontId="5" fillId="0" borderId="29" xfId="0" applyNumberFormat="1" applyFont="1" applyBorder="1"/>
    <xf numFmtId="3" fontId="9" fillId="0" borderId="29" xfId="0" applyNumberFormat="1" applyFont="1" applyBorder="1"/>
    <xf numFmtId="3" fontId="5" fillId="0" borderId="0" xfId="9" applyNumberFormat="1" applyFont="1" applyFill="1" applyBorder="1"/>
    <xf numFmtId="3" fontId="0" fillId="0" borderId="29" xfId="0" applyNumberFormat="1" applyBorder="1"/>
    <xf numFmtId="0" fontId="5" fillId="0" borderId="29" xfId="0" applyFont="1" applyBorder="1"/>
    <xf numFmtId="164" fontId="0" fillId="0" borderId="29" xfId="0" applyNumberFormat="1" applyBorder="1"/>
    <xf numFmtId="179" fontId="0" fillId="0" borderId="0" xfId="0" applyNumberFormat="1" applyAlignment="1">
      <alignment horizontal="left"/>
    </xf>
    <xf numFmtId="164" fontId="0" fillId="0" borderId="0" xfId="9" applyNumberFormat="1" applyFont="1" applyBorder="1"/>
    <xf numFmtId="0" fontId="0" fillId="0" borderId="29" xfId="0" applyBorder="1" applyAlignment="1">
      <alignment horizontal="right"/>
    </xf>
    <xf numFmtId="166" fontId="0" fillId="0" borderId="29" xfId="0" applyNumberFormat="1" applyBorder="1"/>
    <xf numFmtId="0" fontId="16" fillId="0" borderId="6" xfId="0" applyFont="1" applyBorder="1"/>
    <xf numFmtId="14" fontId="0" fillId="0" borderId="0" xfId="0" applyNumberFormat="1" applyAlignment="1">
      <alignment horizontal="left"/>
    </xf>
    <xf numFmtId="14" fontId="9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center"/>
    </xf>
    <xf numFmtId="167" fontId="24" fillId="0" borderId="0" xfId="0" applyNumberFormat="1" applyFont="1"/>
    <xf numFmtId="2" fontId="24" fillId="0" borderId="0" xfId="0" applyNumberFormat="1" applyFont="1"/>
    <xf numFmtId="166" fontId="24" fillId="0" borderId="0" xfId="0" applyNumberFormat="1" applyFont="1"/>
    <xf numFmtId="3" fontId="24" fillId="0" borderId="0" xfId="0" applyNumberFormat="1" applyFont="1"/>
    <xf numFmtId="3" fontId="25" fillId="0" borderId="0" xfId="0" applyNumberFormat="1" applyFont="1"/>
    <xf numFmtId="3" fontId="24" fillId="0" borderId="7" xfId="0" applyNumberFormat="1" applyFont="1" applyBorder="1"/>
    <xf numFmtId="9" fontId="0" fillId="0" borderId="0" xfId="9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164" fontId="24" fillId="0" borderId="0" xfId="0" applyNumberFormat="1" applyFont="1"/>
    <xf numFmtId="0" fontId="26" fillId="0" borderId="8" xfId="0" applyFont="1" applyBorder="1" applyAlignment="1">
      <alignment horizontal="right"/>
    </xf>
    <xf numFmtId="0" fontId="24" fillId="0" borderId="25" xfId="0" applyFont="1" applyBorder="1"/>
    <xf numFmtId="0" fontId="27" fillId="0" borderId="10" xfId="0" applyFont="1" applyBorder="1" applyAlignment="1">
      <alignment horizontal="right"/>
    </xf>
    <xf numFmtId="0" fontId="28" fillId="4" borderId="13" xfId="0" applyFont="1" applyFill="1" applyBorder="1" applyAlignment="1">
      <alignment horizontal="right"/>
    </xf>
    <xf numFmtId="0" fontId="0" fillId="4" borderId="28" xfId="0" applyFill="1" applyBorder="1"/>
    <xf numFmtId="166" fontId="0" fillId="2" borderId="2" xfId="0" applyNumberFormat="1" applyFill="1" applyBorder="1"/>
    <xf numFmtId="10" fontId="0" fillId="0" borderId="0" xfId="0" applyNumberFormat="1" applyAlignment="1">
      <alignment horizontal="center"/>
    </xf>
    <xf numFmtId="164" fontId="5" fillId="0" borderId="6" xfId="9" applyNumberFormat="1" applyFont="1" applyFill="1" applyBorder="1"/>
    <xf numFmtId="0" fontId="29" fillId="0" borderId="0" xfId="0" applyFont="1"/>
    <xf numFmtId="164" fontId="29" fillId="0" borderId="0" xfId="9" applyNumberFormat="1" applyFont="1"/>
    <xf numFmtId="164" fontId="0" fillId="0" borderId="0" xfId="9" applyNumberFormat="1" applyFont="1" applyFill="1"/>
    <xf numFmtId="0" fontId="30" fillId="0" borderId="0" xfId="0" applyFont="1"/>
    <xf numFmtId="164" fontId="31" fillId="0" borderId="0" xfId="0" applyNumberFormat="1" applyFont="1"/>
    <xf numFmtId="0" fontId="5" fillId="0" borderId="7" xfId="0" applyFont="1" applyBorder="1" applyAlignment="1">
      <alignment horizontal="center"/>
    </xf>
    <xf numFmtId="0" fontId="18" fillId="0" borderId="7" xfId="0" applyFont="1" applyBorder="1"/>
    <xf numFmtId="182" fontId="0" fillId="0" borderId="0" xfId="1" applyNumberFormat="1" applyFont="1"/>
    <xf numFmtId="0" fontId="0" fillId="0" borderId="0" xfId="0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43" fontId="24" fillId="0" borderId="0" xfId="1" applyFont="1" applyAlignment="1">
      <alignment horizontal="center"/>
    </xf>
    <xf numFmtId="43" fontId="5" fillId="0" borderId="0" xfId="1" applyFont="1"/>
    <xf numFmtId="43" fontId="24" fillId="0" borderId="0" xfId="1" applyFont="1"/>
    <xf numFmtId="164" fontId="7" fillId="0" borderId="0" xfId="9" applyNumberFormat="1" applyFont="1"/>
    <xf numFmtId="164" fontId="0" fillId="0" borderId="7" xfId="9" applyNumberFormat="1" applyFont="1" applyBorder="1"/>
    <xf numFmtId="164" fontId="0" fillId="0" borderId="6" xfId="9" applyNumberFormat="1" applyFont="1" applyBorder="1"/>
    <xf numFmtId="164" fontId="6" fillId="0" borderId="7" xfId="0" applyNumberFormat="1" applyFont="1" applyBorder="1"/>
    <xf numFmtId="9" fontId="0" fillId="0" borderId="0" xfId="9" quotePrefix="1" applyFont="1" applyFill="1" applyAlignment="1">
      <alignment horizontal="right"/>
    </xf>
    <xf numFmtId="164" fontId="21" fillId="0" borderId="0" xfId="0" applyNumberFormat="1" applyFont="1"/>
    <xf numFmtId="3" fontId="16" fillId="5" borderId="0" xfId="0" applyNumberFormat="1" applyFont="1" applyFill="1" applyAlignment="1">
      <alignment vertical="center"/>
    </xf>
    <xf numFmtId="3" fontId="16" fillId="5" borderId="0" xfId="0" applyNumberFormat="1" applyFont="1" applyFill="1"/>
    <xf numFmtId="164" fontId="5" fillId="0" borderId="0" xfId="9" applyNumberFormat="1" applyFont="1" applyAlignment="1">
      <alignment horizontal="right"/>
    </xf>
    <xf numFmtId="0" fontId="0" fillId="0" borderId="27" xfId="0" applyBorder="1" applyAlignment="1">
      <alignment horizontal="centerContinuous"/>
    </xf>
    <xf numFmtId="2" fontId="0" fillId="0" borderId="7" xfId="0" applyNumberForma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14" fontId="5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11" xfId="0" applyFont="1" applyBorder="1" applyAlignment="1">
      <alignment horizontal="centerContinuous"/>
    </xf>
    <xf numFmtId="0" fontId="22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4">
    <cellStyle name="Comma" xfId="1" builtinId="3"/>
    <cellStyle name="Comma [1]" xfId="2" xr:uid="{00000000-0005-0000-0000-000001000000}"/>
    <cellStyle name="Comma [2]" xfId="3" xr:uid="{00000000-0005-0000-0000-000002000000}"/>
    <cellStyle name="Comma [3]" xfId="4" xr:uid="{00000000-0005-0000-0000-000003000000}"/>
    <cellStyle name="Comma [5]" xfId="5" xr:uid="{00000000-0005-0000-0000-000004000000}"/>
    <cellStyle name="Comma 2" xfId="12" xr:uid="{43D21DC0-43DE-422E-964D-3FF7E2DE3841}"/>
    <cellStyle name="Currency [1]" xfId="6" xr:uid="{00000000-0005-0000-0000-000005000000}"/>
    <cellStyle name="Currency [2]" xfId="7" xr:uid="{00000000-0005-0000-0000-000006000000}"/>
    <cellStyle name="Normal" xfId="0" builtinId="0"/>
    <cellStyle name="Normal 2" xfId="13" xr:uid="{C02FF108-E132-4FF7-913C-92777719AD41}"/>
    <cellStyle name="Normal 3" xfId="11" xr:uid="{C95E6422-FBB7-41FB-887A-0F3D83E4C63B}"/>
    <cellStyle name="Normal_2004 Residential Indications" xfId="8" xr:uid="{00000000-0005-0000-0000-000008000000}"/>
    <cellStyle name="Percent" xfId="9" builtinId="5"/>
    <cellStyle name="Percent [1]" xfId="10" xr:uid="{00000000-0005-0000-0000-00000A000000}"/>
  </cellStyles>
  <dxfs count="0"/>
  <tableStyles count="0" defaultTableStyle="TableStyleMedium9" defaultPivotStyle="PivotStyleLight16"/>
  <colors>
    <mruColors>
      <color rgb="FF00FF00"/>
      <color rgb="FF0000FF"/>
      <color rgb="FFFF00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38100</xdr:colOff>
      <xdr:row>28</xdr:row>
      <xdr:rowOff>0</xdr:rowOff>
    </xdr:from>
    <xdr:to>
      <xdr:col>62</xdr:col>
      <xdr:colOff>103505</xdr:colOff>
      <xdr:row>29</xdr:row>
      <xdr:rowOff>38100</xdr:rowOff>
    </xdr:to>
    <xdr:sp macro="" textlink="">
      <xdr:nvSpPr>
        <xdr:cNvPr id="495893" name="Text Box 5">
          <a:extLst>
            <a:ext uri="{FF2B5EF4-FFF2-40B4-BE49-F238E27FC236}">
              <a16:creationId xmlns:a16="http://schemas.microsoft.com/office/drawing/2014/main" id="{4FF5F8A6-8C5E-4E26-A84A-A241433C181B}"/>
            </a:ext>
          </a:extLst>
        </xdr:cNvPr>
        <xdr:cNvSpPr txBox="1">
          <a:spLocks noChangeArrowheads="1"/>
        </xdr:cNvSpPr>
      </xdr:nvSpPr>
      <xdr:spPr bwMode="auto">
        <a:xfrm>
          <a:off x="12169140" y="3642360"/>
          <a:ext cx="685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66</xdr:col>
      <xdr:colOff>39076</xdr:colOff>
      <xdr:row>53</xdr:row>
      <xdr:rowOff>0</xdr:rowOff>
    </xdr:from>
    <xdr:to>
      <xdr:col>70</xdr:col>
      <xdr:colOff>43961</xdr:colOff>
      <xdr:row>57</xdr:row>
      <xdr:rowOff>4885</xdr:rowOff>
    </xdr:to>
    <xdr:cxnSp macro="">
      <xdr:nvCxnSpPr>
        <xdr:cNvPr id="6" name="AutoShape 4">
          <a:extLst>
            <a:ext uri="{FF2B5EF4-FFF2-40B4-BE49-F238E27FC236}">
              <a16:creationId xmlns:a16="http://schemas.microsoft.com/office/drawing/2014/main" id="{0AF31A86-2FED-4324-9B4D-BC03A98121CD}"/>
            </a:ext>
          </a:extLst>
        </xdr:cNvPr>
        <xdr:cNvCxnSpPr>
          <a:cxnSpLocks noChangeShapeType="1"/>
        </xdr:cNvCxnSpPr>
      </xdr:nvCxnSpPr>
      <xdr:spPr bwMode="auto">
        <a:xfrm flipV="1">
          <a:off x="25580730" y="637442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70</xdr:col>
      <xdr:colOff>79130</xdr:colOff>
      <xdr:row>53</xdr:row>
      <xdr:rowOff>977</xdr:rowOff>
    </xdr:from>
    <xdr:to>
      <xdr:col>74</xdr:col>
      <xdr:colOff>84015</xdr:colOff>
      <xdr:row>57</xdr:row>
      <xdr:rowOff>5862</xdr:rowOff>
    </xdr:to>
    <xdr:cxnSp macro="">
      <xdr:nvCxnSpPr>
        <xdr:cNvPr id="8" name="AutoShape 4">
          <a:extLst>
            <a:ext uri="{FF2B5EF4-FFF2-40B4-BE49-F238E27FC236}">
              <a16:creationId xmlns:a16="http://schemas.microsoft.com/office/drawing/2014/main" id="{FBAE370E-9950-4D68-8059-CF785E6343FB}"/>
            </a:ext>
          </a:extLst>
        </xdr:cNvPr>
        <xdr:cNvCxnSpPr>
          <a:cxnSpLocks noChangeShapeType="1"/>
        </xdr:cNvCxnSpPr>
      </xdr:nvCxnSpPr>
      <xdr:spPr bwMode="auto">
        <a:xfrm flipV="1">
          <a:off x="26128784" y="637540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74</xdr:col>
      <xdr:colOff>70338</xdr:colOff>
      <xdr:row>53</xdr:row>
      <xdr:rowOff>1953</xdr:rowOff>
    </xdr:from>
    <xdr:to>
      <xdr:col>78</xdr:col>
      <xdr:colOff>75223</xdr:colOff>
      <xdr:row>57</xdr:row>
      <xdr:rowOff>6838</xdr:rowOff>
    </xdr:to>
    <xdr:cxnSp macro="">
      <xdr:nvCxnSpPr>
        <xdr:cNvPr id="9" name="AutoShape 4">
          <a:extLst>
            <a:ext uri="{FF2B5EF4-FFF2-40B4-BE49-F238E27FC236}">
              <a16:creationId xmlns:a16="http://schemas.microsoft.com/office/drawing/2014/main" id="{071F5353-BC4A-4354-B9BE-B8EF54F1498B}"/>
            </a:ext>
          </a:extLst>
        </xdr:cNvPr>
        <xdr:cNvCxnSpPr>
          <a:cxnSpLocks noChangeShapeType="1"/>
        </xdr:cNvCxnSpPr>
      </xdr:nvCxnSpPr>
      <xdr:spPr bwMode="auto">
        <a:xfrm flipV="1">
          <a:off x="26627992" y="6376376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79</xdr:col>
      <xdr:colOff>17584</xdr:colOff>
      <xdr:row>52</xdr:row>
      <xdr:rowOff>120161</xdr:rowOff>
    </xdr:from>
    <xdr:to>
      <xdr:col>83</xdr:col>
      <xdr:colOff>22469</xdr:colOff>
      <xdr:row>56</xdr:row>
      <xdr:rowOff>129930</xdr:rowOff>
    </xdr:to>
    <xdr:cxnSp macro="">
      <xdr:nvCxnSpPr>
        <xdr:cNvPr id="10" name="AutoShape 4">
          <a:extLst>
            <a:ext uri="{FF2B5EF4-FFF2-40B4-BE49-F238E27FC236}">
              <a16:creationId xmlns:a16="http://schemas.microsoft.com/office/drawing/2014/main" id="{B5579A9C-6846-4F06-B24A-7155B96E2B06}"/>
            </a:ext>
          </a:extLst>
        </xdr:cNvPr>
        <xdr:cNvCxnSpPr>
          <a:cxnSpLocks noChangeShapeType="1"/>
        </xdr:cNvCxnSpPr>
      </xdr:nvCxnSpPr>
      <xdr:spPr bwMode="auto">
        <a:xfrm flipV="1">
          <a:off x="27210238" y="6367584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84</xdr:col>
      <xdr:colOff>86946</xdr:colOff>
      <xdr:row>52</xdr:row>
      <xdr:rowOff>121138</xdr:rowOff>
    </xdr:from>
    <xdr:to>
      <xdr:col>88</xdr:col>
      <xdr:colOff>91831</xdr:colOff>
      <xdr:row>56</xdr:row>
      <xdr:rowOff>130907</xdr:rowOff>
    </xdr:to>
    <xdr:cxnSp macro="">
      <xdr:nvCxnSpPr>
        <xdr:cNvPr id="11" name="AutoShape 4">
          <a:extLst>
            <a:ext uri="{FF2B5EF4-FFF2-40B4-BE49-F238E27FC236}">
              <a16:creationId xmlns:a16="http://schemas.microsoft.com/office/drawing/2014/main" id="{9D1266FC-C444-4B5A-9A3C-A8F246A20046}"/>
            </a:ext>
          </a:extLst>
        </xdr:cNvPr>
        <xdr:cNvCxnSpPr>
          <a:cxnSpLocks noChangeShapeType="1"/>
        </xdr:cNvCxnSpPr>
      </xdr:nvCxnSpPr>
      <xdr:spPr bwMode="auto">
        <a:xfrm flipV="1">
          <a:off x="27914600" y="63685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84</xdr:col>
      <xdr:colOff>107463</xdr:colOff>
      <xdr:row>52</xdr:row>
      <xdr:rowOff>122115</xdr:rowOff>
    </xdr:from>
    <xdr:to>
      <xdr:col>88</xdr:col>
      <xdr:colOff>112348</xdr:colOff>
      <xdr:row>57</xdr:row>
      <xdr:rowOff>0</xdr:rowOff>
    </xdr:to>
    <xdr:cxnSp macro="">
      <xdr:nvCxnSpPr>
        <xdr:cNvPr id="12" name="AutoShape 4">
          <a:extLst>
            <a:ext uri="{FF2B5EF4-FFF2-40B4-BE49-F238E27FC236}">
              <a16:creationId xmlns:a16="http://schemas.microsoft.com/office/drawing/2014/main" id="{7CCC4158-030D-4F9A-86DF-00C2A8C5E7C3}"/>
            </a:ext>
          </a:extLst>
        </xdr:cNvPr>
        <xdr:cNvCxnSpPr>
          <a:cxnSpLocks noChangeShapeType="1"/>
        </xdr:cNvCxnSpPr>
      </xdr:nvCxnSpPr>
      <xdr:spPr bwMode="auto">
        <a:xfrm flipV="1">
          <a:off x="27935117" y="636953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87</xdr:col>
      <xdr:colOff>91830</xdr:colOff>
      <xdr:row>52</xdr:row>
      <xdr:rowOff>121138</xdr:rowOff>
    </xdr:from>
    <xdr:to>
      <xdr:col>91</xdr:col>
      <xdr:colOff>96715</xdr:colOff>
      <xdr:row>56</xdr:row>
      <xdr:rowOff>130907</xdr:rowOff>
    </xdr:to>
    <xdr:cxnSp macro="">
      <xdr:nvCxnSpPr>
        <xdr:cNvPr id="13" name="AutoShape 4">
          <a:extLst>
            <a:ext uri="{FF2B5EF4-FFF2-40B4-BE49-F238E27FC236}">
              <a16:creationId xmlns:a16="http://schemas.microsoft.com/office/drawing/2014/main" id="{871EE9CE-C6D2-4E63-9029-9B576C9056FA}"/>
            </a:ext>
          </a:extLst>
        </xdr:cNvPr>
        <xdr:cNvCxnSpPr>
          <a:cxnSpLocks noChangeShapeType="1"/>
        </xdr:cNvCxnSpPr>
      </xdr:nvCxnSpPr>
      <xdr:spPr bwMode="auto">
        <a:xfrm flipV="1">
          <a:off x="28300484" y="63685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94</xdr:col>
      <xdr:colOff>4883</xdr:colOff>
      <xdr:row>52</xdr:row>
      <xdr:rowOff>122115</xdr:rowOff>
    </xdr:from>
    <xdr:to>
      <xdr:col>98</xdr:col>
      <xdr:colOff>9768</xdr:colOff>
      <xdr:row>57</xdr:row>
      <xdr:rowOff>0</xdr:rowOff>
    </xdr:to>
    <xdr:cxnSp macro="">
      <xdr:nvCxnSpPr>
        <xdr:cNvPr id="14" name="AutoShape 4">
          <a:extLst>
            <a:ext uri="{FF2B5EF4-FFF2-40B4-BE49-F238E27FC236}">
              <a16:creationId xmlns:a16="http://schemas.microsoft.com/office/drawing/2014/main" id="{DF7E04DE-07BC-47FB-8D87-50376D116995}"/>
            </a:ext>
          </a:extLst>
        </xdr:cNvPr>
        <xdr:cNvCxnSpPr>
          <a:cxnSpLocks noChangeShapeType="1"/>
        </xdr:cNvCxnSpPr>
      </xdr:nvCxnSpPr>
      <xdr:spPr bwMode="auto">
        <a:xfrm flipV="1">
          <a:off x="29102537" y="636953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99</xdr:col>
      <xdr:colOff>84014</xdr:colOff>
      <xdr:row>52</xdr:row>
      <xdr:rowOff>123092</xdr:rowOff>
    </xdr:from>
    <xdr:to>
      <xdr:col>103</xdr:col>
      <xdr:colOff>88899</xdr:colOff>
      <xdr:row>57</xdr:row>
      <xdr:rowOff>977</xdr:rowOff>
    </xdr:to>
    <xdr:cxnSp macro="">
      <xdr:nvCxnSpPr>
        <xdr:cNvPr id="15" name="AutoShape 4">
          <a:extLst>
            <a:ext uri="{FF2B5EF4-FFF2-40B4-BE49-F238E27FC236}">
              <a16:creationId xmlns:a16="http://schemas.microsoft.com/office/drawing/2014/main" id="{9D54520B-17BE-4FD9-AF90-1A96649BE19A}"/>
            </a:ext>
          </a:extLst>
        </xdr:cNvPr>
        <xdr:cNvCxnSpPr>
          <a:cxnSpLocks noChangeShapeType="1"/>
        </xdr:cNvCxnSpPr>
      </xdr:nvCxnSpPr>
      <xdr:spPr bwMode="auto">
        <a:xfrm flipV="1">
          <a:off x="29816668" y="6370515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104</xdr:col>
      <xdr:colOff>89877</xdr:colOff>
      <xdr:row>52</xdr:row>
      <xdr:rowOff>124069</xdr:rowOff>
    </xdr:from>
    <xdr:to>
      <xdr:col>108</xdr:col>
      <xdr:colOff>94762</xdr:colOff>
      <xdr:row>57</xdr:row>
      <xdr:rowOff>1954</xdr:rowOff>
    </xdr:to>
    <xdr:cxnSp macro="">
      <xdr:nvCxnSpPr>
        <xdr:cNvPr id="16" name="AutoShape 4">
          <a:extLst>
            <a:ext uri="{FF2B5EF4-FFF2-40B4-BE49-F238E27FC236}">
              <a16:creationId xmlns:a16="http://schemas.microsoft.com/office/drawing/2014/main" id="{B48357D5-8895-4744-97CB-528D61EB868D}"/>
            </a:ext>
          </a:extLst>
        </xdr:cNvPr>
        <xdr:cNvCxnSpPr>
          <a:cxnSpLocks noChangeShapeType="1"/>
        </xdr:cNvCxnSpPr>
      </xdr:nvCxnSpPr>
      <xdr:spPr bwMode="auto">
        <a:xfrm flipV="1">
          <a:off x="30457531" y="6371492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108</xdr:col>
      <xdr:colOff>125046</xdr:colOff>
      <xdr:row>52</xdr:row>
      <xdr:rowOff>125046</xdr:rowOff>
    </xdr:from>
    <xdr:to>
      <xdr:col>113</xdr:col>
      <xdr:colOff>2931</xdr:colOff>
      <xdr:row>57</xdr:row>
      <xdr:rowOff>2931</xdr:rowOff>
    </xdr:to>
    <xdr:cxnSp macro="">
      <xdr:nvCxnSpPr>
        <xdr:cNvPr id="17" name="AutoShape 4">
          <a:extLst>
            <a:ext uri="{FF2B5EF4-FFF2-40B4-BE49-F238E27FC236}">
              <a16:creationId xmlns:a16="http://schemas.microsoft.com/office/drawing/2014/main" id="{01D2AB69-9D13-4D21-BB49-CB2478A2D2CF}"/>
            </a:ext>
          </a:extLst>
        </xdr:cNvPr>
        <xdr:cNvCxnSpPr>
          <a:cxnSpLocks noChangeShapeType="1"/>
        </xdr:cNvCxnSpPr>
      </xdr:nvCxnSpPr>
      <xdr:spPr bwMode="auto">
        <a:xfrm flipV="1">
          <a:off x="31000700" y="6372469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111</xdr:col>
      <xdr:colOff>126022</xdr:colOff>
      <xdr:row>52</xdr:row>
      <xdr:rowOff>126024</xdr:rowOff>
    </xdr:from>
    <xdr:to>
      <xdr:col>116</xdr:col>
      <xdr:colOff>3907</xdr:colOff>
      <xdr:row>57</xdr:row>
      <xdr:rowOff>3909</xdr:rowOff>
    </xdr:to>
    <xdr:cxnSp macro="">
      <xdr:nvCxnSpPr>
        <xdr:cNvPr id="18" name="AutoShape 4">
          <a:extLst>
            <a:ext uri="{FF2B5EF4-FFF2-40B4-BE49-F238E27FC236}">
              <a16:creationId xmlns:a16="http://schemas.microsoft.com/office/drawing/2014/main" id="{0980ADC0-6E05-4100-8378-347389F754F3}"/>
            </a:ext>
          </a:extLst>
        </xdr:cNvPr>
        <xdr:cNvCxnSpPr>
          <a:cxnSpLocks noChangeShapeType="1"/>
        </xdr:cNvCxnSpPr>
      </xdr:nvCxnSpPr>
      <xdr:spPr bwMode="auto">
        <a:xfrm flipV="1">
          <a:off x="31382676" y="6373447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118</xdr:col>
      <xdr:colOff>126998</xdr:colOff>
      <xdr:row>53</xdr:row>
      <xdr:rowOff>0</xdr:rowOff>
    </xdr:from>
    <xdr:to>
      <xdr:col>123</xdr:col>
      <xdr:colOff>4883</xdr:colOff>
      <xdr:row>57</xdr:row>
      <xdr:rowOff>4885</xdr:rowOff>
    </xdr:to>
    <xdr:cxnSp macro="">
      <xdr:nvCxnSpPr>
        <xdr:cNvPr id="19" name="AutoShape 4">
          <a:extLst>
            <a:ext uri="{FF2B5EF4-FFF2-40B4-BE49-F238E27FC236}">
              <a16:creationId xmlns:a16="http://schemas.microsoft.com/office/drawing/2014/main" id="{B3FAAE80-ECB9-4697-9DFA-F83450C63D3D}"/>
            </a:ext>
          </a:extLst>
        </xdr:cNvPr>
        <xdr:cNvCxnSpPr>
          <a:cxnSpLocks noChangeShapeType="1"/>
        </xdr:cNvCxnSpPr>
      </xdr:nvCxnSpPr>
      <xdr:spPr bwMode="auto">
        <a:xfrm flipV="1">
          <a:off x="32272652" y="637442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136</xdr:col>
      <xdr:colOff>974</xdr:colOff>
      <xdr:row>52</xdr:row>
      <xdr:rowOff>123092</xdr:rowOff>
    </xdr:from>
    <xdr:to>
      <xdr:col>140</xdr:col>
      <xdr:colOff>5859</xdr:colOff>
      <xdr:row>57</xdr:row>
      <xdr:rowOff>977</xdr:rowOff>
    </xdr:to>
    <xdr:cxnSp macro="">
      <xdr:nvCxnSpPr>
        <xdr:cNvPr id="20" name="AutoShape 4">
          <a:extLst>
            <a:ext uri="{FF2B5EF4-FFF2-40B4-BE49-F238E27FC236}">
              <a16:creationId xmlns:a16="http://schemas.microsoft.com/office/drawing/2014/main" id="{3348FBB3-8597-4721-93EC-B0DEFCB2D969}"/>
            </a:ext>
          </a:extLst>
        </xdr:cNvPr>
        <xdr:cNvCxnSpPr>
          <a:cxnSpLocks noChangeShapeType="1"/>
        </xdr:cNvCxnSpPr>
      </xdr:nvCxnSpPr>
      <xdr:spPr bwMode="auto">
        <a:xfrm flipV="1">
          <a:off x="34432628" y="6370515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144</xdr:col>
      <xdr:colOff>1951</xdr:colOff>
      <xdr:row>53</xdr:row>
      <xdr:rowOff>6838</xdr:rowOff>
    </xdr:from>
    <xdr:to>
      <xdr:col>148</xdr:col>
      <xdr:colOff>6836</xdr:colOff>
      <xdr:row>57</xdr:row>
      <xdr:rowOff>11723</xdr:rowOff>
    </xdr:to>
    <xdr:cxnSp macro="">
      <xdr:nvCxnSpPr>
        <xdr:cNvPr id="21" name="AutoShape 4">
          <a:extLst>
            <a:ext uri="{FF2B5EF4-FFF2-40B4-BE49-F238E27FC236}">
              <a16:creationId xmlns:a16="http://schemas.microsoft.com/office/drawing/2014/main" id="{D3D04FC7-C64E-4484-9500-99162AE1BB38}"/>
            </a:ext>
          </a:extLst>
        </xdr:cNvPr>
        <xdr:cNvCxnSpPr>
          <a:cxnSpLocks noChangeShapeType="1"/>
        </xdr:cNvCxnSpPr>
      </xdr:nvCxnSpPr>
      <xdr:spPr bwMode="auto">
        <a:xfrm flipV="1">
          <a:off x="35449605" y="63812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147</xdr:col>
      <xdr:colOff>125043</xdr:colOff>
      <xdr:row>52</xdr:row>
      <xdr:rowOff>125045</xdr:rowOff>
    </xdr:from>
    <xdr:to>
      <xdr:col>152</xdr:col>
      <xdr:colOff>2928</xdr:colOff>
      <xdr:row>57</xdr:row>
      <xdr:rowOff>2930</xdr:rowOff>
    </xdr:to>
    <xdr:cxnSp macro="">
      <xdr:nvCxnSpPr>
        <xdr:cNvPr id="22" name="AutoShape 4">
          <a:extLst>
            <a:ext uri="{FF2B5EF4-FFF2-40B4-BE49-F238E27FC236}">
              <a16:creationId xmlns:a16="http://schemas.microsoft.com/office/drawing/2014/main" id="{3EBEDC7F-CE34-4663-9B3D-C3C0115DBE85}"/>
            </a:ext>
          </a:extLst>
        </xdr:cNvPr>
        <xdr:cNvCxnSpPr>
          <a:cxnSpLocks noChangeShapeType="1"/>
        </xdr:cNvCxnSpPr>
      </xdr:nvCxnSpPr>
      <xdr:spPr bwMode="auto">
        <a:xfrm flipV="1">
          <a:off x="35953697" y="637246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151</xdr:col>
      <xdr:colOff>126020</xdr:colOff>
      <xdr:row>53</xdr:row>
      <xdr:rowOff>3907</xdr:rowOff>
    </xdr:from>
    <xdr:to>
      <xdr:col>156</xdr:col>
      <xdr:colOff>3905</xdr:colOff>
      <xdr:row>57</xdr:row>
      <xdr:rowOff>8792</xdr:rowOff>
    </xdr:to>
    <xdr:cxnSp macro="">
      <xdr:nvCxnSpPr>
        <xdr:cNvPr id="23" name="AutoShape 4">
          <a:extLst>
            <a:ext uri="{FF2B5EF4-FFF2-40B4-BE49-F238E27FC236}">
              <a16:creationId xmlns:a16="http://schemas.microsoft.com/office/drawing/2014/main" id="{473FC9F0-CAA0-4D9F-BC4F-29FE8B8B912F}"/>
            </a:ext>
          </a:extLst>
        </xdr:cNvPr>
        <xdr:cNvCxnSpPr>
          <a:cxnSpLocks noChangeShapeType="1"/>
        </xdr:cNvCxnSpPr>
      </xdr:nvCxnSpPr>
      <xdr:spPr bwMode="auto">
        <a:xfrm flipV="1">
          <a:off x="36462674" y="637833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155</xdr:col>
      <xdr:colOff>125044</xdr:colOff>
      <xdr:row>53</xdr:row>
      <xdr:rowOff>2930</xdr:rowOff>
    </xdr:from>
    <xdr:to>
      <xdr:col>160</xdr:col>
      <xdr:colOff>2929</xdr:colOff>
      <xdr:row>57</xdr:row>
      <xdr:rowOff>7815</xdr:rowOff>
    </xdr:to>
    <xdr:cxnSp macro="">
      <xdr:nvCxnSpPr>
        <xdr:cNvPr id="24" name="AutoShape 4">
          <a:extLst>
            <a:ext uri="{FF2B5EF4-FFF2-40B4-BE49-F238E27FC236}">
              <a16:creationId xmlns:a16="http://schemas.microsoft.com/office/drawing/2014/main" id="{08698CAB-57DF-429A-9AAD-B0BA7EB8F6FB}"/>
            </a:ext>
          </a:extLst>
        </xdr:cNvPr>
        <xdr:cNvCxnSpPr>
          <a:cxnSpLocks noChangeShapeType="1"/>
        </xdr:cNvCxnSpPr>
      </xdr:nvCxnSpPr>
      <xdr:spPr bwMode="auto">
        <a:xfrm flipV="1">
          <a:off x="36969698" y="637735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159</xdr:col>
      <xdr:colOff>121136</xdr:colOff>
      <xdr:row>52</xdr:row>
      <xdr:rowOff>121137</xdr:rowOff>
    </xdr:from>
    <xdr:to>
      <xdr:col>163</xdr:col>
      <xdr:colOff>126021</xdr:colOff>
      <xdr:row>56</xdr:row>
      <xdr:rowOff>130906</xdr:rowOff>
    </xdr:to>
    <xdr:cxnSp macro="">
      <xdr:nvCxnSpPr>
        <xdr:cNvPr id="25" name="AutoShape 4">
          <a:extLst>
            <a:ext uri="{FF2B5EF4-FFF2-40B4-BE49-F238E27FC236}">
              <a16:creationId xmlns:a16="http://schemas.microsoft.com/office/drawing/2014/main" id="{610CC2E8-E2BE-4A7A-BB93-8DC29B79DB2F}"/>
            </a:ext>
          </a:extLst>
        </xdr:cNvPr>
        <xdr:cNvCxnSpPr>
          <a:cxnSpLocks noChangeShapeType="1"/>
        </xdr:cNvCxnSpPr>
      </xdr:nvCxnSpPr>
      <xdr:spPr bwMode="auto">
        <a:xfrm flipV="1">
          <a:off x="37473790" y="636856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163</xdr:col>
      <xdr:colOff>122113</xdr:colOff>
      <xdr:row>52</xdr:row>
      <xdr:rowOff>126999</xdr:rowOff>
    </xdr:from>
    <xdr:to>
      <xdr:col>167</xdr:col>
      <xdr:colOff>126998</xdr:colOff>
      <xdr:row>57</xdr:row>
      <xdr:rowOff>4884</xdr:rowOff>
    </xdr:to>
    <xdr:cxnSp macro="">
      <xdr:nvCxnSpPr>
        <xdr:cNvPr id="26" name="AutoShape 4">
          <a:extLst>
            <a:ext uri="{FF2B5EF4-FFF2-40B4-BE49-F238E27FC236}">
              <a16:creationId xmlns:a16="http://schemas.microsoft.com/office/drawing/2014/main" id="{0D305C3B-4853-48D8-B07D-D488B074AE13}"/>
            </a:ext>
          </a:extLst>
        </xdr:cNvPr>
        <xdr:cNvCxnSpPr>
          <a:cxnSpLocks noChangeShapeType="1"/>
        </xdr:cNvCxnSpPr>
      </xdr:nvCxnSpPr>
      <xdr:spPr bwMode="auto">
        <a:xfrm flipV="1">
          <a:off x="37982767" y="6374422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168</xdr:col>
      <xdr:colOff>5860</xdr:colOff>
      <xdr:row>52</xdr:row>
      <xdr:rowOff>123092</xdr:rowOff>
    </xdr:from>
    <xdr:to>
      <xdr:col>172</xdr:col>
      <xdr:colOff>10745</xdr:colOff>
      <xdr:row>57</xdr:row>
      <xdr:rowOff>977</xdr:rowOff>
    </xdr:to>
    <xdr:cxnSp macro="">
      <xdr:nvCxnSpPr>
        <xdr:cNvPr id="27" name="AutoShape 4">
          <a:extLst>
            <a:ext uri="{FF2B5EF4-FFF2-40B4-BE49-F238E27FC236}">
              <a16:creationId xmlns:a16="http://schemas.microsoft.com/office/drawing/2014/main" id="{B39D9906-1846-40EE-8E3C-044D307E376E}"/>
            </a:ext>
          </a:extLst>
        </xdr:cNvPr>
        <xdr:cNvCxnSpPr>
          <a:cxnSpLocks noChangeShapeType="1"/>
        </xdr:cNvCxnSpPr>
      </xdr:nvCxnSpPr>
      <xdr:spPr bwMode="auto">
        <a:xfrm flipV="1">
          <a:off x="38501514" y="6370515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170</xdr:col>
      <xdr:colOff>80106</xdr:colOff>
      <xdr:row>53</xdr:row>
      <xdr:rowOff>1954</xdr:rowOff>
    </xdr:from>
    <xdr:to>
      <xdr:col>174</xdr:col>
      <xdr:colOff>84991</xdr:colOff>
      <xdr:row>57</xdr:row>
      <xdr:rowOff>6839</xdr:rowOff>
    </xdr:to>
    <xdr:cxnSp macro="">
      <xdr:nvCxnSpPr>
        <xdr:cNvPr id="28" name="AutoShape 4">
          <a:extLst>
            <a:ext uri="{FF2B5EF4-FFF2-40B4-BE49-F238E27FC236}">
              <a16:creationId xmlns:a16="http://schemas.microsoft.com/office/drawing/2014/main" id="{CC4B78C6-8B83-48AD-84C0-14AE425D5773}"/>
            </a:ext>
          </a:extLst>
        </xdr:cNvPr>
        <xdr:cNvCxnSpPr>
          <a:cxnSpLocks noChangeShapeType="1"/>
        </xdr:cNvCxnSpPr>
      </xdr:nvCxnSpPr>
      <xdr:spPr bwMode="auto">
        <a:xfrm flipV="1">
          <a:off x="38829760" y="6376377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176</xdr:col>
      <xdr:colOff>33214</xdr:colOff>
      <xdr:row>52</xdr:row>
      <xdr:rowOff>121138</xdr:rowOff>
    </xdr:from>
    <xdr:to>
      <xdr:col>180</xdr:col>
      <xdr:colOff>38099</xdr:colOff>
      <xdr:row>56</xdr:row>
      <xdr:rowOff>130907</xdr:rowOff>
    </xdr:to>
    <xdr:cxnSp macro="">
      <xdr:nvCxnSpPr>
        <xdr:cNvPr id="30" name="AutoShape 4">
          <a:extLst>
            <a:ext uri="{FF2B5EF4-FFF2-40B4-BE49-F238E27FC236}">
              <a16:creationId xmlns:a16="http://schemas.microsoft.com/office/drawing/2014/main" id="{719B0F18-3DE4-4D81-B922-1FC45C264465}"/>
            </a:ext>
          </a:extLst>
        </xdr:cNvPr>
        <xdr:cNvCxnSpPr>
          <a:cxnSpLocks noChangeShapeType="1"/>
        </xdr:cNvCxnSpPr>
      </xdr:nvCxnSpPr>
      <xdr:spPr bwMode="auto">
        <a:xfrm flipV="1">
          <a:off x="39544868" y="63685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180</xdr:col>
      <xdr:colOff>29306</xdr:colOff>
      <xdr:row>52</xdr:row>
      <xdr:rowOff>122115</xdr:rowOff>
    </xdr:from>
    <xdr:to>
      <xdr:col>184</xdr:col>
      <xdr:colOff>34191</xdr:colOff>
      <xdr:row>57</xdr:row>
      <xdr:rowOff>0</xdr:rowOff>
    </xdr:to>
    <xdr:cxnSp macro="">
      <xdr:nvCxnSpPr>
        <xdr:cNvPr id="31" name="AutoShape 4">
          <a:extLst>
            <a:ext uri="{FF2B5EF4-FFF2-40B4-BE49-F238E27FC236}">
              <a16:creationId xmlns:a16="http://schemas.microsoft.com/office/drawing/2014/main" id="{362149EF-4326-4396-83DF-A46D28265CCA}"/>
            </a:ext>
          </a:extLst>
        </xdr:cNvPr>
        <xdr:cNvCxnSpPr>
          <a:cxnSpLocks noChangeShapeType="1"/>
        </xdr:cNvCxnSpPr>
      </xdr:nvCxnSpPr>
      <xdr:spPr bwMode="auto">
        <a:xfrm flipV="1">
          <a:off x="40048960" y="636953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187</xdr:col>
      <xdr:colOff>126997</xdr:colOff>
      <xdr:row>52</xdr:row>
      <xdr:rowOff>117718</xdr:rowOff>
    </xdr:from>
    <xdr:to>
      <xdr:col>192</xdr:col>
      <xdr:colOff>4882</xdr:colOff>
      <xdr:row>56</xdr:row>
      <xdr:rowOff>128953</xdr:rowOff>
    </xdr:to>
    <xdr:cxnSp macro="">
      <xdr:nvCxnSpPr>
        <xdr:cNvPr id="33" name="AutoShape 4">
          <a:extLst>
            <a:ext uri="{FF2B5EF4-FFF2-40B4-BE49-F238E27FC236}">
              <a16:creationId xmlns:a16="http://schemas.microsoft.com/office/drawing/2014/main" id="{33A61403-0964-46EF-9C89-8823C50520BA}"/>
            </a:ext>
          </a:extLst>
        </xdr:cNvPr>
        <xdr:cNvCxnSpPr>
          <a:cxnSpLocks noChangeShapeType="1"/>
        </xdr:cNvCxnSpPr>
      </xdr:nvCxnSpPr>
      <xdr:spPr bwMode="auto">
        <a:xfrm flipV="1">
          <a:off x="40957497" y="6372468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192</xdr:col>
      <xdr:colOff>974</xdr:colOff>
      <xdr:row>52</xdr:row>
      <xdr:rowOff>123580</xdr:rowOff>
    </xdr:from>
    <xdr:to>
      <xdr:col>196</xdr:col>
      <xdr:colOff>5859</xdr:colOff>
      <xdr:row>57</xdr:row>
      <xdr:rowOff>1465</xdr:rowOff>
    </xdr:to>
    <xdr:cxnSp macro="">
      <xdr:nvCxnSpPr>
        <xdr:cNvPr id="34" name="AutoShape 4">
          <a:extLst>
            <a:ext uri="{FF2B5EF4-FFF2-40B4-BE49-F238E27FC236}">
              <a16:creationId xmlns:a16="http://schemas.microsoft.com/office/drawing/2014/main" id="{B557AFF1-FB19-4016-87A3-D344C77D0D2B}"/>
            </a:ext>
          </a:extLst>
        </xdr:cNvPr>
        <xdr:cNvCxnSpPr>
          <a:cxnSpLocks noChangeShapeType="1"/>
        </xdr:cNvCxnSpPr>
      </xdr:nvCxnSpPr>
      <xdr:spPr bwMode="auto">
        <a:xfrm flipV="1">
          <a:off x="41466474" y="6378330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195</xdr:col>
      <xdr:colOff>126998</xdr:colOff>
      <xdr:row>52</xdr:row>
      <xdr:rowOff>122603</xdr:rowOff>
    </xdr:from>
    <xdr:to>
      <xdr:col>200</xdr:col>
      <xdr:colOff>4883</xdr:colOff>
      <xdr:row>57</xdr:row>
      <xdr:rowOff>488</xdr:rowOff>
    </xdr:to>
    <xdr:cxnSp macro="">
      <xdr:nvCxnSpPr>
        <xdr:cNvPr id="35" name="AutoShape 4">
          <a:extLst>
            <a:ext uri="{FF2B5EF4-FFF2-40B4-BE49-F238E27FC236}">
              <a16:creationId xmlns:a16="http://schemas.microsoft.com/office/drawing/2014/main" id="{1D20F2ED-AF70-4F36-89FD-00FDE7ED514D}"/>
            </a:ext>
          </a:extLst>
        </xdr:cNvPr>
        <xdr:cNvCxnSpPr>
          <a:cxnSpLocks noChangeShapeType="1"/>
        </xdr:cNvCxnSpPr>
      </xdr:nvCxnSpPr>
      <xdr:spPr bwMode="auto">
        <a:xfrm flipV="1">
          <a:off x="41973498" y="6377353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199</xdr:col>
      <xdr:colOff>123090</xdr:colOff>
      <xdr:row>52</xdr:row>
      <xdr:rowOff>113810</xdr:rowOff>
    </xdr:from>
    <xdr:to>
      <xdr:col>204</xdr:col>
      <xdr:colOff>975</xdr:colOff>
      <xdr:row>56</xdr:row>
      <xdr:rowOff>123579</xdr:rowOff>
    </xdr:to>
    <xdr:cxnSp macro="">
      <xdr:nvCxnSpPr>
        <xdr:cNvPr id="36" name="AutoShape 4">
          <a:extLst>
            <a:ext uri="{FF2B5EF4-FFF2-40B4-BE49-F238E27FC236}">
              <a16:creationId xmlns:a16="http://schemas.microsoft.com/office/drawing/2014/main" id="{727DAF3F-1ECB-4C2C-AEAC-DD2330AAE3CE}"/>
            </a:ext>
          </a:extLst>
        </xdr:cNvPr>
        <xdr:cNvCxnSpPr>
          <a:cxnSpLocks noChangeShapeType="1"/>
        </xdr:cNvCxnSpPr>
      </xdr:nvCxnSpPr>
      <xdr:spPr bwMode="auto">
        <a:xfrm flipV="1">
          <a:off x="42477590" y="6368560"/>
          <a:ext cx="512885" cy="52411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203</xdr:col>
      <xdr:colOff>124067</xdr:colOff>
      <xdr:row>52</xdr:row>
      <xdr:rowOff>119672</xdr:rowOff>
    </xdr:from>
    <xdr:to>
      <xdr:col>208</xdr:col>
      <xdr:colOff>1952</xdr:colOff>
      <xdr:row>56</xdr:row>
      <xdr:rowOff>130907</xdr:rowOff>
    </xdr:to>
    <xdr:cxnSp macro="">
      <xdr:nvCxnSpPr>
        <xdr:cNvPr id="37" name="AutoShape 4">
          <a:extLst>
            <a:ext uri="{FF2B5EF4-FFF2-40B4-BE49-F238E27FC236}">
              <a16:creationId xmlns:a16="http://schemas.microsoft.com/office/drawing/2014/main" id="{87280354-5AC1-41BE-ABA2-350376C09E83}"/>
            </a:ext>
          </a:extLst>
        </xdr:cNvPr>
        <xdr:cNvCxnSpPr>
          <a:cxnSpLocks noChangeShapeType="1"/>
        </xdr:cNvCxnSpPr>
      </xdr:nvCxnSpPr>
      <xdr:spPr bwMode="auto">
        <a:xfrm flipV="1">
          <a:off x="42986567" y="63744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208</xdr:col>
      <xdr:colOff>7814</xdr:colOff>
      <xdr:row>52</xdr:row>
      <xdr:rowOff>115765</xdr:rowOff>
    </xdr:from>
    <xdr:to>
      <xdr:col>212</xdr:col>
      <xdr:colOff>12699</xdr:colOff>
      <xdr:row>56</xdr:row>
      <xdr:rowOff>127000</xdr:rowOff>
    </xdr:to>
    <xdr:cxnSp macro="">
      <xdr:nvCxnSpPr>
        <xdr:cNvPr id="38" name="AutoShape 4">
          <a:extLst>
            <a:ext uri="{FF2B5EF4-FFF2-40B4-BE49-F238E27FC236}">
              <a16:creationId xmlns:a16="http://schemas.microsoft.com/office/drawing/2014/main" id="{DE683C21-2F00-4ADB-AFEE-8D67C03E4A91}"/>
            </a:ext>
          </a:extLst>
        </xdr:cNvPr>
        <xdr:cNvCxnSpPr>
          <a:cxnSpLocks noChangeShapeType="1"/>
        </xdr:cNvCxnSpPr>
      </xdr:nvCxnSpPr>
      <xdr:spPr bwMode="auto">
        <a:xfrm flipV="1">
          <a:off x="43505314" y="6370515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211</xdr:col>
      <xdr:colOff>124067</xdr:colOff>
      <xdr:row>53</xdr:row>
      <xdr:rowOff>5372</xdr:rowOff>
    </xdr:from>
    <xdr:to>
      <xdr:col>216</xdr:col>
      <xdr:colOff>1952</xdr:colOff>
      <xdr:row>57</xdr:row>
      <xdr:rowOff>10257</xdr:rowOff>
    </xdr:to>
    <xdr:cxnSp macro="">
      <xdr:nvCxnSpPr>
        <xdr:cNvPr id="39" name="AutoShape 4">
          <a:extLst>
            <a:ext uri="{FF2B5EF4-FFF2-40B4-BE49-F238E27FC236}">
              <a16:creationId xmlns:a16="http://schemas.microsoft.com/office/drawing/2014/main" id="{A3138571-1221-4F57-A3C5-349AB5CD4D81}"/>
            </a:ext>
          </a:extLst>
        </xdr:cNvPr>
        <xdr:cNvCxnSpPr>
          <a:cxnSpLocks noChangeShapeType="1"/>
        </xdr:cNvCxnSpPr>
      </xdr:nvCxnSpPr>
      <xdr:spPr bwMode="auto">
        <a:xfrm flipV="1">
          <a:off x="44002567" y="63871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216</xdr:col>
      <xdr:colOff>7814</xdr:colOff>
      <xdr:row>53</xdr:row>
      <xdr:rowOff>1465</xdr:rowOff>
    </xdr:from>
    <xdr:to>
      <xdr:col>220</xdr:col>
      <xdr:colOff>12699</xdr:colOff>
      <xdr:row>57</xdr:row>
      <xdr:rowOff>6350</xdr:rowOff>
    </xdr:to>
    <xdr:cxnSp macro="">
      <xdr:nvCxnSpPr>
        <xdr:cNvPr id="40" name="AutoShape 4">
          <a:extLst>
            <a:ext uri="{FF2B5EF4-FFF2-40B4-BE49-F238E27FC236}">
              <a16:creationId xmlns:a16="http://schemas.microsoft.com/office/drawing/2014/main" id="{C67B9B0C-7D67-4EBA-BF9A-26B7A9A25065}"/>
            </a:ext>
          </a:extLst>
        </xdr:cNvPr>
        <xdr:cNvCxnSpPr>
          <a:cxnSpLocks noChangeShapeType="1"/>
        </xdr:cNvCxnSpPr>
      </xdr:nvCxnSpPr>
      <xdr:spPr bwMode="auto">
        <a:xfrm flipV="1">
          <a:off x="44521314" y="6383215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216</xdr:col>
      <xdr:colOff>7814</xdr:colOff>
      <xdr:row>53</xdr:row>
      <xdr:rowOff>5372</xdr:rowOff>
    </xdr:from>
    <xdr:to>
      <xdr:col>220</xdr:col>
      <xdr:colOff>12699</xdr:colOff>
      <xdr:row>57</xdr:row>
      <xdr:rowOff>10257</xdr:rowOff>
    </xdr:to>
    <xdr:cxnSp macro="">
      <xdr:nvCxnSpPr>
        <xdr:cNvPr id="41" name="AutoShape 4">
          <a:extLst>
            <a:ext uri="{FF2B5EF4-FFF2-40B4-BE49-F238E27FC236}">
              <a16:creationId xmlns:a16="http://schemas.microsoft.com/office/drawing/2014/main" id="{FB6E92F0-33F4-4948-AAFF-029B6E9410F3}"/>
            </a:ext>
          </a:extLst>
        </xdr:cNvPr>
        <xdr:cNvCxnSpPr>
          <a:cxnSpLocks noChangeShapeType="1"/>
        </xdr:cNvCxnSpPr>
      </xdr:nvCxnSpPr>
      <xdr:spPr bwMode="auto">
        <a:xfrm flipV="1">
          <a:off x="44521314" y="63871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231</xdr:col>
      <xdr:colOff>132861</xdr:colOff>
      <xdr:row>53</xdr:row>
      <xdr:rowOff>1465</xdr:rowOff>
    </xdr:from>
    <xdr:to>
      <xdr:col>235</xdr:col>
      <xdr:colOff>128221</xdr:colOff>
      <xdr:row>57</xdr:row>
      <xdr:rowOff>6350</xdr:rowOff>
    </xdr:to>
    <xdr:cxnSp macro="">
      <xdr:nvCxnSpPr>
        <xdr:cNvPr id="42" name="AutoShape 4">
          <a:extLst>
            <a:ext uri="{FF2B5EF4-FFF2-40B4-BE49-F238E27FC236}">
              <a16:creationId xmlns:a16="http://schemas.microsoft.com/office/drawing/2014/main" id="{996FA4C8-3FCB-4E6B-942F-4746705F3536}"/>
            </a:ext>
          </a:extLst>
        </xdr:cNvPr>
        <xdr:cNvCxnSpPr>
          <a:cxnSpLocks noChangeShapeType="1"/>
        </xdr:cNvCxnSpPr>
      </xdr:nvCxnSpPr>
      <xdr:spPr bwMode="auto">
        <a:xfrm flipV="1">
          <a:off x="47538786" y="7450015"/>
          <a:ext cx="528760" cy="58591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172</xdr:col>
      <xdr:colOff>5860</xdr:colOff>
      <xdr:row>52</xdr:row>
      <xdr:rowOff>121627</xdr:rowOff>
    </xdr:from>
    <xdr:to>
      <xdr:col>176</xdr:col>
      <xdr:colOff>10745</xdr:colOff>
      <xdr:row>56</xdr:row>
      <xdr:rowOff>132862</xdr:rowOff>
    </xdr:to>
    <xdr:cxnSp macro="">
      <xdr:nvCxnSpPr>
        <xdr:cNvPr id="43" name="AutoShape 4">
          <a:extLst>
            <a:ext uri="{FF2B5EF4-FFF2-40B4-BE49-F238E27FC236}">
              <a16:creationId xmlns:a16="http://schemas.microsoft.com/office/drawing/2014/main" id="{8C11F32B-C65B-47BD-80DD-F7DED8BE1365}"/>
            </a:ext>
          </a:extLst>
        </xdr:cNvPr>
        <xdr:cNvCxnSpPr>
          <a:cxnSpLocks noChangeShapeType="1"/>
        </xdr:cNvCxnSpPr>
      </xdr:nvCxnSpPr>
      <xdr:spPr bwMode="auto">
        <a:xfrm flipV="1">
          <a:off x="38931360" y="6376377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3%20Rate%20Review\2023%20Commercial%20Exhibit.xlsx" TargetMode="External"/><Relationship Id="rId1" Type="http://schemas.openxmlformats.org/officeDocument/2006/relationships/externalLinkPath" Target="/Actuarial/Tier%203%20-%20Internal%20Use%20Secured/TWIA/Reviews/2023%20Rate%20Review/2023%20Commercial%20Exhibi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4%20Rate%20Review\2024%20Data.xls" TargetMode="External"/><Relationship Id="rId1" Type="http://schemas.openxmlformats.org/officeDocument/2006/relationships/externalLinkPath" Target="/Actuarial/Tier%203%20-%20Internal%20Use%20Secured/TWIA/Reviews/2024%20Rate%20Review/2024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4%20Rate%20Review\2024%20Residential%20Exhibits.xlsx" TargetMode="External"/><Relationship Id="rId1" Type="http://schemas.openxmlformats.org/officeDocument/2006/relationships/externalLinkPath" Target="/Actuarial/Tier%203%20-%20Internal%20Use%20Secured/TWIA/Reviews/2024%20Rate%20Review/2024%20Residential%20Exhibit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4%20Rate%20Review\Reinsurance\2024-2025%20Reinsurance%20Costs.xlsx" TargetMode="External"/><Relationship Id="rId1" Type="http://schemas.openxmlformats.org/officeDocument/2006/relationships/externalLinkPath" Target="/Actuarial/Tier%203%20-%20Internal%20Use%20Secured/TWIA/Reviews/2024%20Rate%20Review/Reinsurance/2024-2025%20Reinsurance%20Cost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4%20Rate%20Review\Reinsurance\TWIA_20231130_CatXOL_CededEL_byLOB.xlsx" TargetMode="External"/><Relationship Id="rId1" Type="http://schemas.openxmlformats.org/officeDocument/2006/relationships/externalLinkPath" Target="/Actuarial/Tier%203%20-%20Internal%20Use%20Secured/TWIA/Reviews/2024%20Rate%20Review/Reinsurance/TWIA_20231130_CatXOL_CededEL_byLO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Table of Contents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8.1"/>
      <sheetName val="8.2"/>
      <sheetName val="8.3"/>
      <sheetName val="8.4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>
        <row r="15">
          <cell r="H15">
            <v>0.22</v>
          </cell>
        </row>
        <row r="19">
          <cell r="H19">
            <v>0.13</v>
          </cell>
        </row>
        <row r="21">
          <cell r="H21">
            <v>0.57999999999999996</v>
          </cell>
        </row>
        <row r="22">
          <cell r="H22">
            <v>0.39</v>
          </cell>
        </row>
        <row r="23">
          <cell r="H23">
            <v>0.09</v>
          </cell>
        </row>
        <row r="24">
          <cell r="H24">
            <v>0.16</v>
          </cell>
        </row>
        <row r="26">
          <cell r="H26">
            <v>0.30331858066624351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E14">
            <v>12911</v>
          </cell>
        </row>
      </sheetData>
      <sheetData sheetId="15">
        <row r="14">
          <cell r="C14">
            <v>77204</v>
          </cell>
        </row>
      </sheetData>
      <sheetData sheetId="16">
        <row r="13">
          <cell r="G13">
            <v>1318</v>
          </cell>
        </row>
      </sheetData>
      <sheetData sheetId="17">
        <row r="14">
          <cell r="C14">
            <v>516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3">
          <cell r="B33" t="str">
            <v>In-Force Premium as of 11/30/22 at Present Rates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>
        <row r="14">
          <cell r="A14">
            <v>1851</v>
          </cell>
        </row>
      </sheetData>
      <sheetData sheetId="35"/>
      <sheetData sheetId="36"/>
      <sheetData sheetId="37"/>
      <sheetData sheetId="38">
        <row r="11">
          <cell r="L11">
            <v>44926</v>
          </cell>
        </row>
      </sheetData>
      <sheetData sheetId="39">
        <row r="7">
          <cell r="D7" t="str">
            <v>Combined</v>
          </cell>
        </row>
      </sheetData>
      <sheetData sheetId="40"/>
      <sheetData sheetId="41">
        <row r="14">
          <cell r="C14">
            <v>10672677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  <sheetName val="PremIF"/>
      <sheetName val="Checklist"/>
    </sheetNames>
    <sheetDataSet>
      <sheetData sheetId="0">
        <row r="1">
          <cell r="E1">
            <v>45291</v>
          </cell>
        </row>
        <row r="2">
          <cell r="E2">
            <v>45291</v>
          </cell>
        </row>
        <row r="35">
          <cell r="O35">
            <v>38347378</v>
          </cell>
          <cell r="P35">
            <v>28148014</v>
          </cell>
          <cell r="Q35">
            <v>68174178</v>
          </cell>
          <cell r="R35">
            <v>106263316</v>
          </cell>
          <cell r="T35">
            <v>258179</v>
          </cell>
          <cell r="U35">
            <v>1110819</v>
          </cell>
          <cell r="V35">
            <v>996584</v>
          </cell>
          <cell r="W35">
            <v>5735588</v>
          </cell>
        </row>
        <row r="36">
          <cell r="O36">
            <v>36872004</v>
          </cell>
          <cell r="P36">
            <v>26771800</v>
          </cell>
          <cell r="Q36">
            <v>62527205</v>
          </cell>
          <cell r="R36">
            <v>107983965</v>
          </cell>
          <cell r="T36">
            <v>5027267</v>
          </cell>
          <cell r="U36">
            <v>1289267</v>
          </cell>
          <cell r="V36">
            <v>15894931</v>
          </cell>
          <cell r="W36">
            <v>17102994</v>
          </cell>
        </row>
        <row r="37">
          <cell r="O37">
            <v>36252372</v>
          </cell>
          <cell r="P37">
            <v>22867664</v>
          </cell>
          <cell r="Q37">
            <v>57364072</v>
          </cell>
          <cell r="R37">
            <v>101520013</v>
          </cell>
          <cell r="T37">
            <v>331694</v>
          </cell>
          <cell r="U37">
            <v>2164326</v>
          </cell>
          <cell r="V37">
            <v>2363193</v>
          </cell>
          <cell r="W37">
            <v>34371973</v>
          </cell>
        </row>
        <row r="38">
          <cell r="O38">
            <v>32364563</v>
          </cell>
          <cell r="P38">
            <v>19215442</v>
          </cell>
          <cell r="Q38">
            <v>45752402</v>
          </cell>
          <cell r="R38">
            <v>93448164</v>
          </cell>
          <cell r="T38">
            <v>27347012</v>
          </cell>
          <cell r="U38">
            <v>250393484</v>
          </cell>
          <cell r="V38">
            <v>224437428</v>
          </cell>
          <cell r="W38">
            <v>128790753</v>
          </cell>
        </row>
        <row r="39">
          <cell r="O39">
            <v>32179195</v>
          </cell>
          <cell r="P39">
            <v>18331424</v>
          </cell>
          <cell r="Q39">
            <v>42451251</v>
          </cell>
          <cell r="R39">
            <v>96212608</v>
          </cell>
          <cell r="T39">
            <v>110422</v>
          </cell>
          <cell r="U39">
            <v>387950</v>
          </cell>
          <cell r="V39">
            <v>805050</v>
          </cell>
          <cell r="W39">
            <v>14268532</v>
          </cell>
        </row>
        <row r="40">
          <cell r="O40">
            <v>32106423</v>
          </cell>
          <cell r="P40">
            <v>16405992</v>
          </cell>
          <cell r="Q40">
            <v>40593983</v>
          </cell>
          <cell r="R40">
            <v>96321965</v>
          </cell>
          <cell r="T40">
            <v>369052</v>
          </cell>
          <cell r="U40">
            <v>147300</v>
          </cell>
          <cell r="V40">
            <v>2761830</v>
          </cell>
          <cell r="W40">
            <v>17258166</v>
          </cell>
        </row>
        <row r="41">
          <cell r="O41">
            <v>32767876</v>
          </cell>
          <cell r="P41">
            <v>16076264</v>
          </cell>
          <cell r="Q41">
            <v>40880312</v>
          </cell>
          <cell r="R41">
            <v>100503267</v>
          </cell>
          <cell r="T41">
            <v>870161</v>
          </cell>
          <cell r="U41">
            <v>1441041</v>
          </cell>
          <cell r="V41">
            <v>6669659</v>
          </cell>
          <cell r="W41">
            <v>26805567</v>
          </cell>
        </row>
        <row r="42">
          <cell r="O42">
            <v>33150139</v>
          </cell>
          <cell r="P42">
            <v>17132906</v>
          </cell>
          <cell r="Q42">
            <v>41224994</v>
          </cell>
          <cell r="R42">
            <v>106850988</v>
          </cell>
          <cell r="T42">
            <v>7049722</v>
          </cell>
          <cell r="U42">
            <v>53835</v>
          </cell>
          <cell r="V42">
            <v>3488124</v>
          </cell>
          <cell r="W42">
            <v>26116610</v>
          </cell>
        </row>
        <row r="43">
          <cell r="O43">
            <v>41125034</v>
          </cell>
          <cell r="P43">
            <v>23463692</v>
          </cell>
          <cell r="Q43">
            <v>48496297</v>
          </cell>
          <cell r="R43">
            <v>123023200</v>
          </cell>
          <cell r="T43">
            <v>1000709</v>
          </cell>
          <cell r="U43">
            <v>237342</v>
          </cell>
          <cell r="V43">
            <v>2042676</v>
          </cell>
          <cell r="W43">
            <v>14112407</v>
          </cell>
        </row>
        <row r="44">
          <cell r="O44">
            <v>50188953</v>
          </cell>
          <cell r="P44">
            <v>35525342</v>
          </cell>
          <cell r="Q44">
            <v>70862455</v>
          </cell>
          <cell r="R44">
            <v>144097558</v>
          </cell>
          <cell r="T44">
            <v>382252</v>
          </cell>
          <cell r="U44">
            <v>882298</v>
          </cell>
          <cell r="V44">
            <v>5189022</v>
          </cell>
          <cell r="W44">
            <v>14768794</v>
          </cell>
        </row>
        <row r="48">
          <cell r="O48">
            <v>0.8037038287067918</v>
          </cell>
          <cell r="P48">
            <v>0.83032597247441198</v>
          </cell>
          <cell r="Q48">
            <v>0.62674912866661359</v>
          </cell>
          <cell r="R48">
            <v>7.6080714211664456E-3</v>
          </cell>
        </row>
      </sheetData>
      <sheetData sheetId="1"/>
      <sheetData sheetId="2">
        <row r="1">
          <cell r="E1">
            <v>45199</v>
          </cell>
        </row>
      </sheetData>
      <sheetData sheetId="3">
        <row r="1">
          <cell r="E1">
            <v>45199</v>
          </cell>
        </row>
      </sheetData>
      <sheetData sheetId="4">
        <row r="5">
          <cell r="E5">
            <v>536224205</v>
          </cell>
          <cell r="K5">
            <v>2613093.1020999998</v>
          </cell>
        </row>
        <row r="6">
          <cell r="E6">
            <v>878166104.04999995</v>
          </cell>
          <cell r="K6">
            <v>3650300.7189000002</v>
          </cell>
        </row>
        <row r="7">
          <cell r="E7">
            <v>165658840</v>
          </cell>
          <cell r="K7">
            <v>1012735.8596</v>
          </cell>
        </row>
        <row r="8">
          <cell r="E8">
            <v>1848470805</v>
          </cell>
          <cell r="K8">
            <v>11126686.0024</v>
          </cell>
        </row>
        <row r="9">
          <cell r="E9">
            <v>96386545</v>
          </cell>
          <cell r="K9">
            <v>347692.93050000002</v>
          </cell>
        </row>
        <row r="10">
          <cell r="E10">
            <v>3751782559.5999999</v>
          </cell>
          <cell r="K10">
            <v>30357430.271899998</v>
          </cell>
        </row>
        <row r="11">
          <cell r="E11">
            <v>229713500</v>
          </cell>
          <cell r="K11">
            <v>888897.22900000005</v>
          </cell>
        </row>
        <row r="12">
          <cell r="E12">
            <v>1018539599.1</v>
          </cell>
          <cell r="K12">
            <v>3099585.5814999999</v>
          </cell>
        </row>
        <row r="13">
          <cell r="E13">
            <v>0</v>
          </cell>
          <cell r="K13">
            <v>0</v>
          </cell>
        </row>
        <row r="14">
          <cell r="E14">
            <v>70659590</v>
          </cell>
          <cell r="K14">
            <v>184851.7151</v>
          </cell>
        </row>
        <row r="15">
          <cell r="E15">
            <v>154472330</v>
          </cell>
          <cell r="K15">
            <v>812892.06200000003</v>
          </cell>
        </row>
        <row r="16">
          <cell r="E16">
            <v>3830431080</v>
          </cell>
          <cell r="K16">
            <v>19314998.021200001</v>
          </cell>
        </row>
        <row r="17">
          <cell r="E17">
            <v>21459900</v>
          </cell>
          <cell r="K17">
            <v>84178.171900000001</v>
          </cell>
        </row>
        <row r="18">
          <cell r="E18">
            <v>250472880</v>
          </cell>
          <cell r="K18">
            <v>1024170.6182</v>
          </cell>
        </row>
        <row r="19">
          <cell r="E19">
            <v>25499030</v>
          </cell>
          <cell r="K19">
            <v>100647.5549</v>
          </cell>
        </row>
        <row r="29">
          <cell r="K29">
            <v>2333854.6436999999</v>
          </cell>
        </row>
        <row r="30">
          <cell r="K30">
            <v>3130623.5597999999</v>
          </cell>
        </row>
        <row r="31">
          <cell r="K31">
            <v>692358.10510000004</v>
          </cell>
        </row>
        <row r="32">
          <cell r="K32">
            <v>9725582.6837000009</v>
          </cell>
        </row>
        <row r="33">
          <cell r="K33">
            <v>281311.18430000002</v>
          </cell>
        </row>
        <row r="34">
          <cell r="K34">
            <v>40938680.446699999</v>
          </cell>
        </row>
        <row r="35">
          <cell r="K35">
            <v>980008.32490000001</v>
          </cell>
        </row>
        <row r="36">
          <cell r="K36">
            <v>2872625.5561000002</v>
          </cell>
        </row>
        <row r="37">
          <cell r="K37">
            <v>0</v>
          </cell>
        </row>
        <row r="38">
          <cell r="K38">
            <v>118575.5533</v>
          </cell>
        </row>
        <row r="39">
          <cell r="K39">
            <v>649205.69219999993</v>
          </cell>
        </row>
        <row r="40">
          <cell r="K40">
            <v>18120523.293200001</v>
          </cell>
        </row>
        <row r="41">
          <cell r="K41">
            <v>40218.209199999998</v>
          </cell>
        </row>
        <row r="42">
          <cell r="K42">
            <v>717081.5702999999</v>
          </cell>
        </row>
        <row r="43">
          <cell r="K43">
            <v>70522.438899999994</v>
          </cell>
        </row>
        <row r="50">
          <cell r="K50">
            <v>1740155.5357128801</v>
          </cell>
        </row>
        <row r="51">
          <cell r="K51">
            <v>1747722.92554277</v>
          </cell>
        </row>
        <row r="52">
          <cell r="K52">
            <v>440205.22430571599</v>
          </cell>
        </row>
        <row r="53">
          <cell r="K53">
            <v>5690415.7504992001</v>
          </cell>
        </row>
        <row r="54">
          <cell r="K54">
            <v>166145.86162641199</v>
          </cell>
        </row>
        <row r="55">
          <cell r="K55">
            <v>10789402.920445601</v>
          </cell>
        </row>
        <row r="56">
          <cell r="K56">
            <v>252485.11639591379</v>
          </cell>
        </row>
        <row r="57">
          <cell r="K57">
            <v>1206234.1378020849</v>
          </cell>
        </row>
        <row r="58">
          <cell r="K58">
            <v>0</v>
          </cell>
        </row>
        <row r="59">
          <cell r="K59">
            <v>126620.22945341701</v>
          </cell>
        </row>
        <row r="60">
          <cell r="K60">
            <v>457651.98810875206</v>
          </cell>
        </row>
        <row r="61">
          <cell r="K61">
            <v>12140578.3296372</v>
          </cell>
        </row>
        <row r="62">
          <cell r="K62">
            <v>72745.686337366802</v>
          </cell>
        </row>
        <row r="63">
          <cell r="K63">
            <v>601470.71084929397</v>
          </cell>
        </row>
        <row r="64">
          <cell r="K64">
            <v>78002.8069713359</v>
          </cell>
        </row>
        <row r="70">
          <cell r="K70">
            <v>2024416.71645498</v>
          </cell>
        </row>
        <row r="71">
          <cell r="K71">
            <v>2701722.4729796462</v>
          </cell>
        </row>
        <row r="72">
          <cell r="K72">
            <v>601784.38504661305</v>
          </cell>
        </row>
        <row r="73">
          <cell r="K73">
            <v>6762260.1069727</v>
          </cell>
        </row>
        <row r="74">
          <cell r="K74">
            <v>280878.54563951498</v>
          </cell>
        </row>
        <row r="75">
          <cell r="K75">
            <v>22269291.214417499</v>
          </cell>
        </row>
        <row r="76">
          <cell r="K76">
            <v>837176.30215382623</v>
          </cell>
        </row>
        <row r="77">
          <cell r="K77">
            <v>3720931.2133219298</v>
          </cell>
        </row>
        <row r="78">
          <cell r="K78">
            <v>0</v>
          </cell>
        </row>
        <row r="79">
          <cell r="K79">
            <v>153991.668534219</v>
          </cell>
        </row>
        <row r="80">
          <cell r="K80">
            <v>613464.67749191856</v>
          </cell>
        </row>
        <row r="81">
          <cell r="K81">
            <v>12740416.7770485</v>
          </cell>
        </row>
        <row r="82">
          <cell r="K82">
            <v>53179.942039489702</v>
          </cell>
        </row>
        <row r="83">
          <cell r="K83">
            <v>606442.69054479431</v>
          </cell>
        </row>
        <row r="84">
          <cell r="K84">
            <v>71025.535125566603</v>
          </cell>
        </row>
      </sheetData>
      <sheetData sheetId="5">
        <row r="1">
          <cell r="B1">
            <v>45199</v>
          </cell>
        </row>
      </sheetData>
      <sheetData sheetId="6"/>
      <sheetData sheetId="7">
        <row r="5">
          <cell r="W5">
            <v>1056280.8</v>
          </cell>
        </row>
        <row r="11">
          <cell r="H11">
            <v>1056280.8</v>
          </cell>
          <cell r="J11">
            <v>0</v>
          </cell>
          <cell r="L11">
            <v>1056280.8</v>
          </cell>
          <cell r="M11">
            <v>6098077.21</v>
          </cell>
        </row>
        <row r="12">
          <cell r="H12">
            <v>18718278.780000001</v>
          </cell>
          <cell r="J12">
            <v>0</v>
          </cell>
          <cell r="L12">
            <v>18718278.780000001</v>
          </cell>
          <cell r="M12">
            <v>120286468.78</v>
          </cell>
        </row>
        <row r="13">
          <cell r="H13">
            <v>2551121.67</v>
          </cell>
          <cell r="J13">
            <v>0</v>
          </cell>
          <cell r="L13">
            <v>2551121.67</v>
          </cell>
          <cell r="M13">
            <v>25645894.620000001</v>
          </cell>
        </row>
        <row r="14">
          <cell r="H14">
            <v>2000222</v>
          </cell>
          <cell r="J14">
            <v>466680914.27999997</v>
          </cell>
          <cell r="L14">
            <v>468681136.27999997</v>
          </cell>
          <cell r="M14">
            <v>933998619.15999997</v>
          </cell>
        </row>
        <row r="15">
          <cell r="H15">
            <v>251357.35</v>
          </cell>
          <cell r="J15">
            <v>0</v>
          </cell>
          <cell r="L15">
            <v>251357.35</v>
          </cell>
          <cell r="M15">
            <v>11862645.09</v>
          </cell>
        </row>
        <row r="16">
          <cell r="H16">
            <v>941867.1</v>
          </cell>
          <cell r="J16">
            <v>0</v>
          </cell>
          <cell r="L16">
            <v>941867.1</v>
          </cell>
          <cell r="M16">
            <v>16664642.220000001</v>
          </cell>
        </row>
        <row r="17">
          <cell r="H17">
            <v>844548.33</v>
          </cell>
          <cell r="J17">
            <v>6288010.3499999996</v>
          </cell>
          <cell r="L17">
            <v>7132558.6799999997</v>
          </cell>
          <cell r="M17">
            <v>57024576.700000003</v>
          </cell>
        </row>
        <row r="18">
          <cell r="H18">
            <v>797940.1</v>
          </cell>
          <cell r="J18">
            <v>7267565.6500000004</v>
          </cell>
          <cell r="L18">
            <v>8065505.75</v>
          </cell>
          <cell r="M18">
            <v>57925110.600000001</v>
          </cell>
        </row>
        <row r="19">
          <cell r="H19">
            <v>1447224.99</v>
          </cell>
          <cell r="J19">
            <v>0</v>
          </cell>
          <cell r="L19">
            <v>1447224.99</v>
          </cell>
          <cell r="M19">
            <v>25299995.450000003</v>
          </cell>
        </row>
        <row r="20">
          <cell r="H20">
            <v>4229429.1500000004</v>
          </cell>
          <cell r="J20">
            <v>0</v>
          </cell>
          <cell r="L20">
            <v>4229429.1500000004</v>
          </cell>
          <cell r="M20">
            <v>53433452.68</v>
          </cell>
        </row>
      </sheetData>
      <sheetData sheetId="8">
        <row r="33">
          <cell r="B33">
            <v>23028882</v>
          </cell>
        </row>
        <row r="34">
          <cell r="B34">
            <v>35219745</v>
          </cell>
          <cell r="C34">
            <v>8964</v>
          </cell>
        </row>
        <row r="35">
          <cell r="B35">
            <v>29887118</v>
          </cell>
          <cell r="C35">
            <v>8292</v>
          </cell>
        </row>
        <row r="36">
          <cell r="B36">
            <v>21627063</v>
          </cell>
          <cell r="C36">
            <v>6088</v>
          </cell>
        </row>
        <row r="37">
          <cell r="B37">
            <v>24808373</v>
          </cell>
          <cell r="C37">
            <v>6464</v>
          </cell>
        </row>
        <row r="38">
          <cell r="B38">
            <v>33339199</v>
          </cell>
          <cell r="C38">
            <v>7870</v>
          </cell>
        </row>
        <row r="39">
          <cell r="B39">
            <v>28055666</v>
          </cell>
          <cell r="C39">
            <v>7657</v>
          </cell>
        </row>
        <row r="40">
          <cell r="B40">
            <v>17430504</v>
          </cell>
          <cell r="C40">
            <v>4802</v>
          </cell>
        </row>
        <row r="41">
          <cell r="B41">
            <v>22487925</v>
          </cell>
          <cell r="C41">
            <v>5512</v>
          </cell>
        </row>
        <row r="42">
          <cell r="B42">
            <v>28623450</v>
          </cell>
          <cell r="C42">
            <v>6522</v>
          </cell>
        </row>
        <row r="43">
          <cell r="B43">
            <v>25417054</v>
          </cell>
          <cell r="C43">
            <v>6507</v>
          </cell>
        </row>
        <row r="44">
          <cell r="B44">
            <v>14955154</v>
          </cell>
          <cell r="C44">
            <v>4047</v>
          </cell>
        </row>
        <row r="45">
          <cell r="B45">
            <v>17482209</v>
          </cell>
          <cell r="C45">
            <v>4263</v>
          </cell>
        </row>
        <row r="46">
          <cell r="B46">
            <v>25224489</v>
          </cell>
          <cell r="C46">
            <v>5717</v>
          </cell>
        </row>
        <row r="47">
          <cell r="B47">
            <v>19050031</v>
          </cell>
          <cell r="C47">
            <v>5172</v>
          </cell>
        </row>
        <row r="48">
          <cell r="B48">
            <v>13077837</v>
          </cell>
          <cell r="C48">
            <v>3489</v>
          </cell>
        </row>
        <row r="49">
          <cell r="B49">
            <v>15807970</v>
          </cell>
          <cell r="C49">
            <v>3663</v>
          </cell>
        </row>
        <row r="50">
          <cell r="B50">
            <v>22862777</v>
          </cell>
          <cell r="C50">
            <v>5108</v>
          </cell>
        </row>
        <row r="51">
          <cell r="B51">
            <v>17927115</v>
          </cell>
          <cell r="C51">
            <v>4612</v>
          </cell>
        </row>
        <row r="52">
          <cell r="B52">
            <v>12284401</v>
          </cell>
          <cell r="C52">
            <v>3109</v>
          </cell>
        </row>
        <row r="53">
          <cell r="B53">
            <v>14759154</v>
          </cell>
          <cell r="C53">
            <v>2933</v>
          </cell>
        </row>
        <row r="54">
          <cell r="B54">
            <v>20959587</v>
          </cell>
          <cell r="C54">
            <v>4431</v>
          </cell>
        </row>
        <row r="55">
          <cell r="B55">
            <v>14943999</v>
          </cell>
          <cell r="C55">
            <v>3993</v>
          </cell>
        </row>
        <row r="56">
          <cell r="B56">
            <v>12109737</v>
          </cell>
          <cell r="C56">
            <v>2966</v>
          </cell>
        </row>
        <row r="57">
          <cell r="B57">
            <v>14566185</v>
          </cell>
          <cell r="C57">
            <v>2719</v>
          </cell>
        </row>
        <row r="58">
          <cell r="B58">
            <v>18776705</v>
          </cell>
          <cell r="C58">
            <v>3982</v>
          </cell>
        </row>
        <row r="59">
          <cell r="B59">
            <v>15951658</v>
          </cell>
          <cell r="C59">
            <v>3970</v>
          </cell>
        </row>
        <row r="60">
          <cell r="B60">
            <v>13543203</v>
          </cell>
          <cell r="C60">
            <v>2710</v>
          </cell>
        </row>
        <row r="61">
          <cell r="B61">
            <v>12672604</v>
          </cell>
          <cell r="C61">
            <v>2521</v>
          </cell>
        </row>
        <row r="62">
          <cell r="B62">
            <v>20348072</v>
          </cell>
          <cell r="C62">
            <v>4228</v>
          </cell>
        </row>
        <row r="63">
          <cell r="B63">
            <v>16793147</v>
          </cell>
          <cell r="C63">
            <v>3892</v>
          </cell>
        </row>
        <row r="64">
          <cell r="B64">
            <v>16369478</v>
          </cell>
          <cell r="C64">
            <v>3112</v>
          </cell>
        </row>
        <row r="65">
          <cell r="B65">
            <v>15396927</v>
          </cell>
          <cell r="C65">
            <v>2725</v>
          </cell>
        </row>
        <row r="66">
          <cell r="B66">
            <v>25560832</v>
          </cell>
          <cell r="C66">
            <v>4642</v>
          </cell>
        </row>
        <row r="67">
          <cell r="B67">
            <v>29199819</v>
          </cell>
          <cell r="C67">
            <v>5337</v>
          </cell>
        </row>
        <row r="68">
          <cell r="B68">
            <v>22787093</v>
          </cell>
          <cell r="C68">
            <v>3496</v>
          </cell>
        </row>
        <row r="69">
          <cell r="B69">
            <v>22499113</v>
          </cell>
          <cell r="C69">
            <v>3273</v>
          </cell>
        </row>
        <row r="70">
          <cell r="B70">
            <v>44485048</v>
          </cell>
          <cell r="C70">
            <v>6379</v>
          </cell>
        </row>
        <row r="71">
          <cell r="B71">
            <v>38901087</v>
          </cell>
          <cell r="C71">
            <v>6029</v>
          </cell>
        </row>
        <row r="72">
          <cell r="B72">
            <v>30360734</v>
          </cell>
          <cell r="C72">
            <v>4278</v>
          </cell>
        </row>
      </sheetData>
      <sheetData sheetId="9">
        <row r="23">
          <cell r="X23">
            <v>40162381</v>
          </cell>
        </row>
        <row r="24">
          <cell r="X24">
            <v>35190436</v>
          </cell>
        </row>
        <row r="25">
          <cell r="X25">
            <v>52865719</v>
          </cell>
        </row>
        <row r="26">
          <cell r="X26">
            <v>1944202</v>
          </cell>
        </row>
        <row r="297">
          <cell r="C297">
            <v>29220514</v>
          </cell>
          <cell r="D297">
            <v>58573191</v>
          </cell>
          <cell r="I297">
            <v>2.6891459199349992</v>
          </cell>
        </row>
        <row r="298">
          <cell r="C298">
            <v>31009323</v>
          </cell>
          <cell r="D298">
            <v>71292702</v>
          </cell>
          <cell r="I298">
            <v>2.448174392695059</v>
          </cell>
        </row>
        <row r="299">
          <cell r="C299">
            <v>35740174</v>
          </cell>
          <cell r="D299">
            <v>78094458</v>
          </cell>
          <cell r="I299">
            <v>2.2196457159722458</v>
          </cell>
        </row>
        <row r="300">
          <cell r="C300">
            <v>76847840</v>
          </cell>
          <cell r="D300">
            <v>119658576</v>
          </cell>
          <cell r="I300">
            <v>2.0368887779518374</v>
          </cell>
        </row>
        <row r="301">
          <cell r="C301">
            <v>110951718</v>
          </cell>
          <cell r="D301">
            <v>203561196</v>
          </cell>
          <cell r="I301">
            <v>1.8570470989540067</v>
          </cell>
        </row>
        <row r="302">
          <cell r="C302">
            <v>98036118.420000017</v>
          </cell>
          <cell r="D302">
            <v>232925989.76999998</v>
          </cell>
          <cell r="I302">
            <v>1.7641482522914038</v>
          </cell>
        </row>
        <row r="303">
          <cell r="C303">
            <v>111269572.63</v>
          </cell>
          <cell r="D303">
            <v>269535059.02999997</v>
          </cell>
          <cell r="I303">
            <v>1.5997647448930246</v>
          </cell>
        </row>
        <row r="304">
          <cell r="C304">
            <v>102174679.52999991</v>
          </cell>
          <cell r="D304">
            <v>278116922.00999999</v>
          </cell>
          <cell r="I304">
            <v>1.4780006228698483</v>
          </cell>
        </row>
        <row r="305">
          <cell r="C305">
            <v>100017021</v>
          </cell>
          <cell r="D305">
            <v>307494236.20000005</v>
          </cell>
          <cell r="I305">
            <v>1.4430316100910405</v>
          </cell>
        </row>
        <row r="306">
          <cell r="C306">
            <v>110524396.51999998</v>
          </cell>
          <cell r="D306">
            <v>335795725.19999981</v>
          </cell>
          <cell r="I306">
            <v>1.3723433115836108</v>
          </cell>
        </row>
        <row r="307">
          <cell r="C307">
            <v>112904624</v>
          </cell>
          <cell r="D307">
            <v>360838080.7099998</v>
          </cell>
          <cell r="I307">
            <v>1.3075797103216005</v>
          </cell>
        </row>
        <row r="308">
          <cell r="C308">
            <v>104642688</v>
          </cell>
          <cell r="D308">
            <v>389333918.13999987</v>
          </cell>
          <cell r="I308">
            <v>1.2467307484438648</v>
          </cell>
        </row>
        <row r="309">
          <cell r="C309">
            <v>98715934</v>
          </cell>
          <cell r="D309">
            <v>407969846.0800004</v>
          </cell>
          <cell r="I309">
            <v>1.1863253854339271</v>
          </cell>
        </row>
        <row r="310">
          <cell r="C310">
            <v>88278690</v>
          </cell>
          <cell r="D310">
            <v>399074847</v>
          </cell>
          <cell r="I310">
            <v>1.1296863217775721</v>
          </cell>
        </row>
        <row r="311">
          <cell r="C311">
            <v>70749081</v>
          </cell>
          <cell r="D311">
            <v>352368052</v>
          </cell>
          <cell r="I311">
            <v>1.102499999999994</v>
          </cell>
        </row>
        <row r="312">
          <cell r="C312">
            <v>65696833</v>
          </cell>
          <cell r="D312">
            <v>331676957</v>
          </cell>
          <cell r="I312">
            <v>1.0755512293710299</v>
          </cell>
        </row>
        <row r="313">
          <cell r="C313">
            <v>59123729</v>
          </cell>
          <cell r="D313">
            <v>314907158.99999952</v>
          </cell>
          <cell r="I313">
            <v>1.049999999999998</v>
          </cell>
        </row>
        <row r="314">
          <cell r="C314">
            <v>60327052</v>
          </cell>
          <cell r="D314">
            <v>310312753</v>
          </cell>
          <cell r="I314">
            <v>1.0499999999999974</v>
          </cell>
        </row>
        <row r="315">
          <cell r="C315">
            <v>63366551</v>
          </cell>
          <cell r="D315">
            <v>331736850</v>
          </cell>
          <cell r="I315">
            <v>1.0499999999999947</v>
          </cell>
        </row>
        <row r="316">
          <cell r="C316">
            <v>88784127</v>
          </cell>
          <cell r="D316">
            <v>429663068</v>
          </cell>
          <cell r="I316">
            <v>1.0224475776595738</v>
          </cell>
        </row>
        <row r="317">
          <cell r="C317">
            <v>130162738</v>
          </cell>
          <cell r="D317">
            <v>522931821</v>
          </cell>
          <cell r="I317">
            <v>1</v>
          </cell>
        </row>
        <row r="364">
          <cell r="I364">
            <v>1.2564279844858697</v>
          </cell>
        </row>
        <row r="365">
          <cell r="I365">
            <v>1.236730945346824</v>
          </cell>
        </row>
        <row r="366">
          <cell r="I366">
            <v>1.2215449926689024</v>
          </cell>
        </row>
        <row r="367">
          <cell r="I367">
            <v>1.2088294424821795</v>
          </cell>
        </row>
        <row r="368">
          <cell r="I368">
            <v>1.1951789688713677</v>
          </cell>
        </row>
        <row r="369">
          <cell r="I369">
            <v>1.1766787394611087</v>
          </cell>
        </row>
        <row r="370">
          <cell r="I370">
            <v>1.1632081489641464</v>
          </cell>
        </row>
        <row r="371">
          <cell r="I371">
            <v>1.1513095053377946</v>
          </cell>
        </row>
        <row r="372">
          <cell r="I372">
            <v>1.1378553171391943</v>
          </cell>
        </row>
        <row r="373">
          <cell r="I373">
            <v>1.119959045602978</v>
          </cell>
        </row>
        <row r="374">
          <cell r="I374">
            <v>1.1071889513986732</v>
          </cell>
        </row>
        <row r="375">
          <cell r="I375">
            <v>1.1025</v>
          </cell>
        </row>
        <row r="376">
          <cell r="I376">
            <v>1.1025000000000003</v>
          </cell>
        </row>
        <row r="377">
          <cell r="I377">
            <v>1.1024999999999998</v>
          </cell>
        </row>
        <row r="378">
          <cell r="I378">
            <v>1.1024999999999998</v>
          </cell>
        </row>
        <row r="379">
          <cell r="I379">
            <v>1.0963494619655838</v>
          </cell>
        </row>
        <row r="380">
          <cell r="I380">
            <v>1.0835713915824325</v>
          </cell>
        </row>
        <row r="381">
          <cell r="I381">
            <v>1.0664454028906998</v>
          </cell>
        </row>
        <row r="382">
          <cell r="I382">
            <v>1.0545559318545092</v>
          </cell>
        </row>
        <row r="383">
          <cell r="I383">
            <v>1.05</v>
          </cell>
        </row>
        <row r="384">
          <cell r="I384">
            <v>1.0499999999999998</v>
          </cell>
        </row>
        <row r="385">
          <cell r="I385">
            <v>1.0500000000000003</v>
          </cell>
        </row>
        <row r="386">
          <cell r="I386">
            <v>1.05</v>
          </cell>
        </row>
        <row r="387">
          <cell r="I387">
            <v>1.0500000000000003</v>
          </cell>
        </row>
        <row r="388">
          <cell r="I388">
            <v>1.05</v>
          </cell>
        </row>
        <row r="389">
          <cell r="I389">
            <v>1.05</v>
          </cell>
        </row>
        <row r="390">
          <cell r="I390">
            <v>1.05</v>
          </cell>
        </row>
        <row r="391">
          <cell r="I391">
            <v>1.05</v>
          </cell>
        </row>
        <row r="392">
          <cell r="I392">
            <v>1.05</v>
          </cell>
        </row>
        <row r="393">
          <cell r="I393">
            <v>1.0499999999999998</v>
          </cell>
        </row>
        <row r="394">
          <cell r="I394">
            <v>1.05</v>
          </cell>
        </row>
        <row r="395">
          <cell r="I395">
            <v>1.044300410003699</v>
          </cell>
        </row>
        <row r="396">
          <cell r="I396">
            <v>1.0317032711155398</v>
          </cell>
        </row>
        <row r="397">
          <cell r="I397">
            <v>1.015232887108092</v>
          </cell>
        </row>
        <row r="398">
          <cell r="I398">
            <v>1.0050875291673478</v>
          </cell>
        </row>
        <row r="399">
          <cell r="I399">
            <v>1</v>
          </cell>
        </row>
        <row r="400">
          <cell r="I400">
            <v>1</v>
          </cell>
        </row>
        <row r="401">
          <cell r="I401">
            <v>1</v>
          </cell>
        </row>
        <row r="402">
          <cell r="I402">
            <v>1</v>
          </cell>
        </row>
      </sheetData>
      <sheetData sheetId="10">
        <row r="108">
          <cell r="H108">
            <v>185.82</v>
          </cell>
        </row>
        <row r="109">
          <cell r="H109">
            <v>186.03</v>
          </cell>
        </row>
        <row r="110">
          <cell r="H110">
            <v>186.43</v>
          </cell>
        </row>
        <row r="111">
          <cell r="H111">
            <v>186.87</v>
          </cell>
        </row>
        <row r="112">
          <cell r="H112">
            <v>187.59</v>
          </cell>
        </row>
        <row r="113">
          <cell r="H113">
            <v>188.62</v>
          </cell>
        </row>
        <row r="114">
          <cell r="H114">
            <v>189.46</v>
          </cell>
        </row>
        <row r="115">
          <cell r="H115">
            <v>189.59</v>
          </cell>
        </row>
        <row r="116">
          <cell r="H116">
            <v>190.03</v>
          </cell>
        </row>
        <row r="117">
          <cell r="H117">
            <v>190.5</v>
          </cell>
        </row>
        <row r="118">
          <cell r="H118">
            <v>190.95</v>
          </cell>
        </row>
        <row r="119">
          <cell r="H119">
            <v>192.03</v>
          </cell>
        </row>
        <row r="120">
          <cell r="H120">
            <v>192.82</v>
          </cell>
        </row>
        <row r="121">
          <cell r="H121">
            <v>193.56</v>
          </cell>
        </row>
        <row r="122">
          <cell r="H122">
            <v>193.85</v>
          </cell>
        </row>
        <row r="123">
          <cell r="H123">
            <v>194.07</v>
          </cell>
        </row>
        <row r="124">
          <cell r="H124">
            <v>194.14</v>
          </cell>
        </row>
        <row r="125">
          <cell r="H125">
            <v>194.1</v>
          </cell>
        </row>
        <row r="126">
          <cell r="H126">
            <v>194.71</v>
          </cell>
        </row>
        <row r="127">
          <cell r="H127">
            <v>195.27</v>
          </cell>
        </row>
        <row r="128">
          <cell r="H128">
            <v>195.59</v>
          </cell>
        </row>
        <row r="129">
          <cell r="H129">
            <v>196.2</v>
          </cell>
        </row>
        <row r="130">
          <cell r="H130">
            <v>196.98</v>
          </cell>
        </row>
        <row r="131">
          <cell r="H131">
            <v>198.12</v>
          </cell>
        </row>
        <row r="132">
          <cell r="H132">
            <v>199.66</v>
          </cell>
        </row>
        <row r="133">
          <cell r="H133">
            <v>200.22</v>
          </cell>
        </row>
        <row r="134">
          <cell r="H134">
            <v>199.62</v>
          </cell>
        </row>
        <row r="135">
          <cell r="H135">
            <v>197.58</v>
          </cell>
        </row>
        <row r="136">
          <cell r="H136">
            <v>195.82</v>
          </cell>
        </row>
        <row r="137">
          <cell r="H137">
            <v>194.7</v>
          </cell>
        </row>
        <row r="138">
          <cell r="H138">
            <v>194.2</v>
          </cell>
        </row>
        <row r="139">
          <cell r="H139">
            <v>197.36</v>
          </cell>
        </row>
        <row r="140">
          <cell r="H140">
            <v>201.11</v>
          </cell>
        </row>
        <row r="141">
          <cell r="H141">
            <v>206.6</v>
          </cell>
        </row>
        <row r="142">
          <cell r="H142">
            <v>212.8</v>
          </cell>
        </row>
        <row r="143">
          <cell r="H143">
            <v>217.05</v>
          </cell>
        </row>
        <row r="144">
          <cell r="H144">
            <v>220.34</v>
          </cell>
        </row>
        <row r="145">
          <cell r="H145">
            <v>222.83</v>
          </cell>
        </row>
        <row r="146">
          <cell r="H146">
            <v>225.57</v>
          </cell>
        </row>
        <row r="147">
          <cell r="H147">
            <v>227.25</v>
          </cell>
        </row>
        <row r="148">
          <cell r="H148">
            <v>228.92</v>
          </cell>
        </row>
        <row r="149">
          <cell r="H149">
            <v>229.07</v>
          </cell>
        </row>
      </sheetData>
      <sheetData sheetId="11">
        <row r="70">
          <cell r="D70">
            <v>2220.3283021875</v>
          </cell>
        </row>
      </sheetData>
      <sheetData sheetId="12">
        <row r="42">
          <cell r="D42">
            <v>2304.9779534375002</v>
          </cell>
          <cell r="E42">
            <v>2329.1534887500002</v>
          </cell>
        </row>
        <row r="43">
          <cell r="D43">
            <v>2324.505263359375</v>
          </cell>
          <cell r="E43">
            <v>2353.6217578125002</v>
          </cell>
        </row>
        <row r="44">
          <cell r="D44">
            <v>2342.3961263281253</v>
          </cell>
          <cell r="E44">
            <v>2374.4354528125004</v>
          </cell>
        </row>
        <row r="45">
          <cell r="D45">
            <v>2361.385995703125</v>
          </cell>
          <cell r="E45">
            <v>2395.7052087500001</v>
          </cell>
        </row>
        <row r="46">
          <cell r="D46">
            <v>2379.6401244531253</v>
          </cell>
          <cell r="E46">
            <v>2409.8568299999997</v>
          </cell>
        </row>
        <row r="47">
          <cell r="D47">
            <v>2391.8854564062499</v>
          </cell>
          <cell r="E47">
            <v>2421.4979546875002</v>
          </cell>
        </row>
        <row r="48">
          <cell r="D48">
            <v>2400.2356296875</v>
          </cell>
          <cell r="E48">
            <v>2430.5450599999999</v>
          </cell>
        </row>
        <row r="49">
          <cell r="D49">
            <v>2403.374802734375</v>
          </cell>
          <cell r="E49">
            <v>2434.8518118750003</v>
          </cell>
        </row>
        <row r="50">
          <cell r="D50">
            <v>2400.686908046875</v>
          </cell>
          <cell r="E50">
            <v>2433.9618637500002</v>
          </cell>
        </row>
        <row r="51">
          <cell r="D51">
            <v>2394.976995</v>
          </cell>
          <cell r="E51">
            <v>2429.6983378125001</v>
          </cell>
        </row>
        <row r="52">
          <cell r="D52">
            <v>2390.5729337500002</v>
          </cell>
          <cell r="E52">
            <v>2424.8281468750001</v>
          </cell>
        </row>
        <row r="53">
          <cell r="D53">
            <v>2389.60197828125</v>
          </cell>
          <cell r="E53">
            <v>2421.6989806250003</v>
          </cell>
        </row>
        <row r="54">
          <cell r="D54">
            <v>2395.8354724999999</v>
          </cell>
          <cell r="E54">
            <v>2425.330744375</v>
          </cell>
        </row>
        <row r="55">
          <cell r="D55">
            <v>2409.2929399999998</v>
          </cell>
          <cell r="E55">
            <v>2438.01677625</v>
          </cell>
        </row>
        <row r="56">
          <cell r="D56">
            <v>2428.1866782031248</v>
          </cell>
          <cell r="E56">
            <v>2455.0274190625</v>
          </cell>
        </row>
        <row r="57">
          <cell r="D57">
            <v>2447.1333973437504</v>
          </cell>
          <cell r="E57">
            <v>2475.3956271875004</v>
          </cell>
        </row>
        <row r="58">
          <cell r="D58">
            <v>2467.6165738281252</v>
          </cell>
          <cell r="E58">
            <v>2496.1766084374999</v>
          </cell>
        </row>
        <row r="59">
          <cell r="D59">
            <v>2492.0796583593751</v>
          </cell>
          <cell r="E59">
            <v>2520.2908184375001</v>
          </cell>
        </row>
        <row r="60">
          <cell r="D60">
            <v>2519.9924421093747</v>
          </cell>
          <cell r="E60">
            <v>2549.2952637499998</v>
          </cell>
        </row>
        <row r="61">
          <cell r="D61">
            <v>2550.9707878125</v>
          </cell>
          <cell r="E61">
            <v>2583.569815625</v>
          </cell>
        </row>
        <row r="62">
          <cell r="D62">
            <v>2575.5117214843749</v>
          </cell>
          <cell r="E62">
            <v>2614.4160775</v>
          </cell>
        </row>
        <row r="63">
          <cell r="D63">
            <v>2587.3157096093751</v>
          </cell>
          <cell r="E63">
            <v>2628.8842012499999</v>
          </cell>
        </row>
        <row r="64">
          <cell r="D64">
            <v>2588.5494698437501</v>
          </cell>
          <cell r="E64">
            <v>2633.8497593749998</v>
          </cell>
        </row>
        <row r="65">
          <cell r="D65">
            <v>2585.7655731249997</v>
          </cell>
          <cell r="E65">
            <v>2629.0181068749998</v>
          </cell>
        </row>
        <row r="66">
          <cell r="D66">
            <v>2584.1831581250003</v>
          </cell>
          <cell r="E66">
            <v>2623.3533887499998</v>
          </cell>
        </row>
        <row r="67">
          <cell r="D67">
            <v>2589.2377821093751</v>
          </cell>
          <cell r="E67">
            <v>2625.15365875</v>
          </cell>
        </row>
        <row r="68">
          <cell r="D68">
            <v>2598.1736946875003</v>
          </cell>
          <cell r="E68">
            <v>2631.5591903124996</v>
          </cell>
        </row>
        <row r="69">
          <cell r="D69">
            <v>2623.4155735937502</v>
          </cell>
          <cell r="E69">
            <v>2654.3470590624997</v>
          </cell>
        </row>
        <row r="70">
          <cell r="D70">
            <v>2660.7931836718749</v>
          </cell>
          <cell r="E70">
            <v>2690.3345912499999</v>
          </cell>
        </row>
        <row r="71">
          <cell r="D71">
            <v>2730.5364671875</v>
          </cell>
          <cell r="E71">
            <v>2764.2784543750004</v>
          </cell>
        </row>
        <row r="72">
          <cell r="D72">
            <v>2882.4395192187499</v>
          </cell>
          <cell r="E72">
            <v>2915.8435200000004</v>
          </cell>
        </row>
        <row r="73">
          <cell r="D73">
            <v>3012.328726875</v>
          </cell>
          <cell r="E73">
            <v>3057.7537175000002</v>
          </cell>
        </row>
        <row r="74">
          <cell r="D74">
            <v>3155.7231921875</v>
          </cell>
          <cell r="E74">
            <v>3206.6696434374999</v>
          </cell>
        </row>
        <row r="75">
          <cell r="D75">
            <v>3322.4255762499997</v>
          </cell>
          <cell r="E75">
            <v>3377.1526368750001</v>
          </cell>
        </row>
        <row r="76">
          <cell r="D76">
            <v>3419.5170493750002</v>
          </cell>
          <cell r="E76">
            <v>3483.9501315624998</v>
          </cell>
        </row>
        <row r="77">
          <cell r="D77">
            <v>3520.2737502343748</v>
          </cell>
          <cell r="E77">
            <v>3583.5683684374999</v>
          </cell>
        </row>
        <row r="78">
          <cell r="D78">
            <v>3583.5984435156247</v>
          </cell>
          <cell r="E78">
            <v>3650.2850309374999</v>
          </cell>
        </row>
        <row r="79">
          <cell r="D79">
            <v>3587.2129532031249</v>
          </cell>
          <cell r="E79">
            <v>3653.2665190625003</v>
          </cell>
        </row>
        <row r="80">
          <cell r="D80">
            <v>3573.5436495312497</v>
          </cell>
          <cell r="E80">
            <v>3637.0007246875002</v>
          </cell>
        </row>
        <row r="81">
          <cell r="D81">
            <v>3559.3125696093748</v>
          </cell>
          <cell r="E81">
            <v>3618.2329687500001</v>
          </cell>
        </row>
      </sheetData>
      <sheetData sheetId="13">
        <row r="22">
          <cell r="D22">
            <v>128411458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Table of Contents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3e"/>
      <sheetName val="2.4a"/>
      <sheetName val="2.4b"/>
      <sheetName val="2.4c"/>
      <sheetName val="2.4d"/>
      <sheetName val="2.5"/>
      <sheetName val="3.1 ldf"/>
      <sheetName val="3.2 premium trend"/>
      <sheetName val="3.3a"/>
      <sheetName val="3.3b"/>
      <sheetName val="3.3c"/>
      <sheetName val="3.3d"/>
      <sheetName val="4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8"/>
      <sheetName val="9.1a"/>
      <sheetName val="9.1b"/>
      <sheetName val="9.1c"/>
      <sheetName val="9.1d"/>
      <sheetName val="9.2"/>
      <sheetName val="10.1"/>
      <sheetName val="10.2"/>
      <sheetName val="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C14">
            <v>1.4650000000000001</v>
          </cell>
          <cell r="D14">
            <v>1.4830000000000001</v>
          </cell>
        </row>
        <row r="15">
          <cell r="C15">
            <v>1.4279999999999999</v>
          </cell>
          <cell r="D15">
            <v>1.448</v>
          </cell>
        </row>
        <row r="16">
          <cell r="C16">
            <v>1.4370000000000001</v>
          </cell>
          <cell r="D16">
            <v>1.458</v>
          </cell>
        </row>
        <row r="17">
          <cell r="C17">
            <v>1.4219999999999999</v>
          </cell>
          <cell r="D17">
            <v>1.4410000000000001</v>
          </cell>
        </row>
        <row r="18">
          <cell r="C18">
            <v>1.37</v>
          </cell>
          <cell r="D18">
            <v>1.3859999999999999</v>
          </cell>
        </row>
        <row r="19">
          <cell r="C19">
            <v>1.3380000000000001</v>
          </cell>
          <cell r="D19">
            <v>1.3440000000000001</v>
          </cell>
        </row>
        <row r="20">
          <cell r="C20">
            <v>1.329</v>
          </cell>
          <cell r="D20">
            <v>1.3440000000000001</v>
          </cell>
        </row>
        <row r="21">
          <cell r="C21">
            <v>1.19</v>
          </cell>
          <cell r="D21">
            <v>1.206</v>
          </cell>
        </row>
        <row r="22">
          <cell r="C22">
            <v>1.028</v>
          </cell>
          <cell r="D22">
            <v>1.024</v>
          </cell>
        </row>
        <row r="23">
          <cell r="C23">
            <v>1</v>
          </cell>
          <cell r="D23">
            <v>1</v>
          </cell>
        </row>
        <row r="28">
          <cell r="C28">
            <v>8.5999999999999993E-2</v>
          </cell>
          <cell r="D28">
            <v>8.7999999999999995E-2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3">
          <cell r="E33">
            <v>519593434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6">
          <cell r="F26">
            <v>370.31016762198254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ded EL by LOB"/>
    </sheetNames>
    <sheetDataSet>
      <sheetData sheetId="0">
        <row r="8">
          <cell r="G8">
            <v>44681497.768127397</v>
          </cell>
        </row>
        <row r="9">
          <cell r="G9">
            <v>13519283.460675601</v>
          </cell>
        </row>
        <row r="42">
          <cell r="G42">
            <v>58850298.695193097</v>
          </cell>
        </row>
        <row r="43">
          <cell r="G43">
            <v>15797413.786366301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rdan He" id="{FAE35700-DDC3-4198-9F38-49B11CDC6796}" userId="S::j.he@twia.org::5aa469f3-f7c5-45b3-8313-bb2161ddf64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2" dT="2024-06-20T23:45:31.11" personId="{FAE35700-DDC3-4198-9F38-49B11CDC6796}" id="{327F9B74-17C9-488E-9AEE-D425FF8B5D2F}">
    <text>50% weight to budget given growth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0.bin"/><Relationship Id="rId4" Type="http://schemas.microsoft.com/office/2017/10/relationships/threadedComment" Target="../threadedComments/threadedComment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D9C67-4E3C-4E80-91EC-B129EBBD5BA4}">
  <dimension ref="B17:J46"/>
  <sheetViews>
    <sheetView showGridLines="0" tabSelected="1" zoomScaleNormal="100" workbookViewId="0"/>
  </sheetViews>
  <sheetFormatPr defaultRowHeight="11.25" x14ac:dyDescent="0.2"/>
  <cols>
    <col min="1" max="12" width="10.1640625" customWidth="1"/>
  </cols>
  <sheetData>
    <row r="17" spans="2:10" ht="12" thickBot="1" x14ac:dyDescent="0.25"/>
    <row r="18" spans="2:10" x14ac:dyDescent="0.2">
      <c r="B18" s="199"/>
      <c r="C18" s="185"/>
      <c r="D18" s="185"/>
      <c r="E18" s="185"/>
      <c r="F18" s="185"/>
      <c r="G18" s="185"/>
      <c r="H18" s="185"/>
      <c r="I18" s="185"/>
      <c r="J18" s="186"/>
    </row>
    <row r="19" spans="2:10" x14ac:dyDescent="0.2">
      <c r="B19" s="200"/>
      <c r="J19" s="188"/>
    </row>
    <row r="20" spans="2:10" x14ac:dyDescent="0.2">
      <c r="B20" s="200"/>
      <c r="J20" s="188"/>
    </row>
    <row r="21" spans="2:10" x14ac:dyDescent="0.2">
      <c r="B21" s="200"/>
      <c r="J21" s="188"/>
    </row>
    <row r="22" spans="2:10" x14ac:dyDescent="0.2">
      <c r="B22" s="200"/>
      <c r="J22" s="188"/>
    </row>
    <row r="23" spans="2:10" x14ac:dyDescent="0.2">
      <c r="B23" s="200"/>
      <c r="J23" s="188"/>
    </row>
    <row r="24" spans="2:10" x14ac:dyDescent="0.2">
      <c r="B24" s="200"/>
      <c r="J24" s="188"/>
    </row>
    <row r="25" spans="2:10" x14ac:dyDescent="0.2">
      <c r="B25" s="200"/>
      <c r="J25" s="188"/>
    </row>
    <row r="26" spans="2:10" x14ac:dyDescent="0.2">
      <c r="B26" s="200"/>
      <c r="J26" s="188"/>
    </row>
    <row r="27" spans="2:10" x14ac:dyDescent="0.2">
      <c r="B27" s="200"/>
      <c r="J27" s="188"/>
    </row>
    <row r="28" spans="2:10" x14ac:dyDescent="0.2">
      <c r="B28" s="200"/>
      <c r="J28" s="188"/>
    </row>
    <row r="29" spans="2:10" x14ac:dyDescent="0.2">
      <c r="B29" s="200"/>
      <c r="J29" s="188"/>
    </row>
    <row r="30" spans="2:10" x14ac:dyDescent="0.2">
      <c r="B30" s="200"/>
      <c r="J30" s="188"/>
    </row>
    <row r="31" spans="2:10" x14ac:dyDescent="0.2">
      <c r="B31" s="200"/>
      <c r="J31" s="188"/>
    </row>
    <row r="32" spans="2:10" ht="15.75" x14ac:dyDescent="0.25">
      <c r="B32" s="275" t="s">
        <v>0</v>
      </c>
      <c r="C32" s="276"/>
      <c r="D32" s="276"/>
      <c r="E32" s="276"/>
      <c r="F32" s="276"/>
      <c r="G32" s="276"/>
      <c r="H32" s="276"/>
      <c r="I32" s="276"/>
      <c r="J32" s="277"/>
    </row>
    <row r="33" spans="2:10" ht="15.75" x14ac:dyDescent="0.25">
      <c r="B33" s="275" t="s">
        <v>166</v>
      </c>
      <c r="C33" s="276"/>
      <c r="D33" s="276"/>
      <c r="E33" s="276"/>
      <c r="F33" s="276"/>
      <c r="G33" s="276"/>
      <c r="H33" s="276"/>
      <c r="I33" s="276"/>
      <c r="J33" s="277"/>
    </row>
    <row r="34" spans="2:10" ht="15.75" x14ac:dyDescent="0.25">
      <c r="B34" s="275" t="s">
        <v>518</v>
      </c>
      <c r="C34" s="276"/>
      <c r="D34" s="276"/>
      <c r="E34" s="276"/>
      <c r="F34" s="276"/>
      <c r="G34" s="276"/>
      <c r="H34" s="276"/>
      <c r="I34" s="276"/>
      <c r="J34" s="277"/>
    </row>
    <row r="35" spans="2:10" x14ac:dyDescent="0.2">
      <c r="B35" s="200"/>
      <c r="J35" s="188"/>
    </row>
    <row r="36" spans="2:10" x14ac:dyDescent="0.2">
      <c r="B36" s="200"/>
      <c r="J36" s="188"/>
    </row>
    <row r="37" spans="2:10" x14ac:dyDescent="0.2">
      <c r="B37" s="200"/>
      <c r="J37" s="188"/>
    </row>
    <row r="38" spans="2:10" x14ac:dyDescent="0.2">
      <c r="B38" s="200"/>
      <c r="J38" s="188"/>
    </row>
    <row r="39" spans="2:10" x14ac:dyDescent="0.2">
      <c r="B39" s="200"/>
      <c r="J39" s="188"/>
    </row>
    <row r="40" spans="2:10" x14ac:dyDescent="0.2">
      <c r="B40" s="200"/>
      <c r="J40" s="188"/>
    </row>
    <row r="41" spans="2:10" x14ac:dyDescent="0.2">
      <c r="B41" s="200"/>
      <c r="J41" s="188"/>
    </row>
    <row r="42" spans="2:10" x14ac:dyDescent="0.2">
      <c r="B42" s="200"/>
      <c r="J42" s="188"/>
    </row>
    <row r="43" spans="2:10" x14ac:dyDescent="0.2">
      <c r="B43" s="200"/>
      <c r="J43" s="188"/>
    </row>
    <row r="44" spans="2:10" x14ac:dyDescent="0.2">
      <c r="B44" s="200"/>
      <c r="J44" s="188"/>
    </row>
    <row r="45" spans="2:10" x14ac:dyDescent="0.2">
      <c r="B45" s="200"/>
      <c r="J45" s="188"/>
    </row>
    <row r="46" spans="2:10" ht="12" thickBot="1" x14ac:dyDescent="0.25">
      <c r="B46" s="201"/>
      <c r="C46" s="198"/>
      <c r="D46" s="198"/>
      <c r="E46" s="198"/>
      <c r="F46" s="198"/>
      <c r="G46" s="198"/>
      <c r="H46" s="198"/>
      <c r="I46" s="198"/>
      <c r="J46" s="202"/>
    </row>
  </sheetData>
  <mergeCells count="3">
    <mergeCell ref="B32:J32"/>
    <mergeCell ref="B33:J33"/>
    <mergeCell ref="B34:J34"/>
  </mergeCells>
  <pageMargins left="0.5" right="0.5" top="0.5" bottom="0.5" header="0.5" footer="0.5"/>
  <pageSetup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tabColor rgb="FF00FF00"/>
  </sheetPr>
  <dimension ref="A1:R69"/>
  <sheetViews>
    <sheetView showGridLines="0" zoomScaleNormal="100" workbookViewId="0"/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45</v>
      </c>
      <c r="M1" s="1"/>
      <c r="Q1" s="12" t="s">
        <v>447</v>
      </c>
      <c r="R1" s="12" t="s">
        <v>448</v>
      </c>
    </row>
    <row r="2" spans="1:18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527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71" t="s">
        <v>240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71" t="s">
        <v>281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/>
      <c r="G7"/>
      <c r="H7"/>
      <c r="I7"/>
      <c r="J7"/>
      <c r="K7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s="11" t="s">
        <v>253</v>
      </c>
    </row>
    <row r="9" spans="1:18" x14ac:dyDescent="0.2">
      <c r="A9" t="s">
        <v>537</v>
      </c>
      <c r="B9"/>
      <c r="C9" s="134" t="s">
        <v>254</v>
      </c>
      <c r="D9" s="269" t="s">
        <v>255</v>
      </c>
      <c r="E9" s="269"/>
      <c r="F9"/>
      <c r="G9"/>
      <c r="H9"/>
      <c r="I9"/>
      <c r="J9"/>
      <c r="K9"/>
      <c r="L9"/>
      <c r="M9" s="2"/>
      <c r="N9" s="133">
        <v>45291</v>
      </c>
    </row>
    <row r="10" spans="1:18" x14ac:dyDescent="0.2">
      <c r="A10" t="s">
        <v>237</v>
      </c>
      <c r="B10"/>
      <c r="C10" s="11" t="s">
        <v>242</v>
      </c>
      <c r="D10" s="11" t="s">
        <v>256</v>
      </c>
      <c r="E10" s="11"/>
      <c r="F10"/>
      <c r="G10"/>
      <c r="H10"/>
      <c r="I10"/>
      <c r="J10"/>
      <c r="K10"/>
      <c r="L10"/>
      <c r="M10" s="2"/>
    </row>
    <row r="11" spans="1:18" x14ac:dyDescent="0.2">
      <c r="A11" s="9" t="s">
        <v>26</v>
      </c>
      <c r="B11" s="9"/>
      <c r="C11" s="144" t="s">
        <v>238</v>
      </c>
      <c r="D11" s="144" t="s">
        <v>260</v>
      </c>
      <c r="E11" s="144" t="s">
        <v>261</v>
      </c>
      <c r="F11"/>
      <c r="G11"/>
      <c r="H11"/>
      <c r="I11"/>
      <c r="J11"/>
      <c r="K11"/>
      <c r="L11"/>
      <c r="M11" s="2"/>
      <c r="N11" s="144" t="s">
        <v>238</v>
      </c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/>
      <c r="G12"/>
      <c r="H12"/>
      <c r="I12"/>
      <c r="J12"/>
      <c r="K12"/>
      <c r="L12"/>
      <c r="M12" s="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12" t="str">
        <f t="shared" ref="A14:A52" si="0">TEXT(DATE(YEAR(A15+1),MONTH(A15+1)-3,1)-1,"m/d/yyyy")</f>
        <v>3/31/2014</v>
      </c>
      <c r="B14" s="22"/>
      <c r="C14" s="256">
        <f>'[2]Boeckh (C)'!D42</f>
        <v>2304.9779534375002</v>
      </c>
      <c r="D14" s="257">
        <f t="shared" ref="D14:D20" si="1">TREND($C$14:$C$53,$N$14:$N$53,$N14,TRUE)</f>
        <v>2087.9753357373411</v>
      </c>
      <c r="E14" s="257">
        <f t="shared" ref="E14:E20" si="2">GROWTH($C$14:$C$53,$N$14:$N$53,$N14,TRUE)</f>
        <v>2154.5396058869651</v>
      </c>
      <c r="F14"/>
      <c r="G14"/>
      <c r="H14"/>
      <c r="I14"/>
      <c r="J14"/>
      <c r="K14"/>
      <c r="L14"/>
      <c r="M14" s="2"/>
      <c r="N14" s="12">
        <f t="shared" ref="N14:N53" si="3">YEAR(A14)+MONTH(A14)/12</f>
        <v>2014.25</v>
      </c>
    </row>
    <row r="15" spans="1:18" x14ac:dyDescent="0.2">
      <c r="A15" s="12" t="str">
        <f t="shared" si="0"/>
        <v>6/30/2014</v>
      </c>
      <c r="B15" s="22"/>
      <c r="C15" s="256">
        <f>'[2]Boeckh (C)'!D43</f>
        <v>2324.505263359375</v>
      </c>
      <c r="D15" s="257">
        <f t="shared" si="1"/>
        <v>2119.2781465723237</v>
      </c>
      <c r="E15" s="257">
        <f t="shared" si="2"/>
        <v>2178.366310526178</v>
      </c>
      <c r="F15"/>
      <c r="G15"/>
      <c r="H15"/>
      <c r="I15"/>
      <c r="J15"/>
      <c r="K15"/>
      <c r="L15"/>
      <c r="M15" s="2"/>
      <c r="N15" s="12">
        <f t="shared" si="3"/>
        <v>2014.5</v>
      </c>
    </row>
    <row r="16" spans="1:18" x14ac:dyDescent="0.2">
      <c r="A16" s="12" t="str">
        <f t="shared" si="0"/>
        <v>9/30/2014</v>
      </c>
      <c r="B16" s="22"/>
      <c r="C16" s="256">
        <f>'[2]Boeckh (C)'!D44</f>
        <v>2342.3961263281253</v>
      </c>
      <c r="D16" s="257">
        <f t="shared" si="1"/>
        <v>2150.5809574073064</v>
      </c>
      <c r="E16" s="257">
        <f t="shared" si="2"/>
        <v>2202.4565108340162</v>
      </c>
      <c r="F16"/>
      <c r="G16"/>
      <c r="H16"/>
      <c r="I16"/>
      <c r="J16"/>
      <c r="K16"/>
      <c r="L16"/>
      <c r="M16" s="2"/>
      <c r="N16" s="12">
        <f t="shared" si="3"/>
        <v>2014.75</v>
      </c>
    </row>
    <row r="17" spans="1:14" x14ac:dyDescent="0.2">
      <c r="A17" s="12" t="str">
        <f t="shared" si="0"/>
        <v>12/31/2014</v>
      </c>
      <c r="B17" s="22"/>
      <c r="C17" s="256">
        <f>'[2]Boeckh (C)'!D45</f>
        <v>2361.385995703125</v>
      </c>
      <c r="D17" s="257">
        <f t="shared" si="1"/>
        <v>2181.8837682423182</v>
      </c>
      <c r="E17" s="257">
        <f t="shared" si="2"/>
        <v>2226.81312076635</v>
      </c>
      <c r="F17"/>
      <c r="G17"/>
      <c r="H17"/>
      <c r="I17"/>
      <c r="J17"/>
      <c r="K17"/>
      <c r="L17"/>
      <c r="M17" s="2"/>
      <c r="N17" s="12">
        <f t="shared" si="3"/>
        <v>2015</v>
      </c>
    </row>
    <row r="18" spans="1:14" x14ac:dyDescent="0.2">
      <c r="A18" s="12" t="str">
        <f t="shared" si="0"/>
        <v>3/31/2015</v>
      </c>
      <c r="B18" s="22"/>
      <c r="C18" s="256">
        <f>'[2]Boeckh (C)'!D46</f>
        <v>2379.6401244531253</v>
      </c>
      <c r="D18" s="257">
        <f t="shared" si="1"/>
        <v>2213.1865790773008</v>
      </c>
      <c r="E18" s="257">
        <f t="shared" si="2"/>
        <v>2251.4390865041446</v>
      </c>
      <c r="F18"/>
      <c r="G18"/>
      <c r="H18"/>
      <c r="I18"/>
      <c r="J18"/>
      <c r="K18"/>
      <c r="L18"/>
      <c r="M18" s="2"/>
      <c r="N18" s="12">
        <f t="shared" si="3"/>
        <v>2015.25</v>
      </c>
    </row>
    <row r="19" spans="1:14" x14ac:dyDescent="0.2">
      <c r="A19" s="12" t="str">
        <f t="shared" si="0"/>
        <v>6/30/2015</v>
      </c>
      <c r="B19" s="22"/>
      <c r="C19" s="256">
        <f>'[2]Boeckh (C)'!D47</f>
        <v>2391.8854564062499</v>
      </c>
      <c r="D19" s="257">
        <f t="shared" si="1"/>
        <v>2244.4893899122835</v>
      </c>
      <c r="E19" s="257">
        <f t="shared" si="2"/>
        <v>2276.3373868095732</v>
      </c>
      <c r="F19"/>
      <c r="G19"/>
      <c r="H19"/>
      <c r="I19"/>
      <c r="J19"/>
      <c r="K19"/>
      <c r="L19"/>
      <c r="M19" s="2"/>
      <c r="N19" s="12">
        <f t="shared" si="3"/>
        <v>2015.5</v>
      </c>
    </row>
    <row r="20" spans="1:14" x14ac:dyDescent="0.2">
      <c r="A20" s="12" t="str">
        <f t="shared" si="0"/>
        <v>9/30/2015</v>
      </c>
      <c r="B20" s="22"/>
      <c r="C20" s="256">
        <f>'[2]Boeckh (C)'!D48</f>
        <v>2400.2356296875</v>
      </c>
      <c r="D20" s="257">
        <f t="shared" si="1"/>
        <v>2275.7922007472662</v>
      </c>
      <c r="E20" s="257">
        <f t="shared" si="2"/>
        <v>2301.5110333865887</v>
      </c>
      <c r="F20"/>
      <c r="G20"/>
      <c r="H20"/>
      <c r="I20"/>
      <c r="J20"/>
      <c r="K20"/>
      <c r="L20"/>
      <c r="M20" s="2"/>
      <c r="N20" s="12">
        <f t="shared" si="3"/>
        <v>2015.75</v>
      </c>
    </row>
    <row r="21" spans="1:14" x14ac:dyDescent="0.2">
      <c r="A21" s="12" t="str">
        <f t="shared" si="0"/>
        <v>12/31/2015</v>
      </c>
      <c r="B21" s="22"/>
      <c r="C21" s="256">
        <f>'[2]Boeckh (C)'!D49</f>
        <v>2403.374802734375</v>
      </c>
      <c r="D21" s="257">
        <f>TREND($C$14:$C$53,$N$14:$N$53,$N21,TRUE)</f>
        <v>2307.0950115822488</v>
      </c>
      <c r="E21" s="257">
        <f>GROWTH($C$14:$C$53,$N$14:$N$53,$N21,TRUE)</f>
        <v>2326.9630712449584</v>
      </c>
      <c r="F21"/>
      <c r="G21"/>
      <c r="H21"/>
      <c r="I21"/>
      <c r="J21"/>
      <c r="K21"/>
      <c r="L21"/>
      <c r="M21" s="2"/>
      <c r="N21" s="12">
        <f t="shared" si="3"/>
        <v>2016</v>
      </c>
    </row>
    <row r="22" spans="1:14" x14ac:dyDescent="0.2">
      <c r="A22" s="12" t="str">
        <f t="shared" si="0"/>
        <v>3/31/2016</v>
      </c>
      <c r="B22" s="22"/>
      <c r="C22" s="256">
        <f>'[2]Boeckh (C)'!D50</f>
        <v>2400.686908046875</v>
      </c>
      <c r="D22" s="257">
        <f t="shared" ref="D22:D53" si="4">TREND($C$14:$C$53,$N$14:$N$53,$N22,TRUE)</f>
        <v>2338.3978224172315</v>
      </c>
      <c r="E22" s="257">
        <f t="shared" ref="E22:E53" si="5">GROWTH($C$14:$C$53,$N$14:$N$53,$N22,TRUE)</f>
        <v>2352.6965790688523</v>
      </c>
      <c r="F22"/>
      <c r="G22"/>
      <c r="H22"/>
      <c r="I22"/>
      <c r="J22"/>
      <c r="K22"/>
      <c r="L22"/>
      <c r="M22" s="2"/>
      <c r="N22" s="12">
        <f t="shared" si="3"/>
        <v>2016.25</v>
      </c>
    </row>
    <row r="23" spans="1:14" x14ac:dyDescent="0.2">
      <c r="A23" s="12" t="str">
        <f t="shared" si="0"/>
        <v>6/30/2016</v>
      </c>
      <c r="B23" s="22"/>
      <c r="C23" s="256">
        <f>'[2]Boeckh (C)'!D51</f>
        <v>2394.976995</v>
      </c>
      <c r="D23" s="257">
        <f t="shared" si="4"/>
        <v>2369.7006332522142</v>
      </c>
      <c r="E23" s="257">
        <f t="shared" si="5"/>
        <v>2378.714669589011</v>
      </c>
      <c r="F23"/>
      <c r="G23"/>
      <c r="H23"/>
      <c r="I23"/>
      <c r="J23"/>
      <c r="K23"/>
      <c r="L23"/>
      <c r="M23" s="2"/>
      <c r="N23" s="12">
        <f t="shared" si="3"/>
        <v>2016.5</v>
      </c>
    </row>
    <row r="24" spans="1:14" x14ac:dyDescent="0.2">
      <c r="A24" s="12" t="str">
        <f t="shared" si="0"/>
        <v>9/30/2016</v>
      </c>
      <c r="B24"/>
      <c r="C24" s="256">
        <f>'[2]Boeckh (C)'!D52</f>
        <v>2390.5729337500002</v>
      </c>
      <c r="D24" s="257">
        <f t="shared" si="4"/>
        <v>2401.0034440871968</v>
      </c>
      <c r="E24" s="257">
        <f t="shared" si="5"/>
        <v>2405.0204899593582</v>
      </c>
      <c r="F24"/>
      <c r="G24"/>
      <c r="H24"/>
      <c r="I24"/>
      <c r="J24"/>
      <c r="K24"/>
      <c r="L24"/>
      <c r="M24" s="2"/>
      <c r="N24" s="12">
        <f t="shared" si="3"/>
        <v>2016.75</v>
      </c>
    </row>
    <row r="25" spans="1:14" x14ac:dyDescent="0.2">
      <c r="A25" s="12" t="str">
        <f t="shared" si="0"/>
        <v>12/31/2016</v>
      </c>
      <c r="B25"/>
      <c r="C25" s="256">
        <f>'[2]Boeckh (C)'!D53</f>
        <v>2389.60197828125</v>
      </c>
      <c r="D25" s="257">
        <f t="shared" si="4"/>
        <v>2432.3062549221795</v>
      </c>
      <c r="E25" s="257">
        <f t="shared" si="5"/>
        <v>2431.617222137786</v>
      </c>
      <c r="F25"/>
      <c r="G25"/>
      <c r="H25"/>
      <c r="I25"/>
      <c r="J25"/>
      <c r="K25"/>
      <c r="L25"/>
      <c r="M25" s="2"/>
      <c r="N25" s="12">
        <f t="shared" si="3"/>
        <v>2017</v>
      </c>
    </row>
    <row r="26" spans="1:14" x14ac:dyDescent="0.2">
      <c r="A26" s="12" t="str">
        <f t="shared" si="0"/>
        <v>3/31/2017</v>
      </c>
      <c r="B26"/>
      <c r="C26" s="256">
        <f>'[2]Boeckh (C)'!D54</f>
        <v>2395.8354724999999</v>
      </c>
      <c r="D26" s="257">
        <f t="shared" si="4"/>
        <v>2463.6090657571622</v>
      </c>
      <c r="E26" s="257">
        <f t="shared" si="5"/>
        <v>2458.5080832708072</v>
      </c>
      <c r="F26"/>
      <c r="G26"/>
      <c r="H26"/>
      <c r="I26"/>
      <c r="J26"/>
      <c r="K26"/>
      <c r="L26"/>
      <c r="M26" s="2"/>
      <c r="N26" s="12">
        <f t="shared" si="3"/>
        <v>2017.25</v>
      </c>
    </row>
    <row r="27" spans="1:14" x14ac:dyDescent="0.2">
      <c r="A27" s="12" t="str">
        <f t="shared" si="0"/>
        <v>6/30/2017</v>
      </c>
      <c r="B27"/>
      <c r="C27" s="256">
        <f>'[2]Boeckh (C)'!D55</f>
        <v>2409.2929399999998</v>
      </c>
      <c r="D27" s="257">
        <f t="shared" si="4"/>
        <v>2494.9118765921448</v>
      </c>
      <c r="E27" s="257">
        <f t="shared" si="5"/>
        <v>2485.6963260829757</v>
      </c>
      <c r="F27"/>
      <c r="G27"/>
      <c r="H27"/>
      <c r="I27"/>
      <c r="J27"/>
      <c r="K27"/>
      <c r="L27"/>
      <c r="M27" s="2"/>
      <c r="N27" s="12">
        <f t="shared" si="3"/>
        <v>2017.5</v>
      </c>
    </row>
    <row r="28" spans="1:14" x14ac:dyDescent="0.2">
      <c r="A28" s="12" t="str">
        <f t="shared" si="0"/>
        <v>9/30/2017</v>
      </c>
      <c r="B28"/>
      <c r="C28" s="256">
        <f>'[2]Boeckh (C)'!D56</f>
        <v>2428.1866782031248</v>
      </c>
      <c r="D28" s="257">
        <f t="shared" si="4"/>
        <v>2526.2146874271275</v>
      </c>
      <c r="E28" s="257">
        <f t="shared" si="5"/>
        <v>2513.1852392700575</v>
      </c>
      <c r="F28"/>
      <c r="G28"/>
      <c r="H28"/>
      <c r="I28"/>
      <c r="J28"/>
      <c r="K28"/>
      <c r="L28"/>
      <c r="M28" s="2"/>
      <c r="N28" s="12">
        <f t="shared" si="3"/>
        <v>2017.75</v>
      </c>
    </row>
    <row r="29" spans="1:14" x14ac:dyDescent="0.2">
      <c r="A29" s="12" t="str">
        <f t="shared" si="0"/>
        <v>12/31/2017</v>
      </c>
      <c r="B29"/>
      <c r="C29" s="256">
        <f>'[2]Boeckh (C)'!D57</f>
        <v>2447.1333973437504</v>
      </c>
      <c r="D29" s="257">
        <f t="shared" si="4"/>
        <v>2557.5174982621102</v>
      </c>
      <c r="E29" s="257">
        <f t="shared" si="5"/>
        <v>2540.9781478971158</v>
      </c>
      <c r="F29"/>
      <c r="G29"/>
      <c r="H29"/>
      <c r="I29"/>
      <c r="J29"/>
      <c r="K29"/>
      <c r="L29"/>
      <c r="M29" s="2"/>
      <c r="N29" s="12">
        <f t="shared" si="3"/>
        <v>2018</v>
      </c>
    </row>
    <row r="30" spans="1:14" x14ac:dyDescent="0.2">
      <c r="A30" s="12" t="str">
        <f t="shared" si="0"/>
        <v>3/31/2018</v>
      </c>
      <c r="B30"/>
      <c r="C30" s="256">
        <f>'[2]Boeckh (C)'!D58</f>
        <v>2467.6165738281252</v>
      </c>
      <c r="D30" s="257">
        <f t="shared" si="4"/>
        <v>2588.8203090970928</v>
      </c>
      <c r="E30" s="257">
        <f t="shared" si="5"/>
        <v>2569.0784138004274</v>
      </c>
      <c r="F30"/>
      <c r="G30"/>
      <c r="H30"/>
      <c r="I30"/>
      <c r="J30"/>
      <c r="K30"/>
      <c r="L30"/>
      <c r="M30" s="2"/>
      <c r="N30" s="12">
        <f t="shared" si="3"/>
        <v>2018.25</v>
      </c>
    </row>
    <row r="31" spans="1:14" x14ac:dyDescent="0.2">
      <c r="A31" s="12" t="str">
        <f t="shared" si="0"/>
        <v>6/30/2018</v>
      </c>
      <c r="B31"/>
      <c r="C31" s="256">
        <f>'[2]Boeckh (C)'!D59</f>
        <v>2492.0796583593751</v>
      </c>
      <c r="D31" s="257">
        <f t="shared" si="4"/>
        <v>2620.1231199321046</v>
      </c>
      <c r="E31" s="257">
        <f t="shared" si="5"/>
        <v>2597.4894359944151</v>
      </c>
      <c r="F31"/>
      <c r="G31"/>
      <c r="H31"/>
      <c r="I31"/>
      <c r="J31"/>
      <c r="K31"/>
      <c r="L31"/>
      <c r="M31" s="2"/>
      <c r="N31" s="12">
        <f t="shared" si="3"/>
        <v>2018.5</v>
      </c>
    </row>
    <row r="32" spans="1:14" x14ac:dyDescent="0.2">
      <c r="A32" s="12" t="str">
        <f t="shared" si="0"/>
        <v>9/30/2018</v>
      </c>
      <c r="B32"/>
      <c r="C32" s="256">
        <f>'[2]Boeckh (C)'!D60</f>
        <v>2519.9924421093747</v>
      </c>
      <c r="D32" s="257">
        <f t="shared" si="4"/>
        <v>2651.4259307670873</v>
      </c>
      <c r="E32" s="257">
        <f t="shared" si="5"/>
        <v>2626.2146510825069</v>
      </c>
      <c r="F32"/>
      <c r="G32"/>
      <c r="H32"/>
      <c r="I32"/>
      <c r="J32"/>
      <c r="K32"/>
      <c r="L32"/>
      <c r="M32" s="2"/>
      <c r="N32" s="12">
        <f t="shared" si="3"/>
        <v>2018.75</v>
      </c>
    </row>
    <row r="33" spans="1:14" x14ac:dyDescent="0.2">
      <c r="A33" s="12" t="str">
        <f t="shared" si="0"/>
        <v>12/31/2018</v>
      </c>
      <c r="B33" s="22"/>
      <c r="C33" s="256">
        <f>'[2]Boeckh (C)'!D61</f>
        <v>2550.9707878125</v>
      </c>
      <c r="D33" s="257">
        <f t="shared" si="4"/>
        <v>2682.7287416020699</v>
      </c>
      <c r="E33" s="257">
        <f t="shared" si="5"/>
        <v>2655.2575336731184</v>
      </c>
      <c r="F33"/>
      <c r="G33"/>
      <c r="H33"/>
      <c r="I33"/>
      <c r="J33"/>
      <c r="K33"/>
      <c r="L33"/>
      <c r="M33" s="2"/>
      <c r="N33" s="12">
        <f t="shared" si="3"/>
        <v>2019</v>
      </c>
    </row>
    <row r="34" spans="1:14" x14ac:dyDescent="0.2">
      <c r="A34" s="12" t="str">
        <f t="shared" si="0"/>
        <v>3/31/2019</v>
      </c>
      <c r="B34" s="22"/>
      <c r="C34" s="256">
        <f>'[2]Boeckh (C)'!D62</f>
        <v>2575.5117214843749</v>
      </c>
      <c r="D34" s="257">
        <f t="shared" si="4"/>
        <v>2714.0315524370526</v>
      </c>
      <c r="E34" s="257">
        <f t="shared" si="5"/>
        <v>2684.6215967996491</v>
      </c>
      <c r="F34"/>
      <c r="G34"/>
      <c r="H34"/>
      <c r="I34"/>
      <c r="J34"/>
      <c r="K34"/>
      <c r="L34"/>
      <c r="M34" s="2"/>
      <c r="N34" s="12">
        <f t="shared" si="3"/>
        <v>2019.25</v>
      </c>
    </row>
    <row r="35" spans="1:14" x14ac:dyDescent="0.2">
      <c r="A35" s="12" t="str">
        <f t="shared" si="0"/>
        <v>6/30/2019</v>
      </c>
      <c r="B35"/>
      <c r="C35" s="256">
        <f>'[2]Boeckh (C)'!D63</f>
        <v>2587.3157096093751</v>
      </c>
      <c r="D35" s="257">
        <f t="shared" si="4"/>
        <v>2745.3343632720353</v>
      </c>
      <c r="E35" s="257">
        <f t="shared" si="5"/>
        <v>2714.3103923457156</v>
      </c>
      <c r="F35"/>
      <c r="G35"/>
      <c r="H35"/>
      <c r="I35"/>
      <c r="J35"/>
      <c r="K35"/>
      <c r="L35"/>
      <c r="M35" s="2"/>
      <c r="N35" s="12">
        <f t="shared" si="3"/>
        <v>2019.5</v>
      </c>
    </row>
    <row r="36" spans="1:14" x14ac:dyDescent="0.2">
      <c r="A36" s="12" t="str">
        <f t="shared" si="0"/>
        <v>9/30/2019</v>
      </c>
      <c r="C36" s="256">
        <f>'[2]Boeckh (C)'!D64</f>
        <v>2588.5494698437501</v>
      </c>
      <c r="D36" s="257">
        <f t="shared" si="4"/>
        <v>2776.6371741070179</v>
      </c>
      <c r="E36" s="257">
        <f t="shared" si="5"/>
        <v>2744.3275114744883</v>
      </c>
      <c r="F36"/>
      <c r="G36"/>
      <c r="H36"/>
      <c r="I36"/>
      <c r="J36"/>
      <c r="K36"/>
      <c r="L36"/>
      <c r="M36" s="2"/>
      <c r="N36" s="12">
        <f t="shared" si="3"/>
        <v>2019.75</v>
      </c>
    </row>
    <row r="37" spans="1:14" x14ac:dyDescent="0.2">
      <c r="A37" s="12" t="str">
        <f t="shared" si="0"/>
        <v>12/31/2019</v>
      </c>
      <c r="C37" s="256">
        <f>'[2]Boeckh (C)'!D65</f>
        <v>2585.7655731249997</v>
      </c>
      <c r="D37" s="257">
        <f t="shared" si="4"/>
        <v>2807.9399849420006</v>
      </c>
      <c r="E37" s="257">
        <f t="shared" si="5"/>
        <v>2774.6765850633842</v>
      </c>
      <c r="F37"/>
      <c r="G37"/>
      <c r="H37"/>
      <c r="I37"/>
      <c r="J37"/>
      <c r="K37"/>
      <c r="L37"/>
      <c r="M37" s="2"/>
      <c r="N37" s="12">
        <f t="shared" si="3"/>
        <v>2020</v>
      </c>
    </row>
    <row r="38" spans="1:14" x14ac:dyDescent="0.2">
      <c r="A38" s="12" t="str">
        <f t="shared" si="0"/>
        <v>3/31/2020</v>
      </c>
      <c r="C38" s="256">
        <f>'[2]Boeckh (C)'!D66</f>
        <v>2584.1831581250003</v>
      </c>
      <c r="D38" s="257">
        <f t="shared" si="4"/>
        <v>2839.2427957769833</v>
      </c>
      <c r="E38" s="257">
        <f t="shared" si="5"/>
        <v>2805.361284142989</v>
      </c>
      <c r="F38"/>
      <c r="G38"/>
      <c r="H38"/>
      <c r="I38"/>
      <c r="J38"/>
      <c r="K38"/>
      <c r="L38"/>
      <c r="M38" s="2"/>
      <c r="N38" s="12">
        <f t="shared" si="3"/>
        <v>2020.25</v>
      </c>
    </row>
    <row r="39" spans="1:14" x14ac:dyDescent="0.2">
      <c r="A39" s="12" t="str">
        <f t="shared" si="0"/>
        <v>6/30/2020</v>
      </c>
      <c r="C39" s="256">
        <f>'[2]Boeckh (C)'!D67</f>
        <v>2589.2377821093751</v>
      </c>
      <c r="D39" s="257">
        <f t="shared" si="4"/>
        <v>2870.5456066119659</v>
      </c>
      <c r="E39" s="257">
        <f t="shared" si="5"/>
        <v>2836.38532034122</v>
      </c>
      <c r="F39"/>
      <c r="G39"/>
      <c r="H39"/>
      <c r="I39"/>
      <c r="J39"/>
      <c r="K39"/>
      <c r="L39"/>
      <c r="M39" s="2"/>
      <c r="N39" s="12">
        <f t="shared" si="3"/>
        <v>2020.5</v>
      </c>
    </row>
    <row r="40" spans="1:14" x14ac:dyDescent="0.2">
      <c r="A40" s="12" t="str">
        <f t="shared" si="0"/>
        <v>9/30/2020</v>
      </c>
      <c r="C40" s="256">
        <f>'[2]Boeckh (C)'!D68</f>
        <v>2598.1736946875003</v>
      </c>
      <c r="D40" s="257">
        <f t="shared" si="4"/>
        <v>2901.8484174469486</v>
      </c>
      <c r="E40" s="257">
        <f t="shared" si="5"/>
        <v>2867.7524463324062</v>
      </c>
      <c r="F40"/>
      <c r="G40"/>
      <c r="H40"/>
      <c r="I40"/>
      <c r="J40"/>
      <c r="K40"/>
      <c r="L40"/>
      <c r="M40" s="2"/>
      <c r="N40" s="12">
        <f t="shared" si="3"/>
        <v>2020.75</v>
      </c>
    </row>
    <row r="41" spans="1:14" x14ac:dyDescent="0.2">
      <c r="A41" s="12" t="str">
        <f t="shared" si="0"/>
        <v>12/31/2020</v>
      </c>
      <c r="C41" s="256">
        <f>'[2]Boeckh (C)'!D69</f>
        <v>2623.4155735937502</v>
      </c>
      <c r="D41" s="257">
        <f t="shared" si="4"/>
        <v>2933.1512282819313</v>
      </c>
      <c r="E41" s="257">
        <f t="shared" si="5"/>
        <v>2899.4664562909347</v>
      </c>
      <c r="F41"/>
      <c r="G41"/>
      <c r="H41"/>
      <c r="I41"/>
      <c r="J41"/>
      <c r="K41"/>
      <c r="L41"/>
      <c r="M41" s="2"/>
      <c r="N41" s="12">
        <f t="shared" si="3"/>
        <v>2021</v>
      </c>
    </row>
    <row r="42" spans="1:14" x14ac:dyDescent="0.2">
      <c r="A42" s="12" t="str">
        <f t="shared" si="0"/>
        <v>3/31/2021</v>
      </c>
      <c r="C42" s="256">
        <f>'[2]Boeckh (C)'!D70</f>
        <v>2660.7931836718749</v>
      </c>
      <c r="D42" s="257">
        <f t="shared" si="4"/>
        <v>2964.4540391169139</v>
      </c>
      <c r="E42" s="257">
        <f t="shared" si="5"/>
        <v>2931.5311863505144</v>
      </c>
      <c r="F42"/>
      <c r="G42"/>
      <c r="H42"/>
      <c r="I42"/>
      <c r="J42"/>
      <c r="K42"/>
      <c r="L42"/>
      <c r="M42" s="2"/>
      <c r="N42" s="12">
        <f t="shared" si="3"/>
        <v>2021.25</v>
      </c>
    </row>
    <row r="43" spans="1:14" x14ac:dyDescent="0.2">
      <c r="A43" s="12" t="str">
        <f t="shared" si="0"/>
        <v>6/30/2021</v>
      </c>
      <c r="B43"/>
      <c r="C43" s="256">
        <f>'[2]Boeckh (C)'!D71</f>
        <v>2730.5364671875</v>
      </c>
      <c r="D43" s="257">
        <f t="shared" si="4"/>
        <v>2995.7568499518966</v>
      </c>
      <c r="E43" s="257">
        <f t="shared" si="5"/>
        <v>2963.9505150678719</v>
      </c>
      <c r="F43"/>
      <c r="G43"/>
      <c r="H43"/>
      <c r="I43"/>
      <c r="J43"/>
      <c r="K43"/>
      <c r="L43"/>
      <c r="M43" s="2"/>
      <c r="N43" s="12">
        <f t="shared" si="3"/>
        <v>2021.5</v>
      </c>
    </row>
    <row r="44" spans="1:14" x14ac:dyDescent="0.2">
      <c r="A44" s="12" t="str">
        <f t="shared" si="0"/>
        <v>9/30/2021</v>
      </c>
      <c r="C44" s="256">
        <f>'[2]Boeckh (C)'!D72</f>
        <v>2882.4395192187499</v>
      </c>
      <c r="D44" s="257">
        <f t="shared" si="4"/>
        <v>3027.0596607868792</v>
      </c>
      <c r="E44" s="257">
        <f t="shared" si="5"/>
        <v>2996.7283638922313</v>
      </c>
      <c r="F44"/>
      <c r="G44"/>
      <c r="H44"/>
      <c r="I44"/>
      <c r="J44"/>
      <c r="K44"/>
      <c r="L44"/>
      <c r="M44" s="2"/>
      <c r="N44" s="12">
        <f t="shared" si="3"/>
        <v>2021.75</v>
      </c>
    </row>
    <row r="45" spans="1:14" x14ac:dyDescent="0.2">
      <c r="A45" s="12" t="str">
        <f t="shared" si="0"/>
        <v>12/31/2021</v>
      </c>
      <c r="C45" s="256">
        <f>'[2]Boeckh (C)'!D73</f>
        <v>3012.328726875</v>
      </c>
      <c r="D45" s="257">
        <f t="shared" si="4"/>
        <v>3058.362471621891</v>
      </c>
      <c r="E45" s="257">
        <f t="shared" si="5"/>
        <v>3029.8686976393192</v>
      </c>
      <c r="F45"/>
      <c r="G45"/>
      <c r="H45"/>
      <c r="I45"/>
      <c r="J45"/>
      <c r="K45"/>
      <c r="L45"/>
      <c r="M45" s="2"/>
      <c r="N45" s="12">
        <f t="shared" si="3"/>
        <v>2022</v>
      </c>
    </row>
    <row r="46" spans="1:14" x14ac:dyDescent="0.2">
      <c r="A46" s="12" t="str">
        <f t="shared" si="0"/>
        <v>3/31/2022</v>
      </c>
      <c r="C46" s="256">
        <f>'[2]Boeckh (C)'!D74</f>
        <v>3155.7231921875</v>
      </c>
      <c r="D46" s="257">
        <f t="shared" si="4"/>
        <v>3089.6652824568737</v>
      </c>
      <c r="E46" s="257">
        <f t="shared" si="5"/>
        <v>3063.3755249712881</v>
      </c>
      <c r="F46"/>
      <c r="G46"/>
      <c r="H46"/>
      <c r="I46"/>
      <c r="J46"/>
      <c r="K46"/>
      <c r="L46"/>
      <c r="M46" s="2"/>
      <c r="N46" s="12">
        <f t="shared" si="3"/>
        <v>2022.25</v>
      </c>
    </row>
    <row r="47" spans="1:14" x14ac:dyDescent="0.2">
      <c r="A47" s="12" t="str">
        <f t="shared" si="0"/>
        <v>6/30/2022</v>
      </c>
      <c r="C47" s="256">
        <f>'[2]Boeckh (C)'!D75</f>
        <v>3322.4255762499997</v>
      </c>
      <c r="D47" s="257">
        <f t="shared" si="4"/>
        <v>3120.9680932918563</v>
      </c>
      <c r="E47" s="257">
        <f t="shared" si="5"/>
        <v>3097.2528988812642</v>
      </c>
      <c r="F47"/>
      <c r="G47"/>
      <c r="H47"/>
      <c r="I47"/>
      <c r="J47"/>
      <c r="K47"/>
      <c r="L47"/>
      <c r="M47" s="2"/>
      <c r="N47" s="12">
        <f t="shared" si="3"/>
        <v>2022.5</v>
      </c>
    </row>
    <row r="48" spans="1:14" x14ac:dyDescent="0.2">
      <c r="A48" s="12" t="str">
        <f t="shared" si="0"/>
        <v>9/30/2022</v>
      </c>
      <c r="B48"/>
      <c r="C48" s="256">
        <f>'[2]Boeckh (C)'!D76</f>
        <v>3419.5170493750002</v>
      </c>
      <c r="D48" s="257">
        <f t="shared" si="4"/>
        <v>3152.270904126839</v>
      </c>
      <c r="E48" s="257">
        <f t="shared" si="5"/>
        <v>3131.5049171839428</v>
      </c>
      <c r="F48"/>
      <c r="G48"/>
      <c r="H48"/>
      <c r="I48"/>
      <c r="J48"/>
      <c r="K48"/>
      <c r="L48"/>
      <c r="M48" s="2"/>
      <c r="N48" s="12">
        <f t="shared" si="3"/>
        <v>2022.75</v>
      </c>
    </row>
    <row r="49" spans="1:14" x14ac:dyDescent="0.2">
      <c r="A49" s="12" t="str">
        <f t="shared" si="0"/>
        <v>12/31/2022</v>
      </c>
      <c r="C49" s="256">
        <f>'[2]Boeckh (C)'!D77</f>
        <v>3520.2737502343748</v>
      </c>
      <c r="D49" s="257">
        <f t="shared" si="4"/>
        <v>3183.5737149618217</v>
      </c>
      <c r="E49" s="257">
        <f t="shared" si="5"/>
        <v>3166.1357230109115</v>
      </c>
      <c r="F49"/>
      <c r="G49"/>
      <c r="H49"/>
      <c r="I49"/>
      <c r="J49"/>
      <c r="K49"/>
      <c r="L49"/>
      <c r="M49" s="2"/>
      <c r="N49" s="12">
        <f t="shared" si="3"/>
        <v>2023</v>
      </c>
    </row>
    <row r="50" spans="1:14" x14ac:dyDescent="0.2">
      <c r="A50" s="12" t="str">
        <f t="shared" si="0"/>
        <v>3/31/2023</v>
      </c>
      <c r="C50" s="256">
        <f>'[2]Boeckh (C)'!D78</f>
        <v>3583.5984435156247</v>
      </c>
      <c r="D50" s="257">
        <f t="shared" si="4"/>
        <v>3214.8765257968043</v>
      </c>
      <c r="E50" s="257">
        <f t="shared" si="5"/>
        <v>3201.1495053121585</v>
      </c>
      <c r="F50"/>
      <c r="G50"/>
      <c r="H50"/>
      <c r="I50"/>
      <c r="J50"/>
      <c r="K50"/>
      <c r="L50"/>
      <c r="M50" s="2"/>
      <c r="N50" s="12">
        <f t="shared" si="3"/>
        <v>2023.25</v>
      </c>
    </row>
    <row r="51" spans="1:14" x14ac:dyDescent="0.2">
      <c r="A51" s="12" t="str">
        <f t="shared" si="0"/>
        <v>6/30/2023</v>
      </c>
      <c r="C51" s="256">
        <f>'[2]Boeckh (C)'!D79</f>
        <v>3587.2129532031249</v>
      </c>
      <c r="D51" s="257">
        <f t="shared" si="4"/>
        <v>3246.179336631787</v>
      </c>
      <c r="E51" s="257">
        <f t="shared" si="5"/>
        <v>3236.5504993624559</v>
      </c>
      <c r="F51"/>
      <c r="G51"/>
      <c r="H51"/>
      <c r="I51"/>
      <c r="J51"/>
      <c r="K51"/>
      <c r="L51"/>
      <c r="M51" s="2"/>
      <c r="N51" s="12">
        <f t="shared" si="3"/>
        <v>2023.5</v>
      </c>
    </row>
    <row r="52" spans="1:14" x14ac:dyDescent="0.2">
      <c r="A52" s="12" t="str">
        <f t="shared" si="0"/>
        <v>9/30/2023</v>
      </c>
      <c r="C52" s="256">
        <f>'[2]Boeckh (C)'!D80</f>
        <v>3573.5436495312497</v>
      </c>
      <c r="D52" s="257">
        <f t="shared" si="4"/>
        <v>3277.4821474667697</v>
      </c>
      <c r="E52" s="257">
        <f t="shared" si="5"/>
        <v>3272.3429872737934</v>
      </c>
      <c r="F52"/>
      <c r="G52"/>
      <c r="H52"/>
      <c r="I52"/>
      <c r="J52"/>
      <c r="K52"/>
      <c r="L52"/>
      <c r="M52" s="2"/>
      <c r="N52" s="12">
        <f t="shared" si="3"/>
        <v>2023.75</v>
      </c>
    </row>
    <row r="53" spans="1:14" x14ac:dyDescent="0.2">
      <c r="A53" s="12" t="str">
        <f>TEXT(N9,"m/d/yyyy")</f>
        <v>12/31/2023</v>
      </c>
      <c r="C53" s="256">
        <f>'[2]Boeckh (C)'!D81</f>
        <v>3559.3125696093748</v>
      </c>
      <c r="D53" s="257">
        <f t="shared" si="4"/>
        <v>3308.7849583017523</v>
      </c>
      <c r="E53" s="257">
        <f t="shared" si="5"/>
        <v>3308.5312985134824</v>
      </c>
      <c r="F53"/>
      <c r="G53"/>
      <c r="H53"/>
      <c r="I53"/>
      <c r="J53"/>
      <c r="K53"/>
      <c r="L53"/>
      <c r="M53" s="2"/>
      <c r="N53" s="12">
        <f t="shared" si="3"/>
        <v>2024</v>
      </c>
    </row>
    <row r="54" spans="1:14" x14ac:dyDescent="0.2">
      <c r="A54" s="76"/>
      <c r="B54" s="9"/>
      <c r="C54" s="121"/>
      <c r="D54" s="75"/>
      <c r="E54" s="75"/>
      <c r="L54"/>
      <c r="M54" s="2"/>
    </row>
    <row r="55" spans="1:14" x14ac:dyDescent="0.2">
      <c r="A55"/>
      <c r="C55"/>
      <c r="D55"/>
      <c r="E55"/>
      <c r="F55"/>
      <c r="G55"/>
      <c r="H55"/>
      <c r="I55"/>
      <c r="J55"/>
      <c r="K55"/>
      <c r="L55"/>
      <c r="M55" s="2"/>
    </row>
    <row r="56" spans="1:14" x14ac:dyDescent="0.2">
      <c r="A56" s="12" t="s">
        <v>262</v>
      </c>
      <c r="C56"/>
      <c r="D56" s="19">
        <f>(D53-D49)/D53</f>
        <v>3.7842061336072999E-2</v>
      </c>
      <c r="E56" s="19">
        <f>LOGEST($C$34:$C$53,$N$34:$N$53,TRUE,TRUE)-1</f>
        <v>9.3593331214882447E-2</v>
      </c>
      <c r="F56"/>
      <c r="G56"/>
      <c r="H56"/>
      <c r="I56"/>
      <c r="J56"/>
      <c r="K56"/>
      <c r="L56"/>
      <c r="M56" s="2"/>
    </row>
    <row r="57" spans="1:14" x14ac:dyDescent="0.2">
      <c r="A57" t="s">
        <v>263</v>
      </c>
      <c r="B57"/>
      <c r="C57" s="59"/>
      <c r="D57" s="28">
        <f>INDEX(LINEST($C$14:$C$53,$N$14:$N$53,TRUE,TRUE),3,1)</f>
        <v>0.76352546991934922</v>
      </c>
      <c r="E57" s="28">
        <f>INDEX(LOGEST($C$14:$C$53,$N$14:$N$53,TRUE,TRUE),3,1)</f>
        <v>0.79908456755528967</v>
      </c>
      <c r="F57"/>
      <c r="G57"/>
      <c r="H57"/>
      <c r="I57"/>
      <c r="J57"/>
      <c r="K57"/>
      <c r="L57"/>
      <c r="M57" s="2"/>
    </row>
    <row r="58" spans="1:14" ht="12" thickBot="1" x14ac:dyDescent="0.25">
      <c r="A58" s="6"/>
      <c r="B58" s="6"/>
      <c r="C58" s="6"/>
      <c r="D58" s="6"/>
      <c r="E58" s="6"/>
      <c r="F58"/>
      <c r="G58"/>
      <c r="H58"/>
      <c r="I58"/>
      <c r="J58"/>
      <c r="K58"/>
      <c r="L58"/>
      <c r="M58" s="2"/>
    </row>
    <row r="59" spans="1:14" ht="12" thickTop="1" x14ac:dyDescent="0.2">
      <c r="A59"/>
      <c r="B59"/>
      <c r="C59"/>
      <c r="D59"/>
      <c r="E59"/>
      <c r="F59"/>
      <c r="G59"/>
      <c r="H59"/>
      <c r="I59"/>
      <c r="J59"/>
      <c r="K59"/>
      <c r="L59"/>
      <c r="M59" s="2"/>
    </row>
    <row r="60" spans="1:14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4" x14ac:dyDescent="0.2">
      <c r="A61"/>
      <c r="B61" s="12" t="str">
        <f>C12&amp;" = Average index for Austin, Corpus Christi, Dallas, El Paso, Fort Worth, Houston, Odessa, and San Antonio"</f>
        <v>(2) = Average index for Austin, Corpus Christi, Dallas, El Paso, Fort Worth, Houston, Odessa, and San Antonio</v>
      </c>
      <c r="C61"/>
      <c r="D61"/>
      <c r="E61"/>
      <c r="F61"/>
      <c r="H61"/>
      <c r="J61"/>
      <c r="K61"/>
      <c r="L61"/>
      <c r="M61" s="2"/>
    </row>
    <row r="62" spans="1:14" x14ac:dyDescent="0.2">
      <c r="B62" s="12" t="str">
        <f>D12&amp;" - "&amp;E12&amp;" = "&amp;C12&amp;" Fitted to linear and exponential distributions"</f>
        <v>(3) - (4) = (2) Fitted to linear and exponential distributions</v>
      </c>
      <c r="L62"/>
      <c r="M62" s="2"/>
    </row>
    <row r="63" spans="1:14" x14ac:dyDescent="0.2">
      <c r="L63"/>
      <c r="M63" s="2"/>
    </row>
    <row r="64" spans="1:14" x14ac:dyDescent="0.2">
      <c r="L64"/>
      <c r="M64" s="2"/>
    </row>
    <row r="65" spans="1:13" x14ac:dyDescent="0.2">
      <c r="L65"/>
      <c r="M65" s="2"/>
    </row>
    <row r="66" spans="1:13" x14ac:dyDescent="0.2">
      <c r="L66"/>
      <c r="M66" s="2"/>
    </row>
    <row r="67" spans="1:13" x14ac:dyDescent="0.2">
      <c r="L67"/>
      <c r="M67" s="2"/>
    </row>
    <row r="68" spans="1:13" ht="12" thickBot="1" x14ac:dyDescent="0.25">
      <c r="A68"/>
      <c r="D68"/>
      <c r="E68"/>
      <c r="F68"/>
      <c r="H68"/>
      <c r="J68"/>
      <c r="K68"/>
      <c r="L6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>
    <tabColor rgb="FF00FF00"/>
  </sheetPr>
  <dimension ref="A1:R63"/>
  <sheetViews>
    <sheetView showGridLines="0" zoomScaleNormal="100" workbookViewId="0"/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45</v>
      </c>
      <c r="M1" s="1"/>
      <c r="Q1" s="12" t="s">
        <v>447</v>
      </c>
      <c r="R1" s="12" t="s">
        <v>448</v>
      </c>
    </row>
    <row r="2" spans="1:18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528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71" t="s">
        <v>240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71" t="s">
        <v>280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/>
      <c r="G7"/>
      <c r="H7"/>
      <c r="I7"/>
      <c r="J7"/>
      <c r="K7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253</v>
      </c>
    </row>
    <row r="9" spans="1:18" x14ac:dyDescent="0.2">
      <c r="A9" t="s">
        <v>159</v>
      </c>
      <c r="B9"/>
      <c r="C9" s="134" t="s">
        <v>254</v>
      </c>
      <c r="D9" s="269" t="s">
        <v>255</v>
      </c>
      <c r="E9" s="269"/>
      <c r="F9"/>
      <c r="G9"/>
      <c r="H9"/>
      <c r="I9"/>
      <c r="J9"/>
      <c r="K9"/>
      <c r="L9"/>
      <c r="M9" s="2"/>
      <c r="N9" s="36">
        <f>'3.2b'!$N$9</f>
        <v>45291</v>
      </c>
    </row>
    <row r="10" spans="1:18" x14ac:dyDescent="0.2">
      <c r="A10" t="s">
        <v>237</v>
      </c>
      <c r="B10"/>
      <c r="C10" s="11" t="s">
        <v>243</v>
      </c>
      <c r="D10" s="11" t="s">
        <v>256</v>
      </c>
      <c r="E10" s="11"/>
      <c r="F10"/>
      <c r="G10"/>
      <c r="H10"/>
      <c r="I10"/>
      <c r="M10" s="2"/>
    </row>
    <row r="11" spans="1:18" x14ac:dyDescent="0.2">
      <c r="A11" s="9" t="s">
        <v>26</v>
      </c>
      <c r="B11" s="9"/>
      <c r="C11" s="144" t="s">
        <v>238</v>
      </c>
      <c r="D11" s="144" t="s">
        <v>260</v>
      </c>
      <c r="E11" s="144" t="s">
        <v>261</v>
      </c>
      <c r="F11"/>
      <c r="G11"/>
      <c r="H11"/>
      <c r="I11"/>
      <c r="M11" s="2"/>
      <c r="N11" s="9" t="s">
        <v>238</v>
      </c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/>
      <c r="G12"/>
      <c r="H12"/>
      <c r="I12"/>
      <c r="M12" s="2"/>
    </row>
    <row r="13" spans="1:18" x14ac:dyDescent="0.2">
      <c r="A13"/>
      <c r="B13"/>
      <c r="C13"/>
      <c r="D13"/>
      <c r="E13"/>
      <c r="F13"/>
      <c r="G13"/>
      <c r="H13"/>
      <c r="I13"/>
      <c r="M13" s="2"/>
    </row>
    <row r="14" spans="1:18" x14ac:dyDescent="0.2">
      <c r="A14" s="12" t="str">
        <f t="shared" ref="A14:A52" si="0">TEXT(DATE(YEAR(A15+1),MONTH(A15+1)-3,1)-1,"m/d/yyyy")</f>
        <v>3/31/2014</v>
      </c>
      <c r="B14" s="22"/>
      <c r="C14" s="258">
        <f>'[2]Boeckh (C)'!E42</f>
        <v>2329.1534887500002</v>
      </c>
      <c r="D14" s="257">
        <f t="shared" ref="D14:D53" si="1">TREND($C$14:$C$53,$N$14:$N$53,$N14,TRUE)</f>
        <v>2110.58910689404</v>
      </c>
      <c r="E14" s="257">
        <f t="shared" ref="E14:E53" si="2">GROWTH($C$14:$C$53,$N$14:$N$53,$N14,TRUE)</f>
        <v>2179.6999688012784</v>
      </c>
      <c r="F14" s="67"/>
      <c r="G14"/>
      <c r="H14"/>
      <c r="I14"/>
      <c r="M14" s="2"/>
      <c r="N14" s="12">
        <f t="shared" ref="N14:N45" si="3">YEAR(A14)+MONTH(A14)/12</f>
        <v>2014.25</v>
      </c>
    </row>
    <row r="15" spans="1:18" x14ac:dyDescent="0.2">
      <c r="A15" s="12" t="str">
        <f t="shared" si="0"/>
        <v>6/30/2014</v>
      </c>
      <c r="B15" s="22"/>
      <c r="C15" s="258">
        <f>'[2]Boeckh (C)'!E43</f>
        <v>2353.6217578125002</v>
      </c>
      <c r="D15" s="257">
        <f t="shared" si="1"/>
        <v>2142.7151472015539</v>
      </c>
      <c r="E15" s="257">
        <f t="shared" si="2"/>
        <v>2204.070019945289</v>
      </c>
      <c r="F15" s="67"/>
      <c r="G15"/>
      <c r="H15"/>
      <c r="I15"/>
      <c r="M15" s="2"/>
      <c r="N15" s="12">
        <f t="shared" si="3"/>
        <v>2014.5</v>
      </c>
    </row>
    <row r="16" spans="1:18" x14ac:dyDescent="0.2">
      <c r="A16" s="12" t="str">
        <f t="shared" si="0"/>
        <v>9/30/2014</v>
      </c>
      <c r="B16"/>
      <c r="C16" s="258">
        <f>'[2]Boeckh (C)'!E44</f>
        <v>2374.4354528125004</v>
      </c>
      <c r="D16" s="257">
        <f t="shared" si="1"/>
        <v>2174.8411875090969</v>
      </c>
      <c r="E16" s="257">
        <f t="shared" si="2"/>
        <v>2228.712539502963</v>
      </c>
      <c r="F16" s="67"/>
      <c r="G16"/>
      <c r="H16"/>
      <c r="I16"/>
      <c r="M16" s="2"/>
      <c r="N16" s="12">
        <f t="shared" si="3"/>
        <v>2014.75</v>
      </c>
    </row>
    <row r="17" spans="1:14" x14ac:dyDescent="0.2">
      <c r="A17" s="12" t="str">
        <f t="shared" si="0"/>
        <v>12/31/2014</v>
      </c>
      <c r="B17"/>
      <c r="C17" s="258">
        <f>'[2]Boeckh (C)'!E45</f>
        <v>2395.7052087500001</v>
      </c>
      <c r="D17" s="257">
        <f t="shared" si="1"/>
        <v>2206.9672278166108</v>
      </c>
      <c r="E17" s="257">
        <f t="shared" si="2"/>
        <v>2253.6305737968546</v>
      </c>
      <c r="F17" s="67"/>
      <c r="G17"/>
      <c r="H17"/>
      <c r="I17"/>
      <c r="M17" s="2"/>
      <c r="N17" s="12">
        <f t="shared" si="3"/>
        <v>2015</v>
      </c>
    </row>
    <row r="18" spans="1:14" x14ac:dyDescent="0.2">
      <c r="A18" s="12" t="str">
        <f t="shared" si="0"/>
        <v>3/31/2015</v>
      </c>
      <c r="B18"/>
      <c r="C18" s="258">
        <f>'[2]Boeckh (C)'!E46</f>
        <v>2409.8568299999997</v>
      </c>
      <c r="D18" s="257">
        <f t="shared" si="1"/>
        <v>2239.0932681241247</v>
      </c>
      <c r="E18" s="257">
        <f t="shared" si="2"/>
        <v>2278.8272032088094</v>
      </c>
      <c r="F18" s="67"/>
      <c r="G18"/>
      <c r="H18"/>
      <c r="I18"/>
      <c r="M18" s="2"/>
      <c r="N18" s="12">
        <f t="shared" si="3"/>
        <v>2015.25</v>
      </c>
    </row>
    <row r="19" spans="1:14" x14ac:dyDescent="0.2">
      <c r="A19" s="12" t="str">
        <f t="shared" si="0"/>
        <v>6/30/2015</v>
      </c>
      <c r="B19"/>
      <c r="C19" s="258">
        <f>'[2]Boeckh (C)'!E47</f>
        <v>2421.4979546875002</v>
      </c>
      <c r="D19" s="257">
        <f t="shared" si="1"/>
        <v>2271.2193084316386</v>
      </c>
      <c r="E19" s="257">
        <f t="shared" si="2"/>
        <v>2304.3055425607627</v>
      </c>
      <c r="F19" s="67"/>
      <c r="G19"/>
      <c r="H19"/>
      <c r="I19"/>
      <c r="M19" s="2"/>
      <c r="N19" s="12">
        <f t="shared" si="3"/>
        <v>2015.5</v>
      </c>
    </row>
    <row r="20" spans="1:14" x14ac:dyDescent="0.2">
      <c r="A20" s="12" t="str">
        <f t="shared" si="0"/>
        <v>9/30/2015</v>
      </c>
      <c r="B20"/>
      <c r="C20" s="258">
        <f>'[2]Boeckh (C)'!E48</f>
        <v>2430.5450599999999</v>
      </c>
      <c r="D20" s="257">
        <f t="shared" si="1"/>
        <v>2303.3453487391525</v>
      </c>
      <c r="E20" s="257">
        <f t="shared" si="2"/>
        <v>2330.0687414997965</v>
      </c>
      <c r="F20" s="67"/>
      <c r="G20"/>
      <c r="H20"/>
      <c r="I20"/>
      <c r="M20" s="2"/>
      <c r="N20" s="12">
        <f t="shared" si="3"/>
        <v>2015.75</v>
      </c>
    </row>
    <row r="21" spans="1:14" x14ac:dyDescent="0.2">
      <c r="A21" s="12" t="str">
        <f t="shared" si="0"/>
        <v>12/31/2015</v>
      </c>
      <c r="B21"/>
      <c r="C21" s="258">
        <f>'[2]Boeckh (C)'!E49</f>
        <v>2434.8518118750003</v>
      </c>
      <c r="D21" s="257">
        <f t="shared" si="1"/>
        <v>2335.4713890466664</v>
      </c>
      <c r="E21" s="257">
        <f t="shared" si="2"/>
        <v>2356.1199848874658</v>
      </c>
      <c r="F21" s="67"/>
      <c r="G21"/>
      <c r="H21"/>
      <c r="I21"/>
      <c r="M21" s="2"/>
      <c r="N21" s="12">
        <f t="shared" si="3"/>
        <v>2016</v>
      </c>
    </row>
    <row r="22" spans="1:14" x14ac:dyDescent="0.2">
      <c r="A22" s="12" t="str">
        <f t="shared" si="0"/>
        <v>3/31/2016</v>
      </c>
      <c r="B22"/>
      <c r="C22" s="258">
        <f>'[2]Boeckh (C)'!E50</f>
        <v>2433.9618637500002</v>
      </c>
      <c r="D22" s="257">
        <f t="shared" si="1"/>
        <v>2367.5974293541803</v>
      </c>
      <c r="E22" s="257">
        <f t="shared" si="2"/>
        <v>2382.4624931936482</v>
      </c>
      <c r="F22" s="67"/>
      <c r="G22"/>
      <c r="H22"/>
      <c r="I22"/>
      <c r="M22" s="2"/>
      <c r="N22" s="12">
        <f t="shared" si="3"/>
        <v>2016.25</v>
      </c>
    </row>
    <row r="23" spans="1:14" x14ac:dyDescent="0.2">
      <c r="A23" s="12" t="str">
        <f t="shared" si="0"/>
        <v>6/30/2016</v>
      </c>
      <c r="B23"/>
      <c r="C23" s="258">
        <f>'[2]Boeckh (C)'!E51</f>
        <v>2429.6983378125001</v>
      </c>
      <c r="D23" s="257">
        <f t="shared" si="1"/>
        <v>2399.7234696616943</v>
      </c>
      <c r="E23" s="257">
        <f t="shared" si="2"/>
        <v>2409.0995228944594</v>
      </c>
      <c r="F23" s="67"/>
      <c r="G23"/>
      <c r="H23"/>
      <c r="I23"/>
      <c r="M23" s="2"/>
      <c r="N23" s="12">
        <f t="shared" si="3"/>
        <v>2016.5</v>
      </c>
    </row>
    <row r="24" spans="1:14" x14ac:dyDescent="0.2">
      <c r="A24" s="12" t="str">
        <f t="shared" si="0"/>
        <v>9/30/2016</v>
      </c>
      <c r="B24"/>
      <c r="C24" s="258">
        <f>'[2]Boeckh (C)'!E52</f>
        <v>2424.8281468750001</v>
      </c>
      <c r="D24" s="257">
        <f t="shared" si="1"/>
        <v>2431.8495099692082</v>
      </c>
      <c r="E24" s="257">
        <f t="shared" si="2"/>
        <v>2436.0343668749529</v>
      </c>
      <c r="F24" s="67"/>
      <c r="G24"/>
      <c r="H24"/>
      <c r="I24"/>
      <c r="M24" s="2"/>
      <c r="N24" s="12">
        <f t="shared" si="3"/>
        <v>2016.75</v>
      </c>
    </row>
    <row r="25" spans="1:14" x14ac:dyDescent="0.2">
      <c r="A25" s="12" t="str">
        <f t="shared" si="0"/>
        <v>12/31/2016</v>
      </c>
      <c r="B25" s="22"/>
      <c r="C25" s="258">
        <f>'[2]Boeckh (C)'!E53</f>
        <v>2421.6989806250003</v>
      </c>
      <c r="D25" s="257">
        <f t="shared" si="1"/>
        <v>2463.9755502767221</v>
      </c>
      <c r="E25" s="257">
        <f t="shared" si="2"/>
        <v>2463.2703548361574</v>
      </c>
      <c r="F25" s="67"/>
      <c r="G25"/>
      <c r="H25"/>
      <c r="I25"/>
      <c r="M25" s="2"/>
      <c r="N25" s="12">
        <f t="shared" si="3"/>
        <v>2017</v>
      </c>
    </row>
    <row r="26" spans="1:14" x14ac:dyDescent="0.2">
      <c r="A26" s="12" t="str">
        <f t="shared" si="0"/>
        <v>3/31/2017</v>
      </c>
      <c r="B26" s="22"/>
      <c r="C26" s="258">
        <f>'[2]Boeckh (C)'!E54</f>
        <v>2425.330744375</v>
      </c>
      <c r="D26" s="257">
        <f t="shared" si="1"/>
        <v>2496.101590584236</v>
      </c>
      <c r="E26" s="257">
        <f t="shared" si="2"/>
        <v>2490.8108537066951</v>
      </c>
      <c r="F26" s="67"/>
      <c r="G26"/>
      <c r="H26"/>
      <c r="I26"/>
      <c r="M26" s="2"/>
      <c r="N26" s="12">
        <f t="shared" si="3"/>
        <v>2017.25</v>
      </c>
    </row>
    <row r="27" spans="1:14" x14ac:dyDescent="0.2">
      <c r="A27" s="12" t="str">
        <f t="shared" si="0"/>
        <v>6/30/2017</v>
      </c>
      <c r="B27"/>
      <c r="C27" s="258">
        <f>'[2]Boeckh (C)'!E55</f>
        <v>2438.01677625</v>
      </c>
      <c r="D27" s="257">
        <f t="shared" si="1"/>
        <v>2528.2276308917499</v>
      </c>
      <c r="E27" s="257">
        <f t="shared" si="2"/>
        <v>2518.6592680590024</v>
      </c>
      <c r="F27" s="67"/>
      <c r="G27"/>
      <c r="H27"/>
      <c r="I27"/>
      <c r="M27" s="2"/>
      <c r="N27" s="12">
        <f t="shared" si="3"/>
        <v>2017.5</v>
      </c>
    </row>
    <row r="28" spans="1:14" x14ac:dyDescent="0.2">
      <c r="A28" s="12" t="str">
        <f t="shared" si="0"/>
        <v>9/30/2017</v>
      </c>
      <c r="C28" s="258">
        <f>'[2]Boeckh (C)'!E56</f>
        <v>2455.0274190625</v>
      </c>
      <c r="D28" s="257">
        <f t="shared" si="1"/>
        <v>2560.3536711992929</v>
      </c>
      <c r="E28" s="257">
        <f t="shared" si="2"/>
        <v>2546.8190405302062</v>
      </c>
      <c r="F28" s="67"/>
      <c r="G28"/>
      <c r="H28"/>
      <c r="I28"/>
      <c r="M28" s="2"/>
      <c r="N28" s="12">
        <f t="shared" si="3"/>
        <v>2017.75</v>
      </c>
    </row>
    <row r="29" spans="1:14" x14ac:dyDescent="0.2">
      <c r="A29" s="12" t="str">
        <f t="shared" si="0"/>
        <v>12/31/2017</v>
      </c>
      <c r="C29" s="258">
        <f>'[2]Boeckh (C)'!E57</f>
        <v>2475.3956271875004</v>
      </c>
      <c r="D29" s="257">
        <f t="shared" si="1"/>
        <v>2592.4797115068068</v>
      </c>
      <c r="E29" s="257">
        <f t="shared" si="2"/>
        <v>2575.2936522477053</v>
      </c>
      <c r="F29" s="67"/>
      <c r="G29"/>
      <c r="H29"/>
      <c r="I29"/>
      <c r="M29" s="2"/>
      <c r="N29" s="12">
        <f t="shared" si="3"/>
        <v>2018</v>
      </c>
    </row>
    <row r="30" spans="1:14" x14ac:dyDescent="0.2">
      <c r="A30" s="12" t="str">
        <f t="shared" si="0"/>
        <v>3/31/2018</v>
      </c>
      <c r="C30" s="258">
        <f>'[2]Boeckh (C)'!E58</f>
        <v>2496.1766084374999</v>
      </c>
      <c r="D30" s="257">
        <f t="shared" si="1"/>
        <v>2624.6057518143207</v>
      </c>
      <c r="E30" s="257">
        <f t="shared" si="2"/>
        <v>2604.0866232595081</v>
      </c>
      <c r="F30" s="67"/>
      <c r="G30"/>
      <c r="H30"/>
      <c r="I30"/>
      <c r="M30" s="2"/>
      <c r="N30" s="12">
        <f t="shared" si="3"/>
        <v>2018.25</v>
      </c>
    </row>
    <row r="31" spans="1:14" x14ac:dyDescent="0.2">
      <c r="A31" s="12" t="str">
        <f t="shared" si="0"/>
        <v>6/30/2018</v>
      </c>
      <c r="C31" s="258">
        <f>'[2]Boeckh (C)'!E59</f>
        <v>2520.2908184375001</v>
      </c>
      <c r="D31" s="257">
        <f t="shared" si="1"/>
        <v>2656.7317921218346</v>
      </c>
      <c r="E31" s="257">
        <f t="shared" si="2"/>
        <v>2633.2015129693832</v>
      </c>
      <c r="F31" s="67"/>
      <c r="G31"/>
      <c r="H31"/>
      <c r="I31"/>
      <c r="M31" s="2"/>
      <c r="N31" s="12">
        <f t="shared" si="3"/>
        <v>2018.5</v>
      </c>
    </row>
    <row r="32" spans="1:14" x14ac:dyDescent="0.2">
      <c r="A32" s="12" t="str">
        <f t="shared" si="0"/>
        <v>9/30/2018</v>
      </c>
      <c r="C32" s="258">
        <f>'[2]Boeckh (C)'!E60</f>
        <v>2549.2952637499998</v>
      </c>
      <c r="D32" s="257">
        <f t="shared" si="1"/>
        <v>2688.8578324293485</v>
      </c>
      <c r="E32" s="257">
        <f t="shared" si="2"/>
        <v>2662.6419205768766</v>
      </c>
      <c r="F32" s="67"/>
      <c r="G32"/>
      <c r="H32"/>
      <c r="I32"/>
      <c r="M32" s="2"/>
      <c r="N32" s="12">
        <f t="shared" si="3"/>
        <v>2018.75</v>
      </c>
    </row>
    <row r="33" spans="1:14" x14ac:dyDescent="0.2">
      <c r="A33" s="12" t="str">
        <f t="shared" si="0"/>
        <v>12/31/2018</v>
      </c>
      <c r="C33" s="258">
        <f>'[2]Boeckh (C)'!E61</f>
        <v>2583.569815625</v>
      </c>
      <c r="D33" s="257">
        <f t="shared" si="1"/>
        <v>2720.9838727368624</v>
      </c>
      <c r="E33" s="257">
        <f t="shared" si="2"/>
        <v>2692.4114855222438</v>
      </c>
      <c r="F33" s="67"/>
      <c r="G33"/>
      <c r="H33"/>
      <c r="I33"/>
      <c r="M33" s="2"/>
      <c r="N33" s="12">
        <f t="shared" si="3"/>
        <v>2019</v>
      </c>
    </row>
    <row r="34" spans="1:14" x14ac:dyDescent="0.2">
      <c r="A34" s="12" t="str">
        <f t="shared" si="0"/>
        <v>3/31/2019</v>
      </c>
      <c r="C34" s="258">
        <f>'[2]Boeckh (C)'!E62</f>
        <v>2614.4160775</v>
      </c>
      <c r="D34" s="257">
        <f t="shared" si="1"/>
        <v>2753.1099130443763</v>
      </c>
      <c r="E34" s="257">
        <f t="shared" si="2"/>
        <v>2722.5138879363631</v>
      </c>
      <c r="F34" s="67"/>
      <c r="G34"/>
      <c r="H34"/>
      <c r="I34"/>
      <c r="M34" s="2"/>
      <c r="N34" s="12">
        <f t="shared" si="3"/>
        <v>2019.25</v>
      </c>
    </row>
    <row r="35" spans="1:14" x14ac:dyDescent="0.2">
      <c r="A35" s="12" t="str">
        <f t="shared" si="0"/>
        <v>6/30/2019</v>
      </c>
      <c r="B35"/>
      <c r="C35" s="258">
        <f>'[2]Boeckh (C)'!E63</f>
        <v>2628.8842012499999</v>
      </c>
      <c r="D35" s="257">
        <f t="shared" si="1"/>
        <v>2785.2359533518902</v>
      </c>
      <c r="E35" s="257">
        <f t="shared" si="2"/>
        <v>2752.9528490956718</v>
      </c>
      <c r="F35" s="67"/>
      <c r="G35"/>
      <c r="H35"/>
      <c r="I35"/>
      <c r="M35" s="2"/>
      <c r="N35" s="12">
        <f t="shared" si="3"/>
        <v>2019.5</v>
      </c>
    </row>
    <row r="36" spans="1:14" x14ac:dyDescent="0.2">
      <c r="A36" s="12" t="str">
        <f t="shared" si="0"/>
        <v>9/30/2019</v>
      </c>
      <c r="C36" s="258">
        <f>'[2]Boeckh (C)'!E64</f>
        <v>2633.8497593749998</v>
      </c>
      <c r="D36" s="257">
        <f t="shared" si="1"/>
        <v>2817.3619936594041</v>
      </c>
      <c r="E36" s="257">
        <f t="shared" si="2"/>
        <v>2783.7321318821555</v>
      </c>
      <c r="F36" s="67"/>
      <c r="G36"/>
      <c r="H36"/>
      <c r="I36"/>
      <c r="M36" s="2"/>
      <c r="N36" s="12">
        <f t="shared" si="3"/>
        <v>2019.75</v>
      </c>
    </row>
    <row r="37" spans="1:14" x14ac:dyDescent="0.2">
      <c r="A37" s="12" t="str">
        <f t="shared" si="0"/>
        <v>12/31/2019</v>
      </c>
      <c r="C37" s="258">
        <f>'[2]Boeckh (C)'!E65</f>
        <v>2629.0181068749998</v>
      </c>
      <c r="D37" s="257">
        <f t="shared" si="1"/>
        <v>2849.488033966918</v>
      </c>
      <c r="E37" s="257">
        <f t="shared" si="2"/>
        <v>2814.8555412486758</v>
      </c>
      <c r="F37" s="67"/>
      <c r="G37"/>
      <c r="H37"/>
      <c r="I37"/>
      <c r="M37" s="2"/>
      <c r="N37" s="12">
        <f t="shared" si="3"/>
        <v>2020</v>
      </c>
    </row>
    <row r="38" spans="1:14" x14ac:dyDescent="0.2">
      <c r="A38" s="12" t="str">
        <f t="shared" si="0"/>
        <v>3/31/2020</v>
      </c>
      <c r="C38" s="258">
        <f>'[2]Boeckh (C)'!E66</f>
        <v>2623.3533887499998</v>
      </c>
      <c r="D38" s="257">
        <f t="shared" si="1"/>
        <v>2881.6140742744319</v>
      </c>
      <c r="E38" s="257">
        <f t="shared" si="2"/>
        <v>2846.3269246891027</v>
      </c>
      <c r="F38" s="67"/>
      <c r="G38"/>
      <c r="H38"/>
      <c r="I38"/>
      <c r="M38" s="2"/>
      <c r="N38" s="12">
        <f t="shared" si="3"/>
        <v>2020.25</v>
      </c>
    </row>
    <row r="39" spans="1:14" x14ac:dyDescent="0.2">
      <c r="A39" s="12" t="str">
        <f t="shared" si="0"/>
        <v>6/30/2020</v>
      </c>
      <c r="C39" s="258">
        <f>'[2]Boeckh (C)'!E67</f>
        <v>2625.15365875</v>
      </c>
      <c r="D39" s="257">
        <f t="shared" si="1"/>
        <v>2913.7401145819458</v>
      </c>
      <c r="E39" s="257">
        <f t="shared" si="2"/>
        <v>2878.1501727141031</v>
      </c>
      <c r="F39" s="67"/>
      <c r="G39"/>
      <c r="H39"/>
      <c r="I39"/>
      <c r="M39" s="2"/>
      <c r="N39" s="12">
        <f t="shared" si="3"/>
        <v>2020.5</v>
      </c>
    </row>
    <row r="40" spans="1:14" x14ac:dyDescent="0.2">
      <c r="A40" s="12" t="str">
        <f t="shared" si="0"/>
        <v>9/30/2020</v>
      </c>
      <c r="B40"/>
      <c r="C40" s="258">
        <f>'[2]Boeckh (C)'!E68</f>
        <v>2631.5591903124996</v>
      </c>
      <c r="D40" s="257">
        <f t="shared" si="1"/>
        <v>2945.8661548894888</v>
      </c>
      <c r="E40" s="257">
        <f t="shared" si="2"/>
        <v>2910.3292193320463</v>
      </c>
      <c r="F40" s="67"/>
      <c r="G40"/>
      <c r="H40"/>
      <c r="I40"/>
      <c r="M40" s="2"/>
      <c r="N40" s="12">
        <f t="shared" si="3"/>
        <v>2020.75</v>
      </c>
    </row>
    <row r="41" spans="1:14" x14ac:dyDescent="0.2">
      <c r="A41" s="12" t="str">
        <f t="shared" si="0"/>
        <v>12/31/2020</v>
      </c>
      <c r="C41" s="258">
        <f>'[2]Boeckh (C)'!E69</f>
        <v>2654.3470590624997</v>
      </c>
      <c r="D41" s="257">
        <f t="shared" si="1"/>
        <v>2977.9921951970027</v>
      </c>
      <c r="E41" s="257">
        <f t="shared" si="2"/>
        <v>2942.8680425353309</v>
      </c>
      <c r="F41" s="67"/>
      <c r="G41"/>
      <c r="H41"/>
      <c r="I41"/>
      <c r="M41" s="2"/>
      <c r="N41" s="12">
        <f t="shared" si="3"/>
        <v>2021</v>
      </c>
    </row>
    <row r="42" spans="1:14" x14ac:dyDescent="0.2">
      <c r="A42" s="12" t="str">
        <f t="shared" si="0"/>
        <v>3/31/2021</v>
      </c>
      <c r="C42" s="258">
        <f>'[2]Boeckh (C)'!E70</f>
        <v>2690.3345912499999</v>
      </c>
      <c r="D42" s="257">
        <f t="shared" si="1"/>
        <v>3010.1182355045166</v>
      </c>
      <c r="E42" s="257">
        <f t="shared" si="2"/>
        <v>2975.7706647921464</v>
      </c>
      <c r="F42" s="67"/>
      <c r="G42"/>
      <c r="H42"/>
      <c r="I42"/>
      <c r="M42" s="2"/>
      <c r="N42" s="12">
        <f t="shared" si="3"/>
        <v>2021.25</v>
      </c>
    </row>
    <row r="43" spans="1:14" x14ac:dyDescent="0.2">
      <c r="A43" s="12" t="str">
        <f t="shared" si="0"/>
        <v>6/30/2021</v>
      </c>
      <c r="C43" s="258">
        <f>'[2]Boeckh (C)'!E71</f>
        <v>2764.2784543750004</v>
      </c>
      <c r="D43" s="257">
        <f t="shared" si="1"/>
        <v>3042.2442758120305</v>
      </c>
      <c r="E43" s="257">
        <f t="shared" si="2"/>
        <v>3009.0411535437306</v>
      </c>
      <c r="F43" s="67"/>
      <c r="G43"/>
      <c r="H43"/>
      <c r="I43"/>
      <c r="M43" s="2"/>
      <c r="N43" s="12">
        <f t="shared" si="3"/>
        <v>2021.5</v>
      </c>
    </row>
    <row r="44" spans="1:14" x14ac:dyDescent="0.2">
      <c r="A44" s="12" t="str">
        <f t="shared" si="0"/>
        <v>9/30/2021</v>
      </c>
      <c r="C44" s="258">
        <f>'[2]Boeckh (C)'!E72</f>
        <v>2915.8435200000004</v>
      </c>
      <c r="D44" s="257">
        <f t="shared" si="1"/>
        <v>3074.3703161195444</v>
      </c>
      <c r="E44" s="257">
        <f t="shared" si="2"/>
        <v>3042.6836217071909</v>
      </c>
      <c r="F44" s="67"/>
      <c r="G44"/>
      <c r="H44"/>
      <c r="I44"/>
      <c r="M44" s="2"/>
      <c r="N44" s="12">
        <f t="shared" si="3"/>
        <v>2021.75</v>
      </c>
    </row>
    <row r="45" spans="1:14" x14ac:dyDescent="0.2">
      <c r="A45" s="12" t="str">
        <f t="shared" si="0"/>
        <v>12/31/2021</v>
      </c>
      <c r="B45"/>
      <c r="C45" s="258">
        <f>'[2]Boeckh (C)'!E73</f>
        <v>3057.7537175000002</v>
      </c>
      <c r="D45" s="257">
        <f t="shared" si="1"/>
        <v>3106.4963564270583</v>
      </c>
      <c r="E45" s="257">
        <f t="shared" si="2"/>
        <v>3076.7022281839468</v>
      </c>
      <c r="F45" s="67"/>
      <c r="G45"/>
      <c r="H45"/>
      <c r="I45"/>
      <c r="M45" s="2"/>
      <c r="N45" s="12">
        <f t="shared" si="3"/>
        <v>2022</v>
      </c>
    </row>
    <row r="46" spans="1:14" x14ac:dyDescent="0.2">
      <c r="A46" s="12" t="str">
        <f t="shared" si="0"/>
        <v>3/31/2022</v>
      </c>
      <c r="C46" s="258">
        <f>'[2]Boeckh (C)'!E74</f>
        <v>3206.6696434374999</v>
      </c>
      <c r="D46" s="257">
        <f t="shared" si="1"/>
        <v>3138.6223967345722</v>
      </c>
      <c r="E46" s="257">
        <f t="shared" si="2"/>
        <v>3111.1011783738527</v>
      </c>
      <c r="F46" s="67"/>
      <c r="G46"/>
      <c r="H46"/>
      <c r="I46"/>
      <c r="M46" s="2"/>
      <c r="N46" s="12">
        <f t="shared" ref="N46:N52" si="4">YEAR(A46)+MONTH(A46)/12</f>
        <v>2022.25</v>
      </c>
    </row>
    <row r="47" spans="1:14" x14ac:dyDescent="0.2">
      <c r="A47" s="12" t="str">
        <f t="shared" si="0"/>
        <v>6/30/2022</v>
      </c>
      <c r="C47" s="258">
        <f>'[2]Boeckh (C)'!E75</f>
        <v>3377.1526368750001</v>
      </c>
      <c r="D47" s="257">
        <f t="shared" si="1"/>
        <v>3170.7484370420862</v>
      </c>
      <c r="E47" s="257">
        <f t="shared" si="2"/>
        <v>3145.8847246950731</v>
      </c>
      <c r="F47" s="67"/>
      <c r="G47"/>
      <c r="H47"/>
      <c r="I47"/>
      <c r="M47" s="2"/>
      <c r="N47" s="12">
        <f t="shared" si="4"/>
        <v>2022.5</v>
      </c>
    </row>
    <row r="48" spans="1:14" x14ac:dyDescent="0.2">
      <c r="A48" s="12" t="str">
        <f t="shared" si="0"/>
        <v>9/30/2022</v>
      </c>
      <c r="C48" s="258">
        <f>'[2]Boeckh (C)'!E76</f>
        <v>3483.9501315624998</v>
      </c>
      <c r="D48" s="257">
        <f t="shared" si="1"/>
        <v>3202.8744773496001</v>
      </c>
      <c r="E48" s="257">
        <f t="shared" si="2"/>
        <v>3181.0571671097705</v>
      </c>
      <c r="F48" s="67"/>
      <c r="G48"/>
      <c r="H48"/>
      <c r="I48"/>
      <c r="M48" s="2"/>
      <c r="N48" s="12">
        <f t="shared" si="4"/>
        <v>2022.75</v>
      </c>
    </row>
    <row r="49" spans="1:14" x14ac:dyDescent="0.2">
      <c r="A49" s="12" t="str">
        <f t="shared" si="0"/>
        <v>12/31/2022</v>
      </c>
      <c r="B49"/>
      <c r="C49" s="258">
        <f>'[2]Boeckh (C)'!E77</f>
        <v>3583.5683684374999</v>
      </c>
      <c r="D49" s="257">
        <f t="shared" si="1"/>
        <v>3235.000517657114</v>
      </c>
      <c r="E49" s="257">
        <f t="shared" si="2"/>
        <v>3216.6228536556673</v>
      </c>
      <c r="F49" s="67"/>
      <c r="G49"/>
      <c r="H49"/>
      <c r="I49"/>
      <c r="M49" s="2"/>
      <c r="N49" s="12">
        <f t="shared" si="4"/>
        <v>2023</v>
      </c>
    </row>
    <row r="50" spans="1:14" x14ac:dyDescent="0.2">
      <c r="A50" s="12" t="str">
        <f t="shared" si="0"/>
        <v>3/31/2023</v>
      </c>
      <c r="C50" s="258">
        <f>'[2]Boeckh (C)'!E78</f>
        <v>3650.2850309374999</v>
      </c>
      <c r="D50" s="257">
        <f t="shared" si="1"/>
        <v>3267.1265579646279</v>
      </c>
      <c r="E50" s="257">
        <f t="shared" si="2"/>
        <v>3252.5861809835524</v>
      </c>
      <c r="F50" s="67"/>
      <c r="G50"/>
      <c r="H50"/>
      <c r="I50"/>
      <c r="M50" s="2"/>
      <c r="N50" s="12">
        <f t="shared" si="4"/>
        <v>2023.25</v>
      </c>
    </row>
    <row r="51" spans="1:14" x14ac:dyDescent="0.2">
      <c r="A51" s="12" t="str">
        <f t="shared" si="0"/>
        <v>6/30/2023</v>
      </c>
      <c r="C51" s="258">
        <f>'[2]Boeckh (C)'!E79</f>
        <v>3653.2665190625003</v>
      </c>
      <c r="D51" s="257">
        <f t="shared" si="1"/>
        <v>3299.2525982721709</v>
      </c>
      <c r="E51" s="257">
        <f t="shared" si="2"/>
        <v>3288.9515949007541</v>
      </c>
      <c r="F51" s="67"/>
      <c r="G51"/>
      <c r="H51"/>
      <c r="I51"/>
      <c r="M51" s="2"/>
      <c r="N51" s="12">
        <f t="shared" si="4"/>
        <v>2023.5</v>
      </c>
    </row>
    <row r="52" spans="1:14" x14ac:dyDescent="0.2">
      <c r="A52" s="12" t="str">
        <f t="shared" si="0"/>
        <v>9/30/2023</v>
      </c>
      <c r="C52" s="258">
        <f>'[2]Boeckh (C)'!E80</f>
        <v>3637.0007246875002</v>
      </c>
      <c r="D52" s="257">
        <f t="shared" si="1"/>
        <v>3331.3786385796848</v>
      </c>
      <c r="E52" s="257">
        <f t="shared" si="2"/>
        <v>3325.7235909209153</v>
      </c>
      <c r="F52" s="67"/>
      <c r="G52"/>
      <c r="H52"/>
      <c r="I52"/>
      <c r="M52" s="2"/>
      <c r="N52" s="12">
        <f t="shared" si="4"/>
        <v>2023.75</v>
      </c>
    </row>
    <row r="53" spans="1:14" x14ac:dyDescent="0.2">
      <c r="A53" s="49" t="str">
        <f>TEXT(N9,"m/d/yyyy")</f>
        <v>12/31/2023</v>
      </c>
      <c r="B53"/>
      <c r="C53" s="258">
        <f>'[2]Boeckh (C)'!E81</f>
        <v>3618.2329687500001</v>
      </c>
      <c r="D53" s="257">
        <f t="shared" si="1"/>
        <v>3363.5046788871987</v>
      </c>
      <c r="E53" s="257">
        <f t="shared" si="2"/>
        <v>3362.9067148194567</v>
      </c>
      <c r="F53" s="67"/>
      <c r="G53"/>
      <c r="H53"/>
      <c r="I53"/>
      <c r="M53" s="2"/>
      <c r="N53" s="12">
        <f>YEAR(A53)+MONTH(A53)/12</f>
        <v>2024</v>
      </c>
    </row>
    <row r="54" spans="1:14" x14ac:dyDescent="0.2">
      <c r="A54" s="95"/>
      <c r="B54" s="95"/>
      <c r="C54" s="95"/>
      <c r="D54" s="95"/>
      <c r="E54" s="95"/>
      <c r="F54"/>
      <c r="G54"/>
      <c r="H54"/>
      <c r="I54"/>
      <c r="M54" s="2"/>
    </row>
    <row r="55" spans="1:14" x14ac:dyDescent="0.2">
      <c r="A55"/>
      <c r="C55" s="103"/>
      <c r="D55"/>
      <c r="E55"/>
      <c r="F55"/>
      <c r="G55"/>
      <c r="H55"/>
      <c r="I55"/>
      <c r="M55" s="2"/>
    </row>
    <row r="56" spans="1:14" x14ac:dyDescent="0.2">
      <c r="A56" s="12" t="s">
        <v>262</v>
      </c>
      <c r="C56"/>
      <c r="D56" s="19">
        <f>(D53-D49)/D49</f>
        <v>3.9723072849197363E-2</v>
      </c>
      <c r="E56" s="19">
        <f>LOGEST($C$34:$C$53,$N$34:$N$53,TRUE,TRUE)-1</f>
        <v>9.4333274300753001E-2</v>
      </c>
      <c r="F56"/>
      <c r="G56"/>
      <c r="H56"/>
      <c r="I56"/>
      <c r="M56" s="2"/>
    </row>
    <row r="57" spans="1:14" x14ac:dyDescent="0.2">
      <c r="A57" t="s">
        <v>263</v>
      </c>
      <c r="B57"/>
      <c r="C57" s="59"/>
      <c r="D57" s="28">
        <f>INDEX(LINEST($C$14:$C$53,$N$14:$N$53,TRUE,TRUE),3,1)</f>
        <v>0.76088393909940411</v>
      </c>
      <c r="E57" s="28">
        <f>INDEX(LOGEST($C$14:$C$53,$N$14:$N$53,TRUE,TRUE),3,1)</f>
        <v>0.79687919765301263</v>
      </c>
      <c r="F57"/>
      <c r="G57"/>
      <c r="H57"/>
      <c r="I57"/>
      <c r="M57" s="2"/>
    </row>
    <row r="58" spans="1:14" ht="12" thickBot="1" x14ac:dyDescent="0.25">
      <c r="A58" s="6"/>
      <c r="B58" s="6"/>
      <c r="C58" s="6"/>
      <c r="D58" s="6"/>
      <c r="E58" s="6"/>
      <c r="F58"/>
      <c r="G58"/>
      <c r="H58"/>
      <c r="I58"/>
      <c r="M58" s="2"/>
    </row>
    <row r="59" spans="1:14" ht="12" thickTop="1" x14ac:dyDescent="0.2">
      <c r="A59"/>
      <c r="B59"/>
      <c r="C59"/>
      <c r="D59"/>
      <c r="E59"/>
      <c r="F59"/>
      <c r="G59"/>
      <c r="H59"/>
      <c r="I59"/>
      <c r="M59" s="2"/>
    </row>
    <row r="60" spans="1:14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4" x14ac:dyDescent="0.2">
      <c r="A61"/>
      <c r="B61" s="12" t="str">
        <f>C12&amp;" = Average index for Corpus Christi and Houston"</f>
        <v>(2) = Average index for Corpus Christi and Houston</v>
      </c>
      <c r="C61"/>
      <c r="D61"/>
      <c r="E61"/>
      <c r="F61"/>
      <c r="G61"/>
      <c r="H61"/>
      <c r="I61"/>
      <c r="J61"/>
      <c r="K61"/>
      <c r="L61"/>
      <c r="M61" s="2"/>
    </row>
    <row r="62" spans="1:14" ht="12" thickBot="1" x14ac:dyDescent="0.25">
      <c r="B62" s="12" t="str">
        <f>D12&amp;" - "&amp;E12&amp;" = "&amp;C12&amp;" Fitted to linear and exponential distributions"</f>
        <v>(3) - (4) = (2) Fitted to linear and exponential distributions</v>
      </c>
      <c r="F62"/>
      <c r="G62"/>
      <c r="H62"/>
      <c r="I62"/>
      <c r="M62" s="2"/>
    </row>
    <row r="63" spans="1:14" ht="12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>
    <tabColor rgb="FF00FF00"/>
  </sheetPr>
  <dimension ref="A1:R69"/>
  <sheetViews>
    <sheetView showGridLines="0" zoomScaleNormal="100" workbookViewId="0"/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45</v>
      </c>
      <c r="M1" s="1"/>
      <c r="Q1" s="12" t="s">
        <v>447</v>
      </c>
      <c r="R1" s="12" t="s">
        <v>448</v>
      </c>
    </row>
    <row r="2" spans="1:18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L2" s="7" t="s">
        <v>529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71" t="s">
        <v>240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71" t="s">
        <v>264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253</v>
      </c>
    </row>
    <row r="9" spans="1:18" x14ac:dyDescent="0.2">
      <c r="A9" t="s">
        <v>159</v>
      </c>
      <c r="B9"/>
      <c r="D9" s="173" t="s">
        <v>255</v>
      </c>
      <c r="E9" s="173"/>
      <c r="F9" s="270"/>
      <c r="G9" s="173"/>
      <c r="H9" s="173"/>
      <c r="I9" s="173"/>
      <c r="J9" s="173"/>
      <c r="K9" s="173"/>
      <c r="L9"/>
      <c r="M9" s="2"/>
      <c r="N9" s="64">
        <v>45291</v>
      </c>
    </row>
    <row r="10" spans="1:18" x14ac:dyDescent="0.2">
      <c r="A10" t="s">
        <v>237</v>
      </c>
      <c r="B10"/>
      <c r="C10" s="11" t="s">
        <v>244</v>
      </c>
      <c r="D10" s="11" t="s">
        <v>256</v>
      </c>
      <c r="E10" s="11"/>
      <c r="F10" s="11" t="s">
        <v>257</v>
      </c>
      <c r="G10" s="10"/>
      <c r="H10" s="11" t="s">
        <v>258</v>
      </c>
      <c r="I10" s="255"/>
      <c r="J10" s="11" t="s">
        <v>259</v>
      </c>
      <c r="K10" s="255"/>
      <c r="L10"/>
      <c r="M10" s="2"/>
    </row>
    <row r="11" spans="1:18" x14ac:dyDescent="0.2">
      <c r="A11" s="9" t="s">
        <v>26</v>
      </c>
      <c r="B11" s="9"/>
      <c r="C11" s="144" t="s">
        <v>247</v>
      </c>
      <c r="D11" s="144" t="s">
        <v>260</v>
      </c>
      <c r="E11" s="144" t="s">
        <v>261</v>
      </c>
      <c r="F11" s="144" t="s">
        <v>260</v>
      </c>
      <c r="G11" s="144" t="s">
        <v>261</v>
      </c>
      <c r="H11" s="144" t="s">
        <v>260</v>
      </c>
      <c r="I11" s="144" t="s">
        <v>261</v>
      </c>
      <c r="J11" s="144" t="s">
        <v>260</v>
      </c>
      <c r="K11" s="144" t="s">
        <v>261</v>
      </c>
      <c r="L11"/>
      <c r="M11" s="2"/>
      <c r="N11" s="9" t="s">
        <v>238</v>
      </c>
    </row>
    <row r="12" spans="1:18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12" t="str">
        <f>TEXT(DATE(YEAR(A15+1),MONTH(A15+1)-3,1)-1,"m/d/yyyy")</f>
        <v>9/30/2013</v>
      </c>
      <c r="B14" s="22"/>
      <c r="C14" s="224">
        <f>[2]CPI!H108</f>
        <v>185.82</v>
      </c>
      <c r="D14" s="74">
        <f>TREND($C$14:$C$55,$N$14:$N$55,$N14,TRUE)</f>
        <v>181.09301218161636</v>
      </c>
      <c r="E14" s="74">
        <f>GROWTH($C$14:$C$55,$N$14:$N$55,$N14,TRUE)</f>
        <v>181.97485155509048</v>
      </c>
      <c r="F14" s="74"/>
      <c r="G14" s="74"/>
      <c r="H14" s="29"/>
      <c r="I14"/>
      <c r="J14" s="29"/>
      <c r="K14"/>
      <c r="L14"/>
      <c r="M14" s="2"/>
      <c r="N14" s="12">
        <f>YEAR(A14)+MONTH(A14)/12</f>
        <v>2013.75</v>
      </c>
    </row>
    <row r="15" spans="1:18" x14ac:dyDescent="0.2">
      <c r="A15" s="12" t="str">
        <f t="shared" ref="A15:A53" si="1">TEXT(DATE(YEAR(A16+1),MONTH(A16+1)-3,1)-1,"m/d/yyyy")</f>
        <v>12/31/2013</v>
      </c>
      <c r="B15" s="22"/>
      <c r="C15" s="224">
        <f>[2]CPI!H109</f>
        <v>186.03</v>
      </c>
      <c r="D15" s="74">
        <f t="shared" ref="D15:D54" si="2">TREND($C$14:$C$55,$N$14:$N$55,$N15,TRUE)</f>
        <v>181.98514166869154</v>
      </c>
      <c r="E15" s="74">
        <f t="shared" ref="E15:E54" si="3">GROWTH($C$14:$C$55,$N$14:$N$55,$N15,TRUE)</f>
        <v>182.77101764658593</v>
      </c>
      <c r="F15" s="74"/>
      <c r="G15" s="74"/>
      <c r="H15" s="29"/>
      <c r="I15"/>
      <c r="J15" s="29"/>
      <c r="K15"/>
      <c r="L15"/>
      <c r="M15" s="2"/>
      <c r="N15" s="12">
        <f>YEAR(A15)+MONTH(A15)/12</f>
        <v>2014</v>
      </c>
    </row>
    <row r="16" spans="1:18" x14ac:dyDescent="0.2">
      <c r="A16" s="12" t="str">
        <f t="shared" si="1"/>
        <v>3/31/2014</v>
      </c>
      <c r="B16" s="22"/>
      <c r="C16" s="224">
        <f>[2]CPI!H110</f>
        <v>186.43</v>
      </c>
      <c r="D16" s="74">
        <f t="shared" si="2"/>
        <v>182.87727115576763</v>
      </c>
      <c r="E16" s="74">
        <f t="shared" si="3"/>
        <v>183.57066707899133</v>
      </c>
      <c r="F16" s="74"/>
      <c r="G16" s="74"/>
      <c r="H16" s="29"/>
      <c r="I16"/>
      <c r="J16" s="29"/>
      <c r="K16"/>
      <c r="L16"/>
      <c r="M16" s="2"/>
      <c r="N16" s="12">
        <f t="shared" ref="N16:N54" si="4">YEAR(A16)+MONTH(A16)/12</f>
        <v>2014.25</v>
      </c>
    </row>
    <row r="17" spans="1:14" x14ac:dyDescent="0.2">
      <c r="A17" s="12" t="str">
        <f t="shared" si="1"/>
        <v>6/30/2014</v>
      </c>
      <c r="B17" s="22"/>
      <c r="C17" s="224">
        <f>[2]CPI!H111</f>
        <v>186.87</v>
      </c>
      <c r="D17" s="74">
        <f t="shared" si="2"/>
        <v>183.76940064284281</v>
      </c>
      <c r="E17" s="74">
        <f t="shared" si="3"/>
        <v>184.37381509242573</v>
      </c>
      <c r="F17" s="74"/>
      <c r="G17" s="74"/>
      <c r="H17" s="29"/>
      <c r="I17"/>
      <c r="J17" s="29"/>
      <c r="K17"/>
      <c r="L17"/>
      <c r="M17" s="2"/>
      <c r="N17" s="12">
        <f t="shared" si="4"/>
        <v>2014.5</v>
      </c>
    </row>
    <row r="18" spans="1:14" x14ac:dyDescent="0.2">
      <c r="A18" s="12" t="str">
        <f t="shared" si="1"/>
        <v>9/30/2014</v>
      </c>
      <c r="B18" s="22"/>
      <c r="C18" s="224">
        <f>[2]CPI!H112</f>
        <v>187.59</v>
      </c>
      <c r="D18" s="74">
        <f t="shared" si="2"/>
        <v>184.66153012991799</v>
      </c>
      <c r="E18" s="74">
        <f t="shared" si="3"/>
        <v>185.18047699368057</v>
      </c>
      <c r="F18" s="74"/>
      <c r="G18" s="74"/>
      <c r="H18" s="29"/>
      <c r="I18"/>
      <c r="J18" s="29"/>
      <c r="K18"/>
      <c r="L18"/>
      <c r="M18" s="2"/>
      <c r="N18" s="12">
        <f t="shared" si="4"/>
        <v>2014.75</v>
      </c>
    </row>
    <row r="19" spans="1:14" x14ac:dyDescent="0.2">
      <c r="A19" s="12" t="str">
        <f t="shared" si="1"/>
        <v>12/31/2014</v>
      </c>
      <c r="B19" s="22"/>
      <c r="C19" s="224">
        <f>[2]CPI!H113</f>
        <v>188.62</v>
      </c>
      <c r="D19" s="74">
        <f t="shared" si="2"/>
        <v>185.55365961699408</v>
      </c>
      <c r="E19" s="74">
        <f t="shared" si="3"/>
        <v>185.99066815652202</v>
      </c>
      <c r="F19" s="74"/>
      <c r="G19" s="74"/>
      <c r="H19" s="29"/>
      <c r="I19"/>
      <c r="J19" s="29"/>
      <c r="K19"/>
      <c r="L19"/>
      <c r="M19" s="2"/>
      <c r="N19" s="12">
        <f t="shared" si="4"/>
        <v>2015</v>
      </c>
    </row>
    <row r="20" spans="1:14" x14ac:dyDescent="0.2">
      <c r="A20" s="12" t="str">
        <f t="shared" si="1"/>
        <v>3/31/2015</v>
      </c>
      <c r="B20" s="22"/>
      <c r="C20" s="224">
        <f>[2]CPI!H114</f>
        <v>189.46</v>
      </c>
      <c r="D20" s="74">
        <f t="shared" si="2"/>
        <v>186.44578910406926</v>
      </c>
      <c r="E20" s="74">
        <f t="shared" si="3"/>
        <v>186.80440402197337</v>
      </c>
      <c r="F20" s="74"/>
      <c r="G20" s="74"/>
      <c r="H20" s="29"/>
      <c r="I20"/>
      <c r="J20" s="29"/>
      <c r="K20"/>
      <c r="L20"/>
      <c r="M20" s="2"/>
      <c r="N20" s="12">
        <f t="shared" si="4"/>
        <v>2015.25</v>
      </c>
    </row>
    <row r="21" spans="1:14" x14ac:dyDescent="0.2">
      <c r="A21" s="12" t="str">
        <f t="shared" si="1"/>
        <v>6/30/2015</v>
      </c>
      <c r="B21" s="22"/>
      <c r="C21" s="224">
        <f>[2]CPI!H115</f>
        <v>189.59</v>
      </c>
      <c r="D21" s="74">
        <f t="shared" si="2"/>
        <v>187.33791859114535</v>
      </c>
      <c r="E21" s="74">
        <f t="shared" si="3"/>
        <v>187.62170009861984</v>
      </c>
      <c r="F21" s="74"/>
      <c r="G21" s="74"/>
      <c r="H21" s="29"/>
      <c r="I21"/>
      <c r="J21" s="29"/>
      <c r="K21"/>
      <c r="L21"/>
      <c r="M21" s="2"/>
      <c r="N21" s="12">
        <f t="shared" si="4"/>
        <v>2015.5</v>
      </c>
    </row>
    <row r="22" spans="1:14" x14ac:dyDescent="0.2">
      <c r="A22" s="12" t="str">
        <f t="shared" si="1"/>
        <v>9/30/2015</v>
      </c>
      <c r="B22" s="22"/>
      <c r="C22" s="224">
        <f>[2]CPI!H116</f>
        <v>190.03</v>
      </c>
      <c r="D22" s="74">
        <f t="shared" si="2"/>
        <v>188.23004807822053</v>
      </c>
      <c r="E22" s="74">
        <f t="shared" si="3"/>
        <v>188.44257196289382</v>
      </c>
      <c r="F22" s="74"/>
      <c r="G22" s="74"/>
      <c r="H22" s="29"/>
      <c r="I22"/>
      <c r="J22" s="29"/>
      <c r="K22"/>
      <c r="L22"/>
      <c r="M22" s="2"/>
      <c r="N22" s="12">
        <f t="shared" si="4"/>
        <v>2015.75</v>
      </c>
    </row>
    <row r="23" spans="1:14" x14ac:dyDescent="0.2">
      <c r="A23" s="12" t="str">
        <f t="shared" si="1"/>
        <v>12/31/2015</v>
      </c>
      <c r="B23"/>
      <c r="C23" s="224">
        <f>[2]CPI!H117</f>
        <v>190.5</v>
      </c>
      <c r="D23" s="74">
        <f t="shared" si="2"/>
        <v>189.12217756529662</v>
      </c>
      <c r="E23" s="74">
        <f t="shared" si="3"/>
        <v>189.26703525938191</v>
      </c>
      <c r="F23" s="74"/>
      <c r="G23" s="74"/>
      <c r="H23"/>
      <c r="I23"/>
      <c r="J23"/>
      <c r="K23"/>
      <c r="L23"/>
      <c r="M23" s="2"/>
      <c r="N23" s="12">
        <f t="shared" si="4"/>
        <v>2016</v>
      </c>
    </row>
    <row r="24" spans="1:14" x14ac:dyDescent="0.2">
      <c r="A24" s="12" t="str">
        <f t="shared" si="1"/>
        <v>3/31/2016</v>
      </c>
      <c r="B24"/>
      <c r="C24" s="224">
        <f>[2]CPI!H118</f>
        <v>190.95</v>
      </c>
      <c r="D24" s="74">
        <f t="shared" si="2"/>
        <v>190.01430705237181</v>
      </c>
      <c r="E24" s="74">
        <f t="shared" si="3"/>
        <v>190.09510570111283</v>
      </c>
      <c r="F24" s="74"/>
      <c r="G24" s="74"/>
      <c r="H24"/>
      <c r="I24"/>
      <c r="J24"/>
      <c r="K24"/>
      <c r="L24"/>
      <c r="M24" s="2"/>
      <c r="N24" s="12">
        <f t="shared" si="4"/>
        <v>2016.25</v>
      </c>
    </row>
    <row r="25" spans="1:14" x14ac:dyDescent="0.2">
      <c r="A25" s="12" t="str">
        <f t="shared" si="1"/>
        <v>6/30/2016</v>
      </c>
      <c r="B25"/>
      <c r="C25" s="224">
        <f>[2]CPI!H119</f>
        <v>192.03</v>
      </c>
      <c r="D25" s="74">
        <f t="shared" si="2"/>
        <v>190.9064365394479</v>
      </c>
      <c r="E25" s="74">
        <f t="shared" si="3"/>
        <v>190.92679906986743</v>
      </c>
      <c r="F25" s="74"/>
      <c r="G25" s="74"/>
      <c r="H25"/>
      <c r="I25"/>
      <c r="J25"/>
      <c r="K25"/>
      <c r="L25"/>
      <c r="M25" s="2"/>
      <c r="N25" s="12">
        <f t="shared" si="4"/>
        <v>2016.5</v>
      </c>
    </row>
    <row r="26" spans="1:14" x14ac:dyDescent="0.2">
      <c r="A26" s="12" t="str">
        <f t="shared" si="1"/>
        <v>9/30/2016</v>
      </c>
      <c r="B26"/>
      <c r="C26" s="224">
        <f>[2]CPI!H120</f>
        <v>192.82</v>
      </c>
      <c r="D26" s="74">
        <f t="shared" si="2"/>
        <v>191.79856602652308</v>
      </c>
      <c r="E26" s="74">
        <f t="shared" si="3"/>
        <v>191.76213121646856</v>
      </c>
      <c r="F26" s="74"/>
      <c r="G26" s="74"/>
      <c r="H26"/>
      <c r="I26"/>
      <c r="J26"/>
      <c r="K26"/>
      <c r="L26"/>
      <c r="M26" s="2"/>
      <c r="N26" s="12">
        <f t="shared" si="4"/>
        <v>2016.75</v>
      </c>
    </row>
    <row r="27" spans="1:14" x14ac:dyDescent="0.2">
      <c r="A27" s="12" t="str">
        <f t="shared" si="1"/>
        <v>12/31/2016</v>
      </c>
      <c r="B27"/>
      <c r="C27" s="224">
        <f>[2]CPI!H121</f>
        <v>193.56</v>
      </c>
      <c r="D27" s="74">
        <f t="shared" si="2"/>
        <v>192.69069551359917</v>
      </c>
      <c r="E27" s="74">
        <f t="shared" si="3"/>
        <v>192.60111806109299</v>
      </c>
      <c r="F27" s="74"/>
      <c r="G27" s="74"/>
      <c r="H27"/>
      <c r="I27"/>
      <c r="J27"/>
      <c r="K27"/>
      <c r="L27"/>
      <c r="M27" s="2"/>
      <c r="N27" s="12">
        <f t="shared" si="4"/>
        <v>2017</v>
      </c>
    </row>
    <row r="28" spans="1:14" x14ac:dyDescent="0.2">
      <c r="A28" s="12" t="str">
        <f t="shared" si="1"/>
        <v>3/31/2017</v>
      </c>
      <c r="B28"/>
      <c r="C28" s="224">
        <f>[2]CPI!H122</f>
        <v>193.85</v>
      </c>
      <c r="D28" s="74">
        <f t="shared" si="2"/>
        <v>193.58282500067435</v>
      </c>
      <c r="E28" s="74">
        <f t="shared" si="3"/>
        <v>193.44377559357036</v>
      </c>
      <c r="F28" s="74"/>
      <c r="G28" s="74"/>
      <c r="H28"/>
      <c r="I28"/>
      <c r="J28"/>
      <c r="K28"/>
      <c r="L28"/>
      <c r="M28" s="2"/>
      <c r="N28" s="12">
        <f t="shared" si="4"/>
        <v>2017.25</v>
      </c>
    </row>
    <row r="29" spans="1:14" x14ac:dyDescent="0.2">
      <c r="A29" s="12" t="str">
        <f t="shared" si="1"/>
        <v>6/30/2017</v>
      </c>
      <c r="B29"/>
      <c r="C29" s="224">
        <f>[2]CPI!H123</f>
        <v>194.07</v>
      </c>
      <c r="D29" s="74">
        <f t="shared" si="2"/>
        <v>194.47495448775044</v>
      </c>
      <c r="E29" s="74">
        <f t="shared" si="3"/>
        <v>194.29011987368409</v>
      </c>
      <c r="F29" s="74"/>
      <c r="G29" s="74"/>
      <c r="H29"/>
      <c r="I29"/>
      <c r="J29"/>
      <c r="K29"/>
      <c r="L29"/>
      <c r="M29" s="2"/>
      <c r="N29" s="12">
        <f t="shared" si="4"/>
        <v>2017.5</v>
      </c>
    </row>
    <row r="30" spans="1:14" x14ac:dyDescent="0.2">
      <c r="A30" s="12" t="str">
        <f t="shared" si="1"/>
        <v>9/30/2017</v>
      </c>
      <c r="B30"/>
      <c r="C30" s="224">
        <f>[2]CPI!H124</f>
        <v>194.14</v>
      </c>
      <c r="D30" s="74">
        <f t="shared" si="2"/>
        <v>195.36708397482562</v>
      </c>
      <c r="E30" s="74">
        <f t="shared" si="3"/>
        <v>195.14016703148701</v>
      </c>
      <c r="F30" s="74"/>
      <c r="G30" s="74"/>
      <c r="H30" s="19"/>
      <c r="I30" s="29"/>
      <c r="J30" s="19"/>
      <c r="K30" s="29"/>
      <c r="L30" s="29"/>
      <c r="M30" s="2"/>
      <c r="N30" s="12">
        <f t="shared" si="4"/>
        <v>2017.75</v>
      </c>
    </row>
    <row r="31" spans="1:14" x14ac:dyDescent="0.2">
      <c r="A31" s="12" t="str">
        <f t="shared" si="1"/>
        <v>12/31/2017</v>
      </c>
      <c r="B31"/>
      <c r="C31" s="224">
        <f>[2]CPI!H125</f>
        <v>194.1</v>
      </c>
      <c r="D31" s="74">
        <f t="shared" si="2"/>
        <v>196.2592134619008</v>
      </c>
      <c r="E31" s="74">
        <f t="shared" si="3"/>
        <v>195.99393326759758</v>
      </c>
      <c r="F31" s="74"/>
      <c r="G31" s="74"/>
      <c r="H31" s="19"/>
      <c r="I31" s="29"/>
      <c r="J31" s="19"/>
      <c r="K31" s="29"/>
      <c r="L31" s="29"/>
      <c r="M31" s="2"/>
      <c r="N31" s="12">
        <f t="shared" si="4"/>
        <v>2018</v>
      </c>
    </row>
    <row r="32" spans="1:14" x14ac:dyDescent="0.2">
      <c r="A32" s="12" t="str">
        <f t="shared" si="1"/>
        <v>3/31/2018</v>
      </c>
      <c r="B32" s="22"/>
      <c r="C32" s="224">
        <f>[2]CPI!H126</f>
        <v>194.71</v>
      </c>
      <c r="D32" s="74">
        <f t="shared" si="2"/>
        <v>197.15134294897689</v>
      </c>
      <c r="E32" s="74">
        <f t="shared" si="3"/>
        <v>196.85143485351998</v>
      </c>
      <c r="F32" s="74"/>
      <c r="G32" s="74"/>
      <c r="H32" s="19"/>
      <c r="I32" s="29"/>
      <c r="J32" s="19"/>
      <c r="K32" s="29"/>
      <c r="L32" s="29"/>
      <c r="M32" s="2"/>
      <c r="N32" s="12">
        <f t="shared" si="4"/>
        <v>2018.25</v>
      </c>
    </row>
    <row r="33" spans="1:14" x14ac:dyDescent="0.2">
      <c r="A33" s="12" t="str">
        <f t="shared" si="1"/>
        <v>6/30/2018</v>
      </c>
      <c r="B33" s="22"/>
      <c r="C33" s="224">
        <f>[2]CPI!H127</f>
        <v>195.27</v>
      </c>
      <c r="D33" s="74">
        <f t="shared" si="2"/>
        <v>198.04347243605207</v>
      </c>
      <c r="E33" s="74">
        <f t="shared" si="3"/>
        <v>197.71268813194283</v>
      </c>
      <c r="F33" s="74"/>
      <c r="G33" s="74"/>
      <c r="H33" s="19"/>
      <c r="I33" s="29"/>
      <c r="J33" s="19"/>
      <c r="K33" s="29"/>
      <c r="L33" s="29"/>
      <c r="M33" s="2"/>
      <c r="N33" s="12">
        <f t="shared" si="4"/>
        <v>2018.5</v>
      </c>
    </row>
    <row r="34" spans="1:14" x14ac:dyDescent="0.2">
      <c r="A34" s="12" t="str">
        <f t="shared" si="1"/>
        <v>9/30/2018</v>
      </c>
      <c r="B34"/>
      <c r="C34" s="224">
        <f>[2]CPI!H128</f>
        <v>195.59</v>
      </c>
      <c r="D34" s="74">
        <f t="shared" si="2"/>
        <v>198.93560192312816</v>
      </c>
      <c r="E34" s="74">
        <f t="shared" si="3"/>
        <v>198.57770951706215</v>
      </c>
      <c r="F34" s="74"/>
      <c r="G34" s="74"/>
      <c r="H34" s="29"/>
      <c r="I34" s="29"/>
      <c r="J34" s="29"/>
      <c r="K34" s="29"/>
      <c r="L34" s="29"/>
      <c r="M34" s="2"/>
      <c r="N34" s="12">
        <f t="shared" si="4"/>
        <v>2018.75</v>
      </c>
    </row>
    <row r="35" spans="1:14" x14ac:dyDescent="0.2">
      <c r="A35" s="12" t="str">
        <f t="shared" si="1"/>
        <v>12/31/2018</v>
      </c>
      <c r="C35" s="224">
        <f>[2]CPI!H129</f>
        <v>196.2</v>
      </c>
      <c r="D35" s="74">
        <f t="shared" si="2"/>
        <v>199.82773141020334</v>
      </c>
      <c r="E35" s="74">
        <f t="shared" si="3"/>
        <v>199.44651549488262</v>
      </c>
      <c r="F35" s="74"/>
      <c r="G35" s="74"/>
      <c r="H35"/>
      <c r="I35"/>
      <c r="J35"/>
      <c r="K35"/>
      <c r="L35"/>
      <c r="M35" s="2"/>
      <c r="N35" s="12">
        <f t="shared" si="4"/>
        <v>2019</v>
      </c>
    </row>
    <row r="36" spans="1:14" x14ac:dyDescent="0.2">
      <c r="A36" s="12" t="str">
        <f t="shared" si="1"/>
        <v>3/31/2019</v>
      </c>
      <c r="C36" s="224">
        <f>[2]CPI!H130</f>
        <v>196.98</v>
      </c>
      <c r="D36" s="74">
        <f t="shared" si="2"/>
        <v>200.71986089727943</v>
      </c>
      <c r="E36" s="74">
        <f t="shared" si="3"/>
        <v>200.31912262354331</v>
      </c>
      <c r="F36" s="74">
        <f>TREND($C$36:$C$55,$N$36:$N$55,$N36,TRUE)</f>
        <v>189.59771428571548</v>
      </c>
      <c r="G36" s="74">
        <f>GROWTH($C$36:$C$55,$N$36:$N$55,$N36,TRUE)</f>
        <v>190.3178519102236</v>
      </c>
      <c r="H36"/>
      <c r="J36"/>
      <c r="M36" s="2"/>
      <c r="N36" s="12">
        <f t="shared" si="4"/>
        <v>2019.25</v>
      </c>
    </row>
    <row r="37" spans="1:14" x14ac:dyDescent="0.2">
      <c r="A37" s="12" t="str">
        <f t="shared" si="1"/>
        <v>6/30/2019</v>
      </c>
      <c r="C37" s="224">
        <f>[2]CPI!H131</f>
        <v>198.12</v>
      </c>
      <c r="D37" s="74">
        <f t="shared" si="2"/>
        <v>201.61199038435461</v>
      </c>
      <c r="E37" s="74">
        <f t="shared" si="3"/>
        <v>201.19554753362181</v>
      </c>
      <c r="F37" s="74">
        <f t="shared" ref="F37:F54" si="5">TREND($C$36:$C$55,$N$36:$N$55,$N37,TRUE)</f>
        <v>191.56532330827213</v>
      </c>
      <c r="G37" s="74">
        <f t="shared" ref="G37:G54" si="6">GROWTH($C$36:$C$55,$N$36:$N$55,$N37,TRUE)</f>
        <v>192.09708360477742</v>
      </c>
      <c r="H37" s="74"/>
      <c r="I37" s="74"/>
      <c r="J37" s="29"/>
      <c r="K37" s="29"/>
      <c r="L37" s="29"/>
      <c r="M37" s="2"/>
      <c r="N37" s="12">
        <f t="shared" si="4"/>
        <v>2019.5</v>
      </c>
    </row>
    <row r="38" spans="1:14" x14ac:dyDescent="0.2">
      <c r="A38" s="12" t="str">
        <f t="shared" si="1"/>
        <v>9/30/2019</v>
      </c>
      <c r="C38" s="224">
        <f>[2]CPI!H132</f>
        <v>199.66</v>
      </c>
      <c r="D38" s="74">
        <f t="shared" si="2"/>
        <v>202.5041198714307</v>
      </c>
      <c r="E38" s="74">
        <f t="shared" si="3"/>
        <v>202.07580692846261</v>
      </c>
      <c r="F38" s="74">
        <f t="shared" si="5"/>
        <v>193.53293233082877</v>
      </c>
      <c r="G38" s="74">
        <f t="shared" si="6"/>
        <v>193.89294886991675</v>
      </c>
      <c r="H38" s="74"/>
      <c r="I38" s="74"/>
      <c r="J38" s="29"/>
      <c r="K38" s="29"/>
      <c r="L38" s="29"/>
      <c r="M38" s="2"/>
      <c r="N38" s="12">
        <f t="shared" si="4"/>
        <v>2019.75</v>
      </c>
    </row>
    <row r="39" spans="1:14" x14ac:dyDescent="0.2">
      <c r="A39" s="12" t="str">
        <f t="shared" si="1"/>
        <v>12/31/2019</v>
      </c>
      <c r="C39" s="224">
        <f>[2]CPI!H133</f>
        <v>200.22</v>
      </c>
      <c r="D39" s="74">
        <f t="shared" si="2"/>
        <v>203.39624935850588</v>
      </c>
      <c r="E39" s="74">
        <f t="shared" si="3"/>
        <v>202.95991758448392</v>
      </c>
      <c r="F39" s="74">
        <f t="shared" si="5"/>
        <v>195.50054135338542</v>
      </c>
      <c r="G39" s="74">
        <f t="shared" si="6"/>
        <v>195.70560320852599</v>
      </c>
      <c r="H39" s="74"/>
      <c r="I39" s="74"/>
      <c r="J39" s="29"/>
      <c r="K39" s="29"/>
      <c r="L39" s="29"/>
      <c r="M39" s="2"/>
      <c r="N39" s="12">
        <f t="shared" si="4"/>
        <v>2020</v>
      </c>
    </row>
    <row r="40" spans="1:14" x14ac:dyDescent="0.2">
      <c r="A40" s="12" t="str">
        <f t="shared" si="1"/>
        <v>3/31/2020</v>
      </c>
      <c r="C40" s="224">
        <f>[2]CPI!H134</f>
        <v>199.62</v>
      </c>
      <c r="D40" s="74">
        <f t="shared" si="2"/>
        <v>204.28837884558197</v>
      </c>
      <c r="E40" s="74">
        <f t="shared" si="3"/>
        <v>203.84789635150906</v>
      </c>
      <c r="F40" s="74">
        <f t="shared" si="5"/>
        <v>197.46815037594024</v>
      </c>
      <c r="G40" s="74">
        <f t="shared" si="6"/>
        <v>197.53520357725637</v>
      </c>
      <c r="H40" s="74">
        <f>TREND($C$40:$C$55,$N$40:$N$55,$N40,TRUE)</f>
        <v>190.35941176470442</v>
      </c>
      <c r="I40" s="74">
        <f>GROWTH($C$40:$C$55,$N$40:$N$55,$N40,TRUE)</f>
        <v>191.00182091355771</v>
      </c>
      <c r="J40"/>
      <c r="K40" s="18"/>
      <c r="L40" s="18"/>
      <c r="M40" s="2"/>
      <c r="N40" s="12">
        <f t="shared" si="4"/>
        <v>2020.25</v>
      </c>
    </row>
    <row r="41" spans="1:14" x14ac:dyDescent="0.2">
      <c r="A41" s="12" t="str">
        <f t="shared" si="1"/>
        <v>6/30/2020</v>
      </c>
      <c r="C41" s="224">
        <f>[2]CPI!H135</f>
        <v>197.58</v>
      </c>
      <c r="D41" s="74">
        <f t="shared" si="2"/>
        <v>205.18050833265715</v>
      </c>
      <c r="E41" s="74">
        <f t="shared" si="3"/>
        <v>204.73976015307588</v>
      </c>
      <c r="F41" s="74">
        <f t="shared" si="5"/>
        <v>199.43575939849688</v>
      </c>
      <c r="G41" s="74">
        <f t="shared" si="6"/>
        <v>199.38190840009443</v>
      </c>
      <c r="H41" s="74">
        <f t="shared" ref="H41:H55" si="7">TREND($C$40:$C$55,$N$40:$N$55,$N41,TRUE)</f>
        <v>193.06832352941274</v>
      </c>
      <c r="I41" s="74">
        <f t="shared" ref="I41:I54" si="8">GROWTH($C$40:$C$55,$N$40:$N$55,$N41,TRUE)</f>
        <v>193.46459108624472</v>
      </c>
      <c r="J41" s="74"/>
      <c r="K41" s="74"/>
      <c r="L41" s="74"/>
      <c r="M41" s="2"/>
      <c r="N41" s="12">
        <f t="shared" si="4"/>
        <v>2020.5</v>
      </c>
    </row>
    <row r="42" spans="1:14" x14ac:dyDescent="0.2">
      <c r="A42" s="12" t="str">
        <f t="shared" si="1"/>
        <v>9/30/2020</v>
      </c>
      <c r="B42"/>
      <c r="C42" s="224">
        <f>[2]CPI!H136</f>
        <v>195.82</v>
      </c>
      <c r="D42" s="74">
        <f t="shared" si="2"/>
        <v>206.07263781973325</v>
      </c>
      <c r="E42" s="74">
        <f t="shared" si="3"/>
        <v>205.63552598676955</v>
      </c>
      <c r="F42" s="74">
        <f t="shared" si="5"/>
        <v>201.40336842105353</v>
      </c>
      <c r="G42" s="74">
        <f t="shared" si="6"/>
        <v>201.24587758210242</v>
      </c>
      <c r="H42" s="74">
        <f t="shared" si="7"/>
        <v>195.77723529411742</v>
      </c>
      <c r="I42" s="74">
        <f t="shared" si="8"/>
        <v>195.95911612333006</v>
      </c>
      <c r="J42" s="74"/>
      <c r="K42" s="74"/>
      <c r="L42" s="74"/>
      <c r="M42" s="2"/>
      <c r="N42" s="12">
        <f t="shared" si="4"/>
        <v>2020.75</v>
      </c>
    </row>
    <row r="43" spans="1:14" x14ac:dyDescent="0.2">
      <c r="A43" s="12" t="str">
        <f t="shared" si="1"/>
        <v>12/31/2020</v>
      </c>
      <c r="C43" s="224">
        <f>[2]CPI!H137</f>
        <v>194.7</v>
      </c>
      <c r="D43" s="74">
        <f>TREND($C$14:$C$55,$N$14:$N$55,$N43,TRUE)</f>
        <v>206.96476730680843</v>
      </c>
      <c r="E43" s="74">
        <f t="shared" si="3"/>
        <v>206.53521092454199</v>
      </c>
      <c r="F43" s="74">
        <f t="shared" si="5"/>
        <v>203.37097744361017</v>
      </c>
      <c r="G43" s="74">
        <f t="shared" si="6"/>
        <v>203.12727252324163</v>
      </c>
      <c r="H43" s="74">
        <f t="shared" si="7"/>
        <v>198.4861470588221</v>
      </c>
      <c r="I43" s="74">
        <f t="shared" si="8"/>
        <v>198.48580547082616</v>
      </c>
      <c r="J43" s="74"/>
      <c r="K43" s="74"/>
      <c r="L43" s="74"/>
      <c r="M43" s="2"/>
      <c r="N43" s="12">
        <f t="shared" si="4"/>
        <v>2021</v>
      </c>
    </row>
    <row r="44" spans="1:14" x14ac:dyDescent="0.2">
      <c r="A44" s="12" t="str">
        <f t="shared" si="1"/>
        <v>3/31/2021</v>
      </c>
      <c r="C44" s="224">
        <f>[2]CPI!H138</f>
        <v>194.2</v>
      </c>
      <c r="D44" s="74">
        <f t="shared" si="2"/>
        <v>207.85689679388452</v>
      </c>
      <c r="E44" s="74">
        <f t="shared" si="3"/>
        <v>207.43883211303313</v>
      </c>
      <c r="F44" s="74">
        <f t="shared" si="5"/>
        <v>205.33858646616682</v>
      </c>
      <c r="G44" s="74">
        <f t="shared" si="6"/>
        <v>205.02625613237075</v>
      </c>
      <c r="H44" s="74">
        <f t="shared" si="7"/>
        <v>201.19505882353042</v>
      </c>
      <c r="I44" s="74">
        <f t="shared" si="8"/>
        <v>201.04507385411836</v>
      </c>
      <c r="J44" s="74">
        <f>TREND($C$44:$C$55,$N$44:$N$55,$N44,TRUE)</f>
        <v>196.43487179487056</v>
      </c>
      <c r="K44" s="74">
        <f>GROWTH($C$44:$C$55,$N$44:$N$55,$N44,TRUE)</f>
        <v>196.71850437906767</v>
      </c>
      <c r="L44" s="74"/>
      <c r="M44" s="2"/>
      <c r="N44" s="12">
        <f t="shared" si="4"/>
        <v>2021.25</v>
      </c>
    </row>
    <row r="45" spans="1:14" x14ac:dyDescent="0.2">
      <c r="A45" s="12" t="str">
        <f t="shared" si="1"/>
        <v>6/30/2021</v>
      </c>
      <c r="C45" s="224">
        <f>[2]CPI!H139</f>
        <v>197.36</v>
      </c>
      <c r="D45" s="74">
        <f t="shared" si="2"/>
        <v>208.7490262809597</v>
      </c>
      <c r="E45" s="74">
        <f t="shared" si="3"/>
        <v>208.34640677390769</v>
      </c>
      <c r="F45" s="74">
        <f t="shared" si="5"/>
        <v>207.30619548872346</v>
      </c>
      <c r="G45" s="74">
        <f t="shared" si="6"/>
        <v>206.94299284132913</v>
      </c>
      <c r="H45" s="74">
        <f t="shared" si="7"/>
        <v>203.9039705882351</v>
      </c>
      <c r="I45" s="74">
        <f t="shared" si="8"/>
        <v>203.63734134604508</v>
      </c>
      <c r="J45" s="74">
        <f t="shared" ref="J45:J54" si="9">TREND($C$44:$C$55,$N$44:$N$55,$N45,TRUE)</f>
        <v>199.8573193473203</v>
      </c>
      <c r="K45" s="74">
        <f t="shared" ref="K45:K54" si="10">GROWTH($C$44:$C$55,$N$44:$N$55,$N45,TRUE)</f>
        <v>199.90770706456334</v>
      </c>
      <c r="L45" s="74"/>
      <c r="M45" s="2"/>
      <c r="N45" s="12">
        <f t="shared" si="4"/>
        <v>2021.5</v>
      </c>
    </row>
    <row r="46" spans="1:14" x14ac:dyDescent="0.2">
      <c r="A46" s="12" t="str">
        <f t="shared" si="1"/>
        <v>9/30/2021</v>
      </c>
      <c r="C46" s="224">
        <f>[2]CPI!H140</f>
        <v>201.11</v>
      </c>
      <c r="D46" s="74">
        <f t="shared" si="2"/>
        <v>209.64115576803488</v>
      </c>
      <c r="E46" s="74">
        <f>GROWTH($C$14:$C$55,$N$14:$N$55,$N46,TRUE)</f>
        <v>209.25795220417174</v>
      </c>
      <c r="F46" s="74">
        <f>TREND($C$36:$C$55,$N$36:$N$55,$N46,TRUE)</f>
        <v>209.2738045112801</v>
      </c>
      <c r="G46" s="74">
        <f>GROWTH($C$36:$C$55,$N$36:$N$55,$N46,TRUE)</f>
        <v>208.87764861919786</v>
      </c>
      <c r="H46" s="74">
        <f t="shared" si="7"/>
        <v>206.61288235293978</v>
      </c>
      <c r="I46" s="74">
        <f t="shared" si="8"/>
        <v>206.26303343585656</v>
      </c>
      <c r="J46" s="74">
        <f t="shared" si="9"/>
        <v>203.2797668997664</v>
      </c>
      <c r="K46" s="74">
        <f t="shared" si="10"/>
        <v>203.14861314116811</v>
      </c>
      <c r="L46" s="74"/>
      <c r="M46" s="2"/>
      <c r="N46" s="12">
        <f t="shared" si="4"/>
        <v>2021.75</v>
      </c>
    </row>
    <row r="47" spans="1:14" x14ac:dyDescent="0.2">
      <c r="A47" s="12" t="str">
        <f t="shared" si="1"/>
        <v>12/31/2021</v>
      </c>
      <c r="B47"/>
      <c r="C47" s="224">
        <f>[2]CPI!H141</f>
        <v>206.6</v>
      </c>
      <c r="D47" s="74">
        <f t="shared" si="2"/>
        <v>210.53328525511097</v>
      </c>
      <c r="E47" s="74">
        <f t="shared" si="3"/>
        <v>210.1734857765143</v>
      </c>
      <c r="F47" s="74">
        <f t="shared" si="5"/>
        <v>211.24141353383493</v>
      </c>
      <c r="G47" s="74">
        <f t="shared" si="6"/>
        <v>210.83039098664779</v>
      </c>
      <c r="H47" s="74">
        <f>TREND($C$40:$C$55,$N$40:$N$55,$N47,TRUE)</f>
        <v>209.3217941176481</v>
      </c>
      <c r="I47" s="74">
        <f t="shared" si="8"/>
        <v>208.92258109903653</v>
      </c>
      <c r="J47" s="74">
        <f t="shared" si="9"/>
        <v>206.70221445221614</v>
      </c>
      <c r="K47" s="74">
        <f t="shared" si="10"/>
        <v>206.44206082484962</v>
      </c>
      <c r="L47" s="74"/>
      <c r="M47" s="2"/>
      <c r="N47" s="12">
        <f t="shared" si="4"/>
        <v>2022</v>
      </c>
    </row>
    <row r="48" spans="1:14" x14ac:dyDescent="0.2">
      <c r="A48" s="12" t="str">
        <f t="shared" si="1"/>
        <v>3/31/2022</v>
      </c>
      <c r="C48" s="224">
        <f>[2]CPI!H142</f>
        <v>212.8</v>
      </c>
      <c r="D48" s="74">
        <f t="shared" si="2"/>
        <v>211.42541474218615</v>
      </c>
      <c r="E48" s="74">
        <f t="shared" si="3"/>
        <v>211.09302493962619</v>
      </c>
      <c r="F48" s="74">
        <f t="shared" si="5"/>
        <v>213.20902255639157</v>
      </c>
      <c r="G48" s="74">
        <f t="shared" si="6"/>
        <v>212.80138903046534</v>
      </c>
      <c r="H48" s="74">
        <f t="shared" si="7"/>
        <v>212.03070588235278</v>
      </c>
      <c r="I48" s="74">
        <f>GROWTH($C$40:$C$55,$N$40:$N$55,$N48,TRUE)</f>
        <v>211.61642086805293</v>
      </c>
      <c r="J48" s="74">
        <f>TREND($C$44:$C$55,$N$44:$N$55,$N48,TRUE)</f>
        <v>210.12466200466224</v>
      </c>
      <c r="K48" s="74">
        <f>GROWTH($C$44:$C$55,$N$44:$N$55,$N48,TRUE)</f>
        <v>209.78890192076588</v>
      </c>
      <c r="L48" s="74"/>
      <c r="M48" s="2"/>
      <c r="N48" s="12">
        <f t="shared" si="4"/>
        <v>2022.25</v>
      </c>
    </row>
    <row r="49" spans="1:14" x14ac:dyDescent="0.2">
      <c r="A49" s="12" t="str">
        <f t="shared" si="1"/>
        <v>6/30/2022</v>
      </c>
      <c r="C49" s="224">
        <f>[2]CPI!H143</f>
        <v>217.05</v>
      </c>
      <c r="D49" s="74">
        <f t="shared" si="2"/>
        <v>212.31754422926224</v>
      </c>
      <c r="E49" s="74">
        <f t="shared" si="3"/>
        <v>212.01658721854503</v>
      </c>
      <c r="F49" s="74">
        <f>TREND($C$36:$C$55,$N$36:$N$55,$N49,TRUE)</f>
        <v>215.17663157894822</v>
      </c>
      <c r="G49" s="74">
        <f t="shared" si="6"/>
        <v>214.79081341818525</v>
      </c>
      <c r="H49" s="74">
        <f t="shared" si="7"/>
        <v>214.73961764705746</v>
      </c>
      <c r="I49" s="74">
        <f t="shared" si="8"/>
        <v>214.34499490400361</v>
      </c>
      <c r="J49" s="74">
        <f t="shared" si="9"/>
        <v>213.54710955710834</v>
      </c>
      <c r="K49" s="74">
        <f t="shared" si="10"/>
        <v>213.19000204353233</v>
      </c>
      <c r="L49" s="74"/>
      <c r="M49" s="2"/>
      <c r="N49" s="12">
        <f t="shared" si="4"/>
        <v>2022.5</v>
      </c>
    </row>
    <row r="50" spans="1:14" x14ac:dyDescent="0.2">
      <c r="A50" s="12" t="str">
        <f t="shared" si="1"/>
        <v>9/30/2022</v>
      </c>
      <c r="C50" s="224">
        <f>[2]CPI!H144</f>
        <v>220.34</v>
      </c>
      <c r="D50" s="74">
        <f t="shared" si="2"/>
        <v>213.20967371633742</v>
      </c>
      <c r="E50" s="74">
        <f>GROWTH($C$14:$C$55,$N$14:$N$55,$N50,TRUE)</f>
        <v>212.94419021497669</v>
      </c>
      <c r="F50" s="74">
        <f t="shared" si="5"/>
        <v>217.14424060150486</v>
      </c>
      <c r="G50" s="74">
        <f t="shared" si="6"/>
        <v>216.79883641285895</v>
      </c>
      <c r="H50" s="74">
        <f t="shared" si="7"/>
        <v>217.44852941176578</v>
      </c>
      <c r="I50" s="74">
        <f t="shared" si="8"/>
        <v>217.10875106920392</v>
      </c>
      <c r="J50" s="74">
        <f t="shared" si="9"/>
        <v>216.96955710955808</v>
      </c>
      <c r="K50" s="74">
        <f t="shared" si="10"/>
        <v>216.64624084111853</v>
      </c>
      <c r="L50" s="74"/>
      <c r="M50" s="2"/>
      <c r="N50" s="12">
        <f t="shared" si="4"/>
        <v>2022.75</v>
      </c>
    </row>
    <row r="51" spans="1:14" x14ac:dyDescent="0.2">
      <c r="A51" s="12" t="str">
        <f t="shared" si="1"/>
        <v>12/31/2022</v>
      </c>
      <c r="C51" s="224">
        <f>[2]CPI!H145</f>
        <v>222.83</v>
      </c>
      <c r="D51" s="74">
        <f t="shared" si="2"/>
        <v>214.10180320341351</v>
      </c>
      <c r="E51" s="74">
        <f t="shared" si="3"/>
        <v>213.87585160764328</v>
      </c>
      <c r="F51" s="74">
        <f t="shared" si="5"/>
        <v>219.11184962406151</v>
      </c>
      <c r="G51" s="74">
        <f t="shared" si="6"/>
        <v>218.8256318879923</v>
      </c>
      <c r="H51" s="74">
        <f t="shared" si="7"/>
        <v>220.15744117647046</v>
      </c>
      <c r="I51" s="74">
        <f t="shared" si="8"/>
        <v>219.9081430006795</v>
      </c>
      <c r="J51" s="74">
        <f t="shared" si="9"/>
        <v>220.39200466200418</v>
      </c>
      <c r="K51" s="74">
        <f t="shared" si="10"/>
        <v>220.15851222237544</v>
      </c>
      <c r="L51" s="74"/>
      <c r="M51" s="2"/>
      <c r="N51" s="12">
        <f t="shared" si="4"/>
        <v>2023</v>
      </c>
    </row>
    <row r="52" spans="1:14" x14ac:dyDescent="0.2">
      <c r="A52" s="12" t="str">
        <f t="shared" si="1"/>
        <v>3/31/2023</v>
      </c>
      <c r="C52" s="224">
        <f>[2]CPI!H146</f>
        <v>225.57</v>
      </c>
      <c r="D52" s="74">
        <f t="shared" si="2"/>
        <v>214.99393269048869</v>
      </c>
      <c r="E52" s="74">
        <f t="shared" si="3"/>
        <v>214.81158915260778</v>
      </c>
      <c r="F52" s="74">
        <f t="shared" si="5"/>
        <v>221.07945864661815</v>
      </c>
      <c r="G52" s="74">
        <f t="shared" si="6"/>
        <v>220.87137534257656</v>
      </c>
      <c r="H52" s="74">
        <f t="shared" si="7"/>
        <v>222.86635294117514</v>
      </c>
      <c r="I52" s="74">
        <f t="shared" si="8"/>
        <v>222.7436301846345</v>
      </c>
      <c r="J52" s="74">
        <f t="shared" si="9"/>
        <v>223.81445221445392</v>
      </c>
      <c r="K52" s="74">
        <f t="shared" si="10"/>
        <v>223.72772458819009</v>
      </c>
      <c r="L52" s="74"/>
      <c r="M52" s="2"/>
      <c r="N52" s="12">
        <f t="shared" si="4"/>
        <v>2023.25</v>
      </c>
    </row>
    <row r="53" spans="1:14" x14ac:dyDescent="0.2">
      <c r="A53" s="12" t="str">
        <f t="shared" si="1"/>
        <v>6/30/2023</v>
      </c>
      <c r="C53" s="224">
        <f>[2]CPI!H147</f>
        <v>227.25</v>
      </c>
      <c r="D53" s="74">
        <f t="shared" si="2"/>
        <v>215.88606217756478</v>
      </c>
      <c r="E53" s="74">
        <f t="shared" si="3"/>
        <v>215.75142068362445</v>
      </c>
      <c r="F53" s="74">
        <f t="shared" si="5"/>
        <v>223.04706766917479</v>
      </c>
      <c r="G53" s="74">
        <f t="shared" si="6"/>
        <v>222.93624391630965</v>
      </c>
      <c r="H53" s="74">
        <f t="shared" si="7"/>
        <v>225.57526470588346</v>
      </c>
      <c r="I53" s="74">
        <f t="shared" si="8"/>
        <v>225.61567803187992</v>
      </c>
      <c r="J53" s="74">
        <f t="shared" si="9"/>
        <v>227.23689976690002</v>
      </c>
      <c r="K53" s="74">
        <f t="shared" si="10"/>
        <v>227.35480106648038</v>
      </c>
      <c r="L53"/>
      <c r="M53" s="2"/>
      <c r="N53" s="12">
        <f t="shared" si="4"/>
        <v>2023.5</v>
      </c>
    </row>
    <row r="54" spans="1:14" x14ac:dyDescent="0.2">
      <c r="A54" s="12" t="str">
        <f>TEXT(DATE(YEAR(A55+1),MONTH(A55+1)-3,1)-1,"m/d/yyyy")</f>
        <v>9/30/2023</v>
      </c>
      <c r="C54" s="224">
        <f>[2]CPI!H148</f>
        <v>228.92</v>
      </c>
      <c r="D54" s="74">
        <f t="shared" si="2"/>
        <v>216.77819166463996</v>
      </c>
      <c r="E54" s="74">
        <f t="shared" si="3"/>
        <v>216.69536411246679</v>
      </c>
      <c r="F54" s="74">
        <f t="shared" si="5"/>
        <v>225.01467669172962</v>
      </c>
      <c r="G54" s="74">
        <f t="shared" si="6"/>
        <v>225.02041640490935</v>
      </c>
      <c r="H54" s="74">
        <f t="shared" si="7"/>
        <v>228.28417647058814</v>
      </c>
      <c r="I54" s="74">
        <f t="shared" si="8"/>
        <v>228.52475795420659</v>
      </c>
      <c r="J54" s="74">
        <f t="shared" si="9"/>
        <v>230.65934731934613</v>
      </c>
      <c r="K54" s="74">
        <f t="shared" si="10"/>
        <v>231.04067975089916</v>
      </c>
      <c r="L54"/>
      <c r="M54" s="2"/>
      <c r="N54" s="12">
        <f t="shared" si="4"/>
        <v>2023.75</v>
      </c>
    </row>
    <row r="55" spans="1:14" x14ac:dyDescent="0.2">
      <c r="A55" s="12" t="str">
        <f>TEXT(N9,"m/d/yyyy")</f>
        <v>12/31/2023</v>
      </c>
      <c r="C55" s="224">
        <f>[2]CPI!H149</f>
        <v>229.07</v>
      </c>
      <c r="D55" s="74">
        <f>TREND($C$14:$C$55,$N$14:$N$55,$N55,TRUE)</f>
        <v>217.67032115171605</v>
      </c>
      <c r="E55" s="74">
        <f>GROWTH($C$14:$C$55,$N$14:$N$55,$N55,TRUE)</f>
        <v>217.6434374292794</v>
      </c>
      <c r="F55" s="74">
        <f>TREND($C$36:$C$55,$N$36:$N$55,$N55,TRUE)</f>
        <v>226.98228571428626</v>
      </c>
      <c r="G55" s="74">
        <f>GROWTH($C$36:$C$55,$N$36:$N$55,$N55,TRUE)</f>
        <v>227.12407327562047</v>
      </c>
      <c r="H55" s="74">
        <f t="shared" si="7"/>
        <v>230.99308823529282</v>
      </c>
      <c r="I55" s="74">
        <f>GROWTH($C$40:$C$55,$N$40:$N$55,$N55,TRUE)</f>
        <v>231.47134744177407</v>
      </c>
      <c r="J55" s="74">
        <f>TREND($C$44:$C$55,$N$44:$N$55,$N55,TRUE)</f>
        <v>234.08179487179586</v>
      </c>
      <c r="K55" s="74">
        <f>GROWTH($C$44:$C$55,$N$44:$N$55,$N55,TRUE)</f>
        <v>234.78631394351063</v>
      </c>
      <c r="L55" s="74"/>
      <c r="M55" s="2"/>
      <c r="N55" s="12">
        <f>YEAR(A55)+MONTH(A55)/12</f>
        <v>2024</v>
      </c>
    </row>
    <row r="56" spans="1:14" x14ac:dyDescent="0.2">
      <c r="A56" s="76"/>
      <c r="B56" s="9"/>
      <c r="C56" s="104"/>
      <c r="D56" s="75"/>
      <c r="E56" s="75"/>
      <c r="F56" s="75"/>
      <c r="G56" s="75"/>
      <c r="H56" s="75"/>
      <c r="I56" s="75"/>
      <c r="J56" s="75"/>
      <c r="K56" s="75"/>
      <c r="L56"/>
      <c r="M56" s="2"/>
    </row>
    <row r="57" spans="1:14" x14ac:dyDescent="0.2">
      <c r="A57"/>
      <c r="C57"/>
      <c r="D57"/>
      <c r="E57"/>
      <c r="F57"/>
      <c r="G57"/>
      <c r="H57"/>
      <c r="J57"/>
      <c r="K57"/>
      <c r="L57"/>
      <c r="M57" s="2"/>
    </row>
    <row r="58" spans="1:14" x14ac:dyDescent="0.2">
      <c r="A58" s="12" t="s">
        <v>262</v>
      </c>
      <c r="C58"/>
      <c r="D58" s="19">
        <f>(D55-D51)/D55</f>
        <v>1.6394141054329993E-2</v>
      </c>
      <c r="E58" s="19">
        <f>LOGEST($C$14:$C$55,$N$14:$N$55,TRUE,TRUE)-1</f>
        <v>1.7615760700974814E-2</v>
      </c>
      <c r="F58" s="19">
        <f>(F55-F51)/F55</f>
        <v>3.4674230482160451E-2</v>
      </c>
      <c r="G58" s="19">
        <f>LOGEST($C$36:$C$55,$N$36:$N$55,TRUE,TRUE)-1</f>
        <v>3.7922620471971147E-2</v>
      </c>
      <c r="H58" s="19">
        <f>(H55-H51)/H55</f>
        <v>4.6908966591177902E-2</v>
      </c>
      <c r="I58" s="19">
        <f>LOGEST($C$40:$C$55,$N$40:$N$55,TRUE,TRUE)-1</f>
        <v>5.2581974834185585E-2</v>
      </c>
      <c r="J58" s="19">
        <f>(J55-J51)/J55</f>
        <v>5.8482934212331354E-2</v>
      </c>
      <c r="K58" s="19">
        <f>LOGEST($C$44:$C$55,$N$44:$N$55,TRUE,TRUE)-1</f>
        <v>6.6442135593475227E-2</v>
      </c>
      <c r="L58" s="19"/>
      <c r="M58" s="2"/>
    </row>
    <row r="59" spans="1:14" x14ac:dyDescent="0.2">
      <c r="A59" t="s">
        <v>263</v>
      </c>
      <c r="B59"/>
      <c r="C59" s="59"/>
      <c r="D59" s="28">
        <f>INDEX(LINEST($C$14:$C$55,$N$14:$N$55,TRUE,TRUE),3,1)</f>
        <v>0.75424488880551666</v>
      </c>
      <c r="E59" s="28">
        <f>INDEX(LOGEST($C$14:$C$55,$N$14:$N$55,TRUE,TRUE),3,1)</f>
        <v>0.77203378568973169</v>
      </c>
      <c r="F59" s="28">
        <f>INDEX(LINEST($C$36:$C$55,$N$36:$N$55,TRUE,TRUE),3,1)</f>
        <v>0.79397634791714022</v>
      </c>
      <c r="G59" s="28">
        <f>INDEX(LOGEST($C$36:$C$55,$N$36:$N$55,TRUE,TRUE),3,1)</f>
        <v>0.79149903005842359</v>
      </c>
      <c r="H59" s="28">
        <f>INDEX(LINEST($C$40:$C$55,$N$40:$N$55,TRUE,TRUE),3,1)</f>
        <v>0.89730583549851883</v>
      </c>
      <c r="I59" s="28">
        <f>INDEX(LOGEST($C$40:$C$55,$N$40:$N$55,TRUE,TRUE),3,1)</f>
        <v>0.8940803019691671</v>
      </c>
      <c r="J59" s="28">
        <f>INDEX(LINEST($C$44:$C$55,$N$44:$N$55,TRUE,TRUE),3,1)</f>
        <v>0.95229566726277026</v>
      </c>
      <c r="K59" s="28">
        <f>INDEX(LOGEST($C$44:$C$55,$N$44:$N$55,TRUE,TRUE),3,1)</f>
        <v>0.94507910842398246</v>
      </c>
      <c r="L59" s="28"/>
      <c r="M59" s="2"/>
    </row>
    <row r="60" spans="1:14" ht="12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/>
      <c r="M60" s="2"/>
    </row>
    <row r="61" spans="1:14" ht="12" thickTop="1" x14ac:dyDescent="0.2">
      <c r="A61"/>
      <c r="B61"/>
      <c r="C61"/>
      <c r="D61"/>
      <c r="E61"/>
      <c r="F61"/>
      <c r="G61"/>
      <c r="H61"/>
      <c r="I61"/>
      <c r="J61"/>
      <c r="K61"/>
      <c r="L61"/>
      <c r="M61" s="2"/>
    </row>
    <row r="62" spans="1:14" x14ac:dyDescent="0.2">
      <c r="A62" t="s">
        <v>17</v>
      </c>
      <c r="B62"/>
      <c r="F62"/>
      <c r="G62"/>
      <c r="H62"/>
      <c r="I62"/>
      <c r="J62"/>
      <c r="K62"/>
      <c r="L62"/>
      <c r="M62" s="2"/>
    </row>
    <row r="63" spans="1:14" x14ac:dyDescent="0.2">
      <c r="A63"/>
      <c r="B63" s="12" t="str">
        <f>C12&amp;" = Weighted average of CPI for Lodging, Apparel, Furnishings, and Medical Care"</f>
        <v>(2) = Weighted average of CPI for Lodging, Apparel, Furnishings, and Medical Care</v>
      </c>
      <c r="C63"/>
      <c r="D63"/>
      <c r="E63"/>
      <c r="F63"/>
      <c r="H63"/>
      <c r="J63"/>
      <c r="K63"/>
      <c r="L63"/>
      <c r="M63" s="2"/>
    </row>
    <row r="64" spans="1:14" x14ac:dyDescent="0.2">
      <c r="A64"/>
      <c r="B64" s="12" t="str">
        <f>D12&amp;" - "&amp;K12&amp;" = "&amp;C12&amp;" Fitted to linear and exponential distributions"</f>
        <v>(3) - (10) = (2) Fitted to linear and exponential distributions</v>
      </c>
      <c r="D64"/>
      <c r="E64"/>
      <c r="F64"/>
      <c r="H64"/>
      <c r="J64"/>
      <c r="K64"/>
      <c r="L64"/>
      <c r="M64" s="2"/>
    </row>
    <row r="65" spans="1:13" x14ac:dyDescent="0.2">
      <c r="A65"/>
      <c r="D65"/>
      <c r="E65"/>
      <c r="F65"/>
      <c r="H65"/>
      <c r="J65"/>
      <c r="K65"/>
      <c r="L65"/>
      <c r="M65" s="2"/>
    </row>
    <row r="66" spans="1:13" x14ac:dyDescent="0.2">
      <c r="A66"/>
      <c r="D66"/>
      <c r="E66"/>
      <c r="F66"/>
      <c r="H66"/>
      <c r="J66"/>
      <c r="K66"/>
      <c r="L66"/>
      <c r="M66" s="2"/>
    </row>
    <row r="67" spans="1:13" x14ac:dyDescent="0.2">
      <c r="A67"/>
      <c r="D67"/>
      <c r="E67"/>
      <c r="F67"/>
      <c r="H67"/>
      <c r="J67"/>
      <c r="K67"/>
      <c r="L67"/>
      <c r="M67" s="2"/>
    </row>
    <row r="68" spans="1:13" ht="12" thickBot="1" x14ac:dyDescent="0.25">
      <c r="A68"/>
      <c r="B68"/>
      <c r="C68" s="59"/>
      <c r="D68" s="28"/>
      <c r="E68" s="28"/>
      <c r="F68" s="28"/>
      <c r="G68" s="28"/>
      <c r="H68" s="28"/>
      <c r="I68" s="28"/>
      <c r="J68" s="28"/>
      <c r="K68" s="28"/>
      <c r="L68" s="2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rgb="FF00FF00"/>
    <pageSetUpPr fitToPage="1"/>
  </sheetPr>
  <dimension ref="A1:S73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6.6640625" customWidth="1"/>
    <col min="3" max="6" width="15.33203125" customWidth="1"/>
    <col min="7" max="9" width="11.33203125" customWidth="1"/>
    <col min="10" max="10" width="4" customWidth="1"/>
  </cols>
  <sheetData>
    <row r="1" spans="1:15" x14ac:dyDescent="0.2">
      <c r="A1" s="8" t="str">
        <f>'1'!$A$1</f>
        <v>Texas Windstorm Insurance Association</v>
      </c>
      <c r="B1" s="12"/>
      <c r="J1" s="7" t="s">
        <v>49</v>
      </c>
      <c r="K1" s="1"/>
      <c r="N1" t="s">
        <v>447</v>
      </c>
      <c r="O1" t="s">
        <v>461</v>
      </c>
    </row>
    <row r="2" spans="1:15" x14ac:dyDescent="0.2">
      <c r="A2" s="8" t="str">
        <f>'1'!$A$2</f>
        <v>Commercial Property - Wind &amp; Hail</v>
      </c>
      <c r="B2" s="12"/>
      <c r="J2" s="7"/>
      <c r="K2" s="2"/>
      <c r="N2" t="s">
        <v>447</v>
      </c>
      <c r="O2" t="s">
        <v>462</v>
      </c>
    </row>
    <row r="3" spans="1:15" x14ac:dyDescent="0.2">
      <c r="A3" s="8" t="str">
        <f>'1'!$A$3</f>
        <v>Rate Level Review</v>
      </c>
      <c r="B3" s="12"/>
      <c r="K3" s="2"/>
      <c r="N3" t="s">
        <v>447</v>
      </c>
      <c r="O3" t="s">
        <v>463</v>
      </c>
    </row>
    <row r="4" spans="1:15" x14ac:dyDescent="0.2">
      <c r="A4" t="s">
        <v>554</v>
      </c>
      <c r="B4" s="12"/>
      <c r="K4" s="2"/>
      <c r="N4" t="s">
        <v>447</v>
      </c>
      <c r="O4" t="s">
        <v>467</v>
      </c>
    </row>
    <row r="5" spans="1:15" x14ac:dyDescent="0.2">
      <c r="B5" s="12"/>
      <c r="K5" s="2"/>
    </row>
    <row r="6" spans="1:15" ht="12" thickBot="1" x14ac:dyDescent="0.25">
      <c r="A6" s="6"/>
      <c r="B6" s="6"/>
      <c r="C6" s="6"/>
      <c r="D6" s="6"/>
      <c r="E6" s="6"/>
      <c r="F6" s="6"/>
      <c r="K6" s="2"/>
    </row>
    <row r="7" spans="1:15" ht="12" thickTop="1" x14ac:dyDescent="0.2">
      <c r="A7" t="s">
        <v>40</v>
      </c>
      <c r="K7" s="2"/>
    </row>
    <row r="8" spans="1:15" x14ac:dyDescent="0.2">
      <c r="A8" t="s">
        <v>41</v>
      </c>
      <c r="C8" s="134"/>
      <c r="D8" s="11"/>
      <c r="E8" s="11" t="s">
        <v>27</v>
      </c>
      <c r="F8" s="11"/>
      <c r="K8" s="2"/>
    </row>
    <row r="9" spans="1:15" x14ac:dyDescent="0.2">
      <c r="A9" t="s">
        <v>26</v>
      </c>
      <c r="C9" s="11" t="s">
        <v>27</v>
      </c>
      <c r="D9" s="11" t="s">
        <v>27</v>
      </c>
      <c r="E9" s="11" t="s">
        <v>50</v>
      </c>
      <c r="F9" s="11" t="s">
        <v>4</v>
      </c>
      <c r="K9" s="2"/>
    </row>
    <row r="10" spans="1:15" x14ac:dyDescent="0.2">
      <c r="A10" s="9" t="str">
        <f>TEXT('3.2d'!N9,"m/d")</f>
        <v>12/31</v>
      </c>
      <c r="B10" s="9"/>
      <c r="C10" s="144" t="s">
        <v>33</v>
      </c>
      <c r="D10" s="144" t="s">
        <v>28</v>
      </c>
      <c r="E10" s="144" t="s">
        <v>51</v>
      </c>
      <c r="F10" s="144" t="s">
        <v>52</v>
      </c>
      <c r="K10" s="2"/>
    </row>
    <row r="11" spans="1:15" x14ac:dyDescent="0.2">
      <c r="A11" s="13" t="str">
        <f>TEXT(COLUMN(),"(#)")</f>
        <v>(1)</v>
      </c>
      <c r="B11" s="13"/>
      <c r="C11" s="11" t="str">
        <f>TEXT(COLUMN()-1,"(#)")</f>
        <v>(2)</v>
      </c>
      <c r="D11" s="11" t="str">
        <f>TEXT(COLUMN()-1,"(#)")</f>
        <v>(3)</v>
      </c>
      <c r="E11" s="11" t="str">
        <f>TEXT(COLUMN()-1,"(#)")</f>
        <v>(4)</v>
      </c>
      <c r="F11" s="11" t="str">
        <f>TEXT(COLUMN()-1,"(#)")</f>
        <v>(5)</v>
      </c>
      <c r="K11" s="2"/>
    </row>
    <row r="12" spans="1:15" x14ac:dyDescent="0.2">
      <c r="K12" s="2"/>
    </row>
    <row r="13" spans="1:15" x14ac:dyDescent="0.2">
      <c r="A13" s="60">
        <v>1980</v>
      </c>
      <c r="B13" s="22"/>
      <c r="C13" s="108">
        <v>12911</v>
      </c>
      <c r="D13" s="108">
        <v>1318</v>
      </c>
      <c r="E13" s="32">
        <f>ROUND(D13/C13,3)</f>
        <v>0.10199999999999999</v>
      </c>
      <c r="F13" s="31" t="s">
        <v>53</v>
      </c>
      <c r="K13" s="2"/>
    </row>
    <row r="14" spans="1:15" x14ac:dyDescent="0.2">
      <c r="A14" t="str">
        <f>TEXT(A13+1,"#")</f>
        <v>1981</v>
      </c>
      <c r="B14" s="22"/>
      <c r="C14" s="108">
        <v>2512</v>
      </c>
      <c r="D14" s="108">
        <v>543</v>
      </c>
      <c r="E14" s="32">
        <f t="shared" ref="E14:E50" si="0">ROUND(D14/C14,3)</f>
        <v>0.216</v>
      </c>
      <c r="F14" s="31"/>
      <c r="K14" s="2"/>
    </row>
    <row r="15" spans="1:15" x14ac:dyDescent="0.2">
      <c r="A15" t="str">
        <f t="shared" ref="A15:A45" si="1">TEXT(A14+1,"#")</f>
        <v>1982</v>
      </c>
      <c r="B15" s="22"/>
      <c r="C15" s="108">
        <v>796</v>
      </c>
      <c r="D15" s="108">
        <v>565</v>
      </c>
      <c r="E15" s="32">
        <f t="shared" si="0"/>
        <v>0.71</v>
      </c>
      <c r="F15" s="31"/>
      <c r="K15" s="2"/>
    </row>
    <row r="16" spans="1:15" x14ac:dyDescent="0.2">
      <c r="A16" t="str">
        <f t="shared" si="1"/>
        <v>1983</v>
      </c>
      <c r="B16" s="22"/>
      <c r="C16" s="108">
        <v>148999</v>
      </c>
      <c r="D16" s="108">
        <v>9127</v>
      </c>
      <c r="E16" s="32">
        <f t="shared" si="0"/>
        <v>6.0999999999999999E-2</v>
      </c>
      <c r="F16" s="31" t="s">
        <v>53</v>
      </c>
      <c r="K16" s="2"/>
    </row>
    <row r="17" spans="1:18" x14ac:dyDescent="0.2">
      <c r="A17" t="str">
        <f t="shared" si="1"/>
        <v>1984</v>
      </c>
      <c r="B17" s="22"/>
      <c r="C17" s="108">
        <v>999</v>
      </c>
      <c r="D17" s="108">
        <v>324</v>
      </c>
      <c r="E17" s="32">
        <f t="shared" si="0"/>
        <v>0.32400000000000001</v>
      </c>
      <c r="F17" s="31"/>
      <c r="K17" s="2"/>
    </row>
    <row r="18" spans="1:18" x14ac:dyDescent="0.2">
      <c r="A18" t="str">
        <f t="shared" si="1"/>
        <v>1985</v>
      </c>
      <c r="B18" s="22"/>
      <c r="C18" s="108">
        <v>512</v>
      </c>
      <c r="D18" s="108">
        <v>297</v>
      </c>
      <c r="E18" s="32">
        <f t="shared" si="0"/>
        <v>0.57999999999999996</v>
      </c>
      <c r="F18" s="31"/>
      <c r="K18" s="2"/>
    </row>
    <row r="19" spans="1:18" x14ac:dyDescent="0.2">
      <c r="A19" t="str">
        <f t="shared" si="1"/>
        <v>1986</v>
      </c>
      <c r="B19" s="22"/>
      <c r="C19" s="108">
        <v>881</v>
      </c>
      <c r="D19" s="108">
        <v>505</v>
      </c>
      <c r="E19" s="32">
        <f t="shared" si="0"/>
        <v>0.57299999999999995</v>
      </c>
      <c r="F19" s="31" t="s">
        <v>53</v>
      </c>
      <c r="K19" s="2"/>
    </row>
    <row r="20" spans="1:18" x14ac:dyDescent="0.2">
      <c r="A20" t="str">
        <f t="shared" si="1"/>
        <v>1987</v>
      </c>
      <c r="B20" s="22"/>
      <c r="C20" s="108">
        <v>1897</v>
      </c>
      <c r="D20" s="108">
        <v>1056</v>
      </c>
      <c r="E20" s="32">
        <f t="shared" si="0"/>
        <v>0.55700000000000005</v>
      </c>
      <c r="F20" s="31"/>
      <c r="K20" s="2"/>
    </row>
    <row r="21" spans="1:18" x14ac:dyDescent="0.2">
      <c r="A21" t="str">
        <f t="shared" si="1"/>
        <v>1988</v>
      </c>
      <c r="B21" s="22"/>
      <c r="C21" s="108">
        <v>1160</v>
      </c>
      <c r="D21" s="108">
        <v>357</v>
      </c>
      <c r="E21" s="32">
        <f t="shared" si="0"/>
        <v>0.308</v>
      </c>
      <c r="F21" s="31"/>
      <c r="K21" s="2"/>
    </row>
    <row r="22" spans="1:18" x14ac:dyDescent="0.2">
      <c r="A22" t="str">
        <f t="shared" si="1"/>
        <v>1989</v>
      </c>
      <c r="C22" s="108">
        <v>12296</v>
      </c>
      <c r="D22" s="108">
        <v>3528</v>
      </c>
      <c r="E22" s="32">
        <f t="shared" si="0"/>
        <v>0.28699999999999998</v>
      </c>
      <c r="F22" s="24" t="s">
        <v>53</v>
      </c>
      <c r="K22" s="2"/>
    </row>
    <row r="23" spans="1:18" x14ac:dyDescent="0.2">
      <c r="A23" t="str">
        <f t="shared" si="1"/>
        <v>1990</v>
      </c>
      <c r="C23" s="108">
        <v>335</v>
      </c>
      <c r="D23" s="108">
        <v>225</v>
      </c>
      <c r="E23" s="32">
        <f t="shared" si="0"/>
        <v>0.67200000000000004</v>
      </c>
      <c r="F23" s="24"/>
      <c r="K23" s="2"/>
    </row>
    <row r="24" spans="1:18" x14ac:dyDescent="0.2">
      <c r="A24" t="str">
        <f t="shared" si="1"/>
        <v>1991</v>
      </c>
      <c r="C24" s="108">
        <v>1217</v>
      </c>
      <c r="D24" s="108">
        <v>729</v>
      </c>
      <c r="E24" s="32">
        <f t="shared" si="0"/>
        <v>0.59899999999999998</v>
      </c>
      <c r="F24" s="24"/>
      <c r="K24" s="2"/>
      <c r="N24" t="s">
        <v>513</v>
      </c>
    </row>
    <row r="25" spans="1:18" x14ac:dyDescent="0.2">
      <c r="A25" t="str">
        <f t="shared" si="1"/>
        <v>1992</v>
      </c>
      <c r="C25" s="108">
        <v>489</v>
      </c>
      <c r="D25" s="108">
        <v>554</v>
      </c>
      <c r="E25" s="32">
        <f t="shared" si="0"/>
        <v>1.133</v>
      </c>
      <c r="F25" s="24"/>
      <c r="K25" s="2"/>
      <c r="N25" s="23" t="s">
        <v>265</v>
      </c>
      <c r="O25" s="23" t="s">
        <v>267</v>
      </c>
      <c r="P25" s="23" t="s">
        <v>266</v>
      </c>
      <c r="Q25" s="23" t="s">
        <v>59</v>
      </c>
    </row>
    <row r="26" spans="1:18" x14ac:dyDescent="0.2">
      <c r="A26" t="str">
        <f t="shared" si="1"/>
        <v>1993</v>
      </c>
      <c r="C26" s="108">
        <v>3375</v>
      </c>
      <c r="D26" s="108">
        <v>1375</v>
      </c>
      <c r="E26" s="32">
        <f t="shared" si="0"/>
        <v>0.40699999999999997</v>
      </c>
      <c r="F26" s="24"/>
      <c r="K26" s="2"/>
    </row>
    <row r="27" spans="1:18" x14ac:dyDescent="0.2">
      <c r="A27" t="str">
        <f t="shared" si="1"/>
        <v>1994</v>
      </c>
      <c r="C27" s="108">
        <v>679</v>
      </c>
      <c r="D27" s="108">
        <v>507</v>
      </c>
      <c r="E27" s="32">
        <f t="shared" si="0"/>
        <v>0.747</v>
      </c>
      <c r="F27" s="24"/>
      <c r="K27" s="2"/>
    </row>
    <row r="28" spans="1:18" x14ac:dyDescent="0.2">
      <c r="A28" t="str">
        <f t="shared" si="1"/>
        <v>1995</v>
      </c>
      <c r="C28" s="108">
        <v>2977</v>
      </c>
      <c r="D28" s="108">
        <v>903</v>
      </c>
      <c r="E28" s="32">
        <f t="shared" si="0"/>
        <v>0.30299999999999999</v>
      </c>
      <c r="F28" s="24"/>
      <c r="K28" s="2"/>
      <c r="M28" s="118">
        <f>M29-1</f>
        <v>2014</v>
      </c>
      <c r="N28" s="119">
        <v>7871</v>
      </c>
      <c r="O28" s="119">
        <v>0</v>
      </c>
      <c r="P28" s="119">
        <v>0</v>
      </c>
      <c r="Q28" s="120">
        <f t="shared" ref="Q28:Q37" si="2">SUM(N28:P28)</f>
        <v>7871</v>
      </c>
      <c r="R28" s="252">
        <f>Q28/N28</f>
        <v>1</v>
      </c>
    </row>
    <row r="29" spans="1:18" x14ac:dyDescent="0.2">
      <c r="A29" t="str">
        <f t="shared" si="1"/>
        <v>1996</v>
      </c>
      <c r="C29" s="108">
        <v>1166</v>
      </c>
      <c r="D29" s="108">
        <v>582</v>
      </c>
      <c r="E29" s="32">
        <f t="shared" si="0"/>
        <v>0.499</v>
      </c>
      <c r="F29" s="24"/>
      <c r="K29" s="2"/>
      <c r="M29" s="118">
        <f>M30-1</f>
        <v>2015</v>
      </c>
      <c r="N29" s="119">
        <v>138697</v>
      </c>
      <c r="O29" s="119">
        <v>3</v>
      </c>
      <c r="P29" s="119">
        <v>136</v>
      </c>
      <c r="Q29" s="120">
        <f t="shared" si="2"/>
        <v>138836</v>
      </c>
      <c r="R29" s="252">
        <f t="shared" ref="R29:R37" si="3">Q29/N29</f>
        <v>1.0010021846182686</v>
      </c>
    </row>
    <row r="30" spans="1:18" x14ac:dyDescent="0.2">
      <c r="A30" t="str">
        <f t="shared" si="1"/>
        <v>1997</v>
      </c>
      <c r="C30" s="108">
        <v>2964</v>
      </c>
      <c r="D30" s="108">
        <v>1343</v>
      </c>
      <c r="E30" s="32">
        <f t="shared" si="0"/>
        <v>0.45300000000000001</v>
      </c>
      <c r="F30" s="24"/>
      <c r="K30" s="2"/>
      <c r="M30" s="118">
        <f>M31-1</f>
        <v>2016</v>
      </c>
      <c r="N30" s="119">
        <v>28422</v>
      </c>
      <c r="O30" s="119">
        <v>0</v>
      </c>
      <c r="P30" s="119">
        <v>0</v>
      </c>
      <c r="Q30" s="120">
        <f t="shared" si="2"/>
        <v>28422</v>
      </c>
      <c r="R30" s="252">
        <f t="shared" si="3"/>
        <v>1</v>
      </c>
    </row>
    <row r="31" spans="1:18" x14ac:dyDescent="0.2">
      <c r="A31" t="str">
        <f t="shared" si="1"/>
        <v>1998</v>
      </c>
      <c r="B31" s="12"/>
      <c r="C31" s="108">
        <v>22401</v>
      </c>
      <c r="D31" s="108">
        <v>4732</v>
      </c>
      <c r="E31" s="32">
        <f t="shared" si="0"/>
        <v>0.21099999999999999</v>
      </c>
      <c r="F31" s="24"/>
      <c r="K31" s="2"/>
      <c r="M31" s="118">
        <f>M32-1</f>
        <v>2017</v>
      </c>
      <c r="N31" s="119">
        <v>1402282</v>
      </c>
      <c r="O31" s="119">
        <v>800</v>
      </c>
      <c r="P31" s="119">
        <v>7250</v>
      </c>
      <c r="Q31" s="120">
        <f t="shared" si="2"/>
        <v>1410332</v>
      </c>
      <c r="R31" s="252">
        <f t="shared" si="3"/>
        <v>1.0057406427523137</v>
      </c>
    </row>
    <row r="32" spans="1:18" x14ac:dyDescent="0.2">
      <c r="A32" t="str">
        <f t="shared" si="1"/>
        <v>1999</v>
      </c>
      <c r="B32" s="12"/>
      <c r="C32" s="108">
        <v>8773</v>
      </c>
      <c r="D32" s="108">
        <v>2388</v>
      </c>
      <c r="E32" s="32">
        <f t="shared" si="0"/>
        <v>0.27200000000000002</v>
      </c>
      <c r="F32" s="24" t="s">
        <v>53</v>
      </c>
      <c r="K32" s="2"/>
      <c r="M32" s="118">
        <f>M33-1</f>
        <v>2018</v>
      </c>
      <c r="N32" s="119">
        <v>12097</v>
      </c>
      <c r="O32" s="119">
        <v>0</v>
      </c>
      <c r="P32" s="119">
        <v>10</v>
      </c>
      <c r="Q32" s="120">
        <f t="shared" si="2"/>
        <v>12107</v>
      </c>
      <c r="R32" s="252">
        <f t="shared" si="3"/>
        <v>1.0008266512358437</v>
      </c>
    </row>
    <row r="33" spans="1:19" x14ac:dyDescent="0.2">
      <c r="A33" t="str">
        <f t="shared" si="1"/>
        <v>2000</v>
      </c>
      <c r="B33" s="12"/>
      <c r="C33" s="108">
        <v>6227</v>
      </c>
      <c r="D33" s="108">
        <v>1885</v>
      </c>
      <c r="E33" s="32">
        <f t="shared" si="0"/>
        <v>0.30299999999999999</v>
      </c>
      <c r="F33" s="24"/>
      <c r="K33" s="2"/>
      <c r="M33" s="118">
        <v>2019</v>
      </c>
      <c r="N33" s="119">
        <v>17606</v>
      </c>
      <c r="O33" s="119">
        <v>138</v>
      </c>
      <c r="P33" s="119">
        <v>88</v>
      </c>
      <c r="Q33" s="120">
        <f t="shared" si="2"/>
        <v>17832</v>
      </c>
      <c r="R33" s="252">
        <f t="shared" si="3"/>
        <v>1.0128365330001137</v>
      </c>
    </row>
    <row r="34" spans="1:19" x14ac:dyDescent="0.2">
      <c r="A34" t="str">
        <f t="shared" si="1"/>
        <v>2001</v>
      </c>
      <c r="C34" s="108">
        <v>24605</v>
      </c>
      <c r="D34" s="108">
        <v>1880</v>
      </c>
      <c r="E34" s="32">
        <f t="shared" si="0"/>
        <v>7.5999999999999998E-2</v>
      </c>
      <c r="F34" s="24"/>
      <c r="K34" s="2"/>
      <c r="M34">
        <v>2020</v>
      </c>
      <c r="N34" s="108">
        <v>64031</v>
      </c>
      <c r="O34" s="119">
        <v>285</v>
      </c>
      <c r="P34" s="119">
        <v>727</v>
      </c>
      <c r="Q34" s="120">
        <f t="shared" si="2"/>
        <v>65043</v>
      </c>
      <c r="R34" s="252">
        <f t="shared" si="3"/>
        <v>1.0158048445284316</v>
      </c>
    </row>
    <row r="35" spans="1:19" x14ac:dyDescent="0.2">
      <c r="A35" t="str">
        <f t="shared" si="1"/>
        <v>2002</v>
      </c>
      <c r="C35" s="108">
        <v>5167</v>
      </c>
      <c r="D35" s="108">
        <v>5226</v>
      </c>
      <c r="E35" s="32">
        <f t="shared" si="0"/>
        <v>1.0109999999999999</v>
      </c>
      <c r="F35" s="24"/>
      <c r="K35" s="2"/>
      <c r="M35">
        <v>2021</v>
      </c>
      <c r="N35" s="108">
        <v>64894</v>
      </c>
      <c r="O35" s="108">
        <v>1581</v>
      </c>
      <c r="P35" s="119">
        <v>1257</v>
      </c>
      <c r="Q35" s="120">
        <f t="shared" si="2"/>
        <v>67732</v>
      </c>
      <c r="R35" s="252">
        <f t="shared" si="3"/>
        <v>1.0437328566585509</v>
      </c>
    </row>
    <row r="36" spans="1:19" x14ac:dyDescent="0.2">
      <c r="A36" t="str">
        <f t="shared" si="1"/>
        <v>2003</v>
      </c>
      <c r="C36" s="108">
        <v>155001</v>
      </c>
      <c r="D36" s="108">
        <v>5122</v>
      </c>
      <c r="E36" s="32">
        <f t="shared" si="0"/>
        <v>3.3000000000000002E-2</v>
      </c>
      <c r="F36" s="24" t="s">
        <v>53</v>
      </c>
      <c r="K36" s="2"/>
      <c r="M36" s="118">
        <v>2022</v>
      </c>
      <c r="N36" s="119">
        <v>27771</v>
      </c>
      <c r="O36" s="119">
        <v>1599</v>
      </c>
      <c r="P36" s="108">
        <v>854</v>
      </c>
      <c r="Q36" s="120">
        <f t="shared" si="2"/>
        <v>30224</v>
      </c>
      <c r="R36" s="252">
        <f t="shared" si="3"/>
        <v>1.0883295524107883</v>
      </c>
    </row>
    <row r="37" spans="1:19" x14ac:dyDescent="0.2">
      <c r="A37" t="str">
        <f t="shared" si="1"/>
        <v>2004</v>
      </c>
      <c r="C37" s="108">
        <v>5167</v>
      </c>
      <c r="D37" s="108">
        <v>1471</v>
      </c>
      <c r="E37" s="32">
        <f t="shared" si="0"/>
        <v>0.28499999999999998</v>
      </c>
      <c r="F37" s="24"/>
      <c r="K37" s="2"/>
      <c r="M37" s="118">
        <v>2023</v>
      </c>
      <c r="N37" s="119">
        <v>57766</v>
      </c>
      <c r="O37" s="119">
        <v>8479</v>
      </c>
      <c r="P37" s="119">
        <v>10461</v>
      </c>
      <c r="Q37" s="120">
        <f t="shared" si="2"/>
        <v>76706</v>
      </c>
      <c r="R37" s="252">
        <f t="shared" si="3"/>
        <v>1.3278745282692241</v>
      </c>
    </row>
    <row r="38" spans="1:19" ht="15" x14ac:dyDescent="0.2">
      <c r="A38" t="str">
        <f t="shared" si="1"/>
        <v>2005</v>
      </c>
      <c r="C38" s="108">
        <v>154981</v>
      </c>
      <c r="D38" s="108">
        <v>20235</v>
      </c>
      <c r="E38" s="32">
        <f t="shared" si="0"/>
        <v>0.13100000000000001</v>
      </c>
      <c r="F38" s="24" t="s">
        <v>53</v>
      </c>
      <c r="K38" s="2"/>
      <c r="M38" s="110"/>
      <c r="N38" s="18">
        <f>SUM(N28:N37)</f>
        <v>1821437</v>
      </c>
      <c r="O38" s="18">
        <f t="shared" ref="O38:P38" si="4">SUM(O28:O37)</f>
        <v>12885</v>
      </c>
      <c r="P38" s="18">
        <f t="shared" si="4"/>
        <v>20783</v>
      </c>
      <c r="Q38" s="18">
        <f>SUM(Q28:Q36)</f>
        <v>1778399</v>
      </c>
    </row>
    <row r="39" spans="1:19" x14ac:dyDescent="0.2">
      <c r="A39" t="str">
        <f t="shared" si="1"/>
        <v>2006</v>
      </c>
      <c r="C39" s="108">
        <v>4276</v>
      </c>
      <c r="D39" s="108">
        <v>1110</v>
      </c>
      <c r="E39" s="32">
        <f t="shared" si="0"/>
        <v>0.26</v>
      </c>
      <c r="F39" s="24"/>
      <c r="K39" s="2"/>
    </row>
    <row r="40" spans="1:19" x14ac:dyDescent="0.2">
      <c r="A40" t="str">
        <f t="shared" si="1"/>
        <v>2007</v>
      </c>
      <c r="C40" s="108">
        <v>15745</v>
      </c>
      <c r="D40" s="108">
        <v>4941</v>
      </c>
      <c r="E40" s="32">
        <f t="shared" si="0"/>
        <v>0.314</v>
      </c>
      <c r="F40" s="24" t="s">
        <v>53</v>
      </c>
      <c r="K40" s="2"/>
      <c r="N40" t="s">
        <v>514</v>
      </c>
    </row>
    <row r="41" spans="1:19" x14ac:dyDescent="0.2">
      <c r="A41" t="str">
        <f t="shared" si="1"/>
        <v>2008</v>
      </c>
      <c r="C41" s="108">
        <v>2583017</v>
      </c>
      <c r="D41" s="108">
        <v>346615</v>
      </c>
      <c r="E41" s="32">
        <f t="shared" si="0"/>
        <v>0.13400000000000001</v>
      </c>
      <c r="F41" s="24" t="s">
        <v>53</v>
      </c>
      <c r="K41" s="2"/>
      <c r="N41" s="23" t="s">
        <v>265</v>
      </c>
      <c r="O41" s="23" t="s">
        <v>267</v>
      </c>
      <c r="P41" s="23" t="s">
        <v>266</v>
      </c>
      <c r="Q41" s="23" t="s">
        <v>59</v>
      </c>
    </row>
    <row r="42" spans="1:19" x14ac:dyDescent="0.2">
      <c r="A42" t="str">
        <f t="shared" si="1"/>
        <v>2009</v>
      </c>
      <c r="C42" s="108">
        <v>10407</v>
      </c>
      <c r="D42" s="108">
        <v>2219</v>
      </c>
      <c r="E42" s="32">
        <f t="shared" si="0"/>
        <v>0.21299999999999999</v>
      </c>
      <c r="F42" s="31"/>
      <c r="K42" s="2"/>
    </row>
    <row r="43" spans="1:19" x14ac:dyDescent="0.2">
      <c r="A43" t="str">
        <f t="shared" si="1"/>
        <v>2010</v>
      </c>
      <c r="B43" s="12"/>
      <c r="C43" s="108">
        <v>18005</v>
      </c>
      <c r="D43" s="108">
        <v>4274</v>
      </c>
      <c r="E43" s="32">
        <f t="shared" si="0"/>
        <v>0.23699999999999999</v>
      </c>
      <c r="F43" s="24"/>
      <c r="K43" s="2"/>
    </row>
    <row r="44" spans="1:19" x14ac:dyDescent="0.2">
      <c r="A44" t="str">
        <f t="shared" si="1"/>
        <v>2011</v>
      </c>
      <c r="B44" s="12"/>
      <c r="C44" s="108">
        <v>96073</v>
      </c>
      <c r="D44" s="108">
        <v>15108</v>
      </c>
      <c r="E44" s="32">
        <f t="shared" si="0"/>
        <v>0.157</v>
      </c>
      <c r="F44" s="24"/>
      <c r="K44" s="2"/>
      <c r="M44" s="118">
        <f>M45-1</f>
        <v>2014</v>
      </c>
      <c r="N44" s="119">
        <v>1018</v>
      </c>
      <c r="O44" s="119">
        <v>0</v>
      </c>
      <c r="P44" s="119">
        <v>0</v>
      </c>
      <c r="Q44" s="120">
        <f t="shared" ref="Q44:Q53" si="5">SUM(N44:P44)</f>
        <v>1018</v>
      </c>
      <c r="S44" s="18"/>
    </row>
    <row r="45" spans="1:19" x14ac:dyDescent="0.2">
      <c r="A45" t="str">
        <f t="shared" si="1"/>
        <v>2012</v>
      </c>
      <c r="B45" s="12"/>
      <c r="C45" s="108">
        <v>67492</v>
      </c>
      <c r="D45" s="108">
        <v>15833</v>
      </c>
      <c r="E45" s="32">
        <f t="shared" si="0"/>
        <v>0.23499999999999999</v>
      </c>
      <c r="F45" s="24"/>
      <c r="K45" s="2"/>
      <c r="M45" s="118">
        <f>M46-1</f>
        <v>2015</v>
      </c>
      <c r="N45" s="119">
        <v>2892</v>
      </c>
      <c r="O45" s="119">
        <v>34</v>
      </c>
      <c r="P45" s="119">
        <v>54</v>
      </c>
      <c r="Q45" s="120">
        <f t="shared" si="5"/>
        <v>2980</v>
      </c>
      <c r="S45" s="18"/>
    </row>
    <row r="46" spans="1:19" x14ac:dyDescent="0.2">
      <c r="A46" t="str">
        <f>TEXT(A45+1,"#")</f>
        <v>2013</v>
      </c>
      <c r="B46" s="12"/>
      <c r="C46" s="108">
        <v>70835</v>
      </c>
      <c r="D46" s="108">
        <v>13829</v>
      </c>
      <c r="E46" s="32">
        <f t="shared" si="0"/>
        <v>0.19500000000000001</v>
      </c>
      <c r="F46" s="31"/>
      <c r="K46" s="2"/>
      <c r="M46" s="118">
        <f>M47-1</f>
        <v>2016</v>
      </c>
      <c r="N46" s="119">
        <v>504</v>
      </c>
      <c r="O46" s="119">
        <v>0</v>
      </c>
      <c r="P46" s="119">
        <v>0</v>
      </c>
      <c r="Q46" s="120">
        <f t="shared" si="5"/>
        <v>504</v>
      </c>
    </row>
    <row r="47" spans="1:19" x14ac:dyDescent="0.2">
      <c r="A47" t="str">
        <f>TEXT(A46+1,"#")</f>
        <v>2014</v>
      </c>
      <c r="B47" s="12"/>
      <c r="C47" s="26">
        <f t="shared" ref="C47:C55" si="6">Q28</f>
        <v>7871</v>
      </c>
      <c r="D47" s="26">
        <f>Q44+Q60</f>
        <v>6928</v>
      </c>
      <c r="E47" s="32">
        <f t="shared" si="0"/>
        <v>0.88</v>
      </c>
      <c r="F47" s="24"/>
      <c r="K47" s="2"/>
      <c r="M47" s="118">
        <f>M48-1</f>
        <v>2017</v>
      </c>
      <c r="N47" s="119">
        <v>13299</v>
      </c>
      <c r="O47" s="119">
        <v>630</v>
      </c>
      <c r="P47" s="119">
        <v>1475</v>
      </c>
      <c r="Q47" s="120">
        <f t="shared" si="5"/>
        <v>15404</v>
      </c>
      <c r="S47" s="18"/>
    </row>
    <row r="48" spans="1:19" x14ac:dyDescent="0.2">
      <c r="A48" t="str">
        <f>TEXT(A47+1,"#")</f>
        <v>2015</v>
      </c>
      <c r="B48" s="12"/>
      <c r="C48" s="26">
        <f t="shared" si="6"/>
        <v>138836</v>
      </c>
      <c r="D48" s="26">
        <f t="shared" ref="D48:D56" si="7">Q45+Q61</f>
        <v>40141</v>
      </c>
      <c r="E48" s="32">
        <f t="shared" si="0"/>
        <v>0.28899999999999998</v>
      </c>
      <c r="F48" s="31"/>
      <c r="K48" s="2"/>
      <c r="M48" s="118">
        <f>M49-1</f>
        <v>2018</v>
      </c>
      <c r="N48" s="119">
        <v>372</v>
      </c>
      <c r="O48" s="119">
        <v>24</v>
      </c>
      <c r="P48" s="119">
        <v>4</v>
      </c>
      <c r="Q48" s="120">
        <f t="shared" si="5"/>
        <v>400</v>
      </c>
    </row>
    <row r="49" spans="1:19" x14ac:dyDescent="0.2">
      <c r="A49" t="str">
        <f t="shared" ref="A49:A56" si="8">TEXT(A48+1,"#")</f>
        <v>2016</v>
      </c>
      <c r="B49" s="12"/>
      <c r="C49" s="26">
        <f t="shared" si="6"/>
        <v>28422</v>
      </c>
      <c r="D49" s="26">
        <f t="shared" si="7"/>
        <v>15387</v>
      </c>
      <c r="E49" s="32">
        <f t="shared" si="0"/>
        <v>0.54100000000000004</v>
      </c>
      <c r="F49" s="31"/>
      <c r="K49" s="2"/>
      <c r="M49" s="118">
        <v>2019</v>
      </c>
      <c r="N49" s="119">
        <v>519</v>
      </c>
      <c r="O49" s="119">
        <v>66</v>
      </c>
      <c r="P49" s="119">
        <v>36</v>
      </c>
      <c r="Q49" s="120">
        <f t="shared" si="5"/>
        <v>621</v>
      </c>
    </row>
    <row r="50" spans="1:19" x14ac:dyDescent="0.2">
      <c r="A50" t="str">
        <f t="shared" si="8"/>
        <v>2017</v>
      </c>
      <c r="B50" s="12"/>
      <c r="C50" s="26">
        <f t="shared" si="6"/>
        <v>1410332</v>
      </c>
      <c r="D50" s="26">
        <f t="shared" si="7"/>
        <v>278430</v>
      </c>
      <c r="E50" s="32">
        <f t="shared" si="0"/>
        <v>0.19700000000000001</v>
      </c>
      <c r="F50" s="31" t="s">
        <v>53</v>
      </c>
      <c r="K50" s="2"/>
      <c r="M50">
        <v>2020</v>
      </c>
      <c r="N50" s="108">
        <v>1531</v>
      </c>
      <c r="O50" s="119">
        <v>240</v>
      </c>
      <c r="P50" s="119">
        <v>497</v>
      </c>
      <c r="Q50" s="120">
        <f t="shared" si="5"/>
        <v>2268</v>
      </c>
      <c r="S50" s="18"/>
    </row>
    <row r="51" spans="1:19" x14ac:dyDescent="0.2">
      <c r="A51" t="str">
        <f t="shared" si="8"/>
        <v>2018</v>
      </c>
      <c r="C51" s="26">
        <f t="shared" si="6"/>
        <v>12107</v>
      </c>
      <c r="D51" s="26">
        <f t="shared" si="7"/>
        <v>6802</v>
      </c>
      <c r="E51" s="32">
        <f t="shared" ref="E51:E56" si="9">ROUND(D51/C51,3)</f>
        <v>0.56200000000000006</v>
      </c>
      <c r="K51" s="2"/>
      <c r="M51">
        <v>2021</v>
      </c>
      <c r="N51" s="108">
        <v>1440</v>
      </c>
      <c r="O51" s="108">
        <v>544</v>
      </c>
      <c r="P51" s="119">
        <v>117</v>
      </c>
      <c r="Q51" s="120">
        <f t="shared" si="5"/>
        <v>2101</v>
      </c>
      <c r="S51" s="18"/>
    </row>
    <row r="52" spans="1:19" x14ac:dyDescent="0.2">
      <c r="A52" t="str">
        <f t="shared" si="8"/>
        <v>2019</v>
      </c>
      <c r="C52" s="26">
        <f t="shared" si="6"/>
        <v>17832</v>
      </c>
      <c r="D52" s="26">
        <f t="shared" si="7"/>
        <v>9429</v>
      </c>
      <c r="E52" s="32">
        <f t="shared" si="9"/>
        <v>0.52900000000000003</v>
      </c>
      <c r="K52" s="2"/>
      <c r="M52" s="118">
        <v>2022</v>
      </c>
      <c r="N52" s="119">
        <v>406</v>
      </c>
      <c r="O52" s="119">
        <v>371</v>
      </c>
      <c r="P52" s="108">
        <v>88</v>
      </c>
      <c r="Q52" s="120">
        <f t="shared" si="5"/>
        <v>865</v>
      </c>
    </row>
    <row r="53" spans="1:19" x14ac:dyDescent="0.2">
      <c r="A53" t="str">
        <f t="shared" si="8"/>
        <v>2020</v>
      </c>
      <c r="C53" s="26">
        <f t="shared" si="6"/>
        <v>65043</v>
      </c>
      <c r="D53" s="26">
        <f t="shared" si="7"/>
        <v>30047</v>
      </c>
      <c r="E53" s="32">
        <f t="shared" si="9"/>
        <v>0.46200000000000002</v>
      </c>
      <c r="F53" s="116" t="s">
        <v>53</v>
      </c>
      <c r="K53" s="2"/>
      <c r="M53" s="118">
        <v>2023</v>
      </c>
      <c r="N53" s="119">
        <v>217</v>
      </c>
      <c r="O53" s="119">
        <v>631</v>
      </c>
      <c r="P53" s="119">
        <v>213</v>
      </c>
      <c r="Q53" s="120">
        <f t="shared" si="5"/>
        <v>1061</v>
      </c>
    </row>
    <row r="54" spans="1:19" ht="11.25" customHeight="1" x14ac:dyDescent="0.2">
      <c r="A54" t="str">
        <f t="shared" si="8"/>
        <v>2021</v>
      </c>
      <c r="C54" s="26">
        <f t="shared" si="6"/>
        <v>67732</v>
      </c>
      <c r="D54" s="26">
        <f t="shared" si="7"/>
        <v>28881</v>
      </c>
      <c r="E54" s="32">
        <f t="shared" si="9"/>
        <v>0.42599999999999999</v>
      </c>
      <c r="F54" s="116" t="s">
        <v>53</v>
      </c>
      <c r="K54" s="2"/>
      <c r="M54" s="110"/>
      <c r="N54" s="18">
        <f>SUM(N44:N53)</f>
        <v>22198</v>
      </c>
      <c r="O54" s="18">
        <f t="shared" ref="O54:P54" si="10">SUM(O44:O53)</f>
        <v>2540</v>
      </c>
      <c r="P54" s="18">
        <f t="shared" si="10"/>
        <v>2484</v>
      </c>
      <c r="Q54" s="18">
        <f>SUM(Q44:Q52)</f>
        <v>26161</v>
      </c>
    </row>
    <row r="55" spans="1:19" x14ac:dyDescent="0.2">
      <c r="A55" t="str">
        <f t="shared" si="8"/>
        <v>2022</v>
      </c>
      <c r="C55" s="26">
        <f t="shared" si="6"/>
        <v>30224</v>
      </c>
      <c r="D55" s="26">
        <f t="shared" si="7"/>
        <v>12361</v>
      </c>
      <c r="E55" s="32">
        <f t="shared" si="9"/>
        <v>0.40899999999999997</v>
      </c>
      <c r="F55" s="116"/>
      <c r="K55" s="2"/>
    </row>
    <row r="56" spans="1:19" ht="12" thickBot="1" x14ac:dyDescent="0.25">
      <c r="A56" s="6" t="str">
        <f t="shared" si="8"/>
        <v>2023</v>
      </c>
      <c r="B56" s="6"/>
      <c r="C56" s="115">
        <f>Q37</f>
        <v>76706</v>
      </c>
      <c r="D56" s="115">
        <f t="shared" si="7"/>
        <v>22433</v>
      </c>
      <c r="E56" s="114">
        <f t="shared" si="9"/>
        <v>0.29199999999999998</v>
      </c>
      <c r="F56" s="219"/>
      <c r="K56" s="2"/>
      <c r="N56" t="s">
        <v>515</v>
      </c>
    </row>
    <row r="57" spans="1:19" ht="12" thickTop="1" x14ac:dyDescent="0.2">
      <c r="B57" s="12"/>
      <c r="K57" s="2"/>
      <c r="N57" s="23" t="s">
        <v>265</v>
      </c>
      <c r="O57" s="23" t="s">
        <v>267</v>
      </c>
      <c r="P57" s="23" t="s">
        <v>266</v>
      </c>
      <c r="Q57" s="23" t="s">
        <v>59</v>
      </c>
    </row>
    <row r="58" spans="1:19" x14ac:dyDescent="0.2">
      <c r="A58" t="s">
        <v>55</v>
      </c>
      <c r="C58" s="18">
        <f>SUM(C13:C57)</f>
        <v>5299442</v>
      </c>
      <c r="D58" s="18">
        <f>SUM(D13:D57)</f>
        <v>921545</v>
      </c>
      <c r="E58" s="32">
        <f>ROUND(D58/C58,3)</f>
        <v>0.17399999999999999</v>
      </c>
      <c r="F58" s="18"/>
      <c r="K58" s="2"/>
    </row>
    <row r="59" spans="1:19" x14ac:dyDescent="0.2">
      <c r="K59" s="2"/>
    </row>
    <row r="60" spans="1:19" x14ac:dyDescent="0.2">
      <c r="A60" t="s">
        <v>54</v>
      </c>
      <c r="C60" s="18">
        <f>SUMIF($F$13:$F$57,"H",C$13:C$57)</f>
        <v>4635711</v>
      </c>
      <c r="D60" s="18">
        <f>SUMIF($F$13:$F$57,"H",D$13:D$57)</f>
        <v>731137</v>
      </c>
      <c r="E60" s="32">
        <f>ROUND(D60/C60,3)</f>
        <v>0.158</v>
      </c>
      <c r="K60" s="2"/>
      <c r="M60" s="118">
        <f>M61-1</f>
        <v>2014</v>
      </c>
      <c r="N60" s="119">
        <v>5910</v>
      </c>
      <c r="O60" s="119">
        <v>0</v>
      </c>
      <c r="P60" s="265"/>
      <c r="Q60" s="120">
        <f>SUM(N60:P60)</f>
        <v>5910</v>
      </c>
      <c r="S60" s="18"/>
    </row>
    <row r="61" spans="1:19" x14ac:dyDescent="0.2">
      <c r="K61" s="2"/>
      <c r="M61" s="118">
        <f>M62-1</f>
        <v>2015</v>
      </c>
      <c r="N61" s="119">
        <v>37156</v>
      </c>
      <c r="O61" s="119">
        <v>5</v>
      </c>
      <c r="P61" s="265"/>
      <c r="Q61" s="120">
        <f t="shared" ref="Q61:Q69" si="11">SUM(N61:P61)</f>
        <v>37161</v>
      </c>
      <c r="S61" s="18"/>
    </row>
    <row r="62" spans="1:19" x14ac:dyDescent="0.2">
      <c r="A62" t="s">
        <v>56</v>
      </c>
      <c r="K62" s="2"/>
      <c r="M62" s="118">
        <f>M63-1</f>
        <v>2016</v>
      </c>
      <c r="N62" s="119">
        <v>14883</v>
      </c>
      <c r="O62" s="119">
        <v>0</v>
      </c>
      <c r="P62" s="265"/>
      <c r="Q62" s="120">
        <f t="shared" si="11"/>
        <v>14883</v>
      </c>
      <c r="S62" s="18"/>
    </row>
    <row r="63" spans="1:19" x14ac:dyDescent="0.2">
      <c r="B63" t="s">
        <v>7</v>
      </c>
      <c r="C63" s="18">
        <f>C58-C60</f>
        <v>663731</v>
      </c>
      <c r="D63" s="18">
        <f>D58-D60</f>
        <v>190408</v>
      </c>
      <c r="E63" s="32">
        <f>ROUND(D63/C63,3)</f>
        <v>0.28699999999999998</v>
      </c>
      <c r="K63" s="2"/>
      <c r="M63" s="118">
        <f>M64-1</f>
        <v>2017</v>
      </c>
      <c r="N63" s="119">
        <v>262431</v>
      </c>
      <c r="O63" s="119">
        <v>595</v>
      </c>
      <c r="P63" s="265"/>
      <c r="Q63" s="120">
        <f t="shared" si="11"/>
        <v>263026</v>
      </c>
      <c r="S63" s="18"/>
    </row>
    <row r="64" spans="1:19" x14ac:dyDescent="0.2">
      <c r="B64" t="s">
        <v>57</v>
      </c>
      <c r="C64" s="18">
        <f>SUMIF($F$44:$F$56,"&lt;&gt;H",C$44:C$56)</f>
        <v>546398</v>
      </c>
      <c r="D64" s="18">
        <f>SUMIF($F$44:$F$56,"&lt;&gt;H",D$44:D$56)</f>
        <v>158251</v>
      </c>
      <c r="E64" s="32">
        <f>ROUND(D64/C64,3)</f>
        <v>0.28999999999999998</v>
      </c>
      <c r="K64" s="2"/>
      <c r="M64" s="118">
        <f>M65-1</f>
        <v>2018</v>
      </c>
      <c r="N64" s="119">
        <v>6402</v>
      </c>
      <c r="O64" s="119">
        <v>0</v>
      </c>
      <c r="P64" s="265"/>
      <c r="Q64" s="120">
        <f t="shared" si="11"/>
        <v>6402</v>
      </c>
      <c r="S64" s="18"/>
    </row>
    <row r="65" spans="1:19" ht="12" thickBot="1" x14ac:dyDescent="0.25">
      <c r="A65" s="6"/>
      <c r="B65" s="6"/>
      <c r="C65" s="6"/>
      <c r="D65" s="6"/>
      <c r="E65" s="6"/>
      <c r="F65" s="6"/>
      <c r="K65" s="2"/>
      <c r="M65" s="118">
        <v>2019</v>
      </c>
      <c r="N65" s="119">
        <v>8807</v>
      </c>
      <c r="O65" s="119">
        <v>1</v>
      </c>
      <c r="P65" s="265"/>
      <c r="Q65" s="120">
        <f t="shared" si="11"/>
        <v>8808</v>
      </c>
      <c r="S65" s="18"/>
    </row>
    <row r="66" spans="1:19" ht="12" thickTop="1" x14ac:dyDescent="0.2">
      <c r="K66" s="2"/>
      <c r="M66">
        <v>2020</v>
      </c>
      <c r="N66" s="108">
        <v>27422</v>
      </c>
      <c r="O66" s="119">
        <v>357</v>
      </c>
      <c r="P66" s="265"/>
      <c r="Q66" s="120">
        <f t="shared" si="11"/>
        <v>27779</v>
      </c>
      <c r="S66" s="18"/>
    </row>
    <row r="67" spans="1:19" x14ac:dyDescent="0.2">
      <c r="A67" t="s">
        <v>17</v>
      </c>
      <c r="K67" s="2"/>
      <c r="M67">
        <v>2021</v>
      </c>
      <c r="N67" s="108">
        <v>26602</v>
      </c>
      <c r="O67" s="108">
        <v>178</v>
      </c>
      <c r="P67" s="265"/>
      <c r="Q67" s="120">
        <f t="shared" si="11"/>
        <v>26780</v>
      </c>
      <c r="S67" s="18"/>
    </row>
    <row r="68" spans="1:19" x14ac:dyDescent="0.2">
      <c r="B68" s="12" t="str">
        <f>C11&amp;" - "&amp;D11&amp;" "&amp;A47&amp;" - "&amp;A56&amp;": from most recent TWIA annual statement"&amp;"; "&amp;A13&amp;" - "&amp;A46&amp;": from prior TWIA annual statements"</f>
        <v>(2) - (3) 2014 - 2023: from most recent TWIA annual statement; 1980 - 2013: from prior TWIA annual statements</v>
      </c>
      <c r="D68" s="12"/>
      <c r="K68" s="2"/>
      <c r="M68" s="118">
        <v>2022</v>
      </c>
      <c r="N68" s="119">
        <v>11171</v>
      </c>
      <c r="O68" s="119">
        <v>325</v>
      </c>
      <c r="P68" s="266"/>
      <c r="Q68" s="120">
        <f t="shared" si="11"/>
        <v>11496</v>
      </c>
      <c r="S68" s="18"/>
    </row>
    <row r="69" spans="1:19" x14ac:dyDescent="0.2">
      <c r="B69" s="12" t="str">
        <f>E11&amp;" = "&amp;D11&amp;" / "&amp;C11</f>
        <v>(4) = (3) / (2)</v>
      </c>
      <c r="K69" s="2"/>
      <c r="M69" s="118">
        <v>2023</v>
      </c>
      <c r="N69" s="119">
        <v>16741</v>
      </c>
      <c r="O69" s="119">
        <v>4631</v>
      </c>
      <c r="P69" s="265"/>
      <c r="Q69" s="120">
        <f t="shared" si="11"/>
        <v>21372</v>
      </c>
      <c r="S69" s="18"/>
    </row>
    <row r="70" spans="1:19" ht="11.25" customHeight="1" x14ac:dyDescent="0.2">
      <c r="B70" s="12" t="str">
        <f>F11&amp;" ""H"" indicates hurricane year"</f>
        <v>(5) "H" indicates hurricane year</v>
      </c>
      <c r="K70" s="2"/>
      <c r="M70" s="110"/>
      <c r="N70" s="18">
        <f>SUM(N60:N69)</f>
        <v>417525</v>
      </c>
      <c r="O70" s="18">
        <f t="shared" ref="O70:P70" si="12">SUM(O60:O69)</f>
        <v>6092</v>
      </c>
      <c r="P70" s="18">
        <f t="shared" si="12"/>
        <v>0</v>
      </c>
      <c r="Q70" s="18">
        <f>SUM(Q60:Q68)</f>
        <v>402245</v>
      </c>
    </row>
    <row r="71" spans="1:19" ht="12" thickBot="1" x14ac:dyDescent="0.25">
      <c r="K71" s="2"/>
    </row>
    <row r="72" spans="1:19" ht="12" hidden="1" thickBot="1" x14ac:dyDescent="0.25">
      <c r="K72" s="2"/>
    </row>
    <row r="73" spans="1:19" ht="12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3"/>
    </row>
  </sheetData>
  <phoneticPr fontId="0" type="noConversion"/>
  <pageMargins left="0.5" right="0.5" top="0.5" bottom="0.5" header="0.5" footer="0.5"/>
  <pageSetup scale="98" orientation="portrait" blackAndWhite="1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tabColor rgb="FF00FF00"/>
  </sheetPr>
  <dimension ref="A1:I35"/>
  <sheetViews>
    <sheetView showGridLines="0" zoomScaleNormal="100" workbookViewId="0"/>
  </sheetViews>
  <sheetFormatPr defaultColWidth="11.33203125" defaultRowHeight="11.25" x14ac:dyDescent="0.2"/>
  <cols>
    <col min="1" max="1" width="2.5" bestFit="1" customWidth="1"/>
    <col min="2" max="2" width="50.33203125" customWidth="1"/>
    <col min="3" max="5" width="12.6640625" customWidth="1"/>
    <col min="6" max="7" width="11.33203125" customWidth="1"/>
    <col min="8" max="8" width="7.6640625" customWidth="1"/>
    <col min="11" max="11" width="16.5" bestFit="1" customWidth="1"/>
  </cols>
  <sheetData>
    <row r="1" spans="1:9" x14ac:dyDescent="0.2">
      <c r="A1" s="8" t="str">
        <f>'1'!$A$1</f>
        <v>Texas Windstorm Insurance Association</v>
      </c>
      <c r="B1" s="12"/>
      <c r="H1" s="7" t="s">
        <v>64</v>
      </c>
      <c r="I1" s="1"/>
    </row>
    <row r="2" spans="1:9" x14ac:dyDescent="0.2">
      <c r="A2" s="8" t="str">
        <f>'1'!$A$2</f>
        <v>Commercial Property - Wind &amp; Hail</v>
      </c>
      <c r="B2" s="12"/>
      <c r="H2" s="7"/>
      <c r="I2" s="2"/>
    </row>
    <row r="3" spans="1:9" x14ac:dyDescent="0.2">
      <c r="A3" s="8" t="str">
        <f>'1'!$A$3</f>
        <v>Rate Level Review</v>
      </c>
      <c r="B3" s="12"/>
      <c r="I3" s="2"/>
    </row>
    <row r="4" spans="1:9" x14ac:dyDescent="0.2">
      <c r="A4" t="s">
        <v>63</v>
      </c>
      <c r="B4" s="12"/>
      <c r="I4" s="2"/>
    </row>
    <row r="5" spans="1:9" x14ac:dyDescent="0.2">
      <c r="B5" s="12"/>
      <c r="I5" s="2"/>
    </row>
    <row r="6" spans="1:9" x14ac:dyDescent="0.2">
      <c r="I6" s="2"/>
    </row>
    <row r="7" spans="1:9" ht="12" thickBot="1" x14ac:dyDescent="0.25">
      <c r="A7" s="6"/>
      <c r="B7" s="6"/>
      <c r="C7" s="6"/>
      <c r="D7" s="6"/>
      <c r="E7" s="6"/>
      <c r="I7" s="2"/>
    </row>
    <row r="8" spans="1:9" ht="12" thickTop="1" x14ac:dyDescent="0.2">
      <c r="I8" s="2"/>
    </row>
    <row r="9" spans="1:9" x14ac:dyDescent="0.2">
      <c r="B9" s="11"/>
      <c r="C9" s="134" t="s">
        <v>11</v>
      </c>
      <c r="D9" s="11"/>
      <c r="E9" s="11" t="s">
        <v>11</v>
      </c>
      <c r="I9" s="2"/>
    </row>
    <row r="10" spans="1:9" x14ac:dyDescent="0.2">
      <c r="B10" s="11"/>
      <c r="C10" s="11" t="s">
        <v>33</v>
      </c>
      <c r="D10" s="11" t="s">
        <v>28</v>
      </c>
      <c r="E10" s="11" t="s">
        <v>9</v>
      </c>
      <c r="I10" s="2"/>
    </row>
    <row r="11" spans="1:9" x14ac:dyDescent="0.2">
      <c r="A11" s="9" t="s">
        <v>65</v>
      </c>
      <c r="B11" s="144"/>
      <c r="C11" s="144" t="s">
        <v>10</v>
      </c>
      <c r="D11" s="144" t="s">
        <v>29</v>
      </c>
      <c r="E11" s="144" t="s">
        <v>10</v>
      </c>
      <c r="I11" s="2"/>
    </row>
    <row r="12" spans="1: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/>
      <c r="G12" s="11"/>
      <c r="H12" s="11"/>
      <c r="I12" s="2"/>
    </row>
    <row r="13" spans="1:9" x14ac:dyDescent="0.2">
      <c r="I13" s="2"/>
    </row>
    <row r="14" spans="1:9" x14ac:dyDescent="0.2">
      <c r="A14" t="s">
        <v>284</v>
      </c>
      <c r="C14" s="21">
        <f>'6.1'!E37</f>
        <v>0.41799999999999998</v>
      </c>
      <c r="D14" s="39">
        <f>'4'!$E$60</f>
        <v>0.158</v>
      </c>
      <c r="E14" s="17">
        <f>ROUND(C14*(1+D14),3)</f>
        <v>0.48399999999999999</v>
      </c>
      <c r="F14" s="37"/>
      <c r="G14" s="37"/>
      <c r="H14" s="38"/>
      <c r="I14" s="2"/>
    </row>
    <row r="15" spans="1:9" x14ac:dyDescent="0.2">
      <c r="C15" s="21"/>
      <c r="D15" s="21"/>
      <c r="E15" s="21"/>
      <c r="F15" s="37"/>
      <c r="G15" s="37"/>
      <c r="H15" s="38"/>
      <c r="I15" s="2"/>
    </row>
    <row r="16" spans="1:9" x14ac:dyDescent="0.2">
      <c r="A16" s="10" t="s">
        <v>66</v>
      </c>
      <c r="C16" s="21"/>
      <c r="D16" s="21"/>
      <c r="E16" s="21"/>
      <c r="F16" s="37"/>
      <c r="G16" s="37"/>
      <c r="H16" s="38"/>
      <c r="I16" s="2"/>
    </row>
    <row r="17" spans="1:9" x14ac:dyDescent="0.2">
      <c r="B17" t="s">
        <v>506</v>
      </c>
      <c r="C17" s="21">
        <f>'7.1'!$E$34</f>
        <v>0.628</v>
      </c>
      <c r="D17" s="39">
        <f>D$14</f>
        <v>0.158</v>
      </c>
      <c r="E17" s="17">
        <f>ROUND(C17*(1+D17),3)</f>
        <v>0.72699999999999998</v>
      </c>
      <c r="I17" s="2"/>
    </row>
    <row r="18" spans="1:9" x14ac:dyDescent="0.2">
      <c r="B18" t="s">
        <v>489</v>
      </c>
      <c r="C18" s="21">
        <f>'7.2'!$E$34</f>
        <v>0.58099999999999996</v>
      </c>
      <c r="D18" s="39">
        <f>D$14</f>
        <v>0.158</v>
      </c>
      <c r="E18" s="17">
        <f>ROUND(C18*(1+D18),3)</f>
        <v>0.67300000000000004</v>
      </c>
      <c r="I18" s="2"/>
    </row>
    <row r="19" spans="1:9" x14ac:dyDescent="0.2">
      <c r="B19" t="s">
        <v>491</v>
      </c>
      <c r="C19" s="21">
        <f>'7.3'!$E$34</f>
        <v>0.27700000000000002</v>
      </c>
      <c r="D19" s="39">
        <f t="shared" ref="D19:D20" si="0">D$14</f>
        <v>0.158</v>
      </c>
      <c r="E19" s="17">
        <f t="shared" ref="E19:E20" si="1">ROUND(C19*(1+D19),3)</f>
        <v>0.32100000000000001</v>
      </c>
      <c r="I19" s="2"/>
    </row>
    <row r="20" spans="1:9" x14ac:dyDescent="0.2">
      <c r="B20" t="s">
        <v>539</v>
      </c>
      <c r="C20" s="21">
        <f>'7.4'!$E$34</f>
        <v>0.41599999999999998</v>
      </c>
      <c r="D20" s="39">
        <f t="shared" si="0"/>
        <v>0.158</v>
      </c>
      <c r="E20" s="17">
        <f t="shared" si="1"/>
        <v>0.48199999999999998</v>
      </c>
      <c r="I20" s="2"/>
    </row>
    <row r="21" spans="1:9" x14ac:dyDescent="0.2">
      <c r="I21" s="2"/>
    </row>
    <row r="22" spans="1:9" x14ac:dyDescent="0.2">
      <c r="B22" t="s">
        <v>67</v>
      </c>
      <c r="C22" s="19">
        <f>ROUND(AVERAGE(C17:C20),3)</f>
        <v>0.47599999999999998</v>
      </c>
      <c r="D22" s="39">
        <f>D$14</f>
        <v>0.158</v>
      </c>
      <c r="E22" s="17">
        <f>ROUND(C22*(1+D22),3)</f>
        <v>0.55100000000000005</v>
      </c>
      <c r="I22" s="2"/>
    </row>
    <row r="23" spans="1:9" ht="12" thickBot="1" x14ac:dyDescent="0.25">
      <c r="A23" s="6"/>
      <c r="B23" s="6"/>
      <c r="C23" s="6"/>
      <c r="D23" s="6"/>
      <c r="E23" s="6"/>
      <c r="I23" s="2"/>
    </row>
    <row r="24" spans="1:9" ht="12" thickTop="1" x14ac:dyDescent="0.2">
      <c r="I24" s="2"/>
    </row>
    <row r="25" spans="1:9" x14ac:dyDescent="0.2">
      <c r="A25" t="s">
        <v>17</v>
      </c>
      <c r="I25" s="2"/>
    </row>
    <row r="26" spans="1:9" x14ac:dyDescent="0.2">
      <c r="B26" s="12" t="str">
        <f>C12&amp;" "&amp;'6.1'!$J$1&amp;", "&amp;'6.1'!J2&amp;" &amp; "&amp;'7.2'!$J$1&amp;", "&amp;'7.1'!J2&amp; " - "&amp;'7.4'!J2</f>
        <v>(2) Exhibit 6, Sheet 1 &amp; Exhibit 7, Sheet 1 - Sheet 4</v>
      </c>
      <c r="I26" s="2"/>
    </row>
    <row r="27" spans="1:9" x14ac:dyDescent="0.2">
      <c r="B27" s="12" t="str">
        <f>D12&amp;" "&amp;'4'!$J$1</f>
        <v>(3) Exhibit 4</v>
      </c>
      <c r="I27" s="2"/>
    </row>
    <row r="28" spans="1:9" x14ac:dyDescent="0.2">
      <c r="B28" s="12" t="str">
        <f>E12&amp;" = "&amp;C12&amp;" * [1 + "&amp;D12&amp;"]"</f>
        <v>(4) = (2) * [1 + (3)]</v>
      </c>
      <c r="I28" s="2"/>
    </row>
    <row r="29" spans="1:9" x14ac:dyDescent="0.2">
      <c r="B29" s="12"/>
      <c r="I29" s="2"/>
    </row>
    <row r="30" spans="1:9" x14ac:dyDescent="0.2">
      <c r="B30" s="12"/>
      <c r="I30" s="2"/>
    </row>
    <row r="31" spans="1:9" x14ac:dyDescent="0.2">
      <c r="I31" s="2"/>
    </row>
    <row r="32" spans="1:9" x14ac:dyDescent="0.2">
      <c r="I32" s="2"/>
    </row>
    <row r="33" spans="1:9" x14ac:dyDescent="0.2">
      <c r="I33" s="2"/>
    </row>
    <row r="34" spans="1:9" ht="12" thickBot="1" x14ac:dyDescent="0.25">
      <c r="I34" s="2"/>
    </row>
    <row r="35" spans="1:9" ht="12" thickBot="1" x14ac:dyDescent="0.25">
      <c r="A35" s="4"/>
      <c r="B35" s="5"/>
      <c r="C35" s="5"/>
      <c r="D35" s="5"/>
      <c r="E35" s="5"/>
      <c r="F35" s="5"/>
      <c r="G35" s="5"/>
      <c r="H35" s="5"/>
      <c r="I3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tabColor rgb="FF00FF00"/>
  </sheetPr>
  <dimension ref="A1:P48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9.1640625" style="11" customWidth="1"/>
    <col min="5" max="5" width="17" customWidth="1"/>
    <col min="6" max="6" width="13.83203125" customWidth="1"/>
    <col min="7" max="7" width="3.83203125" customWidth="1"/>
    <col min="8" max="8" width="10.1640625" customWidth="1"/>
    <col min="9" max="9" width="11.33203125" customWidth="1"/>
    <col min="10" max="10" width="2.66406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68</v>
      </c>
      <c r="K1" s="1"/>
      <c r="O1" t="s">
        <v>447</v>
      </c>
      <c r="P1" t="s">
        <v>481</v>
      </c>
    </row>
    <row r="2" spans="1:16" x14ac:dyDescent="0.2">
      <c r="A2" s="8" t="str">
        <f>'1'!$A$2</f>
        <v>Commercial Property - Wind &amp; Hail</v>
      </c>
      <c r="B2" s="12"/>
      <c r="J2" s="7" t="s">
        <v>20</v>
      </c>
      <c r="K2" s="2"/>
      <c r="O2" t="s">
        <v>447</v>
      </c>
      <c r="P2" t="s">
        <v>498</v>
      </c>
    </row>
    <row r="3" spans="1:16" x14ac:dyDescent="0.2">
      <c r="A3" s="8" t="str">
        <f>'1'!$A$3</f>
        <v>Rate Level Review</v>
      </c>
      <c r="B3" s="12"/>
      <c r="K3" s="2"/>
      <c r="O3" t="s">
        <v>447</v>
      </c>
      <c r="P3" t="s">
        <v>484</v>
      </c>
    </row>
    <row r="4" spans="1:16" x14ac:dyDescent="0.2">
      <c r="A4" t="s">
        <v>205</v>
      </c>
      <c r="B4" s="12"/>
      <c r="K4" s="2"/>
      <c r="L4" s="11"/>
      <c r="M4" s="11"/>
      <c r="N4" s="11"/>
    </row>
    <row r="5" spans="1:16" x14ac:dyDescent="0.2">
      <c r="A5" t="str">
        <f>"Hurricane Years Only"</f>
        <v>Hurricane Years Only</v>
      </c>
      <c r="B5" s="12"/>
      <c r="K5" s="2"/>
      <c r="L5" s="64"/>
      <c r="M5" s="64"/>
      <c r="N5" s="56"/>
    </row>
    <row r="6" spans="1:16" x14ac:dyDescent="0.2">
      <c r="K6" s="2"/>
    </row>
    <row r="7" spans="1:16" ht="12" thickBot="1" x14ac:dyDescent="0.25">
      <c r="A7" s="6"/>
      <c r="B7" s="6"/>
      <c r="C7" s="6"/>
      <c r="D7" s="143"/>
      <c r="E7" s="6"/>
      <c r="F7" s="6"/>
      <c r="G7" s="6"/>
      <c r="K7" s="2"/>
    </row>
    <row r="8" spans="1:16" ht="12" thickTop="1" x14ac:dyDescent="0.2">
      <c r="K8" s="2"/>
    </row>
    <row r="9" spans="1:16" x14ac:dyDescent="0.2">
      <c r="A9" t="s">
        <v>40</v>
      </c>
      <c r="C9" s="134" t="s">
        <v>36</v>
      </c>
      <c r="E9" s="11" t="s">
        <v>412</v>
      </c>
      <c r="F9" s="11"/>
      <c r="G9" s="11"/>
      <c r="K9" s="2"/>
      <c r="L9" s="24"/>
    </row>
    <row r="10" spans="1:16" x14ac:dyDescent="0.2">
      <c r="A10" t="s">
        <v>41</v>
      </c>
      <c r="C10" s="11" t="s">
        <v>34</v>
      </c>
      <c r="D10" s="11" t="s">
        <v>409</v>
      </c>
      <c r="E10" s="11" t="s">
        <v>59</v>
      </c>
      <c r="F10" s="11" t="s">
        <v>413</v>
      </c>
      <c r="G10" s="11"/>
      <c r="K10" s="2"/>
    </row>
    <row r="11" spans="1:16" x14ac:dyDescent="0.2">
      <c r="A11" s="9" t="s">
        <v>26</v>
      </c>
      <c r="B11" s="9"/>
      <c r="C11" s="144" t="s">
        <v>35</v>
      </c>
      <c r="D11" s="144" t="s">
        <v>410</v>
      </c>
      <c r="E11" s="144" t="s">
        <v>51</v>
      </c>
      <c r="F11" s="144" t="s">
        <v>51</v>
      </c>
      <c r="G11" s="144"/>
      <c r="K11" s="2"/>
    </row>
    <row r="12" spans="1:16" x14ac:dyDescent="0.2">
      <c r="C12" s="13" t="str">
        <f>TEXT(COLUMN()-2,"(#)")</f>
        <v>(1)</v>
      </c>
      <c r="D12" s="11" t="str">
        <f>TEXT(COLUMN()-2,"(#)")</f>
        <v>(2)</v>
      </c>
      <c r="E12" s="11" t="str">
        <f>TEXT(COLUMN()-2,"(#)")</f>
        <v>(3)</v>
      </c>
      <c r="F12" s="11" t="str">
        <f>TEXT(COLUMN()-2,"(#)")</f>
        <v>(4)</v>
      </c>
      <c r="G12" s="11"/>
      <c r="K12" s="2"/>
    </row>
    <row r="13" spans="1:16" x14ac:dyDescent="0.2">
      <c r="C13" s="13"/>
      <c r="E13" s="7"/>
      <c r="F13" s="7"/>
      <c r="K13" s="2"/>
    </row>
    <row r="14" spans="1:16" x14ac:dyDescent="0.2">
      <c r="A14" s="60">
        <v>1970</v>
      </c>
      <c r="C14" s="26">
        <f>VLOOKUP($A14,'6.2'!$A$12:$G$67,5,0)</f>
        <v>53332058</v>
      </c>
      <c r="D14" s="11">
        <v>1</v>
      </c>
      <c r="E14" s="41">
        <f>VLOOKUP($A14,'6.2'!$A$12:$G$67,7,0)</f>
        <v>0.433</v>
      </c>
      <c r="F14" s="42">
        <f>MAX((E14-$E$30),0)/D14</f>
        <v>0.34099999999999997</v>
      </c>
      <c r="K14" s="2"/>
    </row>
    <row r="15" spans="1:16" x14ac:dyDescent="0.2">
      <c r="A15" s="60">
        <v>1971</v>
      </c>
      <c r="C15" s="26">
        <f>VLOOKUP($A15,'6.2'!$A$12:$G$67,5,0)</f>
        <v>57612751</v>
      </c>
      <c r="D15" s="11">
        <v>1</v>
      </c>
      <c r="E15" s="41">
        <f>VLOOKUP($A15,'6.2'!$A$12:$G$67,7,0)</f>
        <v>0.97</v>
      </c>
      <c r="F15" s="42">
        <f t="shared" ref="F15:F26" si="0">MAX((E15-$E$30),0)/D15</f>
        <v>0.878</v>
      </c>
      <c r="K15" s="2"/>
    </row>
    <row r="16" spans="1:16" ht="9.9499999999999993" customHeight="1" x14ac:dyDescent="0.2">
      <c r="A16" s="60">
        <v>1980</v>
      </c>
      <c r="B16" s="22"/>
      <c r="C16" s="26">
        <f>VLOOKUP($A16,'6.2'!$A$12:$G$67,5,0)</f>
        <v>64012158</v>
      </c>
      <c r="D16" s="152">
        <v>1</v>
      </c>
      <c r="E16" s="41">
        <f>VLOOKUP($A16,'6.2'!$A$12:$G$67,7,0)</f>
        <v>0.6</v>
      </c>
      <c r="F16" s="42">
        <f t="shared" si="0"/>
        <v>0.50800000000000001</v>
      </c>
      <c r="K16" s="2"/>
    </row>
    <row r="17" spans="1:11" x14ac:dyDescent="0.2">
      <c r="A17" s="60">
        <v>1983</v>
      </c>
      <c r="B17" s="22"/>
      <c r="C17" s="26">
        <f>VLOOKUP($A17,'6.2'!$A$12:$G$67,5,0)</f>
        <v>37553181.514445186</v>
      </c>
      <c r="D17" s="152">
        <v>1</v>
      </c>
      <c r="E17" s="41">
        <f>VLOOKUP($A17,'6.2'!$A$12:$G$67,7,0)</f>
        <v>3.1829999999999998</v>
      </c>
      <c r="F17" s="42">
        <f t="shared" si="0"/>
        <v>3.0909999999999997</v>
      </c>
      <c r="K17" s="2"/>
    </row>
    <row r="18" spans="1:11" x14ac:dyDescent="0.2">
      <c r="A18" s="60">
        <v>1986</v>
      </c>
      <c r="B18" s="22"/>
      <c r="C18" s="26">
        <f>VLOOKUP($A18,'6.2'!$A$12:$G$67,5,0)</f>
        <v>48392652.539828144</v>
      </c>
      <c r="D18" s="152">
        <v>1</v>
      </c>
      <c r="E18" s="41">
        <f>VLOOKUP($A18,'6.2'!$A$12:$G$67,7,0)</f>
        <v>8.5999999999999993E-2</v>
      </c>
      <c r="F18" s="42">
        <f t="shared" si="0"/>
        <v>0</v>
      </c>
      <c r="K18" s="2"/>
    </row>
    <row r="19" spans="1:11" x14ac:dyDescent="0.2">
      <c r="A19" s="60">
        <v>1989</v>
      </c>
      <c r="C19" s="26">
        <f>VLOOKUP($A19,'6.2'!$A$12:$G$67,5,0)</f>
        <v>76691719.673919111</v>
      </c>
      <c r="D19" s="135">
        <v>2</v>
      </c>
      <c r="E19" s="41">
        <f>VLOOKUP($A19,'6.2'!$A$12:$G$67,7,0)</f>
        <v>0.06</v>
      </c>
      <c r="F19" s="42">
        <f t="shared" si="0"/>
        <v>0</v>
      </c>
      <c r="K19" s="2"/>
    </row>
    <row r="20" spans="1:11" x14ac:dyDescent="0.2">
      <c r="A20" s="60">
        <v>1999</v>
      </c>
      <c r="B20" s="22"/>
      <c r="C20" s="26">
        <f>VLOOKUP($A20,'6.2'!$A$12:$G$67,5,0)</f>
        <v>175855163.70733914</v>
      </c>
      <c r="D20" s="152">
        <v>1</v>
      </c>
      <c r="E20" s="41">
        <f>VLOOKUP($A20,'6.2'!$A$12:$G$67,7,0)</f>
        <v>8.6999999999999994E-2</v>
      </c>
      <c r="F20" s="42">
        <f t="shared" si="0"/>
        <v>0</v>
      </c>
      <c r="K20" s="2"/>
    </row>
    <row r="21" spans="1:11" x14ac:dyDescent="0.2">
      <c r="A21" s="60">
        <v>2003</v>
      </c>
      <c r="B21" s="22"/>
      <c r="C21" s="26">
        <f>VLOOKUP($A21,'6.2'!$A$12:$G$67,5,0)</f>
        <v>210743807.6222586</v>
      </c>
      <c r="D21" s="152">
        <v>1</v>
      </c>
      <c r="E21" s="41">
        <f>VLOOKUP($A21,'6.2'!$A$12:$G$67,7,0)</f>
        <v>0.222</v>
      </c>
      <c r="F21" s="42">
        <f t="shared" si="0"/>
        <v>0.13</v>
      </c>
      <c r="K21" s="2"/>
    </row>
    <row r="22" spans="1:11" x14ac:dyDescent="0.2">
      <c r="A22" s="60">
        <v>2005</v>
      </c>
      <c r="B22" s="22"/>
      <c r="C22" s="26">
        <f>VLOOKUP($A22,'6.2'!$A$12:$G$67,5,0)</f>
        <v>265866745.07309023</v>
      </c>
      <c r="D22" s="152">
        <v>1</v>
      </c>
      <c r="E22" s="41">
        <f>VLOOKUP($A22,'6.2'!$A$12:$G$67,7,0)</f>
        <v>1.669</v>
      </c>
      <c r="F22" s="42">
        <f t="shared" si="0"/>
        <v>1.577</v>
      </c>
      <c r="K22" s="2"/>
    </row>
    <row r="23" spans="1:11" x14ac:dyDescent="0.2">
      <c r="A23" s="60">
        <v>2007</v>
      </c>
      <c r="C23" s="26">
        <f>VLOOKUP($A23,'6.2'!$A$12:$G$67,5,0)</f>
        <v>345796967.65694135</v>
      </c>
      <c r="D23" s="152">
        <v>1</v>
      </c>
      <c r="E23" s="41">
        <f>VLOOKUP($A23,'6.2'!$A$12:$G$67,7,0)</f>
        <v>0.17399999999999999</v>
      </c>
      <c r="F23" s="42">
        <f t="shared" si="0"/>
        <v>8.199999999999999E-2</v>
      </c>
      <c r="K23" s="2"/>
    </row>
    <row r="24" spans="1:11" x14ac:dyDescent="0.2">
      <c r="A24" s="60">
        <v>2008</v>
      </c>
      <c r="C24" s="26">
        <f>VLOOKUP($A24,'6.2'!$A$12:$G$67,5,0)</f>
        <v>313442674.91535735</v>
      </c>
      <c r="D24" s="152">
        <v>2</v>
      </c>
      <c r="E24" s="41">
        <f>VLOOKUP($A24,'6.2'!$A$12:$G$67,7,0)</f>
        <v>4.0810000000000004</v>
      </c>
      <c r="F24" s="42">
        <f t="shared" si="0"/>
        <v>1.9945000000000002</v>
      </c>
      <c r="K24" s="2"/>
    </row>
    <row r="25" spans="1:11" x14ac:dyDescent="0.2">
      <c r="A25" s="60">
        <v>2017</v>
      </c>
      <c r="B25" s="22"/>
      <c r="C25" s="26">
        <f>VLOOKUP($A25,'6.2'!$A$12:$G$67,5,0)</f>
        <v>210335579.80999944</v>
      </c>
      <c r="D25" s="152">
        <v>1</v>
      </c>
      <c r="E25" s="41">
        <f>VLOOKUP($A25,'6.2'!$A$12:$G$67,7,0)</f>
        <v>6.0890000000000004</v>
      </c>
      <c r="F25" s="42">
        <f t="shared" si="0"/>
        <v>5.9970000000000008</v>
      </c>
      <c r="K25" s="2"/>
    </row>
    <row r="26" spans="1:11" x14ac:dyDescent="0.2">
      <c r="A26" s="60">
        <v>2020</v>
      </c>
      <c r="B26" s="22"/>
      <c r="C26" s="26">
        <f>VLOOKUP($A26,'6.2'!$A$12:$G$67,5,0)</f>
        <v>199739105.34999973</v>
      </c>
      <c r="D26" s="152">
        <v>3</v>
      </c>
      <c r="E26" s="41">
        <f>VLOOKUP($A26,'6.2'!$A$12:$G$67,7,0)</f>
        <v>0.14399999999999999</v>
      </c>
      <c r="F26" s="42">
        <f t="shared" si="0"/>
        <v>1.7333333333333329E-2</v>
      </c>
      <c r="K26" s="2"/>
    </row>
    <row r="27" spans="1:11" x14ac:dyDescent="0.2">
      <c r="A27" s="142">
        <v>2021</v>
      </c>
      <c r="B27" s="23"/>
      <c r="C27" s="27">
        <f>VLOOKUP($A27,'6.2'!$A$12:$G$67,5,0)</f>
        <v>208276978.39999944</v>
      </c>
      <c r="D27" s="153">
        <v>1</v>
      </c>
      <c r="E27" s="45">
        <f>VLOOKUP($A27,'6.2'!$A$12:$G$67,7,0)</f>
        <v>0.14599999999999999</v>
      </c>
      <c r="F27" s="262">
        <f>MAX((E27-$E$30),0)/D27</f>
        <v>5.3999999999999992E-2</v>
      </c>
      <c r="G27" s="9"/>
      <c r="K27" s="2"/>
    </row>
    <row r="28" spans="1:11" x14ac:dyDescent="0.2">
      <c r="A28" t="s">
        <v>414</v>
      </c>
      <c r="E28" s="19">
        <f>AVERAGE(E14:E27)</f>
        <v>1.2817142857142858</v>
      </c>
      <c r="F28" s="19">
        <f>AVERAGE(F14:F27)</f>
        <v>1.0478452380952381</v>
      </c>
      <c r="K28" s="2"/>
    </row>
    <row r="29" spans="1:11" x14ac:dyDescent="0.2">
      <c r="A29" s="43"/>
      <c r="C29" s="31"/>
      <c r="D29" s="155"/>
      <c r="E29" s="31"/>
      <c r="F29" s="31"/>
      <c r="K29" s="2"/>
    </row>
    <row r="30" spans="1:11" x14ac:dyDescent="0.2">
      <c r="A30" s="43" t="s">
        <v>73</v>
      </c>
      <c r="B30" t="s">
        <v>78</v>
      </c>
      <c r="C30" s="31"/>
      <c r="D30" s="155"/>
      <c r="E30" s="41">
        <f>'6.2'!$G$71</f>
        <v>9.1999999999999998E-2</v>
      </c>
      <c r="K30" s="2"/>
    </row>
    <row r="31" spans="1:11" x14ac:dyDescent="0.2">
      <c r="K31" s="2"/>
    </row>
    <row r="32" spans="1:11" x14ac:dyDescent="0.2">
      <c r="A32" s="43" t="s">
        <v>77</v>
      </c>
      <c r="B32" t="s">
        <v>411</v>
      </c>
      <c r="E32" s="19">
        <f>AVERAGE(F14:F27)</f>
        <v>1.0478452380952381</v>
      </c>
      <c r="K32" s="2"/>
    </row>
    <row r="33" spans="1:12" x14ac:dyDescent="0.2">
      <c r="K33" s="2"/>
      <c r="L33" s="67"/>
    </row>
    <row r="34" spans="1:12" x14ac:dyDescent="0.2">
      <c r="A34" s="43" t="s">
        <v>76</v>
      </c>
      <c r="B34" t="s">
        <v>283</v>
      </c>
      <c r="K34" s="2"/>
    </row>
    <row r="35" spans="1:12" x14ac:dyDescent="0.2">
      <c r="B35" t="str">
        <f>'8'!A53&amp;" ("&amp;'8'!C53&amp;")"</f>
        <v>173-Year (1/1/1851 - 12/31/2023)</v>
      </c>
      <c r="E35" s="29">
        <f>'8'!G53</f>
        <v>0.39900000000000002</v>
      </c>
      <c r="F35" t="str">
        <f>"(1 Hurricane Every "&amp;TEXT(1/E35,"0.0")&amp;" years)"</f>
        <v>(1 Hurricane Every 2.5 years)</v>
      </c>
      <c r="K35" s="2"/>
    </row>
    <row r="36" spans="1:12" x14ac:dyDescent="0.2">
      <c r="A36" s="43"/>
      <c r="E36" s="92"/>
      <c r="K36" s="2"/>
    </row>
    <row r="37" spans="1:12" x14ac:dyDescent="0.2">
      <c r="A37" s="43" t="s">
        <v>75</v>
      </c>
      <c r="B37" t="s">
        <v>100</v>
      </c>
      <c r="E37" s="19">
        <f>ROUND(E35*E32,3)</f>
        <v>0.41799999999999998</v>
      </c>
      <c r="K37" s="2"/>
    </row>
    <row r="38" spans="1:12" x14ac:dyDescent="0.2">
      <c r="K38" s="2"/>
    </row>
    <row r="39" spans="1:12" x14ac:dyDescent="0.2">
      <c r="A39" t="s">
        <v>17</v>
      </c>
      <c r="E39" s="18"/>
      <c r="K39" s="2"/>
    </row>
    <row r="40" spans="1:12" x14ac:dyDescent="0.2">
      <c r="B40" s="12" t="str">
        <f>C12&amp;" "&amp;'6.2'!$J$1&amp;", "&amp;'6.2'!$J$2&amp;". 1999 year ending "&amp;TEXT('6.2'!$L$40,"m/d/""99""")&amp;"; all other accident years ending "&amp;TEXT('6.2'!$L$39,"m/d/xx")</f>
        <v>(1) Exhibit 6, Sheet 2. 1999 year ending 12/31/99; all other accident years ending 9/30/xx</v>
      </c>
      <c r="K40" s="2"/>
    </row>
    <row r="41" spans="1:12" x14ac:dyDescent="0.2">
      <c r="B41" s="12" t="str">
        <f>E12&amp;" "&amp;'6.2'!$J$1&amp;", "&amp;'6.2'!$J$2&amp;". 1999 year ending "&amp;TEXT('6.2'!$L$40,"m/d/""99""")&amp;"; all other accident years ending "&amp;TEXT('6.2'!$L$39,"m/d/xx")</f>
        <v>(3) Exhibit 6, Sheet 2. 1999 year ending 12/31/99; all other accident years ending 9/30/xx</v>
      </c>
      <c r="K41" s="2"/>
    </row>
    <row r="42" spans="1:12" x14ac:dyDescent="0.2">
      <c r="B42" t="s">
        <v>545</v>
      </c>
      <c r="K42" s="2"/>
    </row>
    <row r="43" spans="1:12" x14ac:dyDescent="0.2">
      <c r="B43" s="12" t="str">
        <f>A30&amp;" "&amp;'6.2'!$J$1&amp;", "&amp;'6.2'!$J$2</f>
        <v>(5) Exhibit 6, Sheet 2</v>
      </c>
      <c r="K43" s="2"/>
    </row>
    <row r="44" spans="1:12" x14ac:dyDescent="0.2">
      <c r="B44" s="12" t="str">
        <f>A32&amp;" = "&amp;"Average of "&amp;F12</f>
        <v>(6) = Average of (4)</v>
      </c>
      <c r="K44" s="2"/>
    </row>
    <row r="45" spans="1:12" x14ac:dyDescent="0.2">
      <c r="B45" s="12" t="str">
        <f>A34&amp;" "&amp;'8'!$J$1</f>
        <v>(7) Exhibit 8</v>
      </c>
      <c r="K45" s="2"/>
    </row>
    <row r="46" spans="1:12" x14ac:dyDescent="0.2">
      <c r="B46" s="12" t="str">
        <f>A37&amp;" = "&amp;A32&amp;" * "&amp;A34</f>
        <v>(8) = (6) * (7)</v>
      </c>
      <c r="K46" s="2"/>
    </row>
    <row r="47" spans="1:12" ht="12" thickBot="1" x14ac:dyDescent="0.25">
      <c r="K47" s="2"/>
    </row>
    <row r="48" spans="1:12" ht="12" thickBot="1" x14ac:dyDescent="0.25">
      <c r="A48" s="4"/>
      <c r="B48" s="5"/>
      <c r="C48" s="5"/>
      <c r="D48" s="147"/>
      <c r="E48" s="5"/>
      <c r="F48" s="5"/>
      <c r="G48" s="5"/>
      <c r="H48" s="5"/>
      <c r="I48" s="5"/>
      <c r="J48" s="5"/>
      <c r="K4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00FF00"/>
    <pageSetUpPr fitToPage="1"/>
  </sheetPr>
  <dimension ref="A1:O80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10.8320312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68</v>
      </c>
      <c r="K1" s="1"/>
      <c r="N1" t="s">
        <v>447</v>
      </c>
      <c r="O1" t="s">
        <v>467</v>
      </c>
    </row>
    <row r="2" spans="1:15" x14ac:dyDescent="0.2">
      <c r="A2" s="8" t="str">
        <f>'1'!$A$2</f>
        <v>Commercial Property - Wind &amp; Hail</v>
      </c>
      <c r="B2" s="12"/>
      <c r="J2" s="7" t="s">
        <v>58</v>
      </c>
      <c r="K2" s="2"/>
      <c r="N2" t="s">
        <v>447</v>
      </c>
      <c r="O2" t="s">
        <v>470</v>
      </c>
    </row>
    <row r="3" spans="1:15" x14ac:dyDescent="0.2">
      <c r="A3" s="8" t="str">
        <f>'1'!$A$3</f>
        <v>Rate Level Review</v>
      </c>
      <c r="B3" s="12"/>
      <c r="K3" s="2"/>
      <c r="N3" t="s">
        <v>447</v>
      </c>
      <c r="O3" t="s">
        <v>480</v>
      </c>
    </row>
    <row r="4" spans="1:15" x14ac:dyDescent="0.2">
      <c r="A4" t="s">
        <v>205</v>
      </c>
      <c r="B4" s="12"/>
      <c r="K4" s="2"/>
      <c r="N4" t="s">
        <v>447</v>
      </c>
      <c r="O4" t="s">
        <v>482</v>
      </c>
    </row>
    <row r="5" spans="1:15" x14ac:dyDescent="0.2">
      <c r="A5" t="s">
        <v>535</v>
      </c>
      <c r="B5" s="12"/>
      <c r="K5" s="2"/>
      <c r="N5" t="s">
        <v>447</v>
      </c>
      <c r="O5" t="s">
        <v>483</v>
      </c>
    </row>
    <row r="6" spans="1:15" ht="7.5" customHeight="1" thickBot="1" x14ac:dyDescent="0.25">
      <c r="A6" s="6"/>
      <c r="B6" s="6"/>
      <c r="C6" s="6"/>
      <c r="D6" s="6"/>
      <c r="E6" s="6"/>
      <c r="F6" s="6"/>
      <c r="G6" s="6"/>
      <c r="H6" s="6"/>
      <c r="K6" s="2"/>
    </row>
    <row r="7" spans="1:15" ht="12" thickTop="1" x14ac:dyDescent="0.2">
      <c r="A7" t="s">
        <v>40</v>
      </c>
      <c r="C7" s="134"/>
      <c r="D7" s="11" t="s">
        <v>79</v>
      </c>
      <c r="E7" s="11" t="s">
        <v>79</v>
      </c>
      <c r="F7" s="11"/>
      <c r="G7" s="11"/>
      <c r="H7" s="11"/>
      <c r="K7" s="2"/>
      <c r="L7" s="24"/>
    </row>
    <row r="8" spans="1:15" x14ac:dyDescent="0.2">
      <c r="A8" t="s">
        <v>41</v>
      </c>
      <c r="C8" s="11" t="s">
        <v>79</v>
      </c>
      <c r="D8" s="11" t="s">
        <v>80</v>
      </c>
      <c r="E8" s="11" t="s">
        <v>209</v>
      </c>
      <c r="F8" s="11" t="s">
        <v>59</v>
      </c>
      <c r="G8" s="11" t="s">
        <v>59</v>
      </c>
      <c r="H8" s="11" t="s">
        <v>4</v>
      </c>
      <c r="K8" s="2"/>
      <c r="L8" s="12"/>
    </row>
    <row r="9" spans="1:15" x14ac:dyDescent="0.2">
      <c r="A9" s="9" t="s">
        <v>26</v>
      </c>
      <c r="B9" s="9"/>
      <c r="C9" s="144" t="s">
        <v>80</v>
      </c>
      <c r="D9" s="144" t="s">
        <v>218</v>
      </c>
      <c r="E9" s="144" t="s">
        <v>210</v>
      </c>
      <c r="F9" s="144" t="s">
        <v>72</v>
      </c>
      <c r="G9" s="144" t="s">
        <v>51</v>
      </c>
      <c r="H9" s="144" t="s">
        <v>52</v>
      </c>
      <c r="K9" s="2"/>
      <c r="L9" s="36"/>
    </row>
    <row r="10" spans="1:15" x14ac:dyDescent="0.2">
      <c r="A10" s="13" t="str">
        <f>TEXT(COLUMN(),"(#)")</f>
        <v>(1)</v>
      </c>
      <c r="B10" s="13"/>
      <c r="C10" s="11" t="str">
        <f t="shared" ref="C10:H10" si="0">TEXT(COLUMN()-1,"(#)")</f>
        <v>(2)</v>
      </c>
      <c r="D10" s="11" t="str">
        <f t="shared" si="0"/>
        <v>(3)</v>
      </c>
      <c r="E10" s="11" t="str">
        <f t="shared" si="0"/>
        <v>(4)</v>
      </c>
      <c r="F10" s="11" t="str">
        <f t="shared" si="0"/>
        <v>(5)</v>
      </c>
      <c r="G10" s="11" t="str">
        <f t="shared" si="0"/>
        <v>(6)</v>
      </c>
      <c r="H10" s="11" t="str">
        <f t="shared" si="0"/>
        <v>(7)</v>
      </c>
      <c r="I10" s="11"/>
      <c r="K10" s="2"/>
    </row>
    <row r="11" spans="1:15" ht="6" customHeight="1" x14ac:dyDescent="0.2">
      <c r="K11" s="2"/>
    </row>
    <row r="12" spans="1:15" x14ac:dyDescent="0.2">
      <c r="A12" s="60">
        <v>1970</v>
      </c>
      <c r="B12" s="22"/>
      <c r="C12" s="31">
        <v>10874210</v>
      </c>
      <c r="D12" s="31">
        <v>18835352</v>
      </c>
      <c r="E12" s="26">
        <f>ROUND(D12*'6.4'!$E$23,0)</f>
        <v>53332058</v>
      </c>
      <c r="F12" s="31">
        <v>23092142</v>
      </c>
      <c r="G12" s="21">
        <f>ROUND(F12/E12,3)</f>
        <v>0.433</v>
      </c>
      <c r="H12" s="155" t="s">
        <v>53</v>
      </c>
      <c r="I12" s="42"/>
      <c r="K12" s="2"/>
    </row>
    <row r="13" spans="1:15" x14ac:dyDescent="0.2">
      <c r="A13" s="22">
        <v>1971</v>
      </c>
      <c r="B13" s="22"/>
      <c r="C13" s="31">
        <v>13340143</v>
      </c>
      <c r="D13" s="31">
        <v>20347170</v>
      </c>
      <c r="E13" s="26">
        <f>ROUND(D13*'6.4'!$E$23,0)</f>
        <v>57612751</v>
      </c>
      <c r="F13" s="31">
        <v>55893676</v>
      </c>
      <c r="G13" s="21">
        <f t="shared" ref="G13:G21" si="1">ROUND(F13/E13,3)</f>
        <v>0.97</v>
      </c>
      <c r="H13" s="155" t="s">
        <v>53</v>
      </c>
      <c r="I13" s="42"/>
      <c r="K13" s="2"/>
    </row>
    <row r="14" spans="1:15" x14ac:dyDescent="0.2">
      <c r="A14" s="22">
        <v>1972</v>
      </c>
      <c r="B14" s="22"/>
      <c r="C14" s="31">
        <v>18906678</v>
      </c>
      <c r="D14" s="31">
        <v>24314307</v>
      </c>
      <c r="E14" s="26">
        <f>ROUND(D14*'6.4'!$E$23,0)</f>
        <v>68845649</v>
      </c>
      <c r="F14" s="31">
        <v>8704522</v>
      </c>
      <c r="G14" s="21">
        <f t="shared" si="1"/>
        <v>0.126</v>
      </c>
      <c r="H14" s="155"/>
      <c r="I14" s="42"/>
      <c r="K14" s="2"/>
    </row>
    <row r="15" spans="1:15" x14ac:dyDescent="0.2">
      <c r="A15" s="22">
        <v>1973</v>
      </c>
      <c r="B15" s="22"/>
      <c r="C15" s="31">
        <v>21737541</v>
      </c>
      <c r="D15" s="31">
        <v>23257532</v>
      </c>
      <c r="E15" s="26">
        <f>ROUND(D15*'6.4'!$E$23,0)</f>
        <v>65853404</v>
      </c>
      <c r="F15" s="31">
        <v>3837493</v>
      </c>
      <c r="G15" s="21">
        <f t="shared" si="1"/>
        <v>5.8000000000000003E-2</v>
      </c>
      <c r="H15" s="155"/>
      <c r="I15" s="42"/>
      <c r="K15" s="2"/>
    </row>
    <row r="16" spans="1:15" x14ac:dyDescent="0.2">
      <c r="A16" s="22">
        <v>1974</v>
      </c>
      <c r="B16" s="22"/>
      <c r="C16" s="31">
        <v>22348193</v>
      </c>
      <c r="D16" s="31">
        <v>22844661</v>
      </c>
      <c r="E16" s="26">
        <f>ROUND(D16*'6.4'!$E$23,0)</f>
        <v>64684365</v>
      </c>
      <c r="F16" s="31">
        <v>2193087</v>
      </c>
      <c r="G16" s="21">
        <f t="shared" si="1"/>
        <v>3.4000000000000002E-2</v>
      </c>
      <c r="H16" s="155"/>
      <c r="I16" s="42"/>
      <c r="K16" s="2"/>
    </row>
    <row r="17" spans="1:11" x14ac:dyDescent="0.2">
      <c r="A17" s="22">
        <v>1975</v>
      </c>
      <c r="B17" s="22"/>
      <c r="C17" s="31">
        <v>24396629</v>
      </c>
      <c r="D17" s="31">
        <v>24958305</v>
      </c>
      <c r="E17" s="26">
        <f>ROUND(D17*'6.4'!$E$23,0)</f>
        <v>70669121</v>
      </c>
      <c r="F17" s="31">
        <v>3943412</v>
      </c>
      <c r="G17" s="21">
        <f t="shared" si="1"/>
        <v>5.6000000000000001E-2</v>
      </c>
      <c r="H17" s="155"/>
      <c r="I17" s="42"/>
      <c r="K17" s="2"/>
    </row>
    <row r="18" spans="1:11" x14ac:dyDescent="0.2">
      <c r="A18" s="22">
        <v>1976</v>
      </c>
      <c r="B18" s="22"/>
      <c r="C18" s="31">
        <v>26795934</v>
      </c>
      <c r="D18" s="31">
        <v>24109943</v>
      </c>
      <c r="E18" s="26">
        <f>ROUND(D18*'6.4'!$E$23,0)</f>
        <v>68266995</v>
      </c>
      <c r="F18" s="31">
        <v>2218115</v>
      </c>
      <c r="G18" s="21">
        <f>ROUND(F18/E18,3)</f>
        <v>3.2000000000000001E-2</v>
      </c>
      <c r="H18" s="155"/>
      <c r="I18" s="42"/>
      <c r="K18" s="2"/>
    </row>
    <row r="19" spans="1:11" x14ac:dyDescent="0.2">
      <c r="A19" s="22">
        <v>1977</v>
      </c>
      <c r="B19" s="22"/>
      <c r="C19" s="31">
        <v>30910821</v>
      </c>
      <c r="D19" s="31">
        <v>27119226</v>
      </c>
      <c r="E19" s="26">
        <f>ROUND(D19*'6.4'!$E$23,0)</f>
        <v>76787741</v>
      </c>
      <c r="F19" s="31">
        <v>1898346</v>
      </c>
      <c r="G19" s="21">
        <f>ROUND(F19/E19,3)</f>
        <v>2.5000000000000001E-2</v>
      </c>
      <c r="H19" s="155"/>
      <c r="I19" s="42"/>
      <c r="K19" s="2"/>
    </row>
    <row r="20" spans="1:11" x14ac:dyDescent="0.2">
      <c r="A20" s="22">
        <v>1978</v>
      </c>
      <c r="B20" s="22"/>
      <c r="C20" s="31">
        <v>32709599</v>
      </c>
      <c r="D20" s="31">
        <v>26415338</v>
      </c>
      <c r="E20" s="26">
        <f>ROUND(D20*'6.4'!$E$23,0)</f>
        <v>74794691</v>
      </c>
      <c r="F20" s="31">
        <v>2535872</v>
      </c>
      <c r="G20" s="21">
        <f t="shared" si="1"/>
        <v>3.4000000000000002E-2</v>
      </c>
      <c r="H20" s="155"/>
      <c r="I20" s="42"/>
      <c r="K20" s="2"/>
    </row>
    <row r="21" spans="1:11" x14ac:dyDescent="0.2">
      <c r="A21" s="22">
        <v>1979</v>
      </c>
      <c r="C21" s="31">
        <v>31306685</v>
      </c>
      <c r="D21" s="31">
        <v>24514306</v>
      </c>
      <c r="E21" s="26">
        <f>ROUND(D21*'6.4'!$E$23,0)</f>
        <v>69411943</v>
      </c>
      <c r="F21" s="31">
        <v>4535147</v>
      </c>
      <c r="G21" s="37">
        <f t="shared" si="1"/>
        <v>6.5000000000000002E-2</v>
      </c>
      <c r="H21" s="155"/>
      <c r="I21" s="42"/>
      <c r="K21" s="2"/>
    </row>
    <row r="22" spans="1:11" x14ac:dyDescent="0.2">
      <c r="A22" s="22">
        <v>1980</v>
      </c>
      <c r="C22" s="31">
        <v>28751765</v>
      </c>
      <c r="D22" s="31">
        <v>22607257</v>
      </c>
      <c r="E22" s="26">
        <f>ROUND(D22*'6.4'!$E$23,0)</f>
        <v>64012158</v>
      </c>
      <c r="F22" s="31">
        <v>38431070.960000001</v>
      </c>
      <c r="G22" s="37">
        <f>ROUND(F22/E22,3)</f>
        <v>0.6</v>
      </c>
      <c r="H22" s="155" t="s">
        <v>53</v>
      </c>
      <c r="I22" s="42"/>
      <c r="K22" s="2"/>
    </row>
    <row r="23" spans="1:11" x14ac:dyDescent="0.2">
      <c r="A23" s="22">
        <v>1981</v>
      </c>
      <c r="C23" s="31">
        <v>24129384</v>
      </c>
      <c r="D23" s="31">
        <v>21398588</v>
      </c>
      <c r="E23" s="26">
        <f>ROUND(D23*'6.4'!$E$23,0)</f>
        <v>60589828</v>
      </c>
      <c r="F23" s="31">
        <v>4272728</v>
      </c>
      <c r="G23" s="37">
        <f>ROUND(F23/E23,3)</f>
        <v>7.0999999999999994E-2</v>
      </c>
      <c r="H23" s="155"/>
      <c r="I23" s="42"/>
      <c r="K23" s="2"/>
    </row>
    <row r="24" spans="1:11" x14ac:dyDescent="0.2">
      <c r="A24" s="23">
        <v>1982</v>
      </c>
      <c r="B24" s="9"/>
      <c r="C24" s="48">
        <v>18505004</v>
      </c>
      <c r="D24" s="48">
        <v>17523231</v>
      </c>
      <c r="E24" s="27">
        <f>ROUND(D24*'6.4'!$E$23,0)</f>
        <v>49616804</v>
      </c>
      <c r="F24" s="27"/>
      <c r="G24" s="137">
        <v>3.4000000000000002E-2</v>
      </c>
      <c r="H24" s="156"/>
      <c r="I24" s="42"/>
      <c r="K24" s="2"/>
    </row>
    <row r="25" spans="1:11" x14ac:dyDescent="0.2">
      <c r="A25" s="22">
        <v>1983</v>
      </c>
      <c r="C25" s="31">
        <v>12680397</v>
      </c>
      <c r="D25" s="31">
        <v>13262706</v>
      </c>
      <c r="E25" s="26">
        <f>'6.4'!F14+'6.5'!F14+'6.6'!F14+'6.7'!F14</f>
        <v>37553181.514445186</v>
      </c>
      <c r="F25" s="26"/>
      <c r="G25" s="37">
        <f>ROUND('6.3'!H13,3)</f>
        <v>3.1829999999999998</v>
      </c>
      <c r="H25" s="155" t="s">
        <v>53</v>
      </c>
      <c r="I25" s="42"/>
      <c r="K25" s="2"/>
    </row>
    <row r="26" spans="1:11" x14ac:dyDescent="0.2">
      <c r="A26" s="22">
        <v>1984</v>
      </c>
      <c r="C26" s="31">
        <v>12736031</v>
      </c>
      <c r="D26" s="31">
        <v>14992627</v>
      </c>
      <c r="E26" s="26">
        <f>'6.4'!F15+'6.5'!F15+'6.6'!F15+'6.7'!F15</f>
        <v>42451430.74114944</v>
      </c>
      <c r="F26" s="26"/>
      <c r="G26" s="37">
        <f>ROUND('6.3'!H14,3)</f>
        <v>8.2000000000000003E-2</v>
      </c>
      <c r="H26" s="155"/>
      <c r="I26" s="42"/>
      <c r="K26" s="2"/>
    </row>
    <row r="27" spans="1:11" x14ac:dyDescent="0.2">
      <c r="A27" s="22">
        <v>1985</v>
      </c>
      <c r="C27" s="31">
        <v>15169575</v>
      </c>
      <c r="D27" s="31">
        <v>16422895</v>
      </c>
      <c r="E27" s="26">
        <f>'6.4'!F16+'6.5'!F16+'6.6'!F16+'6.7'!F16</f>
        <v>46501216.294885054</v>
      </c>
      <c r="F27" s="26"/>
      <c r="G27" s="37">
        <f>ROUND('6.3'!H15,3)</f>
        <v>0.04</v>
      </c>
      <c r="H27" s="155"/>
      <c r="I27" s="42"/>
      <c r="K27" s="2"/>
    </row>
    <row r="28" spans="1:11" x14ac:dyDescent="0.2">
      <c r="A28" s="22">
        <v>1986</v>
      </c>
      <c r="C28" s="31">
        <v>21130682</v>
      </c>
      <c r="D28" s="31">
        <v>17090896</v>
      </c>
      <c r="E28" s="26">
        <f>'6.4'!F17+'6.5'!F17+'6.6'!F17+'6.7'!F17</f>
        <v>48392652.539828144</v>
      </c>
      <c r="F28" s="26"/>
      <c r="G28" s="37">
        <f>ROUND('6.3'!H16,3)</f>
        <v>8.5999999999999993E-2</v>
      </c>
      <c r="H28" s="155" t="s">
        <v>53</v>
      </c>
      <c r="I28" s="42"/>
      <c r="K28" s="2"/>
    </row>
    <row r="29" spans="1:11" x14ac:dyDescent="0.2">
      <c r="A29" s="22">
        <v>1987</v>
      </c>
      <c r="C29" s="31">
        <v>31114529</v>
      </c>
      <c r="D29" s="31">
        <v>26771157</v>
      </c>
      <c r="E29" s="26">
        <f>'6.4'!F18+'6.5'!F18+'6.6'!F18+'6.7'!F18</f>
        <v>75802188.164321676</v>
      </c>
      <c r="F29" s="26"/>
      <c r="G29" s="37">
        <f>ROUND('6.3'!H17,3)</f>
        <v>1.6E-2</v>
      </c>
      <c r="H29" s="155"/>
      <c r="I29" s="42"/>
      <c r="K29" s="2"/>
    </row>
    <row r="30" spans="1:11" x14ac:dyDescent="0.2">
      <c r="A30" s="22">
        <v>1988</v>
      </c>
      <c r="B30" s="12"/>
      <c r="C30" s="31">
        <v>25065531</v>
      </c>
      <c r="D30" s="31">
        <v>24117319</v>
      </c>
      <c r="E30" s="26">
        <f>'6.4'!F19+'6.5'!F19+'6.6'!F19+'6.7'!F19</f>
        <v>68287879.041659117</v>
      </c>
      <c r="F30" s="26"/>
      <c r="G30" s="37">
        <f>ROUND('6.3'!H18,3)</f>
        <v>8.5000000000000006E-2</v>
      </c>
      <c r="H30" s="155"/>
      <c r="I30" s="42"/>
      <c r="K30" s="2"/>
    </row>
    <row r="31" spans="1:11" x14ac:dyDescent="0.2">
      <c r="A31" s="22">
        <v>1989</v>
      </c>
      <c r="B31" s="12"/>
      <c r="C31" s="31">
        <v>24167085</v>
      </c>
      <c r="D31" s="31">
        <v>27085314</v>
      </c>
      <c r="E31" s="26">
        <f>'6.4'!F20+'6.5'!F20+'6.6'!F20+'6.7'!F20</f>
        <v>76691719.673919111</v>
      </c>
      <c r="F31" s="26"/>
      <c r="G31" s="37">
        <f>ROUND('6.3'!H19,3)</f>
        <v>0.06</v>
      </c>
      <c r="H31" s="155" t="s">
        <v>53</v>
      </c>
      <c r="I31" s="42"/>
      <c r="K31" s="2"/>
    </row>
    <row r="32" spans="1:11" x14ac:dyDescent="0.2">
      <c r="A32" s="22">
        <v>1990</v>
      </c>
      <c r="B32" s="12"/>
      <c r="C32" s="31">
        <v>19677404</v>
      </c>
      <c r="D32" s="31">
        <v>23041233</v>
      </c>
      <c r="E32" s="26">
        <f>'6.4'!F21+'6.5'!F21+'6.6'!F21+'6.7'!F21</f>
        <v>65240956.221764706</v>
      </c>
      <c r="F32" s="26"/>
      <c r="G32" s="37">
        <f>ROUND('6.3'!H20,3)</f>
        <v>0.84299999999999997</v>
      </c>
      <c r="H32" s="155"/>
      <c r="I32" s="42"/>
      <c r="K32" s="2"/>
    </row>
    <row r="33" spans="1:14" x14ac:dyDescent="0.2">
      <c r="A33" s="22">
        <v>1991</v>
      </c>
      <c r="C33" s="31">
        <v>21794680</v>
      </c>
      <c r="D33" s="31">
        <v>25534881</v>
      </c>
      <c r="E33" s="26">
        <f>'6.4'!F22+'6.5'!F22+'6.6'!F22+'6.7'!F22</f>
        <v>72301687.51969257</v>
      </c>
      <c r="F33" s="26"/>
      <c r="G33" s="37">
        <f>ROUND('6.3'!H21,3)</f>
        <v>0.57899999999999996</v>
      </c>
      <c r="H33" s="155"/>
      <c r="I33" s="42"/>
      <c r="K33" s="2"/>
    </row>
    <row r="34" spans="1:14" x14ac:dyDescent="0.2">
      <c r="A34" s="22">
        <v>1992</v>
      </c>
      <c r="C34" s="31">
        <v>23737753</v>
      </c>
      <c r="D34" s="31">
        <v>26950473</v>
      </c>
      <c r="E34" s="26">
        <f>'6.4'!F23+'6.5'!F23+'6.6'!F23+'6.7'!F23</f>
        <v>76309918.990604445</v>
      </c>
      <c r="F34" s="26"/>
      <c r="G34" s="37">
        <f>ROUND('6.3'!H22,3)</f>
        <v>1.4999999999999999E-2</v>
      </c>
      <c r="H34" s="155"/>
      <c r="I34" s="42"/>
      <c r="K34" s="2"/>
    </row>
    <row r="35" spans="1:14" x14ac:dyDescent="0.2">
      <c r="A35" s="22">
        <v>1993</v>
      </c>
      <c r="C35" s="31">
        <v>21990182</v>
      </c>
      <c r="D35" s="31"/>
      <c r="E35" s="26">
        <f>'6.4'!F24+'6.5'!F24+'6.6'!F24+'6.7'!F24</f>
        <v>71537275.906790525</v>
      </c>
      <c r="F35" s="26"/>
      <c r="G35" s="37">
        <f>ROUND('6.3'!H23,3)</f>
        <v>5.1999999999999998E-2</v>
      </c>
      <c r="H35" s="155"/>
      <c r="I35" s="42"/>
      <c r="K35" s="2"/>
    </row>
    <row r="36" spans="1:14" x14ac:dyDescent="0.2">
      <c r="A36" s="22">
        <v>1994</v>
      </c>
      <c r="C36" s="31">
        <v>16604950</v>
      </c>
      <c r="D36" s="31"/>
      <c r="E36" s="26">
        <f>'6.4'!F25+'6.5'!F25+'6.6'!F25+'6.7'!F25</f>
        <v>54018329.282033436</v>
      </c>
      <c r="F36" s="26"/>
      <c r="G36" s="37">
        <f>ROUND('6.3'!H24,3)</f>
        <v>8.6999999999999994E-2</v>
      </c>
      <c r="H36" s="141"/>
      <c r="I36" s="42"/>
      <c r="K36" s="2"/>
    </row>
    <row r="37" spans="1:14" x14ac:dyDescent="0.2">
      <c r="A37" s="22">
        <v>1995</v>
      </c>
      <c r="C37" s="31">
        <v>32374229</v>
      </c>
      <c r="D37" s="31"/>
      <c r="E37" s="26">
        <f>'6.4'!F26+'6.5'!F26+'6.6'!F26+'6.7'!F26</f>
        <v>105318098.02875242</v>
      </c>
      <c r="F37" s="26"/>
      <c r="G37" s="37">
        <f>ROUND('6.3'!H25,3)</f>
        <v>0.19800000000000001</v>
      </c>
      <c r="H37" s="141"/>
      <c r="I37" s="42"/>
      <c r="K37" s="2"/>
    </row>
    <row r="38" spans="1:14" x14ac:dyDescent="0.2">
      <c r="A38" s="22">
        <v>1996</v>
      </c>
      <c r="C38" s="31">
        <v>55367089</v>
      </c>
      <c r="D38" s="31"/>
      <c r="E38" s="26">
        <f>'6.4'!F27+'6.5'!F27+'6.6'!F27+'6.7'!F27</f>
        <v>180117233.20103532</v>
      </c>
      <c r="F38" s="26"/>
      <c r="G38" s="37">
        <f>ROUND('6.3'!H26,3)</f>
        <v>2.5000000000000001E-2</v>
      </c>
      <c r="H38" s="141"/>
      <c r="I38" s="42"/>
      <c r="K38" s="2"/>
      <c r="L38" t="s">
        <v>214</v>
      </c>
      <c r="M38" t="s">
        <v>215</v>
      </c>
    </row>
    <row r="39" spans="1:14" x14ac:dyDescent="0.2">
      <c r="A39" s="22">
        <v>1997</v>
      </c>
      <c r="C39" s="31">
        <v>53196024</v>
      </c>
      <c r="D39" s="31"/>
      <c r="E39" s="26">
        <f>'6.4'!F28+'6.5'!F28+'6.6'!F28+'6.7'!F28</f>
        <v>173054440.76133877</v>
      </c>
      <c r="F39" s="26"/>
      <c r="G39" s="37">
        <f>ROUND('6.3'!H27,3)</f>
        <v>3.5999999999999997E-2</v>
      </c>
      <c r="H39" s="141"/>
      <c r="I39" s="42"/>
      <c r="K39" s="2"/>
      <c r="L39" s="64">
        <v>34607</v>
      </c>
      <c r="M39" s="64">
        <v>36525</v>
      </c>
      <c r="N39" t="s">
        <v>216</v>
      </c>
    </row>
    <row r="40" spans="1:14" x14ac:dyDescent="0.2">
      <c r="A40" s="22">
        <v>1998</v>
      </c>
      <c r="C40" s="31">
        <v>53986058</v>
      </c>
      <c r="D40" s="31"/>
      <c r="E40" s="26">
        <f>'6.4'!F29+'6.5'!F29+'6.6'!F29+'6.7'!F29</f>
        <v>178299022.04184353</v>
      </c>
      <c r="F40" s="26"/>
      <c r="G40" s="37">
        <f>ROUND('6.3'!H28,3)</f>
        <v>0.14199999999999999</v>
      </c>
      <c r="H40" s="141"/>
      <c r="I40" s="42"/>
      <c r="K40" s="2"/>
      <c r="L40" s="64">
        <v>45291</v>
      </c>
      <c r="M40" s="64">
        <v>45291</v>
      </c>
      <c r="N40" t="s">
        <v>217</v>
      </c>
    </row>
    <row r="41" spans="1:14" x14ac:dyDescent="0.2">
      <c r="A41" s="22">
        <v>1999</v>
      </c>
      <c r="C41" s="31">
        <v>52435243</v>
      </c>
      <c r="D41" s="31"/>
      <c r="E41" s="26">
        <f>'6.4'!F30+'6.5'!F30+'6.6'!F30+'6.7'!F30</f>
        <v>175855163.70733914</v>
      </c>
      <c r="F41" s="26"/>
      <c r="G41" s="37">
        <f>ROUND('6.3'!H29,3)</f>
        <v>8.6999999999999994E-2</v>
      </c>
      <c r="H41" s="155" t="s">
        <v>53</v>
      </c>
      <c r="I41" s="42"/>
      <c r="K41" s="2"/>
    </row>
    <row r="42" spans="1:14" x14ac:dyDescent="0.2">
      <c r="A42" s="22">
        <v>2000</v>
      </c>
      <c r="C42" s="31">
        <v>41739697</v>
      </c>
      <c r="E42" s="26">
        <f>'6.4'!F31+'6.5'!F31+'6.6'!F31+'6.7'!F31</f>
        <v>133956823.07838032</v>
      </c>
      <c r="G42" s="37">
        <f>ROUND('6.3'!H30,3)</f>
        <v>7.2999999999999995E-2</v>
      </c>
      <c r="H42" s="141"/>
      <c r="I42" s="42"/>
      <c r="K42" s="2"/>
    </row>
    <row r="43" spans="1:14" x14ac:dyDescent="0.2">
      <c r="A43" s="22">
        <v>2001</v>
      </c>
      <c r="C43" s="108">
        <v>42330042</v>
      </c>
      <c r="E43" s="26">
        <f>'6.4'!F32+'6.5'!F32+'6.6'!F32+'6.7'!F32</f>
        <v>127689113.02348927</v>
      </c>
      <c r="G43" s="37">
        <f>ROUND('6.3'!H31,3)</f>
        <v>5.5E-2</v>
      </c>
      <c r="H43" s="11"/>
      <c r="I43" s="19"/>
      <c r="K43" s="2"/>
    </row>
    <row r="44" spans="1:14" x14ac:dyDescent="0.2">
      <c r="A44" s="22">
        <v>2002</v>
      </c>
      <c r="C44" s="108">
        <v>69156402</v>
      </c>
      <c r="D44" s="18"/>
      <c r="E44" s="26">
        <f>'6.4'!F33+'6.5'!F33+'6.6'!F33+'6.7'!F33</f>
        <v>199609188.23395401</v>
      </c>
      <c r="G44" s="37">
        <f>ROUND('6.3'!H32,3)</f>
        <v>0.14399999999999999</v>
      </c>
      <c r="H44" s="11"/>
      <c r="I44" s="19"/>
      <c r="K44" s="2"/>
    </row>
    <row r="45" spans="1:14" x14ac:dyDescent="0.2">
      <c r="A45" s="22">
        <v>2003</v>
      </c>
      <c r="C45" s="108">
        <v>78368305</v>
      </c>
      <c r="D45" s="18"/>
      <c r="E45" s="26">
        <f>'6.4'!F34+'6.5'!F34+'6.6'!F34+'6.7'!F34</f>
        <v>210743807.6222586</v>
      </c>
      <c r="G45" s="37">
        <f>ROUND('6.3'!H33,3)</f>
        <v>0.222</v>
      </c>
      <c r="H45" s="155" t="s">
        <v>53</v>
      </c>
      <c r="I45" s="42"/>
      <c r="K45" s="2"/>
    </row>
    <row r="46" spans="1:14" x14ac:dyDescent="0.2">
      <c r="A46" s="22">
        <v>2004</v>
      </c>
      <c r="C46" s="108">
        <v>112957791</v>
      </c>
      <c r="D46" s="18"/>
      <c r="E46" s="26">
        <f>'6.4'!F35+'6.5'!F35+'6.6'!F35+'6.7'!F35</f>
        <v>276540371.25977808</v>
      </c>
      <c r="G46" s="37">
        <f>ROUND('6.3'!H34,3)</f>
        <v>1.7999999999999999E-2</v>
      </c>
      <c r="H46" s="155"/>
      <c r="I46" s="42"/>
      <c r="K46" s="2"/>
    </row>
    <row r="47" spans="1:14" x14ac:dyDescent="0.2">
      <c r="A47" s="22">
        <v>2005</v>
      </c>
      <c r="C47" s="108">
        <v>119598806</v>
      </c>
      <c r="D47" s="18"/>
      <c r="E47" s="26">
        <f>'6.4'!F36+'6.5'!F36+'6.6'!F36+'6.7'!F36</f>
        <v>265866745.07309023</v>
      </c>
      <c r="G47" s="37">
        <f>ROUND('6.3'!H35,3)</f>
        <v>1.669</v>
      </c>
      <c r="H47" s="141" t="s">
        <v>53</v>
      </c>
      <c r="I47" s="19"/>
      <c r="K47" s="2"/>
    </row>
    <row r="48" spans="1:14" x14ac:dyDescent="0.2">
      <c r="A48" s="22">
        <v>2006</v>
      </c>
      <c r="C48" s="108">
        <v>148019940</v>
      </c>
      <c r="D48" s="18"/>
      <c r="E48" s="26">
        <f>'6.4'!F37+'6.5'!F37+'6.6'!F37+'6.7'!F37</f>
        <v>299356477.41137737</v>
      </c>
      <c r="G48" s="37">
        <f>ROUND('6.3'!H36,3)</f>
        <v>0.02</v>
      </c>
      <c r="H48" s="11"/>
      <c r="I48" s="19"/>
      <c r="K48" s="2"/>
    </row>
    <row r="49" spans="1:11" x14ac:dyDescent="0.2">
      <c r="A49" s="22">
        <v>2007</v>
      </c>
      <c r="C49" s="127">
        <f>'6.4'!C38+'6.5'!C38+'6.6'!C38+'6.7'!C38</f>
        <v>186207969</v>
      </c>
      <c r="D49" s="34"/>
      <c r="E49" s="26">
        <f>'6.4'!F38+'6.5'!F38+'6.6'!F38+'6.7'!F38</f>
        <v>345796967.65694135</v>
      </c>
      <c r="G49" s="37">
        <f>ROUND('6.3'!H37,3)</f>
        <v>0.17399999999999999</v>
      </c>
      <c r="H49" s="155" t="s">
        <v>53</v>
      </c>
      <c r="I49" s="19"/>
      <c r="K49" s="2"/>
    </row>
    <row r="50" spans="1:11" x14ac:dyDescent="0.2">
      <c r="A50" s="22">
        <v>2008</v>
      </c>
      <c r="C50" s="127">
        <f>'6.4'!C39+'6.5'!C39+'6.6'!C39+'6.7'!C39</f>
        <v>177673659</v>
      </c>
      <c r="D50" s="34"/>
      <c r="E50" s="26">
        <f>'6.4'!F39+'6.5'!F39+'6.6'!F39+'6.7'!F39</f>
        <v>313442674.91535735</v>
      </c>
      <c r="G50" s="37">
        <f>ROUND('6.3'!H38,3)</f>
        <v>4.0810000000000004</v>
      </c>
      <c r="H50" s="155" t="s">
        <v>53</v>
      </c>
      <c r="I50" s="42"/>
      <c r="K50" s="2"/>
    </row>
    <row r="51" spans="1:11" x14ac:dyDescent="0.2">
      <c r="A51" s="22">
        <v>2009</v>
      </c>
      <c r="C51" s="127">
        <f>'6.4'!C40+'6.5'!C40+'6.6'!C40+'6.7'!C40</f>
        <v>185204697</v>
      </c>
      <c r="D51" s="34"/>
      <c r="E51" s="26">
        <f>'6.4'!F40+'6.5'!F40+'6.6'!F40+'6.7'!F40</f>
        <v>296283945.09458524</v>
      </c>
      <c r="G51" s="37">
        <f>ROUND('6.3'!H39,3)</f>
        <v>2.7E-2</v>
      </c>
      <c r="H51" s="155"/>
      <c r="I51" s="19"/>
      <c r="K51" s="2"/>
    </row>
    <row r="52" spans="1:11" x14ac:dyDescent="0.2">
      <c r="A52" s="22">
        <v>2010</v>
      </c>
      <c r="C52" s="127">
        <f>'6.4'!C41+'6.5'!C41+'6.6'!C41+'6.7'!C41</f>
        <v>193721394</v>
      </c>
      <c r="D52" s="34"/>
      <c r="E52" s="26">
        <f>'6.4'!F41+'6.5'!F41+'6.6'!F41+'6.7'!F41</f>
        <v>286320340.30286193</v>
      </c>
      <c r="G52" s="37">
        <f>ROUND('6.3'!H40,3)</f>
        <v>0.04</v>
      </c>
      <c r="H52" s="155"/>
      <c r="I52" s="19"/>
      <c r="K52" s="2"/>
    </row>
    <row r="53" spans="1:11" x14ac:dyDescent="0.2">
      <c r="A53" s="22">
        <v>2011</v>
      </c>
      <c r="C53" s="127">
        <f>'6.4'!C42+'6.5'!C42+'6.6'!C42+'6.7'!C42</f>
        <v>192278480</v>
      </c>
      <c r="D53" s="34"/>
      <c r="E53" s="26">
        <f>'6.4'!F42+'6.5'!F42+'6.6'!F42+'6.7'!F42</f>
        <v>277463924.17998827</v>
      </c>
      <c r="F53" s="29"/>
      <c r="G53" s="37">
        <f>ROUND('6.3'!H41,3)</f>
        <v>0.16400000000000001</v>
      </c>
      <c r="H53" s="155"/>
      <c r="I53" s="19"/>
      <c r="K53" s="2"/>
    </row>
    <row r="54" spans="1:11" x14ac:dyDescent="0.2">
      <c r="A54" s="22">
        <v>2012</v>
      </c>
      <c r="C54" s="127">
        <f>'6.4'!C43+'6.5'!C43+'6.6'!C43+'6.7'!C43</f>
        <v>209676871</v>
      </c>
      <c r="D54" s="34"/>
      <c r="E54" s="26">
        <f>'6.4'!F43+'6.5'!F43+'6.6'!F43+'6.7'!F43</f>
        <v>287748652.35734773</v>
      </c>
      <c r="F54" s="29"/>
      <c r="G54" s="37">
        <f>ROUND('6.3'!H42,3)</f>
        <v>0.17799999999999999</v>
      </c>
      <c r="H54" s="155"/>
      <c r="I54" s="19"/>
      <c r="K54" s="2"/>
    </row>
    <row r="55" spans="1:11" x14ac:dyDescent="0.2">
      <c r="A55" s="22">
        <v>2013</v>
      </c>
      <c r="C55" s="127">
        <f>'6.4'!C44+'6.5'!C44+'6.6'!C44+'6.7'!C44</f>
        <v>224380012</v>
      </c>
      <c r="D55" s="34"/>
      <c r="E55" s="26">
        <f>'6.4'!F44+'6.5'!F44+'6.6'!F44+'6.7'!F44</f>
        <v>293394750.82044667</v>
      </c>
      <c r="F55" s="29"/>
      <c r="G55" s="37">
        <f>ROUND('6.3'!H43,3)</f>
        <v>5.7000000000000002E-2</v>
      </c>
      <c r="H55" s="155"/>
      <c r="I55" s="19"/>
      <c r="K55" s="2"/>
    </row>
    <row r="56" spans="1:11" x14ac:dyDescent="0.2">
      <c r="A56" s="22">
        <v>2014</v>
      </c>
      <c r="C56" s="127">
        <f>'6.4'!C45+'6.5'!C45+'6.6'!C45+'6.7'!C45</f>
        <v>240932886</v>
      </c>
      <c r="D56" s="34"/>
      <c r="E56" s="26">
        <f>'6.4'!F45+'6.5'!F45+'6.6'!F45+'6.7'!F45</f>
        <v>300378437.4888069</v>
      </c>
      <c r="F56" s="29"/>
      <c r="G56" s="37">
        <f>ROUND('6.3'!H44,3)</f>
        <v>1.6E-2</v>
      </c>
      <c r="H56" s="155"/>
      <c r="I56" s="19"/>
      <c r="K56" s="2"/>
    </row>
    <row r="57" spans="1:11" x14ac:dyDescent="0.2">
      <c r="A57" s="22">
        <v>2015</v>
      </c>
      <c r="C57" s="127">
        <f>'6.4'!C46+'6.5'!C46+'6.6'!C46+'6.7'!C46</f>
        <v>234154974</v>
      </c>
      <c r="D57" s="34"/>
      <c r="E57" s="26">
        <f>'6.4'!F46+'6.5'!F46+'6.6'!F46+'6.7'!F46</f>
        <v>277783989.89930868</v>
      </c>
      <c r="F57" s="29"/>
      <c r="G57" s="37">
        <f>ROUND('6.3'!H45,3)</f>
        <v>0.13900000000000001</v>
      </c>
      <c r="H57" s="155"/>
      <c r="I57" s="19"/>
      <c r="K57" s="2"/>
    </row>
    <row r="58" spans="1:11" x14ac:dyDescent="0.2">
      <c r="A58" s="22">
        <v>2016</v>
      </c>
      <c r="C58" s="127">
        <f>'6.4'!C47+'6.5'!C47+'6.6'!C47+'6.7'!C47</f>
        <v>218004121</v>
      </c>
      <c r="D58" s="34"/>
      <c r="E58" s="26">
        <f>'6.4'!F47+'6.5'!F47+'6.6'!F47+'6.7'!F47</f>
        <v>246276273.07278132</v>
      </c>
      <c r="F58" s="29"/>
      <c r="G58" s="37">
        <f>ROUND('6.3'!H46,3)</f>
        <v>4.3999999999999997E-2</v>
      </c>
      <c r="H58" s="155"/>
      <c r="K58" s="2"/>
    </row>
    <row r="59" spans="1:11" x14ac:dyDescent="0.2">
      <c r="A59" s="22">
        <v>2017</v>
      </c>
      <c r="C59" s="127">
        <f>'6.4'!C48+'6.5'!C48+'6.6'!C48+'6.7'!C48</f>
        <v>190780571</v>
      </c>
      <c r="D59" s="34"/>
      <c r="E59" s="26">
        <f>'6.4'!F48+'6.5'!F48+'6.6'!F48+'6.7'!F48</f>
        <v>210335579.80999944</v>
      </c>
      <c r="F59" s="29"/>
      <c r="G59" s="37">
        <f>ROUND('6.3'!H47,3)</f>
        <v>6.0890000000000004</v>
      </c>
      <c r="H59" s="157" t="s">
        <v>53</v>
      </c>
      <c r="K59" s="2"/>
    </row>
    <row r="60" spans="1:11" x14ac:dyDescent="0.2">
      <c r="A60" s="22">
        <v>2018</v>
      </c>
      <c r="C60" s="127">
        <f>'6.4'!C49+'6.5'!C49+'6.6'!C49+'6.7'!C49</f>
        <v>189174478</v>
      </c>
      <c r="D60" s="34"/>
      <c r="E60" s="26">
        <f>'6.4'!F49+'6.5'!F49+'6.6'!F49+'6.7'!F49</f>
        <v>203466842.81539297</v>
      </c>
      <c r="F60" s="29"/>
      <c r="G60" s="37">
        <f>ROUND('6.3'!H48,3)</f>
        <v>1.7000000000000001E-2</v>
      </c>
      <c r="H60" s="157"/>
      <c r="K60" s="2"/>
    </row>
    <row r="61" spans="1:11" x14ac:dyDescent="0.2">
      <c r="A61" s="22">
        <v>2019</v>
      </c>
      <c r="C61" s="127">
        <f>'6.4'!C50+'6.5'!C50+'6.6'!C50+'6.7'!C50</f>
        <v>185428363</v>
      </c>
      <c r="D61" s="34"/>
      <c r="E61" s="26">
        <f>'6.4'!F50+'6.5'!F50+'6.6'!F50+'6.7'!F50</f>
        <v>194699781.24999982</v>
      </c>
      <c r="F61" s="29"/>
      <c r="G61" s="37">
        <f>ROUND('6.3'!H49,3)</f>
        <v>4.2000000000000003E-2</v>
      </c>
      <c r="H61" s="157"/>
      <c r="K61" s="2"/>
    </row>
    <row r="62" spans="1:11" x14ac:dyDescent="0.2">
      <c r="A62" s="22">
        <v>2020</v>
      </c>
      <c r="C62" s="127">
        <f>'6.4'!C51+'6.5'!C51+'6.6'!C51+'6.7'!C51</f>
        <v>190227719</v>
      </c>
      <c r="E62" s="26">
        <f>'6.4'!F51+'6.5'!F51+'6.6'!F51+'6.7'!F51</f>
        <v>199739105.34999973</v>
      </c>
      <c r="G62" s="37">
        <f>ROUND('6.3'!H50,3)</f>
        <v>0.14399999999999999</v>
      </c>
      <c r="H62" s="157" t="s">
        <v>53</v>
      </c>
      <c r="K62" s="2"/>
    </row>
    <row r="63" spans="1:11" x14ac:dyDescent="0.2">
      <c r="A63" s="22">
        <v>2021</v>
      </c>
      <c r="C63" s="127">
        <f>'6.4'!C52+'6.5'!C52+'6.6'!C52+'6.7'!C52</f>
        <v>198359027</v>
      </c>
      <c r="E63" s="26">
        <f>'6.4'!F52+'6.5'!F52+'6.6'!F52+'6.7'!F52</f>
        <v>208276978.39999944</v>
      </c>
      <c r="G63" s="37">
        <f>ROUND('6.3'!H51,3)</f>
        <v>0.14599999999999999</v>
      </c>
      <c r="H63" s="157" t="s">
        <v>53</v>
      </c>
      <c r="K63" s="2"/>
    </row>
    <row r="64" spans="1:11" x14ac:dyDescent="0.2">
      <c r="A64" s="22">
        <v>2022</v>
      </c>
      <c r="C64" s="127">
        <f>'6.4'!C53+'6.5'!C53+'6.6'!C53+'6.7'!C53</f>
        <v>236108223</v>
      </c>
      <c r="E64" s="26">
        <f>'6.4'!F53+'6.5'!F53+'6.6'!F53+'6.7'!F53</f>
        <v>241408279.83592927</v>
      </c>
      <c r="G64" s="37">
        <f>ROUND('6.3'!H52,3)</f>
        <v>0.06</v>
      </c>
      <c r="H64" s="157"/>
      <c r="K64" s="2"/>
    </row>
    <row r="65" spans="1:12" x14ac:dyDescent="0.2">
      <c r="A65" s="22">
        <v>2023</v>
      </c>
      <c r="C65" s="127">
        <f>'6.4'!C54+'6.5'!C54+'6.6'!C54+'6.7'!C54</f>
        <v>300674308</v>
      </c>
      <c r="E65" s="26">
        <f>'6.4'!F54+'6.5'!F54+'6.6'!F54+'6.7'!F54</f>
        <v>300674308</v>
      </c>
      <c r="G65" s="37">
        <f>ROUND('6.3'!H53,3)</f>
        <v>0.19600000000000001</v>
      </c>
      <c r="H65" s="157"/>
      <c r="K65" s="2"/>
    </row>
    <row r="66" spans="1:12" ht="6" customHeight="1" x14ac:dyDescent="0.2">
      <c r="K66" s="2"/>
    </row>
    <row r="67" spans="1:12" x14ac:dyDescent="0.2">
      <c r="A67" s="22" t="s">
        <v>24</v>
      </c>
      <c r="C67" s="26">
        <f>SUM(C12:C66)</f>
        <v>4963098763</v>
      </c>
      <c r="D67" s="26"/>
      <c r="E67" s="26">
        <f>SUM(E12:E66)</f>
        <v>8389463258.583477</v>
      </c>
      <c r="G67" s="19">
        <f>ROUND(AVERAGE(G12:G66),3)</f>
        <v>0.40699999999999997</v>
      </c>
      <c r="K67" s="2"/>
    </row>
    <row r="68" spans="1:12" x14ac:dyDescent="0.2">
      <c r="K68" s="2"/>
    </row>
    <row r="69" spans="1:12" x14ac:dyDescent="0.2">
      <c r="A69" t="s">
        <v>81</v>
      </c>
      <c r="G69" s="19">
        <f>ROUND(SUMIF(H12:H66,"&lt;&gt;H",G12:G66)/COUNTIF(H12:H66,"&lt;&gt;H"),3)</f>
        <v>9.8000000000000004E-2</v>
      </c>
      <c r="K69" s="2"/>
    </row>
    <row r="70" spans="1:12" x14ac:dyDescent="0.2">
      <c r="A70" t="s">
        <v>82</v>
      </c>
      <c r="G70" s="19">
        <f>ROUND((SUMIF(H12:H66,"&lt;&gt;H",G12:G66)-VLOOKUP(1991,$A$12:$G$66,7,0))/(COUNTIF(H12:H66,"&lt;&gt;H")-1),3)</f>
        <v>8.5999999999999993E-2</v>
      </c>
      <c r="K70" s="2"/>
      <c r="L70" s="24"/>
    </row>
    <row r="71" spans="1:12" x14ac:dyDescent="0.2">
      <c r="A71" t="s">
        <v>47</v>
      </c>
      <c r="G71" s="44">
        <f>ROUND(AVERAGE(G69:G70),3)</f>
        <v>9.1999999999999998E-2</v>
      </c>
      <c r="K71" s="2"/>
    </row>
    <row r="72" spans="1:12" ht="4.5" customHeight="1" thickBot="1" x14ac:dyDescent="0.25">
      <c r="A72" s="6"/>
      <c r="B72" s="6"/>
      <c r="C72" s="6"/>
      <c r="D72" s="6"/>
      <c r="E72" s="6"/>
      <c r="F72" s="6"/>
      <c r="G72" s="6"/>
      <c r="H72" s="6"/>
      <c r="K72" s="2"/>
    </row>
    <row r="73" spans="1:12" ht="12" thickTop="1" x14ac:dyDescent="0.2">
      <c r="K73" s="2"/>
    </row>
    <row r="74" spans="1:12" x14ac:dyDescent="0.2">
      <c r="A74" t="s">
        <v>17</v>
      </c>
      <c r="B74" s="12" t="str">
        <f>C10&amp;" Provided by TDI. "&amp;A25&amp;" - "&amp;A37&amp;" are year ending "&amp;TEXT($L$39,"m/d/xx")&amp;" as of "&amp;TEXT($M$39,"m/d/yy")&amp;"; "&amp;A38&amp;" - "&amp;A65&amp;" are year ending "&amp;TEXT($L$40,"m/d/xx")&amp;" as of "&amp;TEXT($M$40,"m/d/yy")</f>
        <v>(2) Provided by TDI. 1983 - 1995 are year ending 9/30/xx as of 12/31/99; 1996 - 2023 are year ending 12/31/xx as of 12/31/23</v>
      </c>
      <c r="K74" s="2"/>
    </row>
    <row r="75" spans="1:12" x14ac:dyDescent="0.2">
      <c r="B75" s="12" t="str">
        <f>D10&amp;" Provided by TDI (1992 MR = 1992 manual rates)"</f>
        <v>(3) Provided by TDI (1992 MR = 1992 manual rates)</v>
      </c>
      <c r="D75" s="12"/>
      <c r="K75" s="2"/>
    </row>
    <row r="76" spans="1:12" x14ac:dyDescent="0.2">
      <c r="B76" s="12" t="str">
        <f>E10&amp;" "&amp;A35&amp;" - "&amp;YEAR(L40)&amp;": Sum of "&amp;'6.4'!$J$1&amp;", "&amp;'6.4'!$J$2&amp;" - 7"&amp;", "&amp;'6.4'!F12&amp;"; "&amp;A12&amp;" - "&amp;A34&amp;": "&amp;D10&amp;" * "&amp;TEXT('6.4'!$L$14,"2.831")&amp;",1992 on-level factor to bring industry premium to TWIA currrent rate level"</f>
        <v>(4) 1993 - 2023: Sum of Exhibit 6, Sheet 4 - 7, (5); 1970 - 1992: (3) * 2.831,1992 on-level factor to bring industry premium to TWIA currrent rate level</v>
      </c>
      <c r="K76" s="2"/>
    </row>
    <row r="77" spans="1:12" x14ac:dyDescent="0.2">
      <c r="B77" s="12" t="str">
        <f>F10&amp;" Provided by TDI. "&amp;A12&amp;" - "&amp;A24&amp;" are year ending "&amp;TEXT($L$39,"m/d/xx")&amp;" as of "&amp;TEXT($M$39,"m/d/yy")&amp;"; "&amp;A25&amp;" - "&amp;YEAR(L40)&amp;" are year ending "&amp;TEXT($L$40,"m/d/xx")&amp;" as of "&amp;TEXT($M$40,"m/d/yy")</f>
        <v>(5) Provided by TDI. 1970 - 1982 are year ending 9/30/xx as of 12/31/99; 1983 - 2023 are year ending 12/31/xx as of 12/31/23</v>
      </c>
      <c r="K77" s="2"/>
    </row>
    <row r="78" spans="1:12" x14ac:dyDescent="0.2">
      <c r="B78" s="12" t="str">
        <f>G10&amp;" "&amp;A25&amp;" - "&amp;YEAR(L40)&amp;": "&amp;'6.3'!$I$1&amp;", "&amp;'6.3'!$I$2&amp;"; "&amp;A12&amp;" - "&amp;A24&amp;": "&amp;F10&amp;" / "&amp;E10</f>
        <v>(6) 1983 - 2023: Exhibit 6, Sheet 3; 1970 - 1982: (5) / (4)</v>
      </c>
      <c r="K78" s="2"/>
    </row>
    <row r="79" spans="1:12" ht="12" thickBot="1" x14ac:dyDescent="0.25">
      <c r="B79" s="12" t="str">
        <f>H10&amp;" ""H"" indicates hurricane year"</f>
        <v>(7) "H" indicates hurricane year</v>
      </c>
      <c r="K79" s="2"/>
    </row>
    <row r="80" spans="1:12" ht="12" thickBot="1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3"/>
    </row>
  </sheetData>
  <phoneticPr fontId="0" type="noConversion"/>
  <pageMargins left="0.5" right="0.5" top="0.5" bottom="0.5" header="0.5" footer="0.5"/>
  <pageSetup scale="91" fitToWidth="0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00FF00"/>
  </sheetPr>
  <dimension ref="A1:O71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7" width="14" customWidth="1"/>
    <col min="8" max="8" width="18" bestFit="1" customWidth="1"/>
    <col min="9" max="9" width="7" customWidth="1"/>
  </cols>
  <sheetData>
    <row r="1" spans="1:15" x14ac:dyDescent="0.2">
      <c r="A1" s="8" t="str">
        <f>'1'!$A$1</f>
        <v>Texas Windstorm Insurance Association</v>
      </c>
      <c r="B1" s="12"/>
      <c r="I1" s="7" t="s">
        <v>68</v>
      </c>
      <c r="J1" s="1"/>
      <c r="N1" t="s">
        <v>447</v>
      </c>
      <c r="O1" t="s">
        <v>467</v>
      </c>
    </row>
    <row r="2" spans="1:15" x14ac:dyDescent="0.2">
      <c r="A2" s="8" t="str">
        <f>'1'!$A$2</f>
        <v>Commercial Property - Wind &amp; Hail</v>
      </c>
      <c r="B2" s="12"/>
      <c r="I2" s="7" t="s">
        <v>60</v>
      </c>
      <c r="J2" s="2"/>
      <c r="N2" t="s">
        <v>447</v>
      </c>
      <c r="O2" t="s">
        <v>473</v>
      </c>
    </row>
    <row r="3" spans="1:15" x14ac:dyDescent="0.2">
      <c r="A3" s="8" t="str">
        <f>'1'!$A$3</f>
        <v>Rate Level Review</v>
      </c>
      <c r="B3" s="12"/>
      <c r="J3" s="2"/>
      <c r="N3" t="s">
        <v>447</v>
      </c>
      <c r="O3" t="s">
        <v>477</v>
      </c>
    </row>
    <row r="4" spans="1:15" x14ac:dyDescent="0.2">
      <c r="A4" t="s">
        <v>205</v>
      </c>
      <c r="B4" s="12"/>
      <c r="J4" s="2"/>
      <c r="N4" t="s">
        <v>447</v>
      </c>
      <c r="O4" t="s">
        <v>478</v>
      </c>
    </row>
    <row r="5" spans="1:15" x14ac:dyDescent="0.2">
      <c r="A5" t="s">
        <v>536</v>
      </c>
      <c r="J5" s="2"/>
      <c r="N5" t="s">
        <v>447</v>
      </c>
      <c r="O5" t="s">
        <v>479</v>
      </c>
    </row>
    <row r="6" spans="1:15" ht="12" thickBot="1" x14ac:dyDescent="0.25">
      <c r="A6" s="6"/>
      <c r="B6" s="6"/>
      <c r="C6" s="6"/>
      <c r="D6" s="6"/>
      <c r="E6" s="6"/>
      <c r="F6" s="6"/>
      <c r="G6" s="6"/>
      <c r="H6" s="6"/>
      <c r="I6" s="6"/>
      <c r="J6" s="2"/>
    </row>
    <row r="7" spans="1:15" ht="12" thickTop="1" x14ac:dyDescent="0.2">
      <c r="J7" s="2"/>
    </row>
    <row r="8" spans="1:15" x14ac:dyDescent="0.2">
      <c r="A8" t="s">
        <v>40</v>
      </c>
      <c r="C8" s="173" t="s">
        <v>87</v>
      </c>
      <c r="D8" s="173"/>
      <c r="E8" s="173"/>
      <c r="F8" s="173"/>
      <c r="J8" s="2"/>
    </row>
    <row r="9" spans="1:15" x14ac:dyDescent="0.2">
      <c r="A9" t="s">
        <v>41</v>
      </c>
      <c r="C9" s="11"/>
      <c r="D9" s="11"/>
      <c r="E9" s="11"/>
      <c r="F9" s="11"/>
      <c r="G9" s="11" t="s">
        <v>86</v>
      </c>
      <c r="H9" s="11" t="s">
        <v>542</v>
      </c>
      <c r="J9" s="2"/>
      <c r="K9" s="24"/>
    </row>
    <row r="10" spans="1:15" x14ac:dyDescent="0.2">
      <c r="A10" s="9" t="s">
        <v>26</v>
      </c>
      <c r="B10" s="9"/>
      <c r="C10" s="144" t="s">
        <v>83</v>
      </c>
      <c r="D10" s="144" t="s">
        <v>84</v>
      </c>
      <c r="E10" s="144" t="s">
        <v>85</v>
      </c>
      <c r="F10" s="144" t="s">
        <v>21</v>
      </c>
      <c r="G10" s="144" t="s">
        <v>51</v>
      </c>
      <c r="H10" s="144" t="s">
        <v>51</v>
      </c>
      <c r="I10" s="9"/>
      <c r="J10" s="2"/>
      <c r="K10" s="12"/>
    </row>
    <row r="11" spans="1:15" x14ac:dyDescent="0.2">
      <c r="A11" s="11" t="str">
        <f>TEXT(COLUMN(),"(#)")</f>
        <v>(1)</v>
      </c>
      <c r="B11" s="11"/>
      <c r="C11" s="11" t="str">
        <f>TEXT(COLUMN()-1,"(#)")</f>
        <v>(2)</v>
      </c>
      <c r="D11" s="11" t="str">
        <f>TEXT(COLUMN()-1,"(#)")</f>
        <v>(3)</v>
      </c>
      <c r="E11" s="11" t="str">
        <f>TEXT(COLUMN()-1,"(#)")</f>
        <v>(4)</v>
      </c>
      <c r="F11" s="11" t="str">
        <f>TEXT(COLUMN()-1,"(#)")</f>
        <v>(5)</v>
      </c>
      <c r="G11" s="11" t="str">
        <f>TEXT(COLUMN()-1,"(#)")</f>
        <v>(6)</v>
      </c>
      <c r="H11" s="43" t="s">
        <v>76</v>
      </c>
      <c r="J11" s="2"/>
      <c r="K11" s="36"/>
    </row>
    <row r="12" spans="1:15" x14ac:dyDescent="0.2">
      <c r="J12" s="2"/>
    </row>
    <row r="13" spans="1:15" x14ac:dyDescent="0.2">
      <c r="A13" s="60">
        <v>1983</v>
      </c>
      <c r="C13" s="41">
        <f>'6.4'!H14</f>
        <v>9.6140000000000008</v>
      </c>
      <c r="D13" s="41">
        <f>'6.5'!H14</f>
        <v>4.1000000000000002E-2</v>
      </c>
      <c r="E13" s="41">
        <f>'6.6'!H14</f>
        <v>0.44700000000000001</v>
      </c>
      <c r="F13" s="41">
        <f>'6.7'!H14</f>
        <v>1.611</v>
      </c>
      <c r="G13" s="21">
        <f t="shared" ref="G13:G19" si="0">ROUND(SUMPRODUCT(C13:F13,$C$62:$F$62)/$G$62,3)</f>
        <v>3.1829999999999998</v>
      </c>
      <c r="H13" s="19">
        <f>G13</f>
        <v>3.1829999999999998</v>
      </c>
      <c r="J13" s="2"/>
    </row>
    <row r="14" spans="1:15" x14ac:dyDescent="0.2">
      <c r="A14" t="str">
        <f>TEXT(A13+1,"#")</f>
        <v>1984</v>
      </c>
      <c r="C14" s="41">
        <f>'6.4'!H15</f>
        <v>8.2000000000000003E-2</v>
      </c>
      <c r="D14" s="41">
        <f>'6.5'!H15</f>
        <v>4.1000000000000002E-2</v>
      </c>
      <c r="E14" s="41">
        <f>'6.6'!H15</f>
        <v>0.106</v>
      </c>
      <c r="F14" s="41">
        <f>'6.7'!H15</f>
        <v>0.154</v>
      </c>
      <c r="G14" s="21">
        <f t="shared" si="0"/>
        <v>8.2000000000000003E-2</v>
      </c>
      <c r="H14" s="19">
        <f t="shared" ref="H14:H38" si="1">G14</f>
        <v>8.2000000000000003E-2</v>
      </c>
      <c r="J14" s="2"/>
    </row>
    <row r="15" spans="1:15" x14ac:dyDescent="0.2">
      <c r="A15" t="str">
        <f t="shared" ref="A15:A45" si="2">TEXT(A14+1,"#")</f>
        <v>1985</v>
      </c>
      <c r="C15" s="41">
        <f>'6.4'!H16</f>
        <v>0.04</v>
      </c>
      <c r="D15" s="41">
        <f>'6.5'!H16</f>
        <v>2.7E-2</v>
      </c>
      <c r="E15" s="41">
        <f>'6.6'!H16</f>
        <v>4.7E-2</v>
      </c>
      <c r="F15" s="41">
        <f>'6.7'!H16</f>
        <v>8.5999999999999993E-2</v>
      </c>
      <c r="G15" s="21">
        <f t="shared" si="0"/>
        <v>0.04</v>
      </c>
      <c r="H15" s="19">
        <f t="shared" si="1"/>
        <v>0.04</v>
      </c>
      <c r="J15" s="2"/>
    </row>
    <row r="16" spans="1:15" x14ac:dyDescent="0.2">
      <c r="A16" t="str">
        <f t="shared" si="2"/>
        <v>1986</v>
      </c>
      <c r="C16" s="41">
        <f>'6.4'!H17</f>
        <v>3.2000000000000001E-2</v>
      </c>
      <c r="D16" s="41">
        <f>'6.5'!H17</f>
        <v>1.0999999999999999E-2</v>
      </c>
      <c r="E16" s="41">
        <f>'6.6'!H17</f>
        <v>0.17399999999999999</v>
      </c>
      <c r="F16" s="41">
        <f>'6.7'!H17</f>
        <v>0.13600000000000001</v>
      </c>
      <c r="G16" s="21">
        <f t="shared" si="0"/>
        <v>8.5999999999999993E-2</v>
      </c>
      <c r="H16" s="19">
        <f t="shared" si="1"/>
        <v>8.5999999999999993E-2</v>
      </c>
      <c r="J16" s="2"/>
    </row>
    <row r="17" spans="1:12" x14ac:dyDescent="0.2">
      <c r="A17" t="str">
        <f t="shared" si="2"/>
        <v>1987</v>
      </c>
      <c r="C17" s="41">
        <f>'6.4'!H18</f>
        <v>5.0000000000000001E-3</v>
      </c>
      <c r="D17" s="41">
        <f>'6.5'!H18</f>
        <v>1.7999999999999999E-2</v>
      </c>
      <c r="E17" s="41">
        <f>'6.6'!H18</f>
        <v>2.1999999999999999E-2</v>
      </c>
      <c r="F17" s="41">
        <f>'6.7'!H18</f>
        <v>3.3000000000000002E-2</v>
      </c>
      <c r="G17" s="21">
        <f t="shared" si="0"/>
        <v>1.6E-2</v>
      </c>
      <c r="H17" s="19">
        <f t="shared" si="1"/>
        <v>1.6E-2</v>
      </c>
      <c r="J17" s="2"/>
    </row>
    <row r="18" spans="1:12" ht="12.75" x14ac:dyDescent="0.2">
      <c r="A18" t="str">
        <f t="shared" si="2"/>
        <v>1988</v>
      </c>
      <c r="C18" s="41">
        <f>'6.4'!H19</f>
        <v>0.126</v>
      </c>
      <c r="D18" s="41">
        <f>'6.5'!H19</f>
        <v>3.6999999999999998E-2</v>
      </c>
      <c r="E18" s="41">
        <f>'6.6'!H19</f>
        <v>8.7999999999999995E-2</v>
      </c>
      <c r="F18" s="41">
        <f>'6.7'!H19</f>
        <v>5.1999999999999998E-2</v>
      </c>
      <c r="G18" s="21">
        <f t="shared" si="0"/>
        <v>8.5000000000000006E-2</v>
      </c>
      <c r="H18" s="19">
        <f t="shared" si="1"/>
        <v>8.5000000000000006E-2</v>
      </c>
      <c r="J18" s="2"/>
      <c r="L18" s="158"/>
    </row>
    <row r="19" spans="1:12" x14ac:dyDescent="0.2">
      <c r="A19" t="str">
        <f t="shared" si="2"/>
        <v>1989</v>
      </c>
      <c r="C19" s="41">
        <f>'6.4'!H20</f>
        <v>0.14599999999999999</v>
      </c>
      <c r="D19" s="41">
        <f>'6.5'!H20</f>
        <v>1.9E-2</v>
      </c>
      <c r="E19" s="41">
        <f>'6.6'!H20</f>
        <v>2.1000000000000001E-2</v>
      </c>
      <c r="F19" s="41">
        <f>'6.7'!H20</f>
        <v>5.8999999999999997E-2</v>
      </c>
      <c r="G19" s="21">
        <f t="shared" si="0"/>
        <v>0.06</v>
      </c>
      <c r="H19" s="19">
        <f t="shared" si="1"/>
        <v>0.06</v>
      </c>
      <c r="J19" s="2"/>
    </row>
    <row r="20" spans="1:12" x14ac:dyDescent="0.2">
      <c r="A20" t="str">
        <f t="shared" si="2"/>
        <v>1990</v>
      </c>
      <c r="C20" s="41">
        <f>'6.4'!H21</f>
        <v>2.577</v>
      </c>
      <c r="D20" s="41">
        <f>'6.5'!H21</f>
        <v>2.7E-2</v>
      </c>
      <c r="E20" s="41">
        <f>'6.6'!H21</f>
        <v>9.7000000000000003E-2</v>
      </c>
      <c r="F20" s="41">
        <f>'6.7'!H21</f>
        <v>7.3999999999999996E-2</v>
      </c>
      <c r="G20" s="21">
        <f t="shared" ref="G20" si="3">ROUND(SUMPRODUCT(C20:F20,$C$62:$F$62)/$G$62,3)</f>
        <v>0.84299999999999997</v>
      </c>
      <c r="H20" s="19">
        <f t="shared" si="1"/>
        <v>0.84299999999999997</v>
      </c>
      <c r="J20" s="2"/>
    </row>
    <row r="21" spans="1:12" x14ac:dyDescent="0.2">
      <c r="A21" t="str">
        <f>TEXT(A20+1,"#")</f>
        <v>1991</v>
      </c>
      <c r="C21" s="41">
        <f>'6.4'!H22</f>
        <v>0.23300000000000001</v>
      </c>
      <c r="D21" s="41">
        <f>'6.5'!H22</f>
        <v>0.23</v>
      </c>
      <c r="E21" s="41">
        <f>'6.6'!H22</f>
        <v>1.093</v>
      </c>
      <c r="F21" s="41">
        <f>'6.7'!H22</f>
        <v>0.05</v>
      </c>
      <c r="G21" s="21">
        <f t="shared" ref="G21:G49" si="4">ROUND(SUMPRODUCT(C21:F21,$C$62:$F$62)/$G$62,3)</f>
        <v>0.57899999999999996</v>
      </c>
      <c r="H21" s="19">
        <f t="shared" si="1"/>
        <v>0.57899999999999996</v>
      </c>
      <c r="J21" s="2"/>
    </row>
    <row r="22" spans="1:12" x14ac:dyDescent="0.2">
      <c r="A22" t="str">
        <f t="shared" si="2"/>
        <v>1992</v>
      </c>
      <c r="B22" s="12"/>
      <c r="C22" s="41">
        <f>'6.4'!H23</f>
        <v>8.0000000000000002E-3</v>
      </c>
      <c r="D22" s="41">
        <f>'6.5'!H23</f>
        <v>1.0999999999999999E-2</v>
      </c>
      <c r="E22" s="41">
        <f>'6.6'!H23</f>
        <v>2.3E-2</v>
      </c>
      <c r="F22" s="41">
        <f>'6.7'!H23</f>
        <v>4.1000000000000002E-2</v>
      </c>
      <c r="G22" s="21">
        <f t="shared" si="4"/>
        <v>1.4999999999999999E-2</v>
      </c>
      <c r="H22" s="19">
        <f t="shared" si="1"/>
        <v>1.4999999999999999E-2</v>
      </c>
      <c r="J22" s="2"/>
    </row>
    <row r="23" spans="1:12" x14ac:dyDescent="0.2">
      <c r="A23" t="str">
        <f t="shared" si="2"/>
        <v>1993</v>
      </c>
      <c r="B23" s="12"/>
      <c r="C23" s="41">
        <f>'6.4'!H24</f>
        <v>0.129</v>
      </c>
      <c r="D23" s="41">
        <f>'6.5'!H24</f>
        <v>1.7000000000000001E-2</v>
      </c>
      <c r="E23" s="41">
        <f>'6.6'!H24</f>
        <v>1.7000000000000001E-2</v>
      </c>
      <c r="F23" s="41">
        <f>'6.7'!H24</f>
        <v>5.3999999999999999E-2</v>
      </c>
      <c r="G23" s="21">
        <f t="shared" si="4"/>
        <v>5.1999999999999998E-2</v>
      </c>
      <c r="H23" s="19">
        <f t="shared" si="1"/>
        <v>5.1999999999999998E-2</v>
      </c>
      <c r="J23" s="2"/>
    </row>
    <row r="24" spans="1:12" x14ac:dyDescent="0.2">
      <c r="A24" t="str">
        <f t="shared" si="2"/>
        <v>1994</v>
      </c>
      <c r="B24" s="12"/>
      <c r="C24" s="41">
        <f>'6.4'!H25</f>
        <v>3.0000000000000001E-3</v>
      </c>
      <c r="D24" s="41">
        <f>'6.5'!H25</f>
        <v>3.5000000000000003E-2</v>
      </c>
      <c r="E24" s="41">
        <f>'6.6'!H25</f>
        <v>0.187</v>
      </c>
      <c r="F24" s="41">
        <f>'6.7'!H25</f>
        <v>7.4999999999999997E-2</v>
      </c>
      <c r="G24" s="21">
        <f t="shared" si="4"/>
        <v>8.6999999999999994E-2</v>
      </c>
      <c r="H24" s="19">
        <f t="shared" si="1"/>
        <v>8.6999999999999994E-2</v>
      </c>
      <c r="J24" s="2"/>
    </row>
    <row r="25" spans="1:12" x14ac:dyDescent="0.2">
      <c r="A25" t="str">
        <f t="shared" si="2"/>
        <v>1995</v>
      </c>
      <c r="C25" s="41">
        <f>'6.4'!H26</f>
        <v>7.3999999999999996E-2</v>
      </c>
      <c r="D25" s="41">
        <f>'6.5'!H26</f>
        <v>9.8000000000000004E-2</v>
      </c>
      <c r="E25" s="41">
        <f>'6.6'!H26</f>
        <v>0.35799999999999998</v>
      </c>
      <c r="F25" s="41">
        <f>'6.7'!H26</f>
        <v>0.19600000000000001</v>
      </c>
      <c r="G25" s="21">
        <f t="shared" si="4"/>
        <v>0.19800000000000001</v>
      </c>
      <c r="H25" s="19">
        <f t="shared" si="1"/>
        <v>0.19800000000000001</v>
      </c>
      <c r="J25" s="2"/>
    </row>
    <row r="26" spans="1:12" x14ac:dyDescent="0.2">
      <c r="A26" t="str">
        <f t="shared" si="2"/>
        <v>1996</v>
      </c>
      <c r="C26" s="41">
        <f>'6.4'!H27</f>
        <v>1.4E-2</v>
      </c>
      <c r="D26" s="41">
        <f>'6.5'!H27</f>
        <v>2.7E-2</v>
      </c>
      <c r="E26" s="41">
        <f>'6.6'!H27</f>
        <v>0.03</v>
      </c>
      <c r="F26" s="41">
        <f>'6.7'!H27</f>
        <v>6.3E-2</v>
      </c>
      <c r="G26" s="21">
        <f t="shared" si="4"/>
        <v>2.5000000000000001E-2</v>
      </c>
      <c r="H26" s="19">
        <f t="shared" si="1"/>
        <v>2.5000000000000001E-2</v>
      </c>
      <c r="J26" s="2"/>
    </row>
    <row r="27" spans="1:12" x14ac:dyDescent="0.2">
      <c r="A27" t="str">
        <f t="shared" si="2"/>
        <v>1997</v>
      </c>
      <c r="C27" s="41">
        <f>'6.4'!H28</f>
        <v>0.05</v>
      </c>
      <c r="D27" s="41">
        <f>'6.5'!H28</f>
        <v>1.9E-2</v>
      </c>
      <c r="E27" s="41">
        <f>'6.6'!H28</f>
        <v>3.4000000000000002E-2</v>
      </c>
      <c r="F27" s="41">
        <f>'6.7'!H28</f>
        <v>8.5999999999999993E-2</v>
      </c>
      <c r="G27" s="21">
        <f t="shared" si="4"/>
        <v>3.5999999999999997E-2</v>
      </c>
      <c r="H27" s="19">
        <f t="shared" si="1"/>
        <v>3.5999999999999997E-2</v>
      </c>
      <c r="J27" s="2"/>
    </row>
    <row r="28" spans="1:12" x14ac:dyDescent="0.2">
      <c r="A28" t="str">
        <f t="shared" si="2"/>
        <v>1998</v>
      </c>
      <c r="C28" s="41">
        <f>'6.4'!H29</f>
        <v>0.19700000000000001</v>
      </c>
      <c r="D28" s="41">
        <f>'6.5'!H29</f>
        <v>0.13100000000000001</v>
      </c>
      <c r="E28" s="41">
        <f>'6.6'!H29</f>
        <v>0.109</v>
      </c>
      <c r="F28" s="41">
        <f>'6.7'!H29</f>
        <v>8.5999999999999993E-2</v>
      </c>
      <c r="G28" s="21">
        <f t="shared" si="4"/>
        <v>0.14199999999999999</v>
      </c>
      <c r="H28" s="19">
        <f t="shared" si="1"/>
        <v>0.14199999999999999</v>
      </c>
      <c r="J28" s="2"/>
    </row>
    <row r="29" spans="1:12" x14ac:dyDescent="0.2">
      <c r="A29" t="str">
        <f t="shared" si="2"/>
        <v>1999</v>
      </c>
      <c r="C29" s="41">
        <f>'6.4'!H30</f>
        <v>2.5999999999999999E-2</v>
      </c>
      <c r="D29" s="41">
        <f>'6.5'!H30</f>
        <v>0.12</v>
      </c>
      <c r="E29" s="41">
        <f>'6.6'!H30</f>
        <v>0.111</v>
      </c>
      <c r="F29" s="41">
        <f>'6.7'!H30</f>
        <v>8.5000000000000006E-2</v>
      </c>
      <c r="G29" s="21">
        <f t="shared" si="4"/>
        <v>8.6999999999999994E-2</v>
      </c>
      <c r="H29" s="19">
        <f t="shared" si="1"/>
        <v>8.6999999999999994E-2</v>
      </c>
      <c r="J29" s="2"/>
    </row>
    <row r="30" spans="1:12" x14ac:dyDescent="0.2">
      <c r="A30" t="str">
        <f t="shared" si="2"/>
        <v>2000</v>
      </c>
      <c r="C30" s="41">
        <f>'6.4'!H31</f>
        <v>0.02</v>
      </c>
      <c r="D30" s="41">
        <f>'6.5'!H31</f>
        <v>1.9E-2</v>
      </c>
      <c r="E30" s="41">
        <f>'6.6'!H31</f>
        <v>0.13200000000000001</v>
      </c>
      <c r="F30" s="41">
        <f>'6.7'!H31</f>
        <v>0.56100000000000005</v>
      </c>
      <c r="G30" s="21">
        <f t="shared" si="4"/>
        <v>7.2999999999999995E-2</v>
      </c>
      <c r="H30" s="19">
        <f t="shared" si="1"/>
        <v>7.2999999999999995E-2</v>
      </c>
      <c r="J30" s="2"/>
    </row>
    <row r="31" spans="1:12" x14ac:dyDescent="0.2">
      <c r="A31" t="str">
        <f t="shared" si="2"/>
        <v>2001</v>
      </c>
      <c r="C31" s="41">
        <f>'6.4'!H32</f>
        <v>6.7000000000000004E-2</v>
      </c>
      <c r="D31" s="41">
        <f>'6.5'!H32</f>
        <v>0.03</v>
      </c>
      <c r="E31" s="41">
        <f>'6.6'!H32</f>
        <v>5.3999999999999999E-2</v>
      </c>
      <c r="F31" s="41">
        <f>'6.7'!H32</f>
        <v>0.27300000000000002</v>
      </c>
      <c r="G31" s="21">
        <f t="shared" si="4"/>
        <v>5.5E-2</v>
      </c>
      <c r="H31" s="19">
        <f t="shared" si="1"/>
        <v>5.5E-2</v>
      </c>
      <c r="J31" s="2"/>
    </row>
    <row r="32" spans="1:12" x14ac:dyDescent="0.2">
      <c r="A32" t="str">
        <f t="shared" si="2"/>
        <v>2002</v>
      </c>
      <c r="C32" s="41">
        <f>'6.4'!H33</f>
        <v>0.111</v>
      </c>
      <c r="D32" s="41">
        <f>'6.5'!H33</f>
        <v>0.29799999999999999</v>
      </c>
      <c r="E32" s="41">
        <f>'6.6'!H33</f>
        <v>6.8000000000000005E-2</v>
      </c>
      <c r="F32" s="41">
        <f>'6.7'!H33</f>
        <v>9.1999999999999998E-2</v>
      </c>
      <c r="G32" s="21">
        <f t="shared" si="4"/>
        <v>0.14399999999999999</v>
      </c>
      <c r="H32" s="19">
        <f t="shared" si="1"/>
        <v>0.14399999999999999</v>
      </c>
      <c r="J32" s="2"/>
    </row>
    <row r="33" spans="1:14" x14ac:dyDescent="0.2">
      <c r="A33" t="str">
        <f t="shared" si="2"/>
        <v>2003</v>
      </c>
      <c r="B33" s="22"/>
      <c r="C33" s="41">
        <f>'6.4'!H34</f>
        <v>2.1999999999999999E-2</v>
      </c>
      <c r="D33" s="41">
        <f>'6.5'!H34</f>
        <v>7.9000000000000001E-2</v>
      </c>
      <c r="E33" s="41">
        <f>'6.6'!H34</f>
        <v>0.46600000000000003</v>
      </c>
      <c r="F33" s="41">
        <f>'6.7'!H34</f>
        <v>0.29499999999999998</v>
      </c>
      <c r="G33" s="21">
        <f t="shared" si="4"/>
        <v>0.222</v>
      </c>
      <c r="H33" s="19">
        <f t="shared" si="1"/>
        <v>0.222</v>
      </c>
      <c r="J33" s="2"/>
      <c r="K33" t="s">
        <v>214</v>
      </c>
    </row>
    <row r="34" spans="1:14" x14ac:dyDescent="0.2">
      <c r="A34" t="str">
        <f t="shared" si="2"/>
        <v>2004</v>
      </c>
      <c r="B34" s="22"/>
      <c r="C34" s="41">
        <f>'6.4'!H35</f>
        <v>2.7E-2</v>
      </c>
      <c r="D34" s="41">
        <f>'6.5'!H35</f>
        <v>6.0000000000000001E-3</v>
      </c>
      <c r="E34" s="41">
        <f>'6.6'!H35</f>
        <v>1.9E-2</v>
      </c>
      <c r="F34" s="41">
        <f>'6.7'!H35</f>
        <v>0.03</v>
      </c>
      <c r="G34" s="21">
        <f t="shared" si="4"/>
        <v>1.7999999999999999E-2</v>
      </c>
      <c r="H34" s="19">
        <f t="shared" si="1"/>
        <v>1.7999999999999999E-2</v>
      </c>
      <c r="J34" s="2"/>
      <c r="K34" s="131">
        <f>'6.4'!L50</f>
        <v>45291</v>
      </c>
    </row>
    <row r="35" spans="1:14" x14ac:dyDescent="0.2">
      <c r="A35" t="str">
        <f t="shared" si="2"/>
        <v>2005</v>
      </c>
      <c r="B35" s="22"/>
      <c r="C35" s="41">
        <f>'6.4'!H36</f>
        <v>0.63400000000000001</v>
      </c>
      <c r="D35" s="41">
        <f>'6.5'!H36</f>
        <v>1.6E-2</v>
      </c>
      <c r="E35" s="41">
        <f>'6.6'!H36</f>
        <v>3.5990000000000002</v>
      </c>
      <c r="F35" s="41">
        <f>'6.7'!H36</f>
        <v>0.48399999999999999</v>
      </c>
      <c r="G35" s="21">
        <f t="shared" si="4"/>
        <v>1.669</v>
      </c>
      <c r="H35" s="19">
        <f t="shared" si="1"/>
        <v>1.669</v>
      </c>
      <c r="J35" s="2"/>
    </row>
    <row r="36" spans="1:14" x14ac:dyDescent="0.2">
      <c r="A36" t="str">
        <f t="shared" si="2"/>
        <v>2006</v>
      </c>
      <c r="B36" s="22"/>
      <c r="C36" s="41">
        <f>'6.4'!H37</f>
        <v>2.1999999999999999E-2</v>
      </c>
      <c r="D36" s="41">
        <f>'6.5'!H37</f>
        <v>0.01</v>
      </c>
      <c r="E36" s="41">
        <f>'6.6'!H37</f>
        <v>2.5000000000000001E-2</v>
      </c>
      <c r="F36" s="41">
        <f>'6.7'!H37</f>
        <v>5.6000000000000001E-2</v>
      </c>
      <c r="G36" s="21">
        <f t="shared" si="4"/>
        <v>0.02</v>
      </c>
      <c r="H36" s="19">
        <f t="shared" si="1"/>
        <v>0.02</v>
      </c>
      <c r="J36" s="2"/>
    </row>
    <row r="37" spans="1:14" x14ac:dyDescent="0.2">
      <c r="A37" t="str">
        <f t="shared" si="2"/>
        <v>2007</v>
      </c>
      <c r="B37" s="22"/>
      <c r="C37" s="41">
        <f>'6.4'!H38</f>
        <v>1.4999999999999999E-2</v>
      </c>
      <c r="D37" s="41">
        <f>'6.5'!H38</f>
        <v>0.53800000000000003</v>
      </c>
      <c r="E37" s="41">
        <f>'6.6'!H38</f>
        <v>5.6000000000000001E-2</v>
      </c>
      <c r="F37" s="41">
        <f>'6.7'!H38</f>
        <v>9.4E-2</v>
      </c>
      <c r="G37" s="21">
        <f t="shared" si="4"/>
        <v>0.17399999999999999</v>
      </c>
      <c r="H37" s="19">
        <f t="shared" si="1"/>
        <v>0.17399999999999999</v>
      </c>
      <c r="J37" s="2"/>
    </row>
    <row r="38" spans="1:14" x14ac:dyDescent="0.2">
      <c r="A38" t="str">
        <f t="shared" si="2"/>
        <v>2008</v>
      </c>
      <c r="B38" s="22"/>
      <c r="C38" s="41">
        <f>'6.4'!H39</f>
        <v>6.6580000000000004</v>
      </c>
      <c r="D38" s="41">
        <f>'6.5'!H39</f>
        <v>0.34599999999999997</v>
      </c>
      <c r="E38" s="41">
        <f>'6.6'!H39</f>
        <v>4.5880000000000001</v>
      </c>
      <c r="F38" s="41">
        <f>'6.7'!H39</f>
        <v>4.657</v>
      </c>
      <c r="G38" s="21">
        <f t="shared" si="4"/>
        <v>4.0810000000000004</v>
      </c>
      <c r="H38" s="19">
        <f t="shared" si="1"/>
        <v>4.0810000000000004</v>
      </c>
      <c r="J38" s="2"/>
    </row>
    <row r="39" spans="1:14" x14ac:dyDescent="0.2">
      <c r="A39" t="str">
        <f t="shared" si="2"/>
        <v>2009</v>
      </c>
      <c r="C39" s="41">
        <f>'6.4'!H40</f>
        <v>2.4E-2</v>
      </c>
      <c r="D39" s="41">
        <f>'6.5'!H40</f>
        <v>4.4999999999999998E-2</v>
      </c>
      <c r="E39" s="41">
        <f>'6.6'!H40</f>
        <v>1.4999999999999999E-2</v>
      </c>
      <c r="F39" s="41">
        <f>'6.7'!H40</f>
        <v>9.1999999999999998E-2</v>
      </c>
      <c r="G39" s="21">
        <f t="shared" si="4"/>
        <v>2.7E-2</v>
      </c>
      <c r="H39" s="19">
        <f>G39</f>
        <v>2.7E-2</v>
      </c>
      <c r="J39" s="2"/>
    </row>
    <row r="40" spans="1:14" x14ac:dyDescent="0.2">
      <c r="A40" t="str">
        <f t="shared" si="2"/>
        <v>2010</v>
      </c>
      <c r="C40" s="41">
        <f>'6.4'!H41</f>
        <v>1.4E-2</v>
      </c>
      <c r="D40" s="41">
        <f>'6.5'!H41</f>
        <v>4.3999999999999997E-2</v>
      </c>
      <c r="E40" s="41">
        <f>'6.6'!H41</f>
        <v>5.8000000000000003E-2</v>
      </c>
      <c r="F40" s="41">
        <f>'6.7'!H41</f>
        <v>3.2000000000000001E-2</v>
      </c>
      <c r="G40" s="21">
        <f t="shared" si="4"/>
        <v>0.04</v>
      </c>
      <c r="H40" s="19">
        <f>G40</f>
        <v>0.04</v>
      </c>
      <c r="J40" s="2"/>
    </row>
    <row r="41" spans="1:14" x14ac:dyDescent="0.2">
      <c r="A41" t="str">
        <f t="shared" si="2"/>
        <v>2011</v>
      </c>
      <c r="C41" s="41">
        <f>'6.4'!H42</f>
        <v>3.6999999999999998E-2</v>
      </c>
      <c r="D41" s="41">
        <f>'6.5'!H42</f>
        <v>0.28799999999999998</v>
      </c>
      <c r="E41" s="41">
        <f>'6.6'!H42</f>
        <v>0.17699999999999999</v>
      </c>
      <c r="F41" s="41">
        <f>'6.7'!H42</f>
        <v>0.184</v>
      </c>
      <c r="G41" s="21">
        <f t="shared" si="4"/>
        <v>0.16400000000000001</v>
      </c>
      <c r="H41" s="19">
        <f>G41</f>
        <v>0.16400000000000001</v>
      </c>
      <c r="J41" s="2"/>
    </row>
    <row r="42" spans="1:14" x14ac:dyDescent="0.2">
      <c r="A42" t="str">
        <f t="shared" si="2"/>
        <v>2012</v>
      </c>
      <c r="C42" s="41">
        <f>'6.4'!H43</f>
        <v>0.18</v>
      </c>
      <c r="D42" s="41">
        <f>'6.5'!H43</f>
        <v>0.22900000000000001</v>
      </c>
      <c r="E42" s="41">
        <f>'6.6'!H43</f>
        <v>0.14499999999999999</v>
      </c>
      <c r="F42" s="41">
        <f>'6.7'!H43</f>
        <v>0.1</v>
      </c>
      <c r="G42" s="21">
        <f t="shared" si="4"/>
        <v>0.17799999999999999</v>
      </c>
      <c r="H42" s="19">
        <f>G42</f>
        <v>0.17799999999999999</v>
      </c>
      <c r="J42" s="2"/>
    </row>
    <row r="43" spans="1:14" x14ac:dyDescent="0.2">
      <c r="A43" t="str">
        <f t="shared" si="2"/>
        <v>2013</v>
      </c>
      <c r="C43" s="41">
        <f>'6.4'!H44</f>
        <v>0.13600000000000001</v>
      </c>
      <c r="D43" s="41">
        <f>'6.5'!H44</f>
        <v>0.04</v>
      </c>
      <c r="E43" s="41">
        <f>'6.6'!H44</f>
        <v>8.9999999999999993E-3</v>
      </c>
      <c r="F43" s="41">
        <f>'6.7'!H44</f>
        <v>6.8000000000000005E-2</v>
      </c>
      <c r="G43" s="21">
        <f t="shared" si="4"/>
        <v>5.7000000000000002E-2</v>
      </c>
      <c r="H43" s="19">
        <f>G43</f>
        <v>5.7000000000000002E-2</v>
      </c>
      <c r="J43" s="2"/>
      <c r="K43" t="s">
        <v>213</v>
      </c>
      <c r="N43" s="11" t="s">
        <v>519</v>
      </c>
    </row>
    <row r="44" spans="1:14" x14ac:dyDescent="0.2">
      <c r="A44" t="str">
        <f t="shared" si="2"/>
        <v>2014</v>
      </c>
      <c r="C44" s="41">
        <f>'6.4'!H45</f>
        <v>5.0000000000000001E-3</v>
      </c>
      <c r="D44" s="41">
        <f>'6.5'!H45</f>
        <v>3.2000000000000001E-2</v>
      </c>
      <c r="E44" s="41">
        <f>'6.6'!H45</f>
        <v>1.2E-2</v>
      </c>
      <c r="F44" s="41">
        <f>'6.7'!H45</f>
        <v>4.2999999999999997E-2</v>
      </c>
      <c r="G44" s="37">
        <f t="shared" si="4"/>
        <v>1.6E-2</v>
      </c>
      <c r="H44" s="249">
        <f>G44*N44</f>
        <v>1.6E-2</v>
      </c>
      <c r="J44" s="2"/>
      <c r="K44" s="61">
        <f>'6.4'!L50</f>
        <v>45291</v>
      </c>
      <c r="N44" s="252">
        <f>'4'!Q44/'4'!N44</f>
        <v>1</v>
      </c>
    </row>
    <row r="45" spans="1:14" x14ac:dyDescent="0.2">
      <c r="A45" t="str">
        <f t="shared" si="2"/>
        <v>2015</v>
      </c>
      <c r="C45" s="41">
        <f>'6.4'!H46</f>
        <v>0.115</v>
      </c>
      <c r="D45" s="41">
        <f>'6.5'!H46</f>
        <v>4.1000000000000002E-2</v>
      </c>
      <c r="E45" s="41">
        <f>'6.6'!H46</f>
        <v>0.214</v>
      </c>
      <c r="F45" s="41">
        <f>'6.7'!H46</f>
        <v>0.13400000000000001</v>
      </c>
      <c r="G45" s="37">
        <f t="shared" si="4"/>
        <v>0.13500000000000001</v>
      </c>
      <c r="H45" s="249">
        <f t="shared" ref="H45:H53" si="5">G45*N45</f>
        <v>0.13910788381742739</v>
      </c>
      <c r="J45" s="2"/>
      <c r="K45" s="64"/>
      <c r="N45" s="252">
        <f>'4'!Q45/'4'!N45</f>
        <v>1.0304287690179805</v>
      </c>
    </row>
    <row r="46" spans="1:14" x14ac:dyDescent="0.2">
      <c r="A46" s="22">
        <v>2016</v>
      </c>
      <c r="C46" s="41">
        <f>'6.4'!H47</f>
        <v>8.0000000000000002E-3</v>
      </c>
      <c r="D46" s="41">
        <f>'6.5'!H47</f>
        <v>8.4000000000000005E-2</v>
      </c>
      <c r="E46" s="41">
        <f>'6.6'!H47</f>
        <v>3.5999999999999997E-2</v>
      </c>
      <c r="F46" s="41">
        <f>'6.7'!H47</f>
        <v>0.3</v>
      </c>
      <c r="G46" s="37">
        <f t="shared" si="4"/>
        <v>4.3999999999999997E-2</v>
      </c>
      <c r="H46" s="249">
        <f t="shared" si="5"/>
        <v>4.3999999999999997E-2</v>
      </c>
      <c r="J46" s="2"/>
      <c r="K46" s="64"/>
      <c r="N46" s="252">
        <f>'4'!Q46/'4'!N46</f>
        <v>1</v>
      </c>
    </row>
    <row r="47" spans="1:14" x14ac:dyDescent="0.2">
      <c r="A47" s="22">
        <v>2017</v>
      </c>
      <c r="C47" s="41">
        <f>'6.4'!H48</f>
        <v>0.76600000000000001</v>
      </c>
      <c r="D47" s="41">
        <f>'6.5'!H48</f>
        <v>11.819000000000001</v>
      </c>
      <c r="E47" s="41">
        <f>'6.6'!H48</f>
        <v>4.4489999999999998</v>
      </c>
      <c r="F47" s="41">
        <f>'6.7'!H48</f>
        <v>1.25</v>
      </c>
      <c r="G47" s="37">
        <f>ROUND(SUMPRODUCT(C47:F47,$C$62:$F$62)/$G$62,3)</f>
        <v>5.2569999999999997</v>
      </c>
      <c r="H47" s="249">
        <f t="shared" si="5"/>
        <v>6.0890915106398973</v>
      </c>
      <c r="J47" s="2"/>
      <c r="N47" s="252">
        <f>'4'!Q47/'4'!N47</f>
        <v>1.1582825776374164</v>
      </c>
    </row>
    <row r="48" spans="1:14" x14ac:dyDescent="0.2">
      <c r="A48" s="22">
        <v>2018</v>
      </c>
      <c r="C48" s="41">
        <f>'6.4'!H49</f>
        <v>3.0000000000000001E-3</v>
      </c>
      <c r="D48" s="41">
        <f>'6.5'!H49</f>
        <v>0.02</v>
      </c>
      <c r="E48" s="41">
        <f>'6.6'!H49</f>
        <v>1.7999999999999999E-2</v>
      </c>
      <c r="F48" s="41">
        <f>'6.7'!H49</f>
        <v>0.13800000000000001</v>
      </c>
      <c r="G48" s="37">
        <f t="shared" si="4"/>
        <v>1.6E-2</v>
      </c>
      <c r="H48" s="249">
        <f t="shared" si="5"/>
        <v>1.7204301075268817E-2</v>
      </c>
      <c r="J48" s="2"/>
      <c r="N48" s="252">
        <f>'4'!Q48/'4'!N48</f>
        <v>1.075268817204301</v>
      </c>
    </row>
    <row r="49" spans="1:14" x14ac:dyDescent="0.2">
      <c r="A49" s="22">
        <v>2019</v>
      </c>
      <c r="C49" s="41">
        <f>'6.4'!H50</f>
        <v>1.0999999999999999E-2</v>
      </c>
      <c r="D49" s="41">
        <f>'6.5'!H50</f>
        <v>8.9999999999999993E-3</v>
      </c>
      <c r="E49" s="41">
        <f>'6.6'!H50</f>
        <v>6.5000000000000002E-2</v>
      </c>
      <c r="F49" s="41">
        <f>'6.7'!H50</f>
        <v>0.17100000000000001</v>
      </c>
      <c r="G49" s="37">
        <f t="shared" si="4"/>
        <v>3.5000000000000003E-2</v>
      </c>
      <c r="H49" s="249">
        <f t="shared" si="5"/>
        <v>4.1878612716763013E-2</v>
      </c>
      <c r="J49" s="2"/>
      <c r="N49" s="252">
        <f>'4'!Q49/'4'!N49</f>
        <v>1.1965317919075145</v>
      </c>
    </row>
    <row r="50" spans="1:14" x14ac:dyDescent="0.2">
      <c r="A50" s="22">
        <v>2020</v>
      </c>
      <c r="C50" s="41">
        <f>'6.4'!H51</f>
        <v>2.5000000000000001E-2</v>
      </c>
      <c r="D50" s="41">
        <f>'6.5'!H51</f>
        <v>8.5000000000000006E-2</v>
      </c>
      <c r="E50" s="41">
        <f>'6.6'!H51</f>
        <v>0.155</v>
      </c>
      <c r="F50" s="41">
        <f>'6.7'!H51</f>
        <v>0.254</v>
      </c>
      <c r="G50" s="37">
        <f>ROUND(SUMPRODUCT(C50:F50,$C$62:$F$62)/$G$62,3)</f>
        <v>9.7000000000000003E-2</v>
      </c>
      <c r="H50" s="249">
        <f t="shared" si="5"/>
        <v>0.14369431743958197</v>
      </c>
      <c r="J50" s="2"/>
      <c r="N50" s="252">
        <f>'4'!Q50/'4'!N50</f>
        <v>1.4813847158719791</v>
      </c>
    </row>
    <row r="51" spans="1:14" x14ac:dyDescent="0.2">
      <c r="A51" s="22">
        <v>2021</v>
      </c>
      <c r="C51" s="41">
        <f>'6.4'!H52</f>
        <v>0.20300000000000001</v>
      </c>
      <c r="D51" s="41">
        <f>'6.5'!H52</f>
        <v>3.0000000000000001E-3</v>
      </c>
      <c r="E51" s="41">
        <f>'6.6'!H52</f>
        <v>8.1000000000000003E-2</v>
      </c>
      <c r="F51" s="41">
        <f>'6.7'!H52</f>
        <v>0.23300000000000001</v>
      </c>
      <c r="G51" s="37">
        <f>ROUND(SUMPRODUCT(C51:F51,$C$62:$F$62)/$G$62,3)</f>
        <v>0.1</v>
      </c>
      <c r="H51" s="249">
        <f t="shared" si="5"/>
        <v>0.1459027777777778</v>
      </c>
      <c r="J51" s="2"/>
      <c r="N51" s="252">
        <f>'4'!Q51/'4'!N51</f>
        <v>1.4590277777777778</v>
      </c>
    </row>
    <row r="52" spans="1:14" x14ac:dyDescent="0.2">
      <c r="A52" s="22">
        <v>2022</v>
      </c>
      <c r="C52" s="41">
        <f>'6.4'!H53</f>
        <v>2.4E-2</v>
      </c>
      <c r="D52" s="41">
        <f>'6.5'!H53</f>
        <v>0.01</v>
      </c>
      <c r="E52" s="41">
        <f>'6.6'!H53</f>
        <v>4.1000000000000002E-2</v>
      </c>
      <c r="F52" s="41">
        <f>'6.7'!H53</f>
        <v>0.112</v>
      </c>
      <c r="G52" s="37">
        <f>ROUND(SUMPRODUCT(C52:F52,$C$62:$F$62)/$G$62,3)</f>
        <v>2.8000000000000001E-2</v>
      </c>
      <c r="H52" s="249">
        <f t="shared" si="5"/>
        <v>5.965517241379311E-2</v>
      </c>
      <c r="J52" s="2"/>
      <c r="N52" s="252">
        <f>'4'!Q52/'4'!N52</f>
        <v>2.1305418719211824</v>
      </c>
    </row>
    <row r="53" spans="1:14" x14ac:dyDescent="0.2">
      <c r="A53" s="22">
        <v>2023</v>
      </c>
      <c r="C53" s="41">
        <f>'6.4'!H54</f>
        <v>8.0000000000000002E-3</v>
      </c>
      <c r="D53" s="41">
        <f>'6.5'!H54</f>
        <v>2.5000000000000001E-2</v>
      </c>
      <c r="E53" s="41">
        <f>'6.6'!H54</f>
        <v>7.2999999999999995E-2</v>
      </c>
      <c r="F53" s="41">
        <f>'6.7'!H54</f>
        <v>0.10199999999999999</v>
      </c>
      <c r="G53" s="37">
        <f>ROUND(SUMPRODUCT(C53:F53,$C$62:$F$62)/$G$62,3)</f>
        <v>0.04</v>
      </c>
      <c r="H53" s="249">
        <f t="shared" si="5"/>
        <v>0.19557603686635944</v>
      </c>
      <c r="J53" s="2"/>
      <c r="N53" s="252">
        <f>'4'!Q53/'4'!N53</f>
        <v>4.8894009216589858</v>
      </c>
    </row>
    <row r="54" spans="1:14" x14ac:dyDescent="0.2">
      <c r="A54" s="22"/>
      <c r="C54" s="41"/>
      <c r="D54" s="41"/>
      <c r="E54" s="41"/>
      <c r="F54" s="41"/>
      <c r="G54" s="37"/>
      <c r="H54" s="249"/>
      <c r="J54" s="2"/>
    </row>
    <row r="55" spans="1:14" x14ac:dyDescent="0.2">
      <c r="A55" t="s">
        <v>46</v>
      </c>
      <c r="C55" s="21">
        <f t="shared" ref="C55:H55" si="6">ROUND(AVERAGE(C13:C54),3)</f>
        <v>0.54900000000000004</v>
      </c>
      <c r="D55" s="21">
        <f t="shared" si="6"/>
        <v>0.36599999999999999</v>
      </c>
      <c r="E55" s="21">
        <f t="shared" si="6"/>
        <v>0.42699999999999999</v>
      </c>
      <c r="F55" s="21">
        <f t="shared" si="6"/>
        <v>0.31</v>
      </c>
      <c r="G55" s="21">
        <f t="shared" si="6"/>
        <v>0.44600000000000001</v>
      </c>
      <c r="H55" s="21">
        <f t="shared" si="6"/>
        <v>0.47399999999999998</v>
      </c>
      <c r="J55" s="2"/>
    </row>
    <row r="56" spans="1:14" x14ac:dyDescent="0.2">
      <c r="C56" s="21"/>
      <c r="D56" s="21"/>
      <c r="E56" s="21"/>
      <c r="F56" s="21"/>
      <c r="G56" s="21"/>
      <c r="J56" s="2"/>
    </row>
    <row r="57" spans="1:14" x14ac:dyDescent="0.2">
      <c r="C57" s="173" t="str">
        <f>"TWIA "&amp;YEAR($K$44)&amp;" Written Premium by Territory / Tier"</f>
        <v>TWIA 2023 Written Premium by Territory / Tier</v>
      </c>
      <c r="D57" s="173"/>
      <c r="E57" s="173"/>
      <c r="F57" s="173"/>
      <c r="J57" s="2"/>
    </row>
    <row r="58" spans="1:14" x14ac:dyDescent="0.2">
      <c r="J58" s="2"/>
    </row>
    <row r="59" spans="1:14" x14ac:dyDescent="0.2">
      <c r="A59" s="9"/>
      <c r="B59" s="9"/>
      <c r="C59" s="144" t="s">
        <v>83</v>
      </c>
      <c r="D59" s="144" t="s">
        <v>84</v>
      </c>
      <c r="E59" s="144" t="s">
        <v>85</v>
      </c>
      <c r="F59" s="144" t="s">
        <v>21</v>
      </c>
      <c r="G59" s="144" t="s">
        <v>7</v>
      </c>
      <c r="J59" s="2"/>
    </row>
    <row r="60" spans="1:14" x14ac:dyDescent="0.2">
      <c r="J60" s="2"/>
    </row>
    <row r="61" spans="1:14" x14ac:dyDescent="0.2">
      <c r="A61" s="40" t="s">
        <v>75</v>
      </c>
      <c r="B61" t="s">
        <v>22</v>
      </c>
      <c r="C61" s="226">
        <f>'[2]TWIA 5'!$X$23</f>
        <v>40162381</v>
      </c>
      <c r="D61" s="226">
        <f>'[2]TWIA 5'!$X$24</f>
        <v>35190436</v>
      </c>
      <c r="E61" s="226">
        <f>'[2]TWIA 5'!$X$25</f>
        <v>52865719</v>
      </c>
      <c r="F61" s="226">
        <f>'[2]TWIA 5'!$X$26</f>
        <v>1944202</v>
      </c>
      <c r="G61" s="26">
        <f>SUM(C61:F61)</f>
        <v>130162738</v>
      </c>
      <c r="J61" s="2"/>
    </row>
    <row r="62" spans="1:14" x14ac:dyDescent="0.2">
      <c r="A62" s="40" t="s">
        <v>74</v>
      </c>
      <c r="B62" t="s">
        <v>88</v>
      </c>
      <c r="C62" s="77">
        <f>C61/$G61</f>
        <v>0.30855513349757596</v>
      </c>
      <c r="D62" s="77">
        <f>D61/$G61</f>
        <v>0.27035722005171708</v>
      </c>
      <c r="E62" s="77">
        <f>E61/$G61</f>
        <v>0.40615094467358237</v>
      </c>
      <c r="F62" s="77">
        <f>F61/$G61</f>
        <v>1.4936701777124571E-2</v>
      </c>
      <c r="G62" s="77">
        <f>SUM(C62:F62)</f>
        <v>1</v>
      </c>
      <c r="J62" s="2"/>
    </row>
    <row r="63" spans="1:14" ht="12" thickBot="1" x14ac:dyDescent="0.25">
      <c r="A63" s="6"/>
      <c r="B63" s="6"/>
      <c r="C63" s="6"/>
      <c r="D63" s="6"/>
      <c r="E63" s="6"/>
      <c r="F63" s="6"/>
      <c r="G63" s="6"/>
      <c r="J63" s="2"/>
    </row>
    <row r="64" spans="1:14" ht="12" thickTop="1" x14ac:dyDescent="0.2">
      <c r="J64" s="2"/>
    </row>
    <row r="65" spans="1:10" x14ac:dyDescent="0.2">
      <c r="A65" t="s">
        <v>17</v>
      </c>
      <c r="J65" s="2"/>
    </row>
    <row r="66" spans="1:10" x14ac:dyDescent="0.2">
      <c r="B66" s="12" t="str">
        <f>C11&amp;" "&amp;'6.4'!$J$1&amp;", "&amp;'6.4'!$J$2</f>
        <v>(2) Exhibit 6, Sheet 4</v>
      </c>
      <c r="E66" s="12" t="str">
        <f>G11&amp;" = Weighted average of "&amp;C11&amp;" to "&amp;F11&amp;", using "&amp;A62</f>
        <v>(6) = Weighted average of (2) to (5), using (9)</v>
      </c>
      <c r="J66" s="2"/>
    </row>
    <row r="67" spans="1:10" x14ac:dyDescent="0.2">
      <c r="B67" s="12" t="str">
        <f>D11&amp;" "&amp;'6.5'!$J$1&amp;", "&amp;'6.5'!$J$2</f>
        <v>(3) Exhibit 6, Sheet 5</v>
      </c>
      <c r="E67" t="s">
        <v>520</v>
      </c>
      <c r="J67" s="2"/>
    </row>
    <row r="68" spans="1:10" x14ac:dyDescent="0.2">
      <c r="B68" s="12" t="str">
        <f>E11&amp;" "&amp;'6.6'!$J$1&amp;", "&amp;'6.6'!$J$2</f>
        <v>(4) Exhibit 6, Sheet 6</v>
      </c>
      <c r="E68" s="22" t="str">
        <f>A61&amp;" Provided by TWIA"</f>
        <v>(8) Provided by TWIA</v>
      </c>
      <c r="J68" s="2"/>
    </row>
    <row r="69" spans="1:10" x14ac:dyDescent="0.2">
      <c r="B69" s="12" t="str">
        <f>F11&amp;" "&amp;'6.7'!$J$1&amp;", "&amp;'6.7'!$J$2</f>
        <v>(5) Exhibit 6, Sheet 7</v>
      </c>
      <c r="E69" s="22" t="str">
        <f>A62&amp;" = "&amp;A61&amp;" / "&amp;A61&amp;" Total"</f>
        <v>(9) = (8) / (8) Total</v>
      </c>
      <c r="J69" s="2"/>
    </row>
    <row r="70" spans="1:10" ht="12" thickBot="1" x14ac:dyDescent="0.25">
      <c r="J70" s="2"/>
    </row>
    <row r="71" spans="1:10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00FF00"/>
  </sheetPr>
  <dimension ref="A1:IJ93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  <col min="11" max="19" width="11.33203125" customWidth="1"/>
    <col min="20" max="59" width="5.5" bestFit="1" customWidth="1"/>
    <col min="60" max="62" width="5.6640625" bestFit="1" customWidth="1"/>
    <col min="63" max="64" width="5.6640625" customWidth="1"/>
    <col min="65" max="221" width="2.1640625" customWidth="1"/>
    <col min="222" max="244" width="2.33203125" customWidth="1"/>
  </cols>
  <sheetData>
    <row r="1" spans="1:64" x14ac:dyDescent="0.2">
      <c r="A1" s="8" t="str">
        <f>'1'!$A$1</f>
        <v>Texas Windstorm Insurance Association</v>
      </c>
      <c r="B1" s="12"/>
      <c r="J1" s="7" t="s">
        <v>68</v>
      </c>
      <c r="K1" s="1"/>
      <c r="L1" s="49">
        <v>45107</v>
      </c>
      <c r="N1" t="s">
        <v>447</v>
      </c>
      <c r="O1" t="s">
        <v>467</v>
      </c>
      <c r="R1" t="s">
        <v>447</v>
      </c>
      <c r="S1" t="s">
        <v>475</v>
      </c>
    </row>
    <row r="2" spans="1:64" x14ac:dyDescent="0.2">
      <c r="A2" s="8" t="str">
        <f>'1'!$A$2</f>
        <v>Commercial Property - Wind &amp; Hail</v>
      </c>
      <c r="B2" s="12"/>
      <c r="J2" s="7" t="s">
        <v>61</v>
      </c>
      <c r="K2" s="2"/>
      <c r="N2" t="s">
        <v>447</v>
      </c>
      <c r="O2" t="s">
        <v>473</v>
      </c>
      <c r="R2" t="s">
        <v>447</v>
      </c>
      <c r="S2" t="s">
        <v>485</v>
      </c>
    </row>
    <row r="3" spans="1:64" x14ac:dyDescent="0.2">
      <c r="A3" s="8" t="str">
        <f>'1'!$A$3</f>
        <v>Rate Level Review</v>
      </c>
      <c r="B3" s="12"/>
      <c r="K3" s="2"/>
      <c r="N3" t="s">
        <v>447</v>
      </c>
      <c r="O3" t="s">
        <v>474</v>
      </c>
    </row>
    <row r="4" spans="1:64" x14ac:dyDescent="0.2">
      <c r="A4" t="s">
        <v>205</v>
      </c>
      <c r="B4" s="12"/>
      <c r="K4" s="2"/>
    </row>
    <row r="5" spans="1:64" x14ac:dyDescent="0.2">
      <c r="A5" t="s">
        <v>25</v>
      </c>
      <c r="B5" s="12"/>
      <c r="E5" s="279"/>
      <c r="F5" s="279"/>
      <c r="G5" s="279"/>
      <c r="H5" s="279"/>
      <c r="K5" s="2"/>
      <c r="P5" s="10" t="s">
        <v>220</v>
      </c>
    </row>
    <row r="6" spans="1:64" x14ac:dyDescent="0.2">
      <c r="K6" s="2"/>
      <c r="P6" t="s">
        <v>173</v>
      </c>
      <c r="Q6" t="s">
        <v>221</v>
      </c>
      <c r="R6" s="11" t="s">
        <v>222</v>
      </c>
      <c r="S6" t="s">
        <v>48</v>
      </c>
      <c r="T6">
        <v>1980</v>
      </c>
      <c r="U6">
        <f>T6+1</f>
        <v>1981</v>
      </c>
      <c r="V6">
        <f t="shared" ref="V6:BB6" si="0">U6+1</f>
        <v>1982</v>
      </c>
      <c r="W6">
        <f t="shared" si="0"/>
        <v>1983</v>
      </c>
      <c r="X6">
        <f t="shared" si="0"/>
        <v>1984</v>
      </c>
      <c r="Y6">
        <f t="shared" si="0"/>
        <v>1985</v>
      </c>
      <c r="Z6">
        <f t="shared" si="0"/>
        <v>1986</v>
      </c>
      <c r="AA6">
        <f t="shared" si="0"/>
        <v>1987</v>
      </c>
      <c r="AB6">
        <f t="shared" si="0"/>
        <v>1988</v>
      </c>
      <c r="AC6">
        <f t="shared" si="0"/>
        <v>1989</v>
      </c>
      <c r="AD6">
        <f t="shared" si="0"/>
        <v>1990</v>
      </c>
      <c r="AE6">
        <f t="shared" si="0"/>
        <v>1991</v>
      </c>
      <c r="AF6">
        <f t="shared" si="0"/>
        <v>1992</v>
      </c>
      <c r="AG6">
        <f t="shared" si="0"/>
        <v>1993</v>
      </c>
      <c r="AH6">
        <f t="shared" si="0"/>
        <v>1994</v>
      </c>
      <c r="AI6">
        <f t="shared" si="0"/>
        <v>1995</v>
      </c>
      <c r="AJ6">
        <f t="shared" si="0"/>
        <v>1996</v>
      </c>
      <c r="AK6">
        <f t="shared" si="0"/>
        <v>1997</v>
      </c>
      <c r="AL6">
        <f t="shared" si="0"/>
        <v>1998</v>
      </c>
      <c r="AM6">
        <f t="shared" si="0"/>
        <v>1999</v>
      </c>
      <c r="AN6">
        <f t="shared" si="0"/>
        <v>2000</v>
      </c>
      <c r="AO6">
        <f t="shared" si="0"/>
        <v>2001</v>
      </c>
      <c r="AP6">
        <f t="shared" si="0"/>
        <v>2002</v>
      </c>
      <c r="AQ6">
        <f t="shared" si="0"/>
        <v>2003</v>
      </c>
      <c r="AR6">
        <f t="shared" si="0"/>
        <v>2004</v>
      </c>
      <c r="AS6">
        <f t="shared" si="0"/>
        <v>2005</v>
      </c>
      <c r="AT6">
        <f t="shared" si="0"/>
        <v>2006</v>
      </c>
      <c r="AU6">
        <f t="shared" si="0"/>
        <v>2007</v>
      </c>
      <c r="AV6">
        <f t="shared" si="0"/>
        <v>2008</v>
      </c>
      <c r="AW6">
        <f t="shared" si="0"/>
        <v>2009</v>
      </c>
      <c r="AX6">
        <f t="shared" si="0"/>
        <v>2010</v>
      </c>
      <c r="AY6">
        <f t="shared" si="0"/>
        <v>2011</v>
      </c>
      <c r="AZ6">
        <f t="shared" si="0"/>
        <v>2012</v>
      </c>
      <c r="BA6">
        <f t="shared" si="0"/>
        <v>2013</v>
      </c>
      <c r="BB6">
        <f t="shared" si="0"/>
        <v>2014</v>
      </c>
      <c r="BC6">
        <f t="shared" ref="BC6" si="1">BB6+1</f>
        <v>2015</v>
      </c>
      <c r="BD6">
        <f t="shared" ref="BD6" si="2">BC6+1</f>
        <v>2016</v>
      </c>
      <c r="BE6">
        <f t="shared" ref="BE6" si="3">BD6+1</f>
        <v>2017</v>
      </c>
      <c r="BF6">
        <f t="shared" ref="BF6" si="4">BE6+1</f>
        <v>2018</v>
      </c>
      <c r="BG6">
        <f t="shared" ref="BG6" si="5">BF6+1</f>
        <v>2019</v>
      </c>
      <c r="BH6">
        <v>2020</v>
      </c>
      <c r="BI6">
        <v>2021</v>
      </c>
      <c r="BJ6">
        <v>2022</v>
      </c>
      <c r="BK6">
        <v>2023</v>
      </c>
      <c r="BL6">
        <v>2024</v>
      </c>
    </row>
    <row r="7" spans="1:64" ht="12" thickBot="1" x14ac:dyDescent="0.25">
      <c r="A7" s="6"/>
      <c r="B7" s="6"/>
      <c r="C7" s="6"/>
      <c r="D7" s="6"/>
      <c r="E7" s="6"/>
      <c r="F7" s="6"/>
      <c r="G7" s="6"/>
      <c r="H7" s="6"/>
      <c r="K7" s="2"/>
      <c r="O7" t="s">
        <v>14</v>
      </c>
      <c r="P7" t="str">
        <f>'9.3'!A14</f>
        <v>Prior</v>
      </c>
      <c r="R7" s="252">
        <v>1</v>
      </c>
      <c r="S7" s="67">
        <f>'9.3'!D14</f>
        <v>1</v>
      </c>
      <c r="T7" s="67">
        <f>1-T8</f>
        <v>0.91319444444444442</v>
      </c>
      <c r="U7" s="67">
        <f>0.5*(7/12)^2</f>
        <v>0.17013888888888892</v>
      </c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</row>
    <row r="8" spans="1:64" ht="12" thickTop="1" x14ac:dyDescent="0.2">
      <c r="K8" s="2"/>
      <c r="O8" t="s">
        <v>15</v>
      </c>
      <c r="P8" t="str">
        <f>'9.3'!A15</f>
        <v>8/1/80</v>
      </c>
      <c r="Q8" s="165">
        <f>'9.3'!C15</f>
        <v>0.17499999999999999</v>
      </c>
      <c r="R8" s="252">
        <f>R7+Q8</f>
        <v>1.175</v>
      </c>
      <c r="S8" s="67">
        <f>'9.3'!D15</f>
        <v>1.175</v>
      </c>
      <c r="T8" s="67">
        <f>0.5*(5/12)^2</f>
        <v>8.6805555555555566E-2</v>
      </c>
      <c r="U8" s="67">
        <f>1-U7-U9</f>
        <v>0.77430555555555547</v>
      </c>
      <c r="V8" s="67">
        <f>0.5*(8/12)^2</f>
        <v>0.22222222222222221</v>
      </c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</row>
    <row r="9" spans="1:64" x14ac:dyDescent="0.2">
      <c r="A9" t="s">
        <v>40</v>
      </c>
      <c r="C9" s="134"/>
      <c r="D9" s="11" t="s">
        <v>79</v>
      </c>
      <c r="E9" s="11" t="s">
        <v>207</v>
      </c>
      <c r="F9" s="11" t="s">
        <v>79</v>
      </c>
      <c r="G9" s="11"/>
      <c r="H9" s="11"/>
      <c r="K9" s="2"/>
      <c r="L9" s="24"/>
      <c r="O9" t="s">
        <v>301</v>
      </c>
      <c r="P9" t="str">
        <f>'9.3'!A16</f>
        <v>9/1/81</v>
      </c>
      <c r="Q9" s="165">
        <f>'9.3'!C16</f>
        <v>-3.6999999999999998E-2</v>
      </c>
      <c r="R9" s="252">
        <f>1+Q9</f>
        <v>0.96299999999999997</v>
      </c>
      <c r="S9" s="67">
        <f>'9.3'!D16</f>
        <v>1.1315250000000001</v>
      </c>
      <c r="T9" s="67"/>
      <c r="U9" s="67">
        <f>0.5*(4/12)^2</f>
        <v>5.5555555555555552E-2</v>
      </c>
      <c r="V9" s="67">
        <f>1-V8-V10</f>
        <v>0.72222222222222221</v>
      </c>
      <c r="W9" s="67">
        <f>0.5*(8/12)^2</f>
        <v>0.22222222222222221</v>
      </c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</row>
    <row r="10" spans="1:64" x14ac:dyDescent="0.2">
      <c r="A10" t="s">
        <v>41</v>
      </c>
      <c r="C10" s="11" t="s">
        <v>79</v>
      </c>
      <c r="D10" s="11" t="s">
        <v>80</v>
      </c>
      <c r="E10" s="11" t="s">
        <v>208</v>
      </c>
      <c r="F10" s="11" t="s">
        <v>209</v>
      </c>
      <c r="G10" s="11" t="s">
        <v>59</v>
      </c>
      <c r="H10" s="11" t="s">
        <v>59</v>
      </c>
      <c r="K10" s="2"/>
      <c r="L10" s="12"/>
      <c r="O10" t="s">
        <v>302</v>
      </c>
      <c r="P10" t="str">
        <f>'9.3'!A17</f>
        <v>9/1/82</v>
      </c>
      <c r="Q10" s="247">
        <f>'9.3'!C17</f>
        <v>0.26200000000000001</v>
      </c>
      <c r="R10" s="252">
        <f t="shared" ref="R10:R46" si="6">1+Q10</f>
        <v>1.262</v>
      </c>
      <c r="S10" s="67">
        <f>'9.3'!D17</f>
        <v>1.4279845500000001</v>
      </c>
      <c r="T10" s="67"/>
      <c r="U10" s="67"/>
      <c r="V10" s="67">
        <f>0.5*(4/12)^2</f>
        <v>5.5555555555555552E-2</v>
      </c>
      <c r="W10" s="67">
        <f>1-W9-W11</f>
        <v>0.75288689443866341</v>
      </c>
      <c r="X10" s="67">
        <f>0.5*((9/12)+(10/(31*12)))^2</f>
        <v>0.30177260376922188</v>
      </c>
      <c r="Y10" s="67"/>
      <c r="Z10" s="67"/>
      <c r="AA10" s="67"/>
      <c r="AB10" s="67"/>
      <c r="AC10" s="67"/>
      <c r="AD10" s="67"/>
      <c r="AE10" s="67"/>
      <c r="AF10" s="67"/>
      <c r="AG10" s="67"/>
      <c r="AH10" s="67"/>
    </row>
    <row r="11" spans="1:64" x14ac:dyDescent="0.2">
      <c r="A11" s="9" t="s">
        <v>26</v>
      </c>
      <c r="B11" s="9"/>
      <c r="C11" s="144" t="s">
        <v>80</v>
      </c>
      <c r="D11" s="144" t="s">
        <v>206</v>
      </c>
      <c r="E11" s="144" t="s">
        <v>89</v>
      </c>
      <c r="F11" s="144" t="s">
        <v>210</v>
      </c>
      <c r="G11" s="144" t="s">
        <v>33</v>
      </c>
      <c r="H11" s="144" t="s">
        <v>51</v>
      </c>
      <c r="K11" s="2"/>
      <c r="L11" s="36"/>
      <c r="O11" t="s">
        <v>303</v>
      </c>
      <c r="P11" t="str">
        <f>'9.3'!A18</f>
        <v>10/10/83</v>
      </c>
      <c r="Q11" s="247">
        <f>'9.3'!C18</f>
        <v>0.06</v>
      </c>
      <c r="R11" s="252">
        <f t="shared" si="6"/>
        <v>1.06</v>
      </c>
      <c r="S11" s="67">
        <f>'9.3'!D18</f>
        <v>1.5136636230000002</v>
      </c>
      <c r="T11" s="67"/>
      <c r="U11" s="67"/>
      <c r="V11" s="67"/>
      <c r="W11" s="67">
        <f>0.5*((21/31)/12+(2/12))^2</f>
        <v>2.4890883339114347E-2</v>
      </c>
      <c r="X11" s="67">
        <f>1-X10</f>
        <v>0.69822739623077812</v>
      </c>
      <c r="Y11" s="67">
        <f>1-SUM(Y12:Y14)</f>
        <v>0.65277777777777768</v>
      </c>
      <c r="Z11" s="67">
        <f>0.5*(2/12)^2</f>
        <v>1.3888888888888888E-2</v>
      </c>
      <c r="AA11" s="67"/>
      <c r="AB11" s="67"/>
      <c r="AC11" s="67"/>
      <c r="AD11" s="67"/>
      <c r="AE11" s="67"/>
      <c r="AF11" s="67"/>
      <c r="AG11" s="67"/>
      <c r="AH11" s="67"/>
    </row>
    <row r="12" spans="1:64" x14ac:dyDescent="0.2">
      <c r="A12" s="13" t="str">
        <f>TEXT(COLUMN(),"(#)")</f>
        <v>(1)</v>
      </c>
      <c r="B12" s="13"/>
      <c r="C12" s="11" t="str">
        <f t="shared" ref="C12:H12" si="7">TEXT(COLUMN()-1,"(#)")</f>
        <v>(2)</v>
      </c>
      <c r="D12" s="11" t="str">
        <f t="shared" si="7"/>
        <v>(3)</v>
      </c>
      <c r="E12" s="11" t="str">
        <f t="shared" si="7"/>
        <v>(4)</v>
      </c>
      <c r="F12" s="11" t="str">
        <f t="shared" si="7"/>
        <v>(5)</v>
      </c>
      <c r="G12" s="11" t="str">
        <f t="shared" si="7"/>
        <v>(6)</v>
      </c>
      <c r="H12" s="11" t="str">
        <f t="shared" si="7"/>
        <v>(7)</v>
      </c>
      <c r="I12" s="11"/>
      <c r="K12" s="2"/>
      <c r="O12" t="s">
        <v>304</v>
      </c>
      <c r="P12" t="str">
        <f>'9.3'!A19</f>
        <v>3/1/85</v>
      </c>
      <c r="Q12" s="247">
        <f>'9.3'!C19</f>
        <v>0.25</v>
      </c>
      <c r="R12" s="252">
        <f t="shared" si="6"/>
        <v>1.25</v>
      </c>
      <c r="S12" s="67">
        <f>'9.3'!D19</f>
        <v>1.8920795287500003</v>
      </c>
      <c r="T12" s="67"/>
      <c r="U12" s="67"/>
      <c r="V12" s="67"/>
      <c r="W12" s="67"/>
      <c r="X12" s="67"/>
      <c r="Y12" s="67">
        <f>0.5*((10/12)^2)-Y13-Y14</f>
        <v>3.3854166666666741E-2</v>
      </c>
      <c r="Z12" s="67">
        <f>0.5*((2.5/12)^2)-Z11</f>
        <v>7.8125000000000035E-3</v>
      </c>
      <c r="AA12" s="67"/>
      <c r="AB12" s="67"/>
      <c r="AC12" s="67"/>
      <c r="AD12" s="67"/>
      <c r="AE12" s="67"/>
      <c r="AF12" s="67"/>
      <c r="AG12" s="67"/>
      <c r="AH12" s="67"/>
    </row>
    <row r="13" spans="1:64" x14ac:dyDescent="0.2">
      <c r="K13" s="2"/>
      <c r="O13" t="s">
        <v>305</v>
      </c>
      <c r="P13" t="str">
        <f>'9.3'!A20</f>
        <v>3/15/85</v>
      </c>
      <c r="Q13" s="247">
        <f>'9.3'!C20</f>
        <v>0.28299999999999997</v>
      </c>
      <c r="R13" s="252">
        <f t="shared" si="6"/>
        <v>1.2829999999999999</v>
      </c>
      <c r="S13" s="67">
        <f>'9.3'!D20</f>
        <v>2.4275380353862501</v>
      </c>
      <c r="T13" s="67"/>
      <c r="U13" s="67"/>
      <c r="V13" s="67"/>
      <c r="W13" s="67"/>
      <c r="X13" s="67"/>
      <c r="Y13" s="67">
        <f>(0.5*(9.5/12)^2)-Y14</f>
        <v>0.30555555555555552</v>
      </c>
      <c r="Z13" s="67">
        <f>0.5*((10.5/12)^2)-Z12-Z11</f>
        <v>0.3611111111111111</v>
      </c>
      <c r="AA13" s="67"/>
      <c r="AB13" s="67"/>
      <c r="AC13" s="67"/>
      <c r="AD13" s="67"/>
      <c r="AE13" s="67"/>
      <c r="AF13" s="67"/>
      <c r="AG13" s="67"/>
      <c r="AH13" s="67"/>
    </row>
    <row r="14" spans="1:64" x14ac:dyDescent="0.2">
      <c r="A14" s="60" t="s">
        <v>381</v>
      </c>
      <c r="C14" s="31">
        <v>913865</v>
      </c>
      <c r="D14" s="31">
        <v>968224</v>
      </c>
      <c r="E14" s="99">
        <f t="shared" ref="E14:E33" si="8">Q52</f>
        <v>3.8293316891072973</v>
      </c>
      <c r="F14" s="26">
        <f>D14*$E$23</f>
        <v>2741513.8488982213</v>
      </c>
      <c r="G14" s="31">
        <v>26357425</v>
      </c>
      <c r="H14" s="21">
        <f>ROUND(G14/F14,3)</f>
        <v>9.6140000000000008</v>
      </c>
      <c r="I14" s="37"/>
      <c r="K14" s="2"/>
      <c r="L14" s="28"/>
      <c r="O14" t="s">
        <v>53</v>
      </c>
      <c r="P14" t="str">
        <f>'9.3'!A21</f>
        <v>11/15/85</v>
      </c>
      <c r="Q14" s="247">
        <f>'9.3'!C21</f>
        <v>9.1999999999999998E-2</v>
      </c>
      <c r="R14" s="252">
        <f t="shared" si="6"/>
        <v>1.0920000000000001</v>
      </c>
      <c r="S14" s="67">
        <f>'9.3'!D21</f>
        <v>2.6508715346417855</v>
      </c>
      <c r="T14" s="67"/>
      <c r="U14" s="67"/>
      <c r="V14" s="67"/>
      <c r="W14" s="67"/>
      <c r="X14" s="67"/>
      <c r="Y14" s="67">
        <f>0.5*(1.5/12)^2</f>
        <v>7.8125E-3</v>
      </c>
      <c r="Z14" s="67">
        <f>1-SUM(Z11:Z13)</f>
        <v>0.6171875</v>
      </c>
      <c r="AA14" s="67">
        <f>1-AA15</f>
        <v>0.875</v>
      </c>
      <c r="AB14" s="67">
        <v>0.125</v>
      </c>
      <c r="AC14" s="67"/>
      <c r="AD14" s="67"/>
      <c r="AE14" s="67"/>
      <c r="AF14" s="67"/>
      <c r="AG14" s="67"/>
      <c r="AH14" s="67"/>
    </row>
    <row r="15" spans="1:64" x14ac:dyDescent="0.2">
      <c r="A15" s="22" t="s">
        <v>382</v>
      </c>
      <c r="C15" s="31">
        <v>1195339</v>
      </c>
      <c r="D15" s="31">
        <v>1366667</v>
      </c>
      <c r="E15" s="99">
        <f t="shared" si="8"/>
        <v>3.5112843511426886</v>
      </c>
      <c r="F15" s="26">
        <f>D15*$E$23</f>
        <v>3869700.0976346233</v>
      </c>
      <c r="G15" s="31">
        <v>318455</v>
      </c>
      <c r="H15" s="21">
        <f t="shared" ref="H15:H47" si="9">ROUND(G15/F15,3)</f>
        <v>8.2000000000000003E-2</v>
      </c>
      <c r="I15" s="37"/>
      <c r="K15" s="2"/>
      <c r="O15" t="s">
        <v>306</v>
      </c>
      <c r="P15" t="str">
        <f>'9.3'!A22</f>
        <v>7/1/87</v>
      </c>
      <c r="Q15" s="247">
        <f>'9.3'!C22</f>
        <v>-9.1999999999999998E-2</v>
      </c>
      <c r="R15" s="252">
        <f t="shared" si="6"/>
        <v>0.90800000000000003</v>
      </c>
      <c r="S15" s="67">
        <f>'9.3'!D22</f>
        <v>2.4069913534547411</v>
      </c>
      <c r="T15" s="67"/>
      <c r="U15" s="67"/>
      <c r="V15" s="67"/>
      <c r="W15" s="67"/>
      <c r="X15" s="67"/>
      <c r="Y15" s="67"/>
      <c r="Z15" s="67"/>
      <c r="AA15" s="67">
        <v>0.125</v>
      </c>
      <c r="AB15" s="67">
        <f>1-AB14-AB16</f>
        <v>0.86111111111111116</v>
      </c>
      <c r="AC15" s="67">
        <f>0.5*(10/12)^2</f>
        <v>0.34722222222222227</v>
      </c>
      <c r="AD15" s="67"/>
      <c r="AE15" s="67"/>
      <c r="AF15" s="67"/>
      <c r="AG15" s="67"/>
      <c r="AH15" s="67"/>
    </row>
    <row r="16" spans="1:64" x14ac:dyDescent="0.2">
      <c r="A16" s="22" t="s">
        <v>383</v>
      </c>
      <c r="C16" s="31">
        <v>2581481</v>
      </c>
      <c r="D16" s="31">
        <v>2777593</v>
      </c>
      <c r="E16" s="99">
        <f t="shared" si="8"/>
        <v>2.8789383840739684</v>
      </c>
      <c r="F16" s="26">
        <f>D16*$E$23</f>
        <v>7864718.9866216471</v>
      </c>
      <c r="G16" s="31">
        <v>314878</v>
      </c>
      <c r="H16" s="21">
        <f t="shared" si="9"/>
        <v>0.04</v>
      </c>
      <c r="I16" s="37"/>
      <c r="K16" s="2"/>
      <c r="O16" t="s">
        <v>307</v>
      </c>
      <c r="P16" t="str">
        <f>'9.3'!A23</f>
        <v>11/1/88</v>
      </c>
      <c r="Q16" s="165">
        <f>'9.3'!C23</f>
        <v>-0.13800000000000001</v>
      </c>
      <c r="R16" s="252">
        <f t="shared" si="6"/>
        <v>0.86199999999999999</v>
      </c>
      <c r="S16" s="67">
        <f>'9.3'!D23</f>
        <v>2.0748265466779867</v>
      </c>
      <c r="T16" s="67"/>
      <c r="U16" s="67"/>
      <c r="V16" s="67"/>
      <c r="W16" s="67"/>
      <c r="X16" s="67"/>
      <c r="Y16" s="67"/>
      <c r="Z16" s="67"/>
      <c r="AA16" s="67"/>
      <c r="AB16" s="67">
        <f>0.5*(2/12)^2</f>
        <v>1.3888888888888888E-2</v>
      </c>
      <c r="AC16" s="67">
        <f>1-AC15</f>
        <v>0.65277777777777768</v>
      </c>
      <c r="AD16" s="67">
        <f>1-AD17</f>
        <v>0.65277777777777768</v>
      </c>
      <c r="AE16" s="67">
        <f>0.5*(2/12)^2</f>
        <v>1.3888888888888888E-2</v>
      </c>
      <c r="AF16" s="67"/>
      <c r="AG16" s="67"/>
      <c r="AH16" s="67"/>
    </row>
    <row r="17" spans="1:51" x14ac:dyDescent="0.2">
      <c r="A17" s="22" t="s">
        <v>384</v>
      </c>
      <c r="C17" s="31">
        <v>3013362</v>
      </c>
      <c r="D17" s="31">
        <v>2349181</v>
      </c>
      <c r="E17" s="99">
        <f t="shared" si="8"/>
        <v>2.0498785892003166</v>
      </c>
      <c r="F17" s="26">
        <f t="shared" ref="F17:F21" si="10">D17*$E$23</f>
        <v>6651675.8984166607</v>
      </c>
      <c r="G17" s="31">
        <v>211282</v>
      </c>
      <c r="H17" s="21">
        <f t="shared" si="9"/>
        <v>3.2000000000000001E-2</v>
      </c>
      <c r="I17" s="37"/>
      <c r="K17" s="2"/>
      <c r="O17" t="s">
        <v>308</v>
      </c>
      <c r="P17" t="str">
        <f>'9.3'!A24</f>
        <v>3/1/90</v>
      </c>
      <c r="Q17" s="165">
        <f>'9.3'!C24</f>
        <v>1.4E-2</v>
      </c>
      <c r="R17" s="252">
        <f t="shared" si="6"/>
        <v>1.014</v>
      </c>
      <c r="S17" s="67">
        <f>'9.3'!D24</f>
        <v>2.1038741183314786</v>
      </c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>
        <f>0.5*(10/12)^2</f>
        <v>0.34722222222222227</v>
      </c>
      <c r="AE17" s="67">
        <f>1-AE18-AE16</f>
        <v>0.70486111111111116</v>
      </c>
      <c r="AF17" s="67">
        <v>3.125E-2</v>
      </c>
      <c r="AG17" s="67"/>
      <c r="AH17" s="67"/>
    </row>
    <row r="18" spans="1:51" x14ac:dyDescent="0.2">
      <c r="A18" s="22" t="s">
        <v>385</v>
      </c>
      <c r="C18" s="31">
        <v>3004153</v>
      </c>
      <c r="D18" s="31">
        <v>2585122</v>
      </c>
      <c r="E18" s="99">
        <f t="shared" si="8"/>
        <v>1.9936436916734259</v>
      </c>
      <c r="F18" s="26">
        <f t="shared" si="10"/>
        <v>7319739.8165005902</v>
      </c>
      <c r="G18" s="31">
        <v>37480</v>
      </c>
      <c r="H18" s="21">
        <f t="shared" si="9"/>
        <v>5.0000000000000001E-3</v>
      </c>
      <c r="I18" s="37"/>
      <c r="K18" s="2"/>
      <c r="O18" t="s">
        <v>333</v>
      </c>
      <c r="P18" t="str">
        <f>'9.3'!A25</f>
        <v>4/1/91</v>
      </c>
      <c r="Q18" s="165">
        <f>'9.3'!C25</f>
        <v>-0.01</v>
      </c>
      <c r="R18" s="252">
        <f t="shared" si="6"/>
        <v>0.99</v>
      </c>
      <c r="S18" s="67">
        <f>'9.3'!D25</f>
        <v>2.082835377148164</v>
      </c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>
        <v>0.28125</v>
      </c>
      <c r="AF18" s="67">
        <f>1-AF17-AF19</f>
        <v>0.46875</v>
      </c>
      <c r="AG18" s="67"/>
      <c r="AH18" s="67"/>
    </row>
    <row r="19" spans="1:51" x14ac:dyDescent="0.2">
      <c r="A19" s="22" t="s">
        <v>386</v>
      </c>
      <c r="C19" s="31">
        <v>2905355</v>
      </c>
      <c r="D19" s="31">
        <v>2728206</v>
      </c>
      <c r="E19" s="99">
        <f t="shared" si="8"/>
        <v>2.1473124836449715</v>
      </c>
      <c r="F19" s="26">
        <f t="shared" si="10"/>
        <v>7724880.328980919</v>
      </c>
      <c r="G19" s="31">
        <v>969836</v>
      </c>
      <c r="H19" s="21">
        <f t="shared" si="9"/>
        <v>0.126</v>
      </c>
      <c r="I19" s="37"/>
      <c r="K19" s="2"/>
      <c r="O19" t="s">
        <v>338</v>
      </c>
      <c r="P19" t="str">
        <f>'9.3'!A26</f>
        <v>1/1/92</v>
      </c>
      <c r="Q19" s="165">
        <f>'9.3'!C26</f>
        <v>-0.22900000000000001</v>
      </c>
      <c r="R19" s="252">
        <f t="shared" si="6"/>
        <v>0.77100000000000002</v>
      </c>
      <c r="S19" s="67">
        <f>'9.3'!D26</f>
        <v>1.6058660757812344</v>
      </c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>
        <v>0.5</v>
      </c>
      <c r="AG19" s="67">
        <f>1-AG20</f>
        <v>0.96875</v>
      </c>
      <c r="AH19" s="67">
        <v>0.28125</v>
      </c>
    </row>
    <row r="20" spans="1:51" x14ac:dyDescent="0.2">
      <c r="A20" s="22" t="s">
        <v>387</v>
      </c>
      <c r="C20" s="31">
        <v>2825114</v>
      </c>
      <c r="D20" s="31">
        <v>3015974</v>
      </c>
      <c r="E20" s="99">
        <f t="shared" si="8"/>
        <v>2.385265617366465</v>
      </c>
      <c r="F20" s="26">
        <f t="shared" si="10"/>
        <v>8539691.7334387135</v>
      </c>
      <c r="G20" s="31">
        <v>1244199</v>
      </c>
      <c r="H20" s="21">
        <f t="shared" si="9"/>
        <v>0.14599999999999999</v>
      </c>
      <c r="I20" s="37"/>
      <c r="K20" s="2"/>
      <c r="O20" t="s">
        <v>353</v>
      </c>
      <c r="P20" t="str">
        <f>'9.3'!A27</f>
        <v>10/1/93</v>
      </c>
      <c r="Q20" s="165">
        <f>'9.3'!C27</f>
        <v>0</v>
      </c>
      <c r="R20" s="252">
        <f t="shared" si="6"/>
        <v>1</v>
      </c>
      <c r="S20" s="67">
        <f>'9.3'!D27</f>
        <v>1.6058660757812344</v>
      </c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>
        <v>3.125E-2</v>
      </c>
      <c r="AH20" s="67">
        <f>1-AH19</f>
        <v>0.71875</v>
      </c>
      <c r="AI20">
        <v>1</v>
      </c>
      <c r="AJ20">
        <v>1</v>
      </c>
      <c r="AK20">
        <v>1</v>
      </c>
      <c r="AL20">
        <v>0.5</v>
      </c>
    </row>
    <row r="21" spans="1:51" x14ac:dyDescent="0.2">
      <c r="A21" s="22" t="s">
        <v>388</v>
      </c>
      <c r="C21" s="31">
        <v>2303321</v>
      </c>
      <c r="D21" s="31">
        <v>2474141</v>
      </c>
      <c r="E21" s="99">
        <f t="shared" si="8"/>
        <v>2.5056768649457406</v>
      </c>
      <c r="F21" s="26">
        <f t="shared" si="10"/>
        <v>7005498.537143155</v>
      </c>
      <c r="G21" s="31">
        <v>18053460</v>
      </c>
      <c r="H21" s="21">
        <f t="shared" si="9"/>
        <v>2.577</v>
      </c>
      <c r="I21" s="37"/>
      <c r="K21" s="2"/>
      <c r="O21" t="s">
        <v>359</v>
      </c>
      <c r="P21" t="str">
        <f>'9.3'!A28</f>
        <v>1/1/98</v>
      </c>
      <c r="Q21" s="165">
        <f>'9.3'!C28</f>
        <v>-0.03</v>
      </c>
      <c r="R21" s="252">
        <f t="shared" si="6"/>
        <v>0.97</v>
      </c>
      <c r="S21" s="67">
        <f>'9.3'!D28</f>
        <v>1.5576900935077973</v>
      </c>
      <c r="AL21">
        <v>0.5</v>
      </c>
      <c r="AM21">
        <v>1</v>
      </c>
      <c r="AN21">
        <v>0.5</v>
      </c>
    </row>
    <row r="22" spans="1:51" x14ac:dyDescent="0.2">
      <c r="A22" s="22" t="s">
        <v>389</v>
      </c>
      <c r="C22" s="31">
        <v>2203500</v>
      </c>
      <c r="D22" s="31">
        <v>2080579</v>
      </c>
      <c r="E22" s="99">
        <f t="shared" si="8"/>
        <v>2.4905762618235174</v>
      </c>
      <c r="F22" s="26">
        <f>D22*$E$23</f>
        <v>5891132.7773602102</v>
      </c>
      <c r="G22" s="31">
        <v>1371244</v>
      </c>
      <c r="H22" s="21">
        <f t="shared" si="9"/>
        <v>0.23300000000000001</v>
      </c>
      <c r="I22" s="37"/>
      <c r="K22" s="2"/>
      <c r="O22" t="s">
        <v>360</v>
      </c>
      <c r="P22" t="str">
        <f>'9.3'!A29</f>
        <v>1/1/00</v>
      </c>
      <c r="Q22" s="165">
        <f>'9.3'!C29</f>
        <v>0.09</v>
      </c>
      <c r="R22" s="252">
        <f t="shared" si="6"/>
        <v>1.0900000000000001</v>
      </c>
      <c r="S22" s="67">
        <f>'9.3'!D29</f>
        <v>1.6978822019234991</v>
      </c>
      <c r="AN22">
        <v>0.5</v>
      </c>
      <c r="AO22">
        <v>0.5</v>
      </c>
    </row>
    <row r="23" spans="1:51" x14ac:dyDescent="0.2">
      <c r="A23" s="22" t="s">
        <v>390</v>
      </c>
      <c r="B23" s="12"/>
      <c r="C23" s="31">
        <v>2352391</v>
      </c>
      <c r="D23" s="31">
        <v>2012473</v>
      </c>
      <c r="E23" s="99">
        <f t="shared" si="8"/>
        <v>2.8314871857113864</v>
      </c>
      <c r="F23" s="26">
        <f>ROUND(D23*E23,0)</f>
        <v>5698292</v>
      </c>
      <c r="G23" s="31">
        <v>46331</v>
      </c>
      <c r="H23" s="21">
        <f t="shared" si="9"/>
        <v>8.0000000000000002E-3</v>
      </c>
      <c r="I23" s="37"/>
      <c r="K23" s="2"/>
      <c r="O23" t="s">
        <v>363</v>
      </c>
      <c r="P23" t="str">
        <f>'9.3'!A30</f>
        <v>1/1/01</v>
      </c>
      <c r="Q23" s="165">
        <f>'9.3'!C30</f>
        <v>0.04</v>
      </c>
      <c r="R23" s="252">
        <f t="shared" si="6"/>
        <v>1.04</v>
      </c>
      <c r="S23" s="67">
        <f>'9.3'!D30</f>
        <v>1.7657974900004392</v>
      </c>
      <c r="AO23">
        <v>0.5</v>
      </c>
      <c r="AP23">
        <v>0.5</v>
      </c>
    </row>
    <row r="24" spans="1:51" x14ac:dyDescent="0.2">
      <c r="A24" s="22" t="s">
        <v>367</v>
      </c>
      <c r="B24" s="12"/>
      <c r="C24" s="31">
        <v>2406016</v>
      </c>
      <c r="D24" s="31"/>
      <c r="E24" s="99">
        <f t="shared" si="8"/>
        <v>3.2531461484671529</v>
      </c>
      <c r="F24" s="26">
        <f>ROUND(C24*E24,0)</f>
        <v>7827122</v>
      </c>
      <c r="G24" s="31">
        <v>1005945</v>
      </c>
      <c r="H24" s="21">
        <f t="shared" si="9"/>
        <v>0.129</v>
      </c>
      <c r="I24" s="37"/>
      <c r="K24" s="2"/>
      <c r="O24" t="s">
        <v>364</v>
      </c>
      <c r="P24" t="str">
        <f>'9.3'!A31</f>
        <v>1/1/02</v>
      </c>
      <c r="Q24" s="165">
        <f>'9.3'!C31</f>
        <v>0.05</v>
      </c>
      <c r="R24" s="252">
        <f t="shared" si="6"/>
        <v>1.05</v>
      </c>
      <c r="S24" s="67">
        <f>'9.3'!D31</f>
        <v>1.8540873645004612</v>
      </c>
      <c r="AP24">
        <v>0.5</v>
      </c>
      <c r="AQ24">
        <v>0.5</v>
      </c>
    </row>
    <row r="25" spans="1:51" x14ac:dyDescent="0.2">
      <c r="A25" s="22" t="s">
        <v>368</v>
      </c>
      <c r="B25" s="12"/>
      <c r="C25" s="31">
        <v>2807090</v>
      </c>
      <c r="D25" s="31"/>
      <c r="E25" s="99">
        <f t="shared" si="8"/>
        <v>3.2531461484671529</v>
      </c>
      <c r="F25" s="26">
        <f>ROUND(C25*E25,0)</f>
        <v>9131874</v>
      </c>
      <c r="G25" s="31">
        <v>28034</v>
      </c>
      <c r="H25" s="21">
        <f t="shared" si="9"/>
        <v>3.0000000000000001E-3</v>
      </c>
      <c r="I25" s="37"/>
      <c r="K25" s="2"/>
      <c r="O25" t="s">
        <v>392</v>
      </c>
      <c r="P25" t="str">
        <f>'9.3'!A32</f>
        <v>1/1/03</v>
      </c>
      <c r="Q25" s="165">
        <f>'9.3'!C32</f>
        <v>0.1</v>
      </c>
      <c r="R25" s="252">
        <f t="shared" si="6"/>
        <v>1.1000000000000001</v>
      </c>
      <c r="S25" s="67">
        <f>'9.3'!D32</f>
        <v>2.0394961009505073</v>
      </c>
      <c r="AQ25">
        <v>0.5</v>
      </c>
      <c r="AR25">
        <v>0.5</v>
      </c>
    </row>
    <row r="26" spans="1:51" x14ac:dyDescent="0.2">
      <c r="A26" s="22" t="s">
        <v>369</v>
      </c>
      <c r="C26" s="31">
        <v>2645757</v>
      </c>
      <c r="D26" s="31"/>
      <c r="E26" s="99">
        <f t="shared" si="8"/>
        <v>3.2531461484671529</v>
      </c>
      <c r="F26" s="26">
        <f t="shared" ref="F26:F45" si="11">ROUND(C26*E26,0)</f>
        <v>8607034</v>
      </c>
      <c r="G26" s="31">
        <v>635625</v>
      </c>
      <c r="H26" s="21">
        <f t="shared" si="9"/>
        <v>7.3999999999999996E-2</v>
      </c>
      <c r="I26" s="37"/>
      <c r="K26" s="2"/>
      <c r="O26" t="s">
        <v>398</v>
      </c>
      <c r="P26" t="str">
        <f>'9.3'!A33</f>
        <v>1/1/04</v>
      </c>
      <c r="Q26" s="165">
        <f>'9.3'!C33</f>
        <v>0.1</v>
      </c>
      <c r="R26" s="252">
        <f t="shared" si="6"/>
        <v>1.1000000000000001</v>
      </c>
      <c r="S26" s="67">
        <f>'9.3'!D33</f>
        <v>2.2434457110455583</v>
      </c>
      <c r="AR26">
        <v>0.5</v>
      </c>
      <c r="AS26">
        <v>0.5</v>
      </c>
    </row>
    <row r="27" spans="1:51" x14ac:dyDescent="0.2">
      <c r="A27" s="22" t="s">
        <v>370</v>
      </c>
      <c r="C27" s="31">
        <v>5519716</v>
      </c>
      <c r="D27" s="31"/>
      <c r="E27" s="99">
        <f t="shared" si="8"/>
        <v>3.2531461484671529</v>
      </c>
      <c r="F27" s="26">
        <f>ROUND(C27*E27,0)</f>
        <v>17956443</v>
      </c>
      <c r="G27" s="31">
        <v>249644</v>
      </c>
      <c r="H27" s="21">
        <f>ROUND(G27/F27,3)</f>
        <v>1.4E-2</v>
      </c>
      <c r="I27" s="37"/>
      <c r="K27" s="2"/>
      <c r="O27" t="s">
        <v>416</v>
      </c>
      <c r="P27" t="str">
        <f>'9.3'!A34</f>
        <v>1/1/05</v>
      </c>
      <c r="Q27" s="165">
        <f>'9.3'!C34</f>
        <v>0.1</v>
      </c>
      <c r="R27" s="252">
        <f t="shared" si="6"/>
        <v>1.1000000000000001</v>
      </c>
      <c r="S27" s="67">
        <f>'9.3'!D34</f>
        <v>2.4677902821501143</v>
      </c>
      <c r="AS27">
        <v>0.5</v>
      </c>
      <c r="AT27" s="67">
        <v>0.5</v>
      </c>
      <c r="AU27" s="67"/>
      <c r="AV27" s="67"/>
      <c r="AW27" s="67"/>
      <c r="AX27" s="67"/>
    </row>
    <row r="28" spans="1:51" x14ac:dyDescent="0.2">
      <c r="A28" s="22" t="s">
        <v>371</v>
      </c>
      <c r="C28" s="31">
        <v>5461636</v>
      </c>
      <c r="E28" s="99">
        <f t="shared" si="8"/>
        <v>3.2531461484671529</v>
      </c>
      <c r="F28" s="26">
        <f t="shared" si="11"/>
        <v>17767500</v>
      </c>
      <c r="G28" s="31">
        <v>886485</v>
      </c>
      <c r="H28" s="21">
        <f t="shared" si="9"/>
        <v>0.05</v>
      </c>
      <c r="I28" s="37"/>
      <c r="K28" s="2"/>
      <c r="O28" t="s">
        <v>417</v>
      </c>
      <c r="P28" t="str">
        <f>'9.3'!A35</f>
        <v>1/1/06</v>
      </c>
      <c r="Q28" s="165">
        <f>'9.3'!C35</f>
        <v>0.05</v>
      </c>
      <c r="R28" s="252">
        <f t="shared" si="6"/>
        <v>1.05</v>
      </c>
      <c r="S28" s="67">
        <f>'9.3'!D35</f>
        <v>2.5911797962576202</v>
      </c>
      <c r="AT28" s="67">
        <f>0.5-AT29</f>
        <v>0.44444444444444442</v>
      </c>
      <c r="AU28" s="67">
        <f>0.5*(8/12)^2</f>
        <v>0.22222222222222221</v>
      </c>
      <c r="AV28" s="67"/>
      <c r="AW28" s="67"/>
      <c r="AX28" s="67"/>
    </row>
    <row r="29" spans="1:51" x14ac:dyDescent="0.2">
      <c r="A29" s="22" t="s">
        <v>372</v>
      </c>
      <c r="C29" s="31">
        <v>6133105</v>
      </c>
      <c r="D29" s="31"/>
      <c r="E29" s="99">
        <f t="shared" si="8"/>
        <v>3.3026864451443179</v>
      </c>
      <c r="F29" s="26">
        <f>ROUND(C29*E29,0)</f>
        <v>20255723</v>
      </c>
      <c r="G29" s="31">
        <v>3994564</v>
      </c>
      <c r="H29" s="21">
        <f>ROUND(G29/F29,3)</f>
        <v>0.19700000000000001</v>
      </c>
      <c r="I29" s="37"/>
      <c r="K29" s="2"/>
      <c r="N29" s="66"/>
      <c r="O29" t="s">
        <v>418</v>
      </c>
      <c r="P29" t="str">
        <f>'9.3'!A36</f>
        <v>9/1/06</v>
      </c>
      <c r="Q29" s="165">
        <f>'9.3'!C36</f>
        <v>0.08</v>
      </c>
      <c r="R29" s="252">
        <f t="shared" si="6"/>
        <v>1.08</v>
      </c>
      <c r="S29" s="67">
        <f>'9.3'!D36</f>
        <v>2.7984741799582298</v>
      </c>
      <c r="AT29" s="67">
        <f>0.5*(4/12)^2</f>
        <v>5.5555555555555552E-2</v>
      </c>
      <c r="AU29" s="67">
        <f>0.5-AU28</f>
        <v>0.27777777777777779</v>
      </c>
      <c r="AV29" s="67"/>
      <c r="AW29" s="67"/>
      <c r="AX29" s="67"/>
    </row>
    <row r="30" spans="1:51" x14ac:dyDescent="0.2">
      <c r="A30" s="22" t="s">
        <v>373</v>
      </c>
      <c r="C30" s="31">
        <v>6706028</v>
      </c>
      <c r="D30" s="31"/>
      <c r="E30" s="99">
        <f t="shared" si="8"/>
        <v>3.3537589159455186</v>
      </c>
      <c r="F30" s="26">
        <f t="shared" si="11"/>
        <v>22490401</v>
      </c>
      <c r="G30" s="31">
        <v>575316</v>
      </c>
      <c r="H30" s="21">
        <f t="shared" si="9"/>
        <v>2.5999999999999999E-2</v>
      </c>
      <c r="I30" s="37"/>
      <c r="K30" s="2"/>
      <c r="O30" t="s">
        <v>419</v>
      </c>
      <c r="P30" t="str">
        <f>'9.3'!A37</f>
        <v>1/1/07</v>
      </c>
      <c r="Q30" s="165">
        <f>'9.3'!C37</f>
        <v>3.7000000000000005E-2</v>
      </c>
      <c r="R30" s="252">
        <f t="shared" si="6"/>
        <v>1.0369999999999999</v>
      </c>
      <c r="S30" s="67">
        <f>'9.3'!D37</f>
        <v>2.9020177246166843</v>
      </c>
      <c r="AT30" s="67"/>
      <c r="AU30" s="67">
        <f>0.5</f>
        <v>0.5</v>
      </c>
      <c r="AV30" s="67">
        <f>1-AV31</f>
        <v>0.57986111111111116</v>
      </c>
      <c r="AW30" s="67">
        <f>0.5*(1/12)^2</f>
        <v>3.472222222222222E-3</v>
      </c>
      <c r="AX30" s="67"/>
    </row>
    <row r="31" spans="1:51" x14ac:dyDescent="0.2">
      <c r="A31" s="22" t="s">
        <v>374</v>
      </c>
      <c r="C31" s="31">
        <v>4997201</v>
      </c>
      <c r="D31" s="73"/>
      <c r="E31" s="99">
        <f t="shared" si="8"/>
        <v>3.209338675545951</v>
      </c>
      <c r="F31" s="26">
        <f t="shared" si="11"/>
        <v>16037710</v>
      </c>
      <c r="G31" s="31">
        <v>320131</v>
      </c>
      <c r="H31" s="21">
        <f t="shared" si="9"/>
        <v>0.02</v>
      </c>
      <c r="I31" s="37"/>
      <c r="K31" s="2"/>
      <c r="L31" t="s">
        <v>211</v>
      </c>
      <c r="O31" t="s">
        <v>420</v>
      </c>
      <c r="P31" t="str">
        <f>'9.3'!A38</f>
        <v>2/1/08</v>
      </c>
      <c r="Q31" s="165">
        <f>'9.3'!C38</f>
        <v>5.3999999999999999E-2</v>
      </c>
      <c r="R31" s="252">
        <f t="shared" si="6"/>
        <v>1.054</v>
      </c>
      <c r="S31" s="67">
        <f>'9.3'!D38</f>
        <v>3.0587266817459855</v>
      </c>
      <c r="AT31" s="67"/>
      <c r="AU31" s="67"/>
      <c r="AV31" s="67">
        <f>0.5*(11/12)^2</f>
        <v>0.42013888888888884</v>
      </c>
      <c r="AW31" s="67">
        <f>1-AW30-AW32</f>
        <v>0.57638888888888895</v>
      </c>
      <c r="AX31" s="67">
        <f>0.5*(1/12)^2</f>
        <v>3.472222222222222E-3</v>
      </c>
    </row>
    <row r="32" spans="1:51" x14ac:dyDescent="0.2">
      <c r="A32" s="22" t="s">
        <v>375</v>
      </c>
      <c r="C32" s="31">
        <v>4785262</v>
      </c>
      <c r="D32" s="73"/>
      <c r="E32" s="99">
        <f t="shared" si="8"/>
        <v>3.0165127864233838</v>
      </c>
      <c r="F32" s="26">
        <f>ROUND(C32*E32,0)</f>
        <v>14434804</v>
      </c>
      <c r="G32" s="31">
        <v>962576</v>
      </c>
      <c r="H32" s="21">
        <f t="shared" si="9"/>
        <v>6.7000000000000004E-2</v>
      </c>
      <c r="I32" s="37"/>
      <c r="K32" s="2"/>
      <c r="L32" s="68">
        <f>[2]ISO!$O$48</f>
        <v>0.8037038287067918</v>
      </c>
      <c r="O32" t="s">
        <v>421</v>
      </c>
      <c r="P32" t="str">
        <f>'9.3'!A39</f>
        <v>2/1/09</v>
      </c>
      <c r="Q32" s="165">
        <f>'9.3'!C39</f>
        <v>0.156</v>
      </c>
      <c r="R32" s="252">
        <f t="shared" si="6"/>
        <v>1.1559999999999999</v>
      </c>
      <c r="S32" s="67">
        <f>'9.3'!D39</f>
        <v>3.5358880440983591</v>
      </c>
      <c r="AT32" s="67"/>
      <c r="AU32" s="67"/>
      <c r="AV32" s="67"/>
      <c r="AW32" s="67">
        <f>0.5*(11/12)^2</f>
        <v>0.42013888888888884</v>
      </c>
      <c r="AX32" s="67">
        <f>1-AX31</f>
        <v>0.99652777777777779</v>
      </c>
      <c r="AY32">
        <v>0.5</v>
      </c>
    </row>
    <row r="33" spans="1:244" x14ac:dyDescent="0.2">
      <c r="A33" s="22" t="s">
        <v>376</v>
      </c>
      <c r="C33" s="31">
        <v>8206069</v>
      </c>
      <c r="D33" s="73"/>
      <c r="E33" s="99">
        <f t="shared" si="8"/>
        <v>2.8863443172156207</v>
      </c>
      <c r="F33" s="26">
        <f t="shared" si="11"/>
        <v>23685541</v>
      </c>
      <c r="G33" s="31">
        <v>2632325</v>
      </c>
      <c r="H33" s="21">
        <f t="shared" si="9"/>
        <v>0.111</v>
      </c>
      <c r="I33" s="37"/>
      <c r="K33" s="2"/>
      <c r="O33" t="s">
        <v>422</v>
      </c>
      <c r="P33" t="str">
        <f>'9.3'!A40</f>
        <v>1/1/11</v>
      </c>
      <c r="Q33" s="165">
        <f>'9.3'!C40</f>
        <v>0.05</v>
      </c>
      <c r="R33" s="252">
        <f t="shared" si="6"/>
        <v>1.05</v>
      </c>
      <c r="S33" s="67">
        <f>'9.3'!D40</f>
        <v>3.712682446303277</v>
      </c>
      <c r="AY33">
        <v>0.5</v>
      </c>
      <c r="AZ33">
        <v>0.5</v>
      </c>
    </row>
    <row r="34" spans="1:244" x14ac:dyDescent="0.2">
      <c r="A34" s="22" t="s">
        <v>377</v>
      </c>
      <c r="C34" s="108">
        <v>8793047</v>
      </c>
      <c r="D34" s="73"/>
      <c r="E34" s="225">
        <f>'[2]TWIA 5'!I297</f>
        <v>2.6891459199349992</v>
      </c>
      <c r="F34" s="26">
        <f t="shared" si="11"/>
        <v>23645786</v>
      </c>
      <c r="G34" s="108">
        <v>529845</v>
      </c>
      <c r="H34" s="21">
        <f t="shared" si="9"/>
        <v>2.1999999999999999E-2</v>
      </c>
      <c r="I34" s="37"/>
      <c r="K34" s="2"/>
      <c r="O34" t="s">
        <v>423</v>
      </c>
      <c r="P34" t="str">
        <f>'9.3'!A41</f>
        <v>1/1/12</v>
      </c>
      <c r="Q34" s="165">
        <f>'9.3'!C41</f>
        <v>0.05</v>
      </c>
      <c r="R34" s="252">
        <f t="shared" si="6"/>
        <v>1.05</v>
      </c>
      <c r="S34" s="67">
        <f>'9.3'!D41</f>
        <v>3.8983165686184411</v>
      </c>
      <c r="AZ34">
        <v>0.5</v>
      </c>
      <c r="BA34">
        <v>0.5</v>
      </c>
    </row>
    <row r="35" spans="1:244" x14ac:dyDescent="0.2">
      <c r="A35" s="22" t="s">
        <v>378</v>
      </c>
      <c r="B35" s="22"/>
      <c r="C35" s="108">
        <v>12425339</v>
      </c>
      <c r="D35" s="74"/>
      <c r="E35" s="225">
        <f>'[2]TWIA 5'!I298</f>
        <v>2.448174392695059</v>
      </c>
      <c r="F35" s="26">
        <f t="shared" si="11"/>
        <v>30419397</v>
      </c>
      <c r="G35" s="108">
        <v>830387</v>
      </c>
      <c r="H35" s="21">
        <f t="shared" si="9"/>
        <v>2.7E-2</v>
      </c>
      <c r="I35" s="37"/>
      <c r="K35" s="2"/>
      <c r="O35" t="s">
        <v>424</v>
      </c>
      <c r="P35" t="str">
        <f>'9.3'!A42</f>
        <v>1/1/13</v>
      </c>
      <c r="Q35" s="165">
        <f>'9.3'!C42</f>
        <v>0.05</v>
      </c>
      <c r="R35" s="252">
        <f t="shared" si="6"/>
        <v>1.05</v>
      </c>
      <c r="S35" s="67">
        <f>'9.3'!D42</f>
        <v>4.0932323970493636</v>
      </c>
      <c r="BA35">
        <v>0.5</v>
      </c>
      <c r="BB35">
        <v>0.5</v>
      </c>
    </row>
    <row r="36" spans="1:244" x14ac:dyDescent="0.2">
      <c r="A36" s="22" t="s">
        <v>292</v>
      </c>
      <c r="C36" s="108">
        <v>13839253</v>
      </c>
      <c r="D36" s="67"/>
      <c r="E36" s="225">
        <f>'[2]TWIA 5'!I299</f>
        <v>2.2196457159722458</v>
      </c>
      <c r="F36" s="26">
        <f t="shared" si="11"/>
        <v>30718239</v>
      </c>
      <c r="G36" s="108">
        <v>19469845</v>
      </c>
      <c r="H36" s="21">
        <f t="shared" si="9"/>
        <v>0.63400000000000001</v>
      </c>
      <c r="I36" s="37"/>
      <c r="K36" s="2"/>
      <c r="O36" t="s">
        <v>425</v>
      </c>
      <c r="P36" t="str">
        <f>'9.3'!A43</f>
        <v>1/1/14</v>
      </c>
      <c r="Q36" s="165">
        <f>'9.3'!C43</f>
        <v>0.05</v>
      </c>
      <c r="R36" s="252">
        <f t="shared" si="6"/>
        <v>1.05</v>
      </c>
      <c r="S36" s="67">
        <f>'9.3'!D43</f>
        <v>4.2978940169018323</v>
      </c>
      <c r="BB36">
        <v>0.5</v>
      </c>
      <c r="BC36">
        <v>0.5</v>
      </c>
    </row>
    <row r="37" spans="1:244" x14ac:dyDescent="0.2">
      <c r="A37" s="22" t="s">
        <v>356</v>
      </c>
      <c r="C37" s="108">
        <v>18414310</v>
      </c>
      <c r="D37" s="67"/>
      <c r="E37" s="225">
        <f>'[2]TWIA 5'!I300</f>
        <v>2.0368887779518374</v>
      </c>
      <c r="F37" s="26">
        <f t="shared" si="11"/>
        <v>37507901</v>
      </c>
      <c r="G37" s="108">
        <v>812370</v>
      </c>
      <c r="H37" s="21">
        <f t="shared" si="9"/>
        <v>2.1999999999999999E-2</v>
      </c>
      <c r="I37" s="37"/>
      <c r="K37" s="2"/>
      <c r="O37" t="s">
        <v>426</v>
      </c>
      <c r="P37" t="str">
        <f>'9.3'!A44</f>
        <v>1/1/15</v>
      </c>
      <c r="Q37" s="165">
        <f>'9.3'!C44</f>
        <v>0.05</v>
      </c>
      <c r="R37" s="252">
        <f t="shared" si="6"/>
        <v>1.05</v>
      </c>
      <c r="S37" s="67">
        <f>'9.3'!D44</f>
        <v>4.5127887177469237</v>
      </c>
      <c r="BC37">
        <v>0.5</v>
      </c>
      <c r="BD37">
        <v>0.5</v>
      </c>
    </row>
    <row r="38" spans="1:244" x14ac:dyDescent="0.2">
      <c r="A38" s="22" t="s">
        <v>334</v>
      </c>
      <c r="C38" s="108">
        <v>24924710</v>
      </c>
      <c r="D38" s="67"/>
      <c r="E38" s="225">
        <f>'[2]TWIA 5'!I301</f>
        <v>1.8570470989540067</v>
      </c>
      <c r="F38" s="26">
        <f t="shared" si="11"/>
        <v>46286360</v>
      </c>
      <c r="G38" s="108">
        <v>710669</v>
      </c>
      <c r="H38" s="21">
        <f t="shared" si="9"/>
        <v>1.4999999999999999E-2</v>
      </c>
      <c r="I38" s="37"/>
      <c r="K38" s="2"/>
      <c r="O38" t="s">
        <v>427</v>
      </c>
      <c r="P38" t="str">
        <f>'9.3'!A45</f>
        <v>1/1/16</v>
      </c>
      <c r="Q38" s="165">
        <f>'9.3'!C45</f>
        <v>0.05</v>
      </c>
      <c r="R38" s="252">
        <f t="shared" si="6"/>
        <v>1.05</v>
      </c>
      <c r="S38" s="67">
        <f>'9.3'!D45</f>
        <v>4.7384281536342705</v>
      </c>
      <c r="BD38">
        <v>0.5</v>
      </c>
      <c r="BE38">
        <v>0.5</v>
      </c>
    </row>
    <row r="39" spans="1:244" x14ac:dyDescent="0.2">
      <c r="A39" s="22" t="s">
        <v>339</v>
      </c>
      <c r="C39" s="108">
        <v>24970117</v>
      </c>
      <c r="D39" s="67"/>
      <c r="E39" s="225">
        <f>'[2]TWIA 5'!I302</f>
        <v>1.7641482522914038</v>
      </c>
      <c r="F39" s="26">
        <f t="shared" si="11"/>
        <v>44050988</v>
      </c>
      <c r="G39" s="108">
        <v>293310706.44950092</v>
      </c>
      <c r="H39" s="21">
        <f>ROUND(G39/F39,3)</f>
        <v>6.6580000000000004</v>
      </c>
      <c r="I39" s="37"/>
      <c r="K39" s="2"/>
      <c r="O39" t="s">
        <v>428</v>
      </c>
      <c r="P39" t="str">
        <f>'9.3'!A46</f>
        <v>1/1/17</v>
      </c>
      <c r="Q39" s="165">
        <f>'9.3'!C46</f>
        <v>0</v>
      </c>
      <c r="R39" s="252">
        <f t="shared" si="6"/>
        <v>1</v>
      </c>
      <c r="S39" s="67">
        <f>'9.3'!D46</f>
        <v>4.7384281536342705</v>
      </c>
      <c r="BE39">
        <v>0.5</v>
      </c>
      <c r="BF39">
        <v>0.5</v>
      </c>
    </row>
    <row r="40" spans="1:244" x14ac:dyDescent="0.2">
      <c r="A40" s="22" t="s">
        <v>357</v>
      </c>
      <c r="C40" s="108">
        <v>29363002</v>
      </c>
      <c r="D40" s="67"/>
      <c r="E40" s="225">
        <f>'[2]TWIA 5'!I303</f>
        <v>1.5997647448930246</v>
      </c>
      <c r="F40" s="26">
        <f t="shared" si="11"/>
        <v>46973895</v>
      </c>
      <c r="G40" s="108">
        <v>1140669</v>
      </c>
      <c r="H40" s="21">
        <f>ROUND(G40/F40,3)</f>
        <v>2.4E-2</v>
      </c>
      <c r="I40" s="37"/>
      <c r="K40" s="2"/>
      <c r="O40" t="s">
        <v>429</v>
      </c>
      <c r="P40" t="str">
        <f>'9.3'!A47</f>
        <v>1/1/18</v>
      </c>
      <c r="Q40" s="165">
        <f>'9.3'!C47</f>
        <v>0.05</v>
      </c>
      <c r="R40" s="252">
        <f t="shared" si="6"/>
        <v>1.05</v>
      </c>
      <c r="S40" s="67">
        <f>'9.3'!D47</f>
        <v>4.9753495613159844</v>
      </c>
      <c r="BF40">
        <v>0.5</v>
      </c>
      <c r="BG40">
        <v>0.5</v>
      </c>
    </row>
    <row r="41" spans="1:244" x14ac:dyDescent="0.2">
      <c r="A41" s="22" t="s">
        <v>358</v>
      </c>
      <c r="C41" s="108">
        <v>31708901</v>
      </c>
      <c r="D41" s="67"/>
      <c r="E41" s="225">
        <f>'[2]TWIA 5'!I304</f>
        <v>1.4780006228698483</v>
      </c>
      <c r="F41" s="26">
        <f>ROUND(C41*E41,0)</f>
        <v>46865775</v>
      </c>
      <c r="G41" s="108">
        <v>669882</v>
      </c>
      <c r="H41" s="21">
        <f t="shared" si="9"/>
        <v>1.4E-2</v>
      </c>
      <c r="I41" s="37"/>
      <c r="K41" s="2"/>
      <c r="O41" t="s">
        <v>430</v>
      </c>
      <c r="P41" s="215">
        <v>43466</v>
      </c>
      <c r="Q41" s="216">
        <f>'9.3'!C48</f>
        <v>0</v>
      </c>
      <c r="R41" s="252">
        <f t="shared" si="6"/>
        <v>1</v>
      </c>
      <c r="S41" s="67">
        <f>'9.3'!D48</f>
        <v>4.9753495613159844</v>
      </c>
      <c r="BG41">
        <v>0.5</v>
      </c>
      <c r="BH41">
        <v>0.5</v>
      </c>
    </row>
    <row r="42" spans="1:244" x14ac:dyDescent="0.2">
      <c r="A42" s="22" t="s">
        <v>361</v>
      </c>
      <c r="C42" s="108">
        <v>31323614</v>
      </c>
      <c r="D42" s="67"/>
      <c r="E42" s="225">
        <f>'[2]TWIA 5'!I305</f>
        <v>1.4430316100910405</v>
      </c>
      <c r="F42" s="26">
        <f>ROUND(C42*E42,0)</f>
        <v>45200965</v>
      </c>
      <c r="G42" s="108">
        <v>1675264</v>
      </c>
      <c r="H42" s="21">
        <f t="shared" si="9"/>
        <v>3.6999999999999998E-2</v>
      </c>
      <c r="I42" s="37"/>
      <c r="K42" s="2"/>
      <c r="L42" t="s">
        <v>365</v>
      </c>
      <c r="M42" s="18"/>
      <c r="O42" t="s">
        <v>441</v>
      </c>
      <c r="P42" s="215">
        <v>43831</v>
      </c>
      <c r="Q42" s="216">
        <f>'9.3'!C49</f>
        <v>0</v>
      </c>
      <c r="R42" s="252">
        <f t="shared" si="6"/>
        <v>1</v>
      </c>
      <c r="S42" s="67">
        <f>'9.3'!D49</f>
        <v>4.9753495613159844</v>
      </c>
      <c r="BH42">
        <v>0.5</v>
      </c>
      <c r="BI42">
        <v>0.5</v>
      </c>
    </row>
    <row r="43" spans="1:244" x14ac:dyDescent="0.2">
      <c r="A43" s="22" t="s">
        <v>379</v>
      </c>
      <c r="B43" s="22"/>
      <c r="C43" s="108">
        <v>35165008</v>
      </c>
      <c r="D43" s="73"/>
      <c r="E43" s="225">
        <f>'[2]TWIA 5'!I306</f>
        <v>1.3723433115836108</v>
      </c>
      <c r="F43" s="26">
        <f t="shared" si="11"/>
        <v>48258464</v>
      </c>
      <c r="G43" s="108">
        <v>8709842</v>
      </c>
      <c r="H43" s="37">
        <f>ROUND(G43/F43,3)</f>
        <v>0.18</v>
      </c>
      <c r="I43" s="37"/>
      <c r="K43" s="2"/>
      <c r="L43" s="78">
        <v>99433916.550499082</v>
      </c>
      <c r="O43" t="s">
        <v>472</v>
      </c>
      <c r="P43" s="215">
        <v>44197</v>
      </c>
      <c r="Q43" s="216">
        <v>0</v>
      </c>
      <c r="R43" s="252">
        <f t="shared" si="6"/>
        <v>1</v>
      </c>
      <c r="S43" s="67">
        <f>'9.3'!D50</f>
        <v>4.9753495613159844</v>
      </c>
      <c r="BI43">
        <v>0.5</v>
      </c>
      <c r="BJ43">
        <v>0.5</v>
      </c>
    </row>
    <row r="44" spans="1:244" x14ac:dyDescent="0.2">
      <c r="A44" s="22" t="s">
        <v>380</v>
      </c>
      <c r="B44" s="22"/>
      <c r="C44" s="108">
        <v>37582814</v>
      </c>
      <c r="D44" s="73"/>
      <c r="E44" s="225">
        <f>'[2]TWIA 5'!I307</f>
        <v>1.3075797103216005</v>
      </c>
      <c r="F44" s="26">
        <f t="shared" si="11"/>
        <v>49142525</v>
      </c>
      <c r="G44" s="108">
        <v>6670061</v>
      </c>
      <c r="H44" s="37">
        <f>ROUND(G44/F44,3)</f>
        <v>0.13600000000000001</v>
      </c>
      <c r="I44" s="37"/>
      <c r="K44" s="2"/>
      <c r="L44" s="36"/>
      <c r="M44" s="36"/>
      <c r="O44" t="s">
        <v>510</v>
      </c>
      <c r="P44" s="215">
        <v>44562</v>
      </c>
      <c r="Q44" s="216">
        <v>0.05</v>
      </c>
      <c r="R44" s="252">
        <f t="shared" si="6"/>
        <v>1.05</v>
      </c>
      <c r="S44" s="67">
        <f>'9.3'!D51</f>
        <v>5.2241170393817837</v>
      </c>
      <c r="BJ44">
        <v>0.5</v>
      </c>
      <c r="BK44">
        <v>0.5</v>
      </c>
    </row>
    <row r="45" spans="1:244" x14ac:dyDescent="0.2">
      <c r="A45" s="22">
        <v>2014</v>
      </c>
      <c r="B45" s="22"/>
      <c r="C45" s="226">
        <f>[2]ISO!O35</f>
        <v>38347378</v>
      </c>
      <c r="D45" s="73"/>
      <c r="E45" s="225">
        <f>'[2]TWIA 5'!I308</f>
        <v>1.2467307484438648</v>
      </c>
      <c r="F45" s="26">
        <f t="shared" si="11"/>
        <v>47808855</v>
      </c>
      <c r="G45" s="226">
        <f>[2]ISO!T35</f>
        <v>258179</v>
      </c>
      <c r="H45" s="37">
        <f t="shared" si="9"/>
        <v>5.0000000000000001E-3</v>
      </c>
      <c r="I45" s="37"/>
      <c r="K45" s="2"/>
      <c r="O45" t="s">
        <v>511</v>
      </c>
      <c r="P45" s="215">
        <v>44927</v>
      </c>
      <c r="Q45" s="216">
        <v>0</v>
      </c>
      <c r="R45" s="252">
        <f t="shared" si="6"/>
        <v>1</v>
      </c>
      <c r="S45" s="67">
        <f>'9.3'!D52</f>
        <v>5.2241170393817837</v>
      </c>
      <c r="BK45">
        <v>0.5</v>
      </c>
      <c r="BL45">
        <v>0.5</v>
      </c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278"/>
      <c r="HK45" s="278"/>
      <c r="HL45" s="278"/>
      <c r="HM45" s="278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</row>
    <row r="46" spans="1:244" x14ac:dyDescent="0.2">
      <c r="A46" s="22">
        <v>2015</v>
      </c>
      <c r="B46" s="22"/>
      <c r="C46" s="226">
        <f>[2]ISO!O36</f>
        <v>36872004</v>
      </c>
      <c r="D46" s="73"/>
      <c r="E46" s="225">
        <f>'[2]TWIA 5'!I309</f>
        <v>1.1863253854339271</v>
      </c>
      <c r="F46" s="26">
        <f t="shared" ref="F46:F54" si="12">ROUND(C46*E46,0)</f>
        <v>43742194</v>
      </c>
      <c r="G46" s="226">
        <f>[2]ISO!T36</f>
        <v>5027267</v>
      </c>
      <c r="H46" s="37">
        <f t="shared" si="9"/>
        <v>0.115</v>
      </c>
      <c r="I46" s="37"/>
      <c r="K46" s="2"/>
      <c r="O46" t="s">
        <v>512</v>
      </c>
      <c r="P46" s="215">
        <v>45292</v>
      </c>
      <c r="Q46" s="216">
        <v>0</v>
      </c>
      <c r="R46" s="252">
        <f t="shared" si="6"/>
        <v>1</v>
      </c>
      <c r="S46" s="67">
        <f>'9.3'!D53</f>
        <v>5.2241170393817837</v>
      </c>
      <c r="BL46" s="9">
        <v>0.5</v>
      </c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1"/>
      <c r="HK46" s="11"/>
      <c r="HL46" s="11"/>
      <c r="HM46" s="11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</row>
    <row r="47" spans="1:244" x14ac:dyDescent="0.2">
      <c r="A47" s="22">
        <v>2016</v>
      </c>
      <c r="B47" s="22"/>
      <c r="C47" s="226">
        <f>[2]ISO!O37</f>
        <v>36252372</v>
      </c>
      <c r="D47" s="73"/>
      <c r="E47" s="225">
        <f>'[2]TWIA 5'!I310</f>
        <v>1.1296863217775721</v>
      </c>
      <c r="F47" s="26">
        <f t="shared" si="12"/>
        <v>40953809</v>
      </c>
      <c r="G47" s="226">
        <f>[2]ISO!T37</f>
        <v>331694</v>
      </c>
      <c r="H47" s="37">
        <f t="shared" si="9"/>
        <v>8.0000000000000002E-3</v>
      </c>
      <c r="I47" s="37"/>
      <c r="K47" s="2"/>
      <c r="L47" t="s">
        <v>214</v>
      </c>
      <c r="M47" t="s">
        <v>215</v>
      </c>
      <c r="O47" s="206" t="s">
        <v>41</v>
      </c>
      <c r="P47" s="217" t="s">
        <v>309</v>
      </c>
      <c r="Q47" s="217" t="s">
        <v>223</v>
      </c>
      <c r="R47" s="206"/>
      <c r="S47" s="206"/>
      <c r="T47" s="218">
        <f>SUMPRODUCT($S$7:$S$46,T7:T46)</f>
        <v>1.0151909722222223</v>
      </c>
      <c r="U47" s="218">
        <f t="shared" ref="U47:BL47" si="13">SUMPRODUCT($S$7:$S$46,U7:U46)</f>
        <v>1.1428104166666666</v>
      </c>
      <c r="V47" s="218">
        <f t="shared" si="13"/>
        <v>1.1576560861111111</v>
      </c>
      <c r="W47" s="218">
        <f t="shared" si="13"/>
        <v>1.3642372778106464</v>
      </c>
      <c r="X47" s="218">
        <f t="shared" si="13"/>
        <v>1.487808026052257</v>
      </c>
      <c r="Y47" s="218">
        <f t="shared" si="13"/>
        <v>1.8145984187369675</v>
      </c>
      <c r="Z47" s="218">
        <f t="shared" si="13"/>
        <v>2.5485007097028989</v>
      </c>
      <c r="AA47" s="218">
        <f t="shared" si="13"/>
        <v>2.6203865119934049</v>
      </c>
      <c r="AB47" s="218">
        <f t="shared" si="13"/>
        <v>2.4328629760090004</v>
      </c>
      <c r="AC47" s="218">
        <f t="shared" si="13"/>
        <v>2.1901615490310262</v>
      </c>
      <c r="AD47" s="218">
        <f t="shared" si="13"/>
        <v>2.0849125090576712</v>
      </c>
      <c r="AE47" s="218">
        <f t="shared" si="13"/>
        <v>2.0975535338784841</v>
      </c>
      <c r="AF47" s="218">
        <f t="shared" si="13"/>
        <v>1.8450081871266777</v>
      </c>
      <c r="AG47" s="218">
        <f t="shared" si="13"/>
        <v>1.6058660757812344</v>
      </c>
      <c r="AH47" s="218">
        <f t="shared" si="13"/>
        <v>1.6058660757812344</v>
      </c>
      <c r="AI47" s="218">
        <f t="shared" si="13"/>
        <v>1.6058660757812344</v>
      </c>
      <c r="AJ47" s="218">
        <f t="shared" si="13"/>
        <v>1.6058660757812344</v>
      </c>
      <c r="AK47" s="218">
        <f t="shared" si="13"/>
        <v>1.6058660757812344</v>
      </c>
      <c r="AL47" s="218">
        <f t="shared" si="13"/>
        <v>1.5817780846445157</v>
      </c>
      <c r="AM47" s="218">
        <f t="shared" si="13"/>
        <v>1.5576900935077973</v>
      </c>
      <c r="AN47" s="218">
        <f t="shared" si="13"/>
        <v>1.6277861477156481</v>
      </c>
      <c r="AO47" s="218">
        <f t="shared" si="13"/>
        <v>1.7318398459619693</v>
      </c>
      <c r="AP47" s="218">
        <f t="shared" si="13"/>
        <v>1.8099424272504501</v>
      </c>
      <c r="AQ47" s="218">
        <f t="shared" si="13"/>
        <v>1.9467917327254842</v>
      </c>
      <c r="AR47" s="218">
        <f t="shared" si="13"/>
        <v>2.141470905998033</v>
      </c>
      <c r="AS47" s="218">
        <f t="shared" si="13"/>
        <v>2.3556179965978363</v>
      </c>
      <c r="AT47" s="218">
        <f t="shared" si="13"/>
        <v>2.5410013938539007</v>
      </c>
      <c r="AU47" s="218">
        <f t="shared" si="13"/>
        <v>2.8041805336873216</v>
      </c>
      <c r="AV47" s="218">
        <f t="shared" si="13"/>
        <v>2.9678572517439257</v>
      </c>
      <c r="AW47" s="218">
        <f t="shared" si="13"/>
        <v>3.2586565980220548</v>
      </c>
      <c r="AX47" s="218">
        <f t="shared" si="13"/>
        <v>3.5342312338124136</v>
      </c>
      <c r="AY47" s="218">
        <f t="shared" si="13"/>
        <v>3.6242852452008183</v>
      </c>
      <c r="AZ47" s="218">
        <f t="shared" si="13"/>
        <v>3.8054995074608593</v>
      </c>
      <c r="BA47" s="218">
        <f t="shared" si="13"/>
        <v>3.9957744828339026</v>
      </c>
      <c r="BB47" s="218">
        <f t="shared" si="13"/>
        <v>4.1955632069755975</v>
      </c>
      <c r="BC47" s="218">
        <f t="shared" si="13"/>
        <v>4.405341367324378</v>
      </c>
      <c r="BD47" s="218">
        <f t="shared" si="13"/>
        <v>4.6256084356905971</v>
      </c>
      <c r="BE47" s="218">
        <f t="shared" si="13"/>
        <v>4.7384281536342705</v>
      </c>
      <c r="BF47" s="218">
        <f t="shared" si="13"/>
        <v>4.856888857475127</v>
      </c>
      <c r="BG47" s="218">
        <f t="shared" si="13"/>
        <v>4.9753495613159844</v>
      </c>
      <c r="BH47" s="218">
        <f t="shared" si="13"/>
        <v>4.9753495613159844</v>
      </c>
      <c r="BI47" s="218">
        <f t="shared" si="13"/>
        <v>4.9753495613159844</v>
      </c>
      <c r="BJ47" s="218">
        <f t="shared" si="13"/>
        <v>5.0997333003488841</v>
      </c>
      <c r="BK47" s="218">
        <f t="shared" si="13"/>
        <v>5.2241170393817837</v>
      </c>
      <c r="BL47" s="218">
        <f t="shared" si="13"/>
        <v>5.2241170393817837</v>
      </c>
      <c r="IA47" s="166"/>
      <c r="IB47" s="166"/>
      <c r="IC47" s="166"/>
      <c r="ID47" s="166"/>
      <c r="IE47" s="167"/>
      <c r="IF47" s="166"/>
      <c r="IG47" s="166"/>
      <c r="IH47" s="166"/>
      <c r="II47" s="167"/>
      <c r="IJ47" s="166"/>
    </row>
    <row r="48" spans="1:244" x14ac:dyDescent="0.2">
      <c r="A48" s="22">
        <v>2017</v>
      </c>
      <c r="C48" s="226">
        <f>[2]ISO!O38</f>
        <v>32364563</v>
      </c>
      <c r="E48" s="225">
        <f>'[2]TWIA 5'!I311</f>
        <v>1.102499999999994</v>
      </c>
      <c r="F48" s="26">
        <f t="shared" si="12"/>
        <v>35681931</v>
      </c>
      <c r="G48" s="226">
        <f>[2]ISO!T38</f>
        <v>27347012</v>
      </c>
      <c r="H48" s="37">
        <f t="shared" ref="H48:H54" si="14">ROUND(G48/F48,3)</f>
        <v>0.76600000000000001</v>
      </c>
      <c r="I48" s="37"/>
      <c r="K48" s="2"/>
      <c r="L48" s="64">
        <v>34607</v>
      </c>
      <c r="M48" s="64">
        <v>36525</v>
      </c>
      <c r="O48" t="s">
        <v>174</v>
      </c>
      <c r="P48">
        <v>1</v>
      </c>
      <c r="Q48" s="29">
        <f>'9.3'!$D$53/P48</f>
        <v>5.2241170393817837</v>
      </c>
      <c r="T48" s="29">
        <f>$S$46/T47</f>
        <v>5.1459451298570453</v>
      </c>
      <c r="U48" s="29">
        <f t="shared" ref="U48:BL48" si="15">$S$46/U47</f>
        <v>4.5712893085271444</v>
      </c>
      <c r="V48" s="29">
        <f t="shared" si="15"/>
        <v>4.5126675374990217</v>
      </c>
      <c r="W48" s="29">
        <f t="shared" si="15"/>
        <v>3.8293316891072973</v>
      </c>
      <c r="X48" s="29">
        <f t="shared" si="15"/>
        <v>3.5112843511426886</v>
      </c>
      <c r="Y48" s="29">
        <f t="shared" si="15"/>
        <v>2.8789383840739684</v>
      </c>
      <c r="Z48" s="29">
        <f t="shared" si="15"/>
        <v>2.0498785892003166</v>
      </c>
      <c r="AA48" s="29">
        <f t="shared" si="15"/>
        <v>1.9936436916734259</v>
      </c>
      <c r="AB48" s="29">
        <f t="shared" si="15"/>
        <v>2.1473124836449715</v>
      </c>
      <c r="AC48" s="29">
        <f t="shared" si="15"/>
        <v>2.385265617366465</v>
      </c>
      <c r="AD48" s="29">
        <f t="shared" si="15"/>
        <v>2.5056768649457406</v>
      </c>
      <c r="AE48" s="29">
        <f t="shared" si="15"/>
        <v>2.4905762618235174</v>
      </c>
      <c r="AF48" s="29">
        <f t="shared" si="15"/>
        <v>2.8314871857113864</v>
      </c>
      <c r="AG48" s="29">
        <f t="shared" si="15"/>
        <v>3.2531461484671529</v>
      </c>
      <c r="AH48" s="29">
        <f t="shared" si="15"/>
        <v>3.2531461484671529</v>
      </c>
      <c r="AI48" s="29">
        <f t="shared" si="15"/>
        <v>3.2531461484671529</v>
      </c>
      <c r="AJ48" s="29">
        <f t="shared" si="15"/>
        <v>3.2531461484671529</v>
      </c>
      <c r="AK48" s="29">
        <f t="shared" si="15"/>
        <v>3.2531461484671529</v>
      </c>
      <c r="AL48" s="29">
        <f t="shared" si="15"/>
        <v>3.3026864451443179</v>
      </c>
      <c r="AM48" s="29">
        <f t="shared" si="15"/>
        <v>3.3537589159455186</v>
      </c>
      <c r="AN48" s="29">
        <f t="shared" si="15"/>
        <v>3.209338675545951</v>
      </c>
      <c r="AO48" s="29">
        <f t="shared" si="15"/>
        <v>3.0165127864233838</v>
      </c>
      <c r="AP48" s="29">
        <f t="shared" si="15"/>
        <v>2.8863443172156207</v>
      </c>
      <c r="AQ48" s="29">
        <f t="shared" si="15"/>
        <v>2.6834493652118017</v>
      </c>
      <c r="AR48" s="29">
        <f t="shared" si="15"/>
        <v>2.4394994229198192</v>
      </c>
      <c r="AS48" s="29">
        <f t="shared" si="15"/>
        <v>2.2177267481089267</v>
      </c>
      <c r="AT48" s="29">
        <f t="shared" si="15"/>
        <v>2.0559284430216072</v>
      </c>
      <c r="AU48" s="29">
        <f t="shared" si="15"/>
        <v>1.8629745755036669</v>
      </c>
      <c r="AV48" s="29">
        <f t="shared" si="15"/>
        <v>1.7602319101810135</v>
      </c>
      <c r="AW48" s="29">
        <f t="shared" si="15"/>
        <v>1.6031505260642462</v>
      </c>
      <c r="AX48" s="29">
        <f t="shared" si="15"/>
        <v>1.478148059301279</v>
      </c>
      <c r="AY48" s="29">
        <f t="shared" si="15"/>
        <v>1.4414199451600616</v>
      </c>
      <c r="AZ48" s="29">
        <f t="shared" si="15"/>
        <v>1.3727809001524396</v>
      </c>
      <c r="BA48" s="29">
        <f t="shared" si="15"/>
        <v>1.3074103810975615</v>
      </c>
      <c r="BB48" s="29">
        <f t="shared" si="15"/>
        <v>1.2451527439024395</v>
      </c>
      <c r="BC48" s="29">
        <f t="shared" si="15"/>
        <v>1.1858597560975612</v>
      </c>
      <c r="BD48" s="29">
        <f t="shared" si="15"/>
        <v>1.1293902439024393</v>
      </c>
      <c r="BE48" s="29">
        <f t="shared" si="15"/>
        <v>1.1025</v>
      </c>
      <c r="BF48" s="29">
        <f t="shared" si="15"/>
        <v>1.075609756097561</v>
      </c>
      <c r="BG48" s="29">
        <f t="shared" si="15"/>
        <v>1.05</v>
      </c>
      <c r="BH48" s="29">
        <f t="shared" si="15"/>
        <v>1.05</v>
      </c>
      <c r="BI48" s="29">
        <f t="shared" si="15"/>
        <v>1.05</v>
      </c>
      <c r="BJ48" s="29">
        <f t="shared" si="15"/>
        <v>1.024390243902439</v>
      </c>
      <c r="BK48" s="29">
        <f t="shared" si="15"/>
        <v>1</v>
      </c>
      <c r="BL48" s="29">
        <f t="shared" si="15"/>
        <v>1</v>
      </c>
      <c r="HZ48" s="166"/>
      <c r="IA48" s="167"/>
      <c r="IB48" s="167"/>
      <c r="IC48" s="167"/>
      <c r="ID48" s="167"/>
      <c r="IE48" s="167"/>
      <c r="IF48" s="167"/>
      <c r="IG48" s="167"/>
      <c r="IH48" s="167"/>
      <c r="II48" s="167"/>
      <c r="IJ48" s="167"/>
    </row>
    <row r="49" spans="1:244" x14ac:dyDescent="0.2">
      <c r="A49" s="22">
        <v>2018</v>
      </c>
      <c r="C49" s="226">
        <f>[2]ISO!O39</f>
        <v>32179195</v>
      </c>
      <c r="E49" s="225">
        <f>'[2]TWIA 5'!I312</f>
        <v>1.0755512293710299</v>
      </c>
      <c r="F49" s="26">
        <f t="shared" si="12"/>
        <v>34610373</v>
      </c>
      <c r="G49" s="226">
        <f>[2]ISO!T39</f>
        <v>110422</v>
      </c>
      <c r="H49" s="37">
        <f t="shared" si="14"/>
        <v>3.0000000000000001E-3</v>
      </c>
      <c r="I49" s="37"/>
      <c r="K49" s="2"/>
      <c r="M49" s="63">
        <v>43830</v>
      </c>
      <c r="N49" t="s">
        <v>216</v>
      </c>
      <c r="O49" s="22">
        <v>1980</v>
      </c>
      <c r="P49" s="29">
        <f>T47</f>
        <v>1.0151909722222223</v>
      </c>
      <c r="Q49" s="29">
        <f>'9.3'!$D$53/P49</f>
        <v>5.1459451298570453</v>
      </c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7"/>
      <c r="CV49" s="166"/>
      <c r="CW49" s="166"/>
      <c r="CX49" s="166"/>
      <c r="CY49" s="167"/>
      <c r="CZ49" s="166"/>
      <c r="DA49" s="166"/>
      <c r="DB49" s="166"/>
      <c r="DC49" s="167"/>
      <c r="DD49" s="166"/>
      <c r="DE49" s="166"/>
      <c r="DF49" s="166"/>
      <c r="DG49" s="166"/>
      <c r="DH49" s="166"/>
      <c r="DI49" s="166"/>
      <c r="DJ49" s="166"/>
      <c r="DK49" s="167"/>
      <c r="DL49" s="166"/>
      <c r="DM49" s="166"/>
      <c r="DN49" s="166"/>
      <c r="DO49" s="167"/>
      <c r="DP49" s="166"/>
      <c r="DQ49" s="166"/>
      <c r="DR49" s="166"/>
      <c r="DS49" s="167"/>
      <c r="DT49" s="166"/>
      <c r="DU49" s="166"/>
      <c r="DV49" s="166"/>
      <c r="DW49" s="167"/>
      <c r="DX49" s="166"/>
      <c r="DY49" s="166"/>
      <c r="DZ49" s="166"/>
      <c r="EA49" s="167"/>
      <c r="EB49" s="166"/>
      <c r="EC49" s="166"/>
      <c r="ED49" s="166"/>
      <c r="EE49" s="167"/>
      <c r="EF49" s="166"/>
      <c r="EG49" s="166"/>
      <c r="EH49" s="166"/>
      <c r="EI49" s="166"/>
      <c r="EJ49" s="166"/>
      <c r="EK49" s="166"/>
      <c r="EL49" s="166"/>
      <c r="EM49" s="167"/>
      <c r="EN49" s="166"/>
      <c r="EO49" s="166"/>
      <c r="EQ49" s="168"/>
      <c r="ET49" s="166"/>
      <c r="EU49" s="166"/>
      <c r="EV49" s="166"/>
      <c r="EW49" s="166"/>
      <c r="EX49" s="166"/>
      <c r="EY49" s="167"/>
      <c r="EZ49" s="166"/>
      <c r="FA49" s="166"/>
      <c r="FC49" s="168"/>
      <c r="FF49" s="166"/>
      <c r="FG49" s="166"/>
      <c r="FH49" s="166"/>
      <c r="FI49" s="166"/>
      <c r="FJ49" s="166"/>
      <c r="FK49" s="167"/>
      <c r="FL49" s="166"/>
      <c r="FM49" s="166"/>
      <c r="FO49" s="168"/>
      <c r="FR49" s="166"/>
      <c r="FS49" s="166"/>
      <c r="FT49" s="166"/>
      <c r="FU49" s="166"/>
      <c r="FV49" s="166"/>
      <c r="FW49" s="167"/>
      <c r="FX49" s="166"/>
      <c r="FY49" s="166"/>
      <c r="GA49" s="168"/>
      <c r="GD49" s="166"/>
      <c r="GE49" s="166"/>
      <c r="GF49" s="166"/>
      <c r="GG49" s="166"/>
      <c r="GH49" s="166"/>
      <c r="GI49" s="167"/>
      <c r="GJ49" s="166"/>
      <c r="GK49" s="166"/>
      <c r="GM49" s="168"/>
      <c r="GQ49" s="168"/>
      <c r="GT49" s="166"/>
      <c r="GU49" s="166"/>
      <c r="GV49" s="166"/>
      <c r="GW49" s="166"/>
      <c r="GX49" s="166"/>
      <c r="GY49" s="167"/>
      <c r="GZ49" s="166"/>
      <c r="HA49" s="166"/>
      <c r="HC49" s="168"/>
      <c r="HG49" s="168"/>
      <c r="HJ49" s="166"/>
      <c r="HK49" s="166"/>
      <c r="HL49" s="166"/>
      <c r="HM49" s="166"/>
      <c r="HN49" s="166"/>
      <c r="HO49" s="167"/>
      <c r="HP49" s="166"/>
      <c r="HQ49" s="166"/>
      <c r="HS49" s="168"/>
      <c r="HW49" s="168"/>
      <c r="HZ49" s="167"/>
    </row>
    <row r="50" spans="1:244" x14ac:dyDescent="0.2">
      <c r="A50" s="22">
        <v>2019</v>
      </c>
      <c r="C50" s="226">
        <f>[2]ISO!O40</f>
        <v>32106423</v>
      </c>
      <c r="E50" s="225">
        <f>'[2]TWIA 5'!I313</f>
        <v>1.049999999999998</v>
      </c>
      <c r="F50" s="26">
        <f t="shared" si="12"/>
        <v>33711744</v>
      </c>
      <c r="G50" s="226">
        <f>[2]ISO!T40</f>
        <v>369052</v>
      </c>
      <c r="H50" s="37">
        <f t="shared" si="14"/>
        <v>1.0999999999999999E-2</v>
      </c>
      <c r="I50" s="37"/>
      <c r="K50" s="2"/>
      <c r="L50" s="63">
        <f>[2]ISO!$E$1</f>
        <v>45291</v>
      </c>
      <c r="M50" s="63">
        <f>[2]ISO!$E$2</f>
        <v>45291</v>
      </c>
      <c r="O50" s="22">
        <v>1981</v>
      </c>
      <c r="P50" s="29">
        <f>U47</f>
        <v>1.1428104166666666</v>
      </c>
      <c r="Q50" s="29">
        <f>'9.3'!$D$53/P50</f>
        <v>4.5712893085271444</v>
      </c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  <c r="CM50" s="167"/>
      <c r="CN50" s="167"/>
      <c r="CO50" s="167"/>
      <c r="CP50" s="167"/>
      <c r="CQ50" s="167"/>
      <c r="CR50" s="167"/>
      <c r="CS50" s="167"/>
      <c r="CT50" s="167"/>
      <c r="CU50" s="167"/>
      <c r="CV50" s="167"/>
      <c r="CW50" s="167"/>
      <c r="CX50" s="167"/>
      <c r="CY50" s="167"/>
      <c r="CZ50" s="167"/>
      <c r="DA50" s="167"/>
      <c r="DB50" s="167"/>
      <c r="DC50" s="167"/>
      <c r="DD50" s="167"/>
      <c r="DE50" s="167"/>
      <c r="DF50" s="167"/>
      <c r="DG50" s="167"/>
      <c r="DH50" s="167"/>
      <c r="DI50" s="167"/>
      <c r="DJ50" s="167"/>
      <c r="DK50" s="167"/>
      <c r="DL50" s="167"/>
      <c r="DM50" s="167"/>
      <c r="DN50" s="167"/>
      <c r="DO50" s="167"/>
      <c r="DP50" s="167"/>
      <c r="DQ50" s="167"/>
      <c r="DR50" s="167"/>
      <c r="DS50" s="167"/>
      <c r="DT50" s="167"/>
      <c r="DU50" s="167"/>
      <c r="DV50" s="167"/>
      <c r="DW50" s="167"/>
      <c r="DX50" s="167"/>
      <c r="DY50" s="167"/>
      <c r="DZ50" s="167"/>
      <c r="EA50" s="167"/>
      <c r="EB50" s="167"/>
      <c r="EC50" s="167"/>
      <c r="ED50" s="167"/>
      <c r="EE50" s="167"/>
      <c r="EF50" s="167"/>
      <c r="EG50" s="167"/>
      <c r="EH50" s="167"/>
      <c r="EI50" s="167"/>
      <c r="EJ50" s="167"/>
      <c r="EK50" s="167"/>
      <c r="EL50" s="167"/>
      <c r="EM50" s="167"/>
      <c r="EN50" s="167"/>
      <c r="EO50" s="167"/>
      <c r="ET50" s="167"/>
      <c r="EU50" s="167"/>
      <c r="EV50" s="167"/>
      <c r="EW50" s="167"/>
      <c r="EX50" s="167"/>
      <c r="EY50" s="167"/>
      <c r="EZ50" s="167"/>
      <c r="FA50" s="167"/>
      <c r="FF50" s="167"/>
      <c r="FG50" s="167"/>
      <c r="FH50" s="167"/>
      <c r="FI50" s="167"/>
      <c r="FJ50" s="167"/>
      <c r="FK50" s="167"/>
      <c r="FL50" s="167"/>
      <c r="FM50" s="167"/>
      <c r="FR50" s="167"/>
      <c r="FS50" s="167"/>
      <c r="FT50" s="167"/>
      <c r="FU50" s="167"/>
      <c r="FV50" s="167"/>
      <c r="FW50" s="167"/>
      <c r="FX50" s="167"/>
      <c r="FY50" s="167"/>
      <c r="GD50" s="167"/>
      <c r="GE50" s="167"/>
      <c r="GF50" s="167"/>
      <c r="GG50" s="167"/>
      <c r="GH50" s="167"/>
      <c r="GI50" s="167"/>
      <c r="GJ50" s="167"/>
      <c r="GK50" s="167"/>
      <c r="GT50" s="167"/>
      <c r="GU50" s="167"/>
      <c r="GV50" s="167"/>
      <c r="GW50" s="167"/>
      <c r="GX50" s="167"/>
      <c r="GY50" s="167"/>
      <c r="GZ50" s="167"/>
      <c r="HA50" s="167"/>
      <c r="HJ50" s="167"/>
      <c r="HK50" s="167"/>
      <c r="HL50" s="167"/>
      <c r="HM50" s="167"/>
      <c r="HN50" s="167"/>
      <c r="HO50" s="167"/>
      <c r="HP50" s="167"/>
      <c r="HQ50" s="167"/>
    </row>
    <row r="51" spans="1:244" x14ac:dyDescent="0.2">
      <c r="A51" s="22">
        <v>2020</v>
      </c>
      <c r="C51" s="226">
        <f>[2]ISO!O41</f>
        <v>32767876</v>
      </c>
      <c r="E51" s="225">
        <f>'[2]TWIA 5'!I314</f>
        <v>1.0499999999999974</v>
      </c>
      <c r="F51" s="26">
        <f>ROUND(C51*E51,0)</f>
        <v>34406270</v>
      </c>
      <c r="G51" s="226">
        <f>[2]ISO!T41</f>
        <v>870161</v>
      </c>
      <c r="H51" s="37">
        <f t="shared" si="14"/>
        <v>2.5000000000000001E-2</v>
      </c>
      <c r="I51" s="37"/>
      <c r="K51" s="2"/>
      <c r="N51" t="s">
        <v>217</v>
      </c>
      <c r="O51" s="22">
        <v>1982</v>
      </c>
      <c r="P51" s="29">
        <f>V47</f>
        <v>1.1576560861111111</v>
      </c>
      <c r="Q51" s="29">
        <f>'9.3'!$D$53/P51</f>
        <v>4.5126675374990217</v>
      </c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CT51" s="167"/>
    </row>
    <row r="52" spans="1:244" x14ac:dyDescent="0.2">
      <c r="A52" s="22">
        <v>2021</v>
      </c>
      <c r="C52" s="226">
        <f>[2]ISO!O42</f>
        <v>33150139</v>
      </c>
      <c r="E52" s="225">
        <f>'[2]TWIA 5'!I315</f>
        <v>1.0499999999999947</v>
      </c>
      <c r="F52" s="26">
        <f t="shared" si="12"/>
        <v>34807646</v>
      </c>
      <c r="G52" s="226">
        <f>[2]ISO!T42</f>
        <v>7049722</v>
      </c>
      <c r="H52" s="37">
        <f t="shared" si="14"/>
        <v>0.20300000000000001</v>
      </c>
      <c r="I52" s="37"/>
      <c r="K52" s="2"/>
      <c r="O52" s="22">
        <v>1983</v>
      </c>
      <c r="P52" s="29">
        <f>W47</f>
        <v>1.3642372778106464</v>
      </c>
      <c r="Q52" s="29">
        <f>'9.3'!$D$53/P52</f>
        <v>3.8293316891072973</v>
      </c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</row>
    <row r="53" spans="1:244" x14ac:dyDescent="0.2">
      <c r="A53" s="22">
        <v>2022</v>
      </c>
      <c r="C53" s="226">
        <f>[2]ISO!O43</f>
        <v>41125034</v>
      </c>
      <c r="E53" s="225">
        <f>'[2]TWIA 5'!I316</f>
        <v>1.0224475776595738</v>
      </c>
      <c r="F53" s="26">
        <f t="shared" si="12"/>
        <v>42048191</v>
      </c>
      <c r="G53" s="226">
        <f>[2]ISO!T43</f>
        <v>1000709</v>
      </c>
      <c r="H53" s="37">
        <f t="shared" si="14"/>
        <v>2.4E-2</v>
      </c>
      <c r="I53" s="37"/>
      <c r="K53" s="2"/>
      <c r="O53" s="22">
        <v>1984</v>
      </c>
      <c r="P53" s="29">
        <f>X47</f>
        <v>1.487808026052257</v>
      </c>
      <c r="Q53" s="29">
        <f>'9.3'!$D$53/P53</f>
        <v>3.5112843511426886</v>
      </c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13">
        <v>1980</v>
      </c>
      <c r="BN53" s="173"/>
      <c r="BO53" s="173"/>
      <c r="BP53" s="173"/>
      <c r="BQ53" s="170">
        <f>BM53+1</f>
        <v>1981</v>
      </c>
      <c r="BR53" s="13"/>
      <c r="BS53" s="13"/>
      <c r="BT53" s="13"/>
      <c r="BU53" s="13">
        <f>BQ53+1</f>
        <v>1982</v>
      </c>
      <c r="BV53" s="13"/>
      <c r="BW53" s="13"/>
      <c r="BX53" s="13"/>
      <c r="BY53" s="13">
        <f>BU53+1</f>
        <v>1983</v>
      </c>
      <c r="BZ53" s="13"/>
      <c r="CA53" s="13"/>
      <c r="CB53" s="13"/>
      <c r="CC53" s="13">
        <f>BY53+1</f>
        <v>1984</v>
      </c>
      <c r="CD53" s="13"/>
      <c r="CE53" s="13"/>
      <c r="CF53" s="13"/>
      <c r="CG53" s="13">
        <f>CC53+1</f>
        <v>1985</v>
      </c>
      <c r="CH53" s="13"/>
      <c r="CI53" s="13"/>
      <c r="CJ53" s="13"/>
      <c r="CK53" s="13">
        <f>CG53+1</f>
        <v>1986</v>
      </c>
      <c r="CL53" s="13"/>
      <c r="CM53" s="13"/>
      <c r="CN53" s="13"/>
      <c r="CO53" s="13">
        <f>CK53+1</f>
        <v>1987</v>
      </c>
      <c r="CP53" s="13"/>
      <c r="CQ53" s="13"/>
      <c r="CR53" s="13"/>
      <c r="CS53" s="13">
        <f>CO53+1</f>
        <v>1988</v>
      </c>
      <c r="CT53" s="13"/>
      <c r="CU53" s="13"/>
      <c r="CV53" s="13"/>
      <c r="CW53" s="13">
        <f>CS53+1</f>
        <v>1989</v>
      </c>
      <c r="CX53" s="13"/>
      <c r="CY53" s="13"/>
      <c r="CZ53" s="13"/>
      <c r="DA53" s="13">
        <f>CW53+1</f>
        <v>1990</v>
      </c>
      <c r="DB53" s="13"/>
      <c r="DC53" s="13"/>
      <c r="DD53" s="13"/>
      <c r="DE53" s="13">
        <f>DA53+1</f>
        <v>1991</v>
      </c>
      <c r="DF53" s="13"/>
      <c r="DG53" s="13"/>
      <c r="DH53" s="13"/>
      <c r="DI53" s="13">
        <f>DE53+1</f>
        <v>1992</v>
      </c>
      <c r="DJ53" s="13"/>
      <c r="DK53" s="13"/>
      <c r="DL53" s="13"/>
      <c r="DM53" s="13">
        <f>DI53+1</f>
        <v>1993</v>
      </c>
      <c r="DN53" s="13"/>
      <c r="DO53" s="13"/>
      <c r="DP53" s="13"/>
      <c r="DQ53" s="13">
        <f>DM53+1</f>
        <v>1994</v>
      </c>
      <c r="DR53" s="13"/>
      <c r="DS53" s="13"/>
      <c r="DT53" s="13"/>
      <c r="DU53" s="13">
        <f>DQ53+1</f>
        <v>1995</v>
      </c>
      <c r="DV53" s="13"/>
      <c r="DW53" s="13"/>
      <c r="DX53" s="13"/>
      <c r="DY53" s="13">
        <f>DU53+1</f>
        <v>1996</v>
      </c>
      <c r="DZ53" s="13"/>
      <c r="EA53" s="13"/>
      <c r="EB53" s="13"/>
      <c r="EC53" s="13">
        <f>DY53+1</f>
        <v>1997</v>
      </c>
      <c r="ED53" s="13"/>
      <c r="EE53" s="13"/>
      <c r="EF53" s="13"/>
      <c r="EG53" s="13">
        <f>EC53+1</f>
        <v>1998</v>
      </c>
      <c r="EH53" s="13"/>
      <c r="EI53" s="13"/>
      <c r="EJ53" s="13"/>
      <c r="EK53" s="13">
        <f>EG53+1</f>
        <v>1999</v>
      </c>
      <c r="EL53" s="13"/>
      <c r="EM53" s="13"/>
      <c r="EN53" s="13"/>
      <c r="EO53" s="13">
        <f>EK53+1</f>
        <v>2000</v>
      </c>
      <c r="EP53" s="13"/>
      <c r="EQ53" s="13"/>
      <c r="ER53" s="13"/>
      <c r="ES53" s="13">
        <f>EO53+1</f>
        <v>2001</v>
      </c>
      <c r="ET53" s="13"/>
      <c r="EU53" s="13"/>
      <c r="EV53" s="13"/>
      <c r="EW53" s="13">
        <f>ES53+1</f>
        <v>2002</v>
      </c>
      <c r="EX53" s="13"/>
      <c r="EY53" s="13"/>
      <c r="EZ53" s="13"/>
      <c r="FA53" s="13">
        <f>EW53+1</f>
        <v>2003</v>
      </c>
      <c r="FB53" s="13"/>
      <c r="FC53" s="13"/>
      <c r="FD53" s="13"/>
      <c r="FE53" s="13">
        <f>FA53+1</f>
        <v>2004</v>
      </c>
      <c r="FF53" s="13"/>
      <c r="FG53" s="13"/>
      <c r="FH53" s="13"/>
      <c r="FI53" s="13">
        <f>FE53+1</f>
        <v>2005</v>
      </c>
      <c r="FJ53" s="13"/>
      <c r="FK53" s="13"/>
      <c r="FL53" s="13"/>
      <c r="FM53" s="13">
        <f>FI53+1</f>
        <v>2006</v>
      </c>
      <c r="FN53" s="13"/>
      <c r="FO53" s="13"/>
      <c r="FP53" s="13"/>
      <c r="FQ53" s="13">
        <f>FM53+1</f>
        <v>2007</v>
      </c>
      <c r="FR53" s="13"/>
      <c r="FS53" s="13"/>
      <c r="FT53" s="13"/>
      <c r="FU53" s="13">
        <f>FQ53+1</f>
        <v>2008</v>
      </c>
      <c r="FV53" s="13"/>
      <c r="FW53" s="13"/>
      <c r="FX53" s="13"/>
      <c r="FY53" s="13">
        <f>FU53+1</f>
        <v>2009</v>
      </c>
      <c r="FZ53" s="13"/>
      <c r="GA53" s="13"/>
      <c r="GB53" s="13"/>
      <c r="GC53" s="13">
        <f>FY53+1</f>
        <v>2010</v>
      </c>
      <c r="GD53" s="13"/>
      <c r="GE53" s="13"/>
      <c r="GF53" s="13"/>
      <c r="GG53" s="13">
        <f>GC53+1</f>
        <v>2011</v>
      </c>
      <c r="GH53" s="13"/>
      <c r="GI53" s="13"/>
      <c r="GJ53" s="13"/>
      <c r="GK53" s="13">
        <f>GG53+1</f>
        <v>2012</v>
      </c>
      <c r="GL53" s="13"/>
      <c r="GM53" s="13"/>
      <c r="GN53" s="13"/>
      <c r="GO53" s="13">
        <f>GK53+1</f>
        <v>2013</v>
      </c>
      <c r="GP53" s="13"/>
      <c r="GQ53" s="13"/>
      <c r="GR53" s="13"/>
      <c r="GS53" s="13">
        <f>GO53+1</f>
        <v>2014</v>
      </c>
      <c r="GT53" s="13"/>
      <c r="GU53" s="13"/>
      <c r="GV53" s="13"/>
      <c r="GW53" s="13">
        <f>GS53+1</f>
        <v>2015</v>
      </c>
      <c r="GX53" s="13"/>
      <c r="GY53" s="13"/>
      <c r="GZ53" s="13"/>
      <c r="HA53" s="13">
        <f>GW53+1</f>
        <v>2016</v>
      </c>
      <c r="HB53" s="13"/>
      <c r="HC53" s="13"/>
      <c r="HD53" s="13"/>
      <c r="HE53" s="13">
        <f>HA53+1</f>
        <v>2017</v>
      </c>
      <c r="HF53" s="13"/>
      <c r="HG53" s="13"/>
      <c r="HH53" s="13"/>
      <c r="HI53" s="13">
        <f>HE53+1</f>
        <v>2018</v>
      </c>
      <c r="HJ53" s="13"/>
      <c r="HK53" s="13"/>
      <c r="HL53" s="13"/>
      <c r="HM53" s="278">
        <f>HI53+1</f>
        <v>2019</v>
      </c>
      <c r="HN53" s="278"/>
      <c r="HO53" s="278"/>
      <c r="HP53" s="278"/>
      <c r="HQ53" s="278">
        <v>2020</v>
      </c>
      <c r="HR53" s="278"/>
      <c r="HS53" s="278"/>
      <c r="HT53" s="278"/>
      <c r="HU53" s="278">
        <v>2021</v>
      </c>
      <c r="HV53" s="278"/>
      <c r="HW53" s="278"/>
      <c r="HX53" s="278"/>
      <c r="HY53" s="278">
        <v>2022</v>
      </c>
      <c r="HZ53" s="278"/>
      <c r="IA53" s="278"/>
      <c r="IB53" s="278"/>
      <c r="IC53" s="278">
        <v>2023</v>
      </c>
      <c r="ID53" s="278"/>
      <c r="IE53" s="278"/>
      <c r="IF53" s="278"/>
      <c r="IG53" s="278">
        <v>2024</v>
      </c>
      <c r="IH53" s="278"/>
      <c r="II53" s="278"/>
      <c r="IJ53" s="278"/>
    </row>
    <row r="54" spans="1:244" x14ac:dyDescent="0.2">
      <c r="A54" s="22">
        <v>2023</v>
      </c>
      <c r="C54" s="226">
        <f>[2]ISO!O44</f>
        <v>50188953</v>
      </c>
      <c r="E54" s="225">
        <f>'[2]TWIA 5'!I317</f>
        <v>1</v>
      </c>
      <c r="F54" s="26">
        <f t="shared" si="12"/>
        <v>50188953</v>
      </c>
      <c r="G54" s="226">
        <f>[2]ISO!T44</f>
        <v>382252</v>
      </c>
      <c r="H54" s="37">
        <f t="shared" si="14"/>
        <v>8.0000000000000002E-3</v>
      </c>
      <c r="I54" s="37"/>
      <c r="K54" s="2"/>
      <c r="O54" s="22">
        <v>1985</v>
      </c>
      <c r="P54" s="29">
        <f>Y47</f>
        <v>1.8145984187369675</v>
      </c>
      <c r="Q54" s="29">
        <f>'9.3'!$D$53/P54</f>
        <v>2.8789383840739684</v>
      </c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174"/>
      <c r="BN54" s="171"/>
      <c r="BO54" s="171"/>
      <c r="BP54" s="175"/>
      <c r="BQ54" s="174"/>
      <c r="BR54" s="171"/>
      <c r="BS54" s="171"/>
      <c r="BT54" s="175"/>
      <c r="BU54" s="174"/>
      <c r="BV54" s="171"/>
      <c r="BW54" s="171"/>
      <c r="BX54" s="175"/>
      <c r="BY54" s="174"/>
      <c r="BZ54" s="171"/>
      <c r="CA54" s="171"/>
      <c r="CB54" s="175"/>
      <c r="CC54" s="174"/>
      <c r="CD54" s="171"/>
      <c r="CE54" s="171"/>
      <c r="CF54" s="175"/>
      <c r="CG54" s="174"/>
      <c r="CH54" s="171"/>
      <c r="CI54" s="171"/>
      <c r="CJ54" s="175"/>
      <c r="CK54" s="174"/>
      <c r="CL54" s="171"/>
      <c r="CM54" s="171"/>
      <c r="CN54" s="175"/>
      <c r="CO54" s="174"/>
      <c r="CP54" s="171"/>
      <c r="CQ54" s="171"/>
      <c r="CR54" s="175"/>
      <c r="CS54" s="174"/>
      <c r="CT54" s="171"/>
      <c r="CU54" s="171"/>
      <c r="CV54" s="175"/>
      <c r="CW54" s="174"/>
      <c r="CX54" s="171"/>
      <c r="CY54" s="171"/>
      <c r="CZ54" s="175"/>
      <c r="DA54" s="174"/>
      <c r="DB54" s="171"/>
      <c r="DC54" s="171"/>
      <c r="DD54" s="175"/>
      <c r="DE54" s="174"/>
      <c r="DF54" s="171"/>
      <c r="DG54" s="171"/>
      <c r="DH54" s="175"/>
      <c r="DI54" s="174"/>
      <c r="DJ54" s="171"/>
      <c r="DK54" s="171"/>
      <c r="DL54" s="175"/>
      <c r="DM54" s="174"/>
      <c r="DN54" s="171"/>
      <c r="DO54" s="171"/>
      <c r="DP54" s="175"/>
      <c r="DQ54" s="174"/>
      <c r="DR54" s="171"/>
      <c r="DS54" s="171"/>
      <c r="DT54" s="175"/>
      <c r="DU54" s="174"/>
      <c r="DV54" s="171"/>
      <c r="DW54" s="171"/>
      <c r="DX54" s="175"/>
      <c r="DY54" s="174"/>
      <c r="DZ54" s="171"/>
      <c r="EA54" s="171"/>
      <c r="EB54" s="175"/>
      <c r="EC54" s="174"/>
      <c r="ED54" s="171"/>
      <c r="EE54" s="171"/>
      <c r="EF54" s="175"/>
      <c r="EG54" s="174"/>
      <c r="EH54" s="171"/>
      <c r="EI54" s="171"/>
      <c r="EJ54" s="175"/>
      <c r="EK54" s="174"/>
      <c r="EL54" s="171"/>
      <c r="EM54" s="171"/>
      <c r="EN54" s="175"/>
      <c r="EO54" s="174"/>
      <c r="EP54" s="171"/>
      <c r="EQ54" s="171"/>
      <c r="ER54" s="175"/>
      <c r="ES54" s="174"/>
      <c r="ET54" s="171"/>
      <c r="EU54" s="171"/>
      <c r="EV54" s="175"/>
      <c r="EW54" s="174"/>
      <c r="EX54" s="171"/>
      <c r="EY54" s="171"/>
      <c r="EZ54" s="175"/>
      <c r="FA54" s="174"/>
      <c r="FB54" s="171"/>
      <c r="FC54" s="171"/>
      <c r="FD54" s="175"/>
      <c r="FE54" s="174"/>
      <c r="FF54" s="171"/>
      <c r="FG54" s="171"/>
      <c r="FH54" s="175"/>
      <c r="FI54" s="174"/>
      <c r="FJ54" s="171"/>
      <c r="FK54" s="171"/>
      <c r="FL54" s="175"/>
      <c r="FM54" s="174"/>
      <c r="FN54" s="171"/>
      <c r="FO54" s="171"/>
      <c r="FP54" s="175"/>
      <c r="FQ54" s="174"/>
      <c r="FR54" s="171"/>
      <c r="FS54" s="171"/>
      <c r="FT54" s="175"/>
      <c r="FU54" s="174"/>
      <c r="FV54" s="171"/>
      <c r="FW54" s="171"/>
      <c r="FX54" s="175"/>
      <c r="FY54" s="174"/>
      <c r="FZ54" s="171"/>
      <c r="GA54" s="171"/>
      <c r="GB54" s="175"/>
      <c r="GC54" s="174"/>
      <c r="GD54" s="171"/>
      <c r="GE54" s="171"/>
      <c r="GF54" s="175"/>
      <c r="GG54" s="174"/>
      <c r="GH54" s="171"/>
      <c r="GI54" s="171"/>
      <c r="GJ54" s="175"/>
      <c r="GK54" s="174"/>
      <c r="GL54" s="171"/>
      <c r="GM54" s="171"/>
      <c r="GN54" s="175"/>
      <c r="GO54" s="174"/>
      <c r="GP54" s="171"/>
      <c r="GQ54" s="171"/>
      <c r="GR54" s="175"/>
      <c r="GS54" s="174"/>
      <c r="GT54" s="171"/>
      <c r="GU54" s="171"/>
      <c r="GV54" s="175"/>
      <c r="GW54" s="174"/>
      <c r="GX54" s="171"/>
      <c r="GY54" s="171"/>
      <c r="GZ54" s="175"/>
      <c r="HA54" s="174"/>
      <c r="HB54" s="171"/>
      <c r="HC54" s="171"/>
      <c r="HD54" s="175"/>
      <c r="HE54" s="174"/>
      <c r="HF54" s="171"/>
      <c r="HG54" s="171"/>
      <c r="HH54" s="175"/>
      <c r="HI54" s="174"/>
      <c r="HJ54" s="171"/>
      <c r="HK54" s="171"/>
      <c r="HL54" s="175"/>
      <c r="HM54" s="174"/>
      <c r="HN54" s="171"/>
      <c r="HO54" s="171"/>
      <c r="HP54" s="175"/>
      <c r="HQ54" s="174"/>
      <c r="HR54" s="171"/>
      <c r="HS54" s="171"/>
      <c r="HT54" s="175"/>
      <c r="HU54" s="174"/>
      <c r="HV54" s="171"/>
      <c r="HW54" s="171"/>
      <c r="HX54" s="175"/>
      <c r="HY54" s="174"/>
      <c r="HZ54" s="171"/>
      <c r="IA54" s="171"/>
      <c r="IB54" s="175"/>
      <c r="IC54" s="174"/>
      <c r="ID54" s="171"/>
      <c r="IE54" s="171"/>
      <c r="IF54" s="175"/>
      <c r="IG54" s="174"/>
      <c r="IH54" s="171"/>
      <c r="II54" s="171"/>
      <c r="IJ54" s="175"/>
    </row>
    <row r="55" spans="1:244" x14ac:dyDescent="0.2">
      <c r="A55" s="206"/>
      <c r="B55" s="206"/>
      <c r="C55" s="212"/>
      <c r="D55" s="212"/>
      <c r="E55" s="213"/>
      <c r="F55" s="212"/>
      <c r="G55" s="210"/>
      <c r="H55" s="214"/>
      <c r="K55" s="2"/>
      <c r="O55" s="22">
        <v>1986</v>
      </c>
      <c r="P55" s="29">
        <f>Z47</f>
        <v>2.5485007097028989</v>
      </c>
      <c r="Q55" s="29">
        <f>'9.3'!$D$53/P55</f>
        <v>2.0498785892003166</v>
      </c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176"/>
      <c r="BN55" s="177" t="s">
        <v>14</v>
      </c>
      <c r="BO55" s="162"/>
      <c r="BP55" s="161"/>
      <c r="BQ55" s="176"/>
      <c r="BR55" s="169"/>
      <c r="BS55" s="178" t="s">
        <v>15</v>
      </c>
      <c r="BT55" s="161"/>
      <c r="BU55" s="179"/>
      <c r="BV55" s="177"/>
      <c r="BW55" s="178" t="s">
        <v>301</v>
      </c>
      <c r="BX55" s="180"/>
      <c r="BY55" s="179"/>
      <c r="BZ55" s="177"/>
      <c r="CA55" s="178"/>
      <c r="CB55" s="180" t="s">
        <v>302</v>
      </c>
      <c r="CC55" s="179"/>
      <c r="CD55" s="177"/>
      <c r="CE55" s="178"/>
      <c r="CF55" s="180" t="s">
        <v>303</v>
      </c>
      <c r="CG55" s="179"/>
      <c r="CH55" s="177"/>
      <c r="CI55" s="178"/>
      <c r="CJ55" s="180"/>
      <c r="CK55" s="179" t="s">
        <v>305</v>
      </c>
      <c r="CL55" s="177"/>
      <c r="CM55" s="178"/>
      <c r="CN55" s="180"/>
      <c r="CO55" s="179" t="s">
        <v>53</v>
      </c>
      <c r="CP55" s="177"/>
      <c r="CQ55" s="178"/>
      <c r="CR55" s="180"/>
      <c r="CS55" s="179"/>
      <c r="CT55" s="177"/>
      <c r="CU55" s="178" t="s">
        <v>306</v>
      </c>
      <c r="CV55" s="180"/>
      <c r="CW55" s="179"/>
      <c r="CX55" s="177"/>
      <c r="CY55" s="178"/>
      <c r="CZ55" s="180"/>
      <c r="DA55" s="179" t="s">
        <v>307</v>
      </c>
      <c r="DB55" s="177"/>
      <c r="DC55" s="178"/>
      <c r="DD55" s="180"/>
      <c r="DE55" s="179" t="s">
        <v>308</v>
      </c>
      <c r="DF55" s="177"/>
      <c r="DG55" s="178"/>
      <c r="DH55" s="180"/>
      <c r="DI55" s="179" t="s">
        <v>333</v>
      </c>
      <c r="DJ55" s="177"/>
      <c r="DK55" s="178"/>
      <c r="DL55" s="180"/>
      <c r="DM55" s="179"/>
      <c r="DN55" s="177"/>
      <c r="DO55" s="178" t="s">
        <v>338</v>
      </c>
      <c r="DP55" s="180"/>
      <c r="DQ55" s="179"/>
      <c r="DR55" s="177"/>
      <c r="DS55" s="178"/>
      <c r="DT55" s="180"/>
      <c r="DU55" s="179"/>
      <c r="DV55" s="177"/>
      <c r="DW55" s="178"/>
      <c r="DX55" s="180"/>
      <c r="DY55" s="179"/>
      <c r="DZ55" s="177"/>
      <c r="EA55" s="178" t="s">
        <v>353</v>
      </c>
      <c r="EB55" s="180"/>
      <c r="EC55" s="179"/>
      <c r="ED55" s="177"/>
      <c r="EE55" s="178"/>
      <c r="EF55" s="180"/>
      <c r="EG55" s="179"/>
      <c r="EH55" s="177"/>
      <c r="EI55" s="178"/>
      <c r="EJ55" s="180"/>
      <c r="EK55" s="179"/>
      <c r="EL55" s="177"/>
      <c r="EM55" s="178" t="s">
        <v>359</v>
      </c>
      <c r="EN55" s="180"/>
      <c r="EO55" s="179"/>
      <c r="EP55" s="177"/>
      <c r="EQ55" s="178"/>
      <c r="ER55" s="180"/>
      <c r="ES55" s="179" t="s">
        <v>360</v>
      </c>
      <c r="ET55" s="177"/>
      <c r="EU55" s="178"/>
      <c r="EV55" s="180"/>
      <c r="EW55" s="179" t="s">
        <v>363</v>
      </c>
      <c r="EX55" s="177"/>
      <c r="EY55" s="178"/>
      <c r="EZ55" s="180"/>
      <c r="FA55" s="179" t="s">
        <v>364</v>
      </c>
      <c r="FB55" s="177"/>
      <c r="FC55" s="178"/>
      <c r="FD55" s="180"/>
      <c r="FE55" s="179" t="s">
        <v>392</v>
      </c>
      <c r="FF55" s="177"/>
      <c r="FG55" s="178"/>
      <c r="FH55" s="180"/>
      <c r="FI55" s="179" t="s">
        <v>398</v>
      </c>
      <c r="FJ55" s="177"/>
      <c r="FK55" s="178"/>
      <c r="FL55" s="180"/>
      <c r="FM55" s="179" t="s">
        <v>416</v>
      </c>
      <c r="FN55" s="177"/>
      <c r="FO55" s="178"/>
      <c r="FP55" s="180" t="s">
        <v>417</v>
      </c>
      <c r="FQ55" s="179"/>
      <c r="FR55" s="177" t="s">
        <v>418</v>
      </c>
      <c r="FS55" s="178"/>
      <c r="FT55" s="180" t="s">
        <v>419</v>
      </c>
      <c r="FU55" s="179"/>
      <c r="FV55" s="177"/>
      <c r="FW55" s="178"/>
      <c r="FX55" s="180"/>
      <c r="FY55" s="179" t="s">
        <v>420</v>
      </c>
      <c r="FZ55" s="177"/>
      <c r="GA55" s="178"/>
      <c r="GB55" s="180"/>
      <c r="GC55" s="179"/>
      <c r="GD55" s="177" t="s">
        <v>421</v>
      </c>
      <c r="GE55" s="178"/>
      <c r="GF55" s="180"/>
      <c r="GG55" s="179"/>
      <c r="GH55" s="177"/>
      <c r="GI55" s="178"/>
      <c r="GJ55" s="180"/>
      <c r="GK55" s="179" t="s">
        <v>422</v>
      </c>
      <c r="GL55" s="177"/>
      <c r="GM55" s="178"/>
      <c r="GN55" s="180"/>
      <c r="GO55" s="179" t="s">
        <v>423</v>
      </c>
      <c r="GP55" s="177"/>
      <c r="GQ55" s="178"/>
      <c r="GR55" s="180" t="s">
        <v>424</v>
      </c>
      <c r="GS55" s="179"/>
      <c r="GT55" s="177"/>
      <c r="GU55" s="178"/>
      <c r="GV55" s="180" t="s">
        <v>425</v>
      </c>
      <c r="GW55" s="179"/>
      <c r="GX55" s="177"/>
      <c r="GY55" s="178"/>
      <c r="GZ55" s="180" t="s">
        <v>426</v>
      </c>
      <c r="HA55" s="179"/>
      <c r="HB55" s="177"/>
      <c r="HC55" s="178"/>
      <c r="HD55" s="180" t="s">
        <v>427</v>
      </c>
      <c r="HE55" s="179"/>
      <c r="HF55" s="177"/>
      <c r="HG55" s="178"/>
      <c r="HH55" s="180" t="s">
        <v>428</v>
      </c>
      <c r="HI55" s="179"/>
      <c r="HJ55" s="177"/>
      <c r="HK55" s="178"/>
      <c r="HL55" s="180"/>
      <c r="HM55" s="179"/>
      <c r="HN55" s="177"/>
      <c r="HO55" s="178"/>
      <c r="HP55" s="161"/>
      <c r="HQ55" s="179"/>
      <c r="HR55" s="177"/>
      <c r="HS55" s="178" t="s">
        <v>429</v>
      </c>
      <c r="HT55" s="161"/>
      <c r="HU55" s="179"/>
      <c r="HV55" s="177"/>
      <c r="HW55" s="178"/>
      <c r="HX55" s="161"/>
      <c r="HY55" s="179"/>
      <c r="HZ55" s="177"/>
      <c r="IA55" s="178"/>
      <c r="IB55" s="161"/>
      <c r="IC55" s="179"/>
      <c r="ID55" s="177"/>
      <c r="IE55" s="178"/>
      <c r="IF55" s="161"/>
      <c r="IG55" s="179"/>
      <c r="IH55" s="177"/>
      <c r="II55" s="178"/>
      <c r="IJ55" s="161"/>
    </row>
    <row r="56" spans="1:244" x14ac:dyDescent="0.2">
      <c r="A56" t="s">
        <v>7</v>
      </c>
      <c r="C56" s="211">
        <f>SUM(C14:C55)</f>
        <v>706829813</v>
      </c>
      <c r="D56" s="211"/>
      <c r="E56" s="211"/>
      <c r="F56" s="211">
        <f>SUM(F14:F55)</f>
        <v>1068531257.0249947</v>
      </c>
      <c r="G56" s="211">
        <f>SUM(G14:G55)</f>
        <v>437491245.44950092</v>
      </c>
      <c r="H56" s="37">
        <f>ROUND(G56/F56,3)</f>
        <v>0.40899999999999997</v>
      </c>
      <c r="K56" s="2"/>
      <c r="O56" s="22">
        <v>1987</v>
      </c>
      <c r="P56" s="29">
        <f>AA47</f>
        <v>2.6203865119934049</v>
      </c>
      <c r="Q56" s="29">
        <f>'9.3'!$D$53/P56</f>
        <v>1.9936436916734259</v>
      </c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176"/>
      <c r="BN56" s="169"/>
      <c r="BO56" s="162"/>
      <c r="BP56" s="161"/>
      <c r="BQ56" s="176"/>
      <c r="BR56" s="169"/>
      <c r="BS56" s="162"/>
      <c r="BT56" s="161"/>
      <c r="BU56" s="179"/>
      <c r="BV56" s="177"/>
      <c r="BW56" s="178"/>
      <c r="BX56" s="180"/>
      <c r="BY56" s="179"/>
      <c r="BZ56" s="177"/>
      <c r="CA56" s="178"/>
      <c r="CB56" s="180"/>
      <c r="CC56" s="179"/>
      <c r="CD56" s="177"/>
      <c r="CE56" s="178"/>
      <c r="CF56" s="180"/>
      <c r="CG56" s="179"/>
      <c r="CH56" s="177"/>
      <c r="CI56" s="178"/>
      <c r="CJ56" s="180"/>
      <c r="CK56" s="179"/>
      <c r="CL56" s="177"/>
      <c r="CM56" s="178"/>
      <c r="CN56" s="180"/>
      <c r="CO56" s="179"/>
      <c r="CP56" s="177"/>
      <c r="CQ56" s="178"/>
      <c r="CR56" s="180"/>
      <c r="CS56" s="179"/>
      <c r="CT56" s="177"/>
      <c r="CU56" s="178"/>
      <c r="CV56" s="180"/>
      <c r="CW56" s="179"/>
      <c r="CX56" s="177"/>
      <c r="CY56" s="178"/>
      <c r="CZ56" s="180"/>
      <c r="DA56" s="179"/>
      <c r="DB56" s="177"/>
      <c r="DC56" s="178"/>
      <c r="DD56" s="180"/>
      <c r="DE56" s="179"/>
      <c r="DF56" s="177"/>
      <c r="DG56" s="178"/>
      <c r="DH56" s="180"/>
      <c r="DI56" s="179"/>
      <c r="DJ56" s="177"/>
      <c r="DK56" s="178"/>
      <c r="DL56" s="180"/>
      <c r="DM56" s="179"/>
      <c r="DN56" s="177"/>
      <c r="DO56" s="178"/>
      <c r="DP56" s="180"/>
      <c r="DQ56" s="179"/>
      <c r="DR56" s="177"/>
      <c r="DS56" s="178"/>
      <c r="DT56" s="180"/>
      <c r="DU56" s="179"/>
      <c r="DV56" s="177"/>
      <c r="DW56" s="178"/>
      <c r="DX56" s="180"/>
      <c r="DY56" s="179"/>
      <c r="DZ56" s="177"/>
      <c r="EA56" s="178"/>
      <c r="EB56" s="180"/>
      <c r="EC56" s="179"/>
      <c r="ED56" s="177"/>
      <c r="EE56" s="178"/>
      <c r="EF56" s="180"/>
      <c r="EG56" s="179"/>
      <c r="EH56" s="177"/>
      <c r="EI56" s="178"/>
      <c r="EJ56" s="180"/>
      <c r="EK56" s="179"/>
      <c r="EL56" s="177"/>
      <c r="EM56" s="178"/>
      <c r="EN56" s="180"/>
      <c r="EO56" s="179"/>
      <c r="EP56" s="177"/>
      <c r="EQ56" s="178"/>
      <c r="ER56" s="180"/>
      <c r="ES56" s="179"/>
      <c r="ET56" s="177"/>
      <c r="EU56" s="178"/>
      <c r="EV56" s="180"/>
      <c r="EW56" s="179"/>
      <c r="EX56" s="177"/>
      <c r="EY56" s="178"/>
      <c r="EZ56" s="180"/>
      <c r="FA56" s="179"/>
      <c r="FB56" s="177"/>
      <c r="FC56" s="178"/>
      <c r="FD56" s="180"/>
      <c r="FE56" s="179"/>
      <c r="FF56" s="177"/>
      <c r="FG56" s="178"/>
      <c r="FH56" s="180"/>
      <c r="FI56" s="179"/>
      <c r="FJ56" s="177"/>
      <c r="FK56" s="178"/>
      <c r="FL56" s="180"/>
      <c r="FM56" s="179"/>
      <c r="FN56" s="177"/>
      <c r="FO56" s="178"/>
      <c r="FP56" s="180"/>
      <c r="FQ56" s="179"/>
      <c r="FR56" s="177"/>
      <c r="FS56" s="178"/>
      <c r="FT56" s="180"/>
      <c r="FU56" s="179"/>
      <c r="FV56" s="177"/>
      <c r="FW56" s="178"/>
      <c r="FX56" s="180"/>
      <c r="FY56" s="179"/>
      <c r="FZ56" s="177"/>
      <c r="GA56" s="178"/>
      <c r="GB56" s="180"/>
      <c r="GC56" s="179"/>
      <c r="GD56" s="177"/>
      <c r="GE56" s="178"/>
      <c r="GF56" s="180"/>
      <c r="GG56" s="179"/>
      <c r="GH56" s="177"/>
      <c r="GI56" s="178"/>
      <c r="GJ56" s="180"/>
      <c r="GK56" s="179"/>
      <c r="GL56" s="177"/>
      <c r="GM56" s="178"/>
      <c r="GN56" s="180"/>
      <c r="GO56" s="179"/>
      <c r="GP56" s="177"/>
      <c r="GQ56" s="178"/>
      <c r="GR56" s="180"/>
      <c r="GS56" s="179"/>
      <c r="GT56" s="177"/>
      <c r="GU56" s="178"/>
      <c r="GV56" s="180"/>
      <c r="GW56" s="179"/>
      <c r="GX56" s="177"/>
      <c r="GY56" s="178"/>
      <c r="GZ56" s="180"/>
      <c r="HA56" s="179"/>
      <c r="HB56" s="177"/>
      <c r="HC56" s="178"/>
      <c r="HD56" s="180"/>
      <c r="HE56" s="179"/>
      <c r="HF56" s="177"/>
      <c r="HG56" s="178"/>
      <c r="HH56" s="180"/>
      <c r="HI56" s="179"/>
      <c r="HJ56" s="177"/>
      <c r="HK56" s="178"/>
      <c r="HL56" s="180"/>
      <c r="HM56" s="179"/>
      <c r="HN56" s="177"/>
      <c r="HO56" s="178"/>
      <c r="HP56" s="161"/>
      <c r="HQ56" s="179"/>
      <c r="HR56" s="177"/>
      <c r="HS56" s="178"/>
      <c r="HT56" s="161"/>
      <c r="HU56" s="179"/>
      <c r="HV56" s="177"/>
      <c r="HW56" s="178"/>
      <c r="HX56" s="161"/>
      <c r="HY56" s="179"/>
      <c r="HZ56" s="177"/>
      <c r="IA56" s="178" t="s">
        <v>430</v>
      </c>
      <c r="IB56" s="161"/>
      <c r="IC56" s="179"/>
      <c r="ID56" s="177"/>
      <c r="IE56" s="178"/>
      <c r="IF56" s="161"/>
      <c r="IG56" s="179"/>
      <c r="IH56" s="177"/>
      <c r="II56" s="178"/>
      <c r="IJ56" s="161"/>
    </row>
    <row r="57" spans="1:244" ht="12" thickBot="1" x14ac:dyDescent="0.25">
      <c r="A57" s="6"/>
      <c r="B57" s="6"/>
      <c r="C57" s="6"/>
      <c r="D57" s="6"/>
      <c r="E57" s="6"/>
      <c r="F57" s="6"/>
      <c r="G57" s="6"/>
      <c r="H57" s="6"/>
      <c r="K57" s="2"/>
      <c r="O57" s="22">
        <v>1988</v>
      </c>
      <c r="P57" s="29">
        <f>AB47</f>
        <v>2.4328629760090004</v>
      </c>
      <c r="Q57" s="29">
        <f>'9.3'!$D$53/P57</f>
        <v>2.1473124836449715</v>
      </c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172"/>
      <c r="BN57" s="163"/>
      <c r="BO57" s="163"/>
      <c r="BP57" s="164"/>
      <c r="BQ57" s="172"/>
      <c r="BR57" s="163"/>
      <c r="BS57" s="163"/>
      <c r="BT57" s="164"/>
      <c r="BU57" s="172"/>
      <c r="BV57" s="163"/>
      <c r="BW57" s="163"/>
      <c r="BX57" s="164"/>
      <c r="BY57" s="172"/>
      <c r="BZ57" s="163"/>
      <c r="CA57" s="163"/>
      <c r="CB57" s="164"/>
      <c r="CC57" s="172"/>
      <c r="CD57" s="163"/>
      <c r="CE57" s="163"/>
      <c r="CF57" s="164"/>
      <c r="CG57" s="172"/>
      <c r="CH57" s="163"/>
      <c r="CI57" s="163"/>
      <c r="CJ57" s="164"/>
      <c r="CK57" s="172"/>
      <c r="CL57" s="163"/>
      <c r="CM57" s="163"/>
      <c r="CN57" s="164"/>
      <c r="CO57" s="172"/>
      <c r="CP57" s="163"/>
      <c r="CQ57" s="163"/>
      <c r="CR57" s="164"/>
      <c r="CS57" s="172"/>
      <c r="CT57" s="163"/>
      <c r="CU57" s="163"/>
      <c r="CV57" s="164"/>
      <c r="CW57" s="172"/>
      <c r="CX57" s="163"/>
      <c r="CY57" s="163"/>
      <c r="CZ57" s="164"/>
      <c r="DA57" s="172"/>
      <c r="DB57" s="163"/>
      <c r="DC57" s="163"/>
      <c r="DD57" s="164"/>
      <c r="DE57" s="172"/>
      <c r="DF57" s="163"/>
      <c r="DG57" s="163"/>
      <c r="DH57" s="164"/>
      <c r="DI57" s="172"/>
      <c r="DJ57" s="163"/>
      <c r="DK57" s="163"/>
      <c r="DL57" s="164"/>
      <c r="DM57" s="172"/>
      <c r="DN57" s="163"/>
      <c r="DO57" s="163"/>
      <c r="DP57" s="164"/>
      <c r="DQ57" s="172"/>
      <c r="DR57" s="163"/>
      <c r="DS57" s="163"/>
      <c r="DT57" s="164"/>
      <c r="DU57" s="172"/>
      <c r="DV57" s="163"/>
      <c r="DW57" s="163"/>
      <c r="DX57" s="164"/>
      <c r="DY57" s="172"/>
      <c r="DZ57" s="163"/>
      <c r="EA57" s="163"/>
      <c r="EB57" s="164"/>
      <c r="EC57" s="172"/>
      <c r="ED57" s="163"/>
      <c r="EE57" s="163"/>
      <c r="EF57" s="164"/>
      <c r="EG57" s="172"/>
      <c r="EH57" s="163"/>
      <c r="EI57" s="163"/>
      <c r="EJ57" s="164"/>
      <c r="EK57" s="172"/>
      <c r="EL57" s="163"/>
      <c r="EM57" s="163"/>
      <c r="EN57" s="164"/>
      <c r="EO57" s="172"/>
      <c r="EP57" s="163"/>
      <c r="EQ57" s="163"/>
      <c r="ER57" s="164"/>
      <c r="ES57" s="172"/>
      <c r="ET57" s="163"/>
      <c r="EU57" s="163"/>
      <c r="EV57" s="164"/>
      <c r="EW57" s="172"/>
      <c r="EX57" s="163"/>
      <c r="EY57" s="163"/>
      <c r="EZ57" s="164"/>
      <c r="FA57" s="172"/>
      <c r="FB57" s="163"/>
      <c r="FC57" s="163"/>
      <c r="FD57" s="164"/>
      <c r="FE57" s="172"/>
      <c r="FF57" s="163"/>
      <c r="FG57" s="163"/>
      <c r="FH57" s="164"/>
      <c r="FI57" s="172"/>
      <c r="FJ57" s="163"/>
      <c r="FK57" s="163"/>
      <c r="FL57" s="164"/>
      <c r="FM57" s="172"/>
      <c r="FN57" s="163"/>
      <c r="FO57" s="163"/>
      <c r="FP57" s="164"/>
      <c r="FQ57" s="172"/>
      <c r="FR57" s="163"/>
      <c r="FS57" s="163"/>
      <c r="FT57" s="164"/>
      <c r="FU57" s="172"/>
      <c r="FV57" s="163"/>
      <c r="FW57" s="163"/>
      <c r="FX57" s="164"/>
      <c r="FY57" s="172"/>
      <c r="FZ57" s="163"/>
      <c r="GA57" s="163"/>
      <c r="GB57" s="164"/>
      <c r="GC57" s="172"/>
      <c r="GD57" s="163"/>
      <c r="GE57" s="163"/>
      <c r="GF57" s="164"/>
      <c r="GG57" s="172"/>
      <c r="GH57" s="163"/>
      <c r="GI57" s="163"/>
      <c r="GJ57" s="164"/>
      <c r="GK57" s="172"/>
      <c r="GL57" s="163"/>
      <c r="GM57" s="163"/>
      <c r="GN57" s="164"/>
      <c r="GO57" s="172"/>
      <c r="GP57" s="163"/>
      <c r="GQ57" s="163"/>
      <c r="GR57" s="164"/>
      <c r="GS57" s="172"/>
      <c r="GT57" s="163"/>
      <c r="GU57" s="163"/>
      <c r="GV57" s="164"/>
      <c r="GW57" s="172"/>
      <c r="GX57" s="163"/>
      <c r="GY57" s="163"/>
      <c r="GZ57" s="164"/>
      <c r="HA57" s="172"/>
      <c r="HB57" s="163"/>
      <c r="HC57" s="163"/>
      <c r="HD57" s="164"/>
      <c r="HE57" s="172"/>
      <c r="HF57" s="163"/>
      <c r="HG57" s="163"/>
      <c r="HH57" s="164"/>
      <c r="HI57" s="172"/>
      <c r="HJ57" s="163"/>
      <c r="HK57" s="163"/>
      <c r="HL57" s="164"/>
      <c r="HM57" s="172"/>
      <c r="HN57" s="163"/>
      <c r="HO57" s="163"/>
      <c r="HP57" s="164"/>
      <c r="HQ57" s="172"/>
      <c r="HR57" s="163"/>
      <c r="HS57" s="163"/>
      <c r="HT57" s="164"/>
      <c r="HU57" s="172"/>
      <c r="HV57" s="163"/>
      <c r="HW57" s="163"/>
      <c r="HX57" s="164"/>
      <c r="HY57" s="172"/>
      <c r="HZ57" s="163"/>
      <c r="IA57" s="163"/>
      <c r="IB57" s="164"/>
      <c r="IC57" s="172"/>
      <c r="ID57" s="163"/>
      <c r="IE57" s="163"/>
      <c r="IF57" s="164"/>
      <c r="IG57" s="172"/>
      <c r="IH57" s="163"/>
      <c r="II57" s="163"/>
      <c r="IJ57" s="164"/>
    </row>
    <row r="58" spans="1:244" ht="12" thickTop="1" x14ac:dyDescent="0.2">
      <c r="K58" s="2"/>
      <c r="O58" s="22">
        <v>1989</v>
      </c>
      <c r="P58" s="29">
        <f>AC47</f>
        <v>2.1901615490310262</v>
      </c>
      <c r="Q58" s="29">
        <f>'9.3'!$D$53/P58</f>
        <v>2.385265617366465</v>
      </c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1:244" x14ac:dyDescent="0.2">
      <c r="A59" t="s">
        <v>17</v>
      </c>
      <c r="K59" s="2"/>
      <c r="L59" s="29"/>
      <c r="O59" s="22">
        <v>1990</v>
      </c>
      <c r="P59" s="29">
        <f>AD47</f>
        <v>2.0849125090576712</v>
      </c>
      <c r="Q59" s="29">
        <f>'9.3'!$D$53/P59</f>
        <v>2.5056768649457406</v>
      </c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pans="1:244" x14ac:dyDescent="0.2">
      <c r="B60" s="12" t="str">
        <f>C12&amp;" Provided by TDI. "&amp;A14&amp;" - "&amp;A26&amp;" are year ending "&amp;TEXT($L$48,"m/d/xx")&amp;" as of "&amp;TEXT($M$48,"m/d/yy")&amp;"; "&amp;A27&amp;" - "&amp;YEAR(L50)&amp;" are year ending "&amp;TEXT($L$50,"m/d/xx")&amp;" as of "&amp;TEXT($M$50,"m/d/yy")</f>
        <v>(2) Provided by TDI. 1983 - 1995 are year ending 9/30/xx as of 12/31/99; 1996 - 2023 are year ending 12/31/xx as of 12/31/23</v>
      </c>
      <c r="K60" s="2"/>
      <c r="O60" s="22">
        <v>1991</v>
      </c>
      <c r="P60" s="29">
        <f>AE47</f>
        <v>2.0975535338784841</v>
      </c>
      <c r="Q60" s="29">
        <f>'9.3'!$D$53/P60</f>
        <v>2.4905762618235174</v>
      </c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</row>
    <row r="61" spans="1:244" x14ac:dyDescent="0.2">
      <c r="B61" s="12" t="str">
        <f>D12&amp;" Provided by TDI (1992 MR = 1992 manual rates)"</f>
        <v>(3) Provided by TDI (1992 MR = 1992 manual rates)</v>
      </c>
      <c r="C61" s="12"/>
      <c r="K61" s="2"/>
      <c r="O61" s="22">
        <v>1992</v>
      </c>
      <c r="P61" s="29">
        <f>AF47</f>
        <v>1.8450081871266777</v>
      </c>
      <c r="Q61" s="29">
        <f>'9.3'!$D$53/P61</f>
        <v>2.8314871857113864</v>
      </c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</row>
    <row r="62" spans="1:244" x14ac:dyDescent="0.2">
      <c r="B62" s="12" t="str">
        <f>E12&amp;" Represents "&amp;$P$8&amp;" through "&amp;TEXT($L$1,"m/d/yy")&amp;" rate changes for TWIA; factors assume uniform earning of written premium"</f>
        <v>(4) Represents 8/1/80 through 6/30/23 rate changes for TWIA; factors assume uniform earning of written premium</v>
      </c>
      <c r="K62" s="2"/>
      <c r="O62" s="22">
        <v>1993</v>
      </c>
      <c r="P62" s="29">
        <f>AG47</f>
        <v>1.6058660757812344</v>
      </c>
      <c r="Q62" s="29">
        <f>'9.3'!$D$53/P62</f>
        <v>3.2531461484671529</v>
      </c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</row>
    <row r="63" spans="1:244" x14ac:dyDescent="0.2">
      <c r="B63" s="12" t="str">
        <f>"      and that TWIA premium represents "&amp;TEXT(L32,"0.0%")&amp;" of industry data in "&amp;LEFT(A5,FIND("(",A5)-2)</f>
        <v xml:space="preserve">      and that TWIA premium represents 80.4% of industry data in Tier 1 -- Territory 8</v>
      </c>
      <c r="K63" s="2"/>
      <c r="O63" s="22">
        <v>1994</v>
      </c>
      <c r="P63" s="29">
        <f>AH47</f>
        <v>1.6058660757812344</v>
      </c>
      <c r="Q63" s="29">
        <f>'9.3'!$D$53/P63</f>
        <v>3.2531461484671529</v>
      </c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</row>
    <row r="64" spans="1:244" x14ac:dyDescent="0.2">
      <c r="B64" s="12" t="str">
        <f>F12&amp;" = "&amp;D12&amp;" x "&amp;ROUND(E23,3)&amp;" for "&amp;A14&amp;" - "&amp;A23&amp;"; "&amp;C12&amp;" x "&amp;E12&amp;" for "&amp;A24&amp;" - "&amp;YEAR(L50)</f>
        <v>(5) = (3) x 2.831 for 1983 - 1992; (2) x (4) for 1993 - 2023</v>
      </c>
      <c r="K64" s="2"/>
      <c r="O64" s="22">
        <v>1995</v>
      </c>
      <c r="P64" s="29">
        <f>AI47</f>
        <v>1.6058660757812344</v>
      </c>
      <c r="Q64" s="29">
        <f>'9.3'!$D$53/P64</f>
        <v>3.2531461484671529</v>
      </c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</row>
    <row r="65" spans="1:60" x14ac:dyDescent="0.2">
      <c r="B65" s="12" t="str">
        <f>G12&amp;" Provided by TDI. "&amp;A14&amp;" - "&amp;A26&amp;" are year ending "&amp;TEXT($L$48,"m/d/xx")&amp;" as of "&amp;TEXT($M$48,"m/d/yy")&amp;"; "&amp;A27&amp;" - "&amp;A42&amp;" are year ending "&amp;TEXT($L$50,"m/d/xx")&amp;" as of "&amp;TEXT($M$49,"m/d/yy")</f>
        <v>(6) Provided by TDI. 1983 - 1995 are year ending 9/30/xx as of 12/31/99; 1996 - 2011 are year ending 12/31/xx as of 12/31/19</v>
      </c>
      <c r="D65" s="41"/>
      <c r="E65" s="41"/>
      <c r="F65" s="41"/>
      <c r="G65" s="21"/>
      <c r="K65" s="2"/>
      <c r="O65" s="22">
        <v>1996</v>
      </c>
      <c r="P65" s="29">
        <f>AJ47</f>
        <v>1.6058660757812344</v>
      </c>
      <c r="Q65" s="29">
        <f>'9.3'!$D$53/P65</f>
        <v>3.2531461484671529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</row>
    <row r="66" spans="1:60" x14ac:dyDescent="0.2">
      <c r="B66" t="str">
        <f>"    2011 - "&amp;YEAR(M50)&amp;" are year ending 12/31/xx as of "&amp;TEXT(M50,"m/d/yy")&amp;"; "&amp;" 2008 IKE incurred loss was adjusted down by $99,433,917"</f>
        <v xml:space="preserve">    2011 - 2023 are year ending 12/31/xx as of 12/31/23;  2008 IKE incurred loss was adjusted down by $99,433,917</v>
      </c>
      <c r="K66" s="2"/>
      <c r="O66" s="22">
        <v>1997</v>
      </c>
      <c r="P66" s="29">
        <f>AK47</f>
        <v>1.6058660757812344</v>
      </c>
      <c r="Q66" s="29">
        <f>'9.3'!$D$53/P66</f>
        <v>3.2531461484671529</v>
      </c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</row>
    <row r="67" spans="1:60" x14ac:dyDescent="0.2">
      <c r="B67" s="12" t="str">
        <f>H12&amp;" = "&amp;G12&amp;" / "&amp;F12</f>
        <v>(7) = (6) / (5)</v>
      </c>
      <c r="I67" s="18"/>
      <c r="K67" s="2"/>
      <c r="O67" s="22">
        <v>1998</v>
      </c>
      <c r="P67" s="29">
        <f>AL47</f>
        <v>1.5817780846445157</v>
      </c>
      <c r="Q67" s="29">
        <f>'9.3'!$D$53/P67</f>
        <v>3.3026864451443179</v>
      </c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</row>
    <row r="68" spans="1:60" x14ac:dyDescent="0.2">
      <c r="A68" s="40"/>
      <c r="D68" s="31"/>
      <c r="E68" s="31"/>
      <c r="F68" s="31"/>
      <c r="G68" s="18"/>
      <c r="H68" s="18"/>
      <c r="I68" s="18"/>
      <c r="K68" s="2"/>
      <c r="O68" s="22">
        <v>1999</v>
      </c>
      <c r="P68" s="29">
        <f>AM47</f>
        <v>1.5576900935077973</v>
      </c>
      <c r="Q68" s="29">
        <f>'9.3'!$D$53/P68</f>
        <v>3.3537589159455186</v>
      </c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</row>
    <row r="69" spans="1:60" x14ac:dyDescent="0.2">
      <c r="A69" s="40"/>
      <c r="C69" s="31"/>
      <c r="D69" s="31"/>
      <c r="E69" s="31"/>
      <c r="F69" s="31"/>
      <c r="G69" s="18"/>
      <c r="H69" s="18"/>
      <c r="I69" s="18"/>
      <c r="K69" s="2"/>
      <c r="O69" s="22">
        <v>2000</v>
      </c>
      <c r="P69" s="29">
        <f>AN47</f>
        <v>1.6277861477156481</v>
      </c>
      <c r="Q69" s="29">
        <f>'9.3'!$D$53/P69</f>
        <v>3.209338675545951</v>
      </c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</row>
    <row r="70" spans="1:60" ht="12" thickBot="1" x14ac:dyDescent="0.25">
      <c r="A70" s="40"/>
      <c r="C70" s="31"/>
      <c r="D70" s="31"/>
      <c r="E70" s="31"/>
      <c r="F70" s="31"/>
      <c r="G70" s="18"/>
      <c r="H70" s="18"/>
      <c r="I70" s="19"/>
      <c r="K70" s="2"/>
      <c r="O70" s="22">
        <v>2001</v>
      </c>
      <c r="P70" s="29">
        <f>AO47</f>
        <v>1.7318398459619693</v>
      </c>
      <c r="Q70" s="29">
        <f>'9.3'!$D$53/P70</f>
        <v>3.0165127864233838</v>
      </c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</row>
    <row r="71" spans="1:60" ht="12" customHeight="1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  <c r="O71" s="22">
        <v>2002</v>
      </c>
      <c r="P71" s="29">
        <f>AP47</f>
        <v>1.8099424272504501</v>
      </c>
      <c r="Q71" s="29">
        <f>'9.3'!$D$53/P71</f>
        <v>2.8863443172156207</v>
      </c>
    </row>
    <row r="72" spans="1:60" x14ac:dyDescent="0.2">
      <c r="O72" s="22">
        <v>2003</v>
      </c>
      <c r="P72" s="29">
        <f>AQ47</f>
        <v>1.9467917327254842</v>
      </c>
      <c r="Q72" s="29">
        <f>'9.3'!$D$53/P72</f>
        <v>2.6834493652118017</v>
      </c>
    </row>
    <row r="73" spans="1:60" x14ac:dyDescent="0.2">
      <c r="O73" s="22">
        <v>2004</v>
      </c>
      <c r="P73" s="29">
        <f>AR47</f>
        <v>2.141470905998033</v>
      </c>
      <c r="Q73" s="29">
        <f>'9.3'!$D$53/P73</f>
        <v>2.4394994229198192</v>
      </c>
    </row>
    <row r="74" spans="1:60" x14ac:dyDescent="0.2">
      <c r="O74" s="22">
        <v>2005</v>
      </c>
      <c r="P74" s="29">
        <f>AS47</f>
        <v>2.3556179965978363</v>
      </c>
      <c r="Q74" s="29">
        <f>'9.3'!$D$53/P74</f>
        <v>2.2177267481089267</v>
      </c>
    </row>
    <row r="75" spans="1:60" x14ac:dyDescent="0.2">
      <c r="O75" s="22">
        <v>2006</v>
      </c>
      <c r="P75" s="29">
        <f>AT47</f>
        <v>2.5410013938539007</v>
      </c>
      <c r="Q75" s="29">
        <f>'9.3'!$D$53/P75</f>
        <v>2.0559284430216072</v>
      </c>
    </row>
    <row r="76" spans="1:60" x14ac:dyDescent="0.2">
      <c r="O76" s="22">
        <v>2007</v>
      </c>
      <c r="P76" s="29">
        <f>AU47</f>
        <v>2.8041805336873216</v>
      </c>
      <c r="Q76" s="29">
        <f>'9.3'!$D$53/P76</f>
        <v>1.8629745755036669</v>
      </c>
    </row>
    <row r="77" spans="1:60" x14ac:dyDescent="0.2">
      <c r="O77" s="22">
        <v>2008</v>
      </c>
      <c r="P77" s="29">
        <f>AV47</f>
        <v>2.9678572517439257</v>
      </c>
      <c r="Q77" s="29">
        <f>'9.3'!$D$53/P77</f>
        <v>1.7602319101810135</v>
      </c>
    </row>
    <row r="78" spans="1:60" x14ac:dyDescent="0.2">
      <c r="O78" s="22">
        <v>2009</v>
      </c>
      <c r="P78" s="29">
        <f>AW47</f>
        <v>3.2586565980220548</v>
      </c>
      <c r="Q78" s="29">
        <f>'9.3'!$D$53/P78</f>
        <v>1.6031505260642462</v>
      </c>
    </row>
    <row r="79" spans="1:60" x14ac:dyDescent="0.2">
      <c r="O79" s="22">
        <v>2010</v>
      </c>
      <c r="P79" s="29">
        <f>AX47</f>
        <v>3.5342312338124136</v>
      </c>
      <c r="Q79" s="29">
        <f>'9.3'!$D$53/P79</f>
        <v>1.478148059301279</v>
      </c>
    </row>
    <row r="80" spans="1:60" x14ac:dyDescent="0.2">
      <c r="O80" s="22">
        <v>2011</v>
      </c>
      <c r="P80" s="29">
        <f>AY47</f>
        <v>3.6242852452008183</v>
      </c>
      <c r="Q80" s="29">
        <f>'9.3'!$D$53/P80</f>
        <v>1.4414199451600616</v>
      </c>
    </row>
    <row r="81" spans="15:17" x14ac:dyDescent="0.2">
      <c r="O81" s="22">
        <v>2012</v>
      </c>
      <c r="P81" s="29">
        <f>AZ47</f>
        <v>3.8054995074608593</v>
      </c>
      <c r="Q81" s="29">
        <f>'9.3'!$D$53/P81</f>
        <v>1.3727809001524396</v>
      </c>
    </row>
    <row r="82" spans="15:17" x14ac:dyDescent="0.2">
      <c r="O82" s="22">
        <v>2013</v>
      </c>
      <c r="P82" s="29">
        <f>BA47</f>
        <v>3.9957744828339026</v>
      </c>
      <c r="Q82" s="29">
        <f>'9.3'!$D$53/P82</f>
        <v>1.3074103810975615</v>
      </c>
    </row>
    <row r="83" spans="15:17" x14ac:dyDescent="0.2">
      <c r="O83" s="22">
        <v>2014</v>
      </c>
      <c r="P83" s="29">
        <f>BB47</f>
        <v>4.1955632069755975</v>
      </c>
      <c r="Q83" s="29">
        <f>'9.3'!$D$53/P83</f>
        <v>1.2451527439024395</v>
      </c>
    </row>
    <row r="84" spans="15:17" x14ac:dyDescent="0.2">
      <c r="O84" s="22">
        <v>2015</v>
      </c>
      <c r="P84" s="29">
        <f>BC47</f>
        <v>4.405341367324378</v>
      </c>
      <c r="Q84" s="29">
        <f>'9.3'!$D$53/P84</f>
        <v>1.1858597560975612</v>
      </c>
    </row>
    <row r="85" spans="15:17" x14ac:dyDescent="0.2">
      <c r="O85" s="22">
        <v>2016</v>
      </c>
      <c r="P85" s="29">
        <f>BD47</f>
        <v>4.6256084356905971</v>
      </c>
      <c r="Q85" s="29">
        <f>'9.3'!$D$53/P85</f>
        <v>1.1293902439024393</v>
      </c>
    </row>
    <row r="86" spans="15:17" x14ac:dyDescent="0.2">
      <c r="O86" s="22">
        <v>2017</v>
      </c>
      <c r="P86" s="29">
        <f>BE47</f>
        <v>4.7384281536342705</v>
      </c>
      <c r="Q86" s="29">
        <f>'9.3'!$D$53/P86</f>
        <v>1.1025</v>
      </c>
    </row>
    <row r="87" spans="15:17" x14ac:dyDescent="0.2">
      <c r="O87" s="22">
        <v>2018</v>
      </c>
      <c r="P87" s="29">
        <f>BF47</f>
        <v>4.856888857475127</v>
      </c>
      <c r="Q87" s="29">
        <f>'9.3'!$D$53/P87</f>
        <v>1.075609756097561</v>
      </c>
    </row>
    <row r="88" spans="15:17" x14ac:dyDescent="0.2">
      <c r="O88" s="22">
        <v>2019</v>
      </c>
      <c r="P88" s="29">
        <f>BG47</f>
        <v>4.9753495613159844</v>
      </c>
      <c r="Q88" s="29">
        <f>'9.3'!$D$53/P88</f>
        <v>1.05</v>
      </c>
    </row>
    <row r="89" spans="15:17" x14ac:dyDescent="0.2">
      <c r="O89" s="22">
        <v>2020</v>
      </c>
      <c r="P89" s="29">
        <f>BH47</f>
        <v>4.9753495613159844</v>
      </c>
      <c r="Q89" s="29">
        <f>'9.3'!$D$53/P89</f>
        <v>1.05</v>
      </c>
    </row>
    <row r="90" spans="15:17" x14ac:dyDescent="0.2">
      <c r="O90" s="22">
        <v>2021</v>
      </c>
      <c r="P90" s="29">
        <f>BI47</f>
        <v>4.9753495613159844</v>
      </c>
      <c r="Q90" s="29">
        <f>'9.3'!$D$53/P90</f>
        <v>1.05</v>
      </c>
    </row>
    <row r="91" spans="15:17" x14ac:dyDescent="0.2">
      <c r="O91" s="22">
        <v>2022</v>
      </c>
      <c r="P91" s="29">
        <f>BJ47</f>
        <v>5.0997333003488841</v>
      </c>
      <c r="Q91" s="29">
        <f>'9.3'!$D$53/P91</f>
        <v>1.024390243902439</v>
      </c>
    </row>
    <row r="92" spans="15:17" x14ac:dyDescent="0.2">
      <c r="O92" s="22">
        <v>2023</v>
      </c>
      <c r="P92" s="29">
        <f>BK47</f>
        <v>5.2241170393817837</v>
      </c>
      <c r="Q92" s="29">
        <f>'9.3'!$D$53/P92</f>
        <v>1</v>
      </c>
    </row>
    <row r="93" spans="15:17" x14ac:dyDescent="0.2">
      <c r="O93" s="22">
        <v>2024</v>
      </c>
      <c r="P93" s="29">
        <f>BL47</f>
        <v>5.2241170393817837</v>
      </c>
      <c r="Q93" s="29">
        <f>'9.3'!$D$53/P93</f>
        <v>1</v>
      </c>
    </row>
  </sheetData>
  <mergeCells count="8">
    <mergeCell ref="IG53:IJ53"/>
    <mergeCell ref="HY53:IB53"/>
    <mergeCell ref="IC53:IF53"/>
    <mergeCell ref="E5:H5"/>
    <mergeCell ref="HJ45:HM45"/>
    <mergeCell ref="HM53:HP53"/>
    <mergeCell ref="HQ53:HT53"/>
    <mergeCell ref="HU53:HX53"/>
  </mergeCells>
  <phoneticPr fontId="0" type="noConversion"/>
  <pageMargins left="0.5" right="0.5" top="0.5" bottom="0.5" header="0.5" footer="0.5"/>
  <pageSetup orientation="portrait" blackAndWhite="1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00FF00"/>
  </sheetPr>
  <dimension ref="A1:P71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68</v>
      </c>
      <c r="K1" s="1"/>
      <c r="N1" t="s">
        <v>447</v>
      </c>
      <c r="O1" t="s">
        <v>467</v>
      </c>
    </row>
    <row r="2" spans="1:16" x14ac:dyDescent="0.2">
      <c r="A2" s="8" t="str">
        <f>'1'!$A$2</f>
        <v>Commercial Property - Wind &amp; Hail</v>
      </c>
      <c r="B2" s="12"/>
      <c r="J2" s="7" t="s">
        <v>62</v>
      </c>
      <c r="K2" s="2"/>
      <c r="N2" t="s">
        <v>447</v>
      </c>
      <c r="O2" t="s">
        <v>473</v>
      </c>
    </row>
    <row r="3" spans="1:16" x14ac:dyDescent="0.2">
      <c r="A3" s="8" t="str">
        <f>'1'!$A$3</f>
        <v>Rate Level Review</v>
      </c>
      <c r="B3" s="12"/>
      <c r="K3" s="2"/>
      <c r="N3" t="s">
        <v>447</v>
      </c>
      <c r="O3" t="s">
        <v>476</v>
      </c>
    </row>
    <row r="4" spans="1:16" x14ac:dyDescent="0.2">
      <c r="A4" t="s">
        <v>205</v>
      </c>
      <c r="B4" s="12"/>
      <c r="K4" s="2"/>
    </row>
    <row r="5" spans="1:16" x14ac:dyDescent="0.2">
      <c r="A5" t="s">
        <v>37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6" ht="12" thickTop="1" x14ac:dyDescent="0.2">
      <c r="K8" s="2"/>
    </row>
    <row r="9" spans="1:16" x14ac:dyDescent="0.2">
      <c r="A9" t="s">
        <v>40</v>
      </c>
      <c r="C9" s="134"/>
      <c r="D9" s="11" t="s">
        <v>79</v>
      </c>
      <c r="E9" s="11" t="s">
        <v>207</v>
      </c>
      <c r="F9" s="11" t="s">
        <v>79</v>
      </c>
      <c r="G9" s="11"/>
      <c r="H9" s="11"/>
      <c r="K9" s="2"/>
      <c r="L9" s="24"/>
    </row>
    <row r="10" spans="1:16" x14ac:dyDescent="0.2">
      <c r="A10" t="s">
        <v>41</v>
      </c>
      <c r="C10" s="11" t="s">
        <v>79</v>
      </c>
      <c r="D10" s="11" t="s">
        <v>80</v>
      </c>
      <c r="E10" s="11" t="s">
        <v>208</v>
      </c>
      <c r="F10" s="11" t="s">
        <v>209</v>
      </c>
      <c r="G10" s="11" t="s">
        <v>59</v>
      </c>
      <c r="H10" s="11" t="s">
        <v>59</v>
      </c>
      <c r="K10" s="2"/>
      <c r="L10" s="12"/>
    </row>
    <row r="11" spans="1:16" x14ac:dyDescent="0.2">
      <c r="A11" s="9" t="s">
        <v>26</v>
      </c>
      <c r="B11" s="9"/>
      <c r="C11" s="144" t="s">
        <v>80</v>
      </c>
      <c r="D11" s="144" t="s">
        <v>206</v>
      </c>
      <c r="E11" s="144" t="s">
        <v>89</v>
      </c>
      <c r="F11" s="144" t="s">
        <v>210</v>
      </c>
      <c r="G11" s="144" t="s">
        <v>33</v>
      </c>
      <c r="H11" s="144" t="s">
        <v>51</v>
      </c>
      <c r="K11" s="2"/>
      <c r="L11" s="36"/>
    </row>
    <row r="12" spans="1:16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6" x14ac:dyDescent="0.2">
      <c r="K13" s="2"/>
    </row>
    <row r="14" spans="1:16" x14ac:dyDescent="0.2">
      <c r="A14" s="24" t="s">
        <v>381</v>
      </c>
      <c r="C14" s="31">
        <v>745985</v>
      </c>
      <c r="D14" s="31">
        <v>820826</v>
      </c>
      <c r="E14" s="29">
        <f>'6.4'!E14</f>
        <v>3.8293316891072973</v>
      </c>
      <c r="F14" s="26">
        <f>ROUND(D14*$E$23,0)</f>
        <v>2324158</v>
      </c>
      <c r="G14" s="31">
        <v>96051</v>
      </c>
      <c r="H14" s="21">
        <f>ROUND(G14/F14,3)</f>
        <v>4.1000000000000002E-2</v>
      </c>
      <c r="I14" s="37"/>
      <c r="K14" s="2"/>
      <c r="L14" s="29"/>
      <c r="O14" t="s">
        <v>41</v>
      </c>
      <c r="P14" t="s">
        <v>224</v>
      </c>
    </row>
    <row r="15" spans="1:16" x14ac:dyDescent="0.2">
      <c r="A15" t="s">
        <v>382</v>
      </c>
      <c r="C15" s="31">
        <v>558639</v>
      </c>
      <c r="D15" s="31">
        <v>652809</v>
      </c>
      <c r="E15" s="29">
        <f>'6.4'!E15</f>
        <v>3.5112843511426886</v>
      </c>
      <c r="F15" s="26">
        <f t="shared" ref="F15:F21" si="1">ROUND(D15*$E$23,0)</f>
        <v>1848420</v>
      </c>
      <c r="G15" s="31">
        <v>76481</v>
      </c>
      <c r="H15" s="21">
        <f t="shared" ref="H15:H45" si="2">ROUND(G15/F15,3)</f>
        <v>4.1000000000000002E-2</v>
      </c>
      <c r="I15" s="37"/>
      <c r="K15" s="2"/>
    </row>
    <row r="16" spans="1:16" x14ac:dyDescent="0.2">
      <c r="A16" t="s">
        <v>383</v>
      </c>
      <c r="C16" s="31">
        <v>1235059</v>
      </c>
      <c r="D16" s="31">
        <v>1383103</v>
      </c>
      <c r="E16" s="29">
        <f>'6.4'!E16</f>
        <v>2.8789383840739684</v>
      </c>
      <c r="F16" s="26">
        <f t="shared" si="1"/>
        <v>3916238</v>
      </c>
      <c r="G16" s="31">
        <v>106148</v>
      </c>
      <c r="H16" s="21">
        <f t="shared" si="2"/>
        <v>2.7E-2</v>
      </c>
      <c r="I16" s="37"/>
      <c r="K16" s="2"/>
    </row>
    <row r="17" spans="1:16" x14ac:dyDescent="0.2">
      <c r="A17" t="s">
        <v>384</v>
      </c>
      <c r="C17" s="31">
        <v>2228911</v>
      </c>
      <c r="D17" s="31">
        <v>1849840</v>
      </c>
      <c r="E17" s="29">
        <f>'6.4'!E17</f>
        <v>2.0498785892003166</v>
      </c>
      <c r="F17" s="26">
        <f t="shared" si="1"/>
        <v>5237798</v>
      </c>
      <c r="G17" s="31">
        <v>56387</v>
      </c>
      <c r="H17" s="21">
        <f t="shared" si="2"/>
        <v>1.0999999999999999E-2</v>
      </c>
      <c r="I17" s="37"/>
      <c r="K17" s="2"/>
      <c r="O17" s="22">
        <f>'6.4'!O52</f>
        <v>1983</v>
      </c>
      <c r="P17" s="29">
        <f>'6.4'!Q52</f>
        <v>3.8293316891072973</v>
      </c>
    </row>
    <row r="18" spans="1:16" x14ac:dyDescent="0.2">
      <c r="A18" t="s">
        <v>385</v>
      </c>
      <c r="C18" s="31">
        <v>2381538</v>
      </c>
      <c r="D18" s="31">
        <v>2086940</v>
      </c>
      <c r="E18" s="29">
        <f>'6.4'!E18</f>
        <v>1.9936436916734259</v>
      </c>
      <c r="F18" s="26">
        <f t="shared" si="1"/>
        <v>5909144</v>
      </c>
      <c r="G18" s="31">
        <v>105275</v>
      </c>
      <c r="H18" s="21">
        <f t="shared" si="2"/>
        <v>1.7999999999999999E-2</v>
      </c>
      <c r="I18" s="37"/>
      <c r="K18" s="2"/>
      <c r="O18" s="22">
        <f>'6.4'!O53</f>
        <v>1984</v>
      </c>
      <c r="P18" s="29">
        <f>'6.4'!Q53</f>
        <v>3.5112843511426886</v>
      </c>
    </row>
    <row r="19" spans="1:16" x14ac:dyDescent="0.2">
      <c r="A19" t="s">
        <v>386</v>
      </c>
      <c r="C19" s="31">
        <v>1796653</v>
      </c>
      <c r="D19" s="31">
        <v>1719227</v>
      </c>
      <c r="E19" s="29">
        <f>'6.4'!E19</f>
        <v>2.1473124836449715</v>
      </c>
      <c r="F19" s="26">
        <f t="shared" si="1"/>
        <v>4867969</v>
      </c>
      <c r="G19" s="31">
        <v>181414</v>
      </c>
      <c r="H19" s="21">
        <f t="shared" si="2"/>
        <v>3.6999999999999998E-2</v>
      </c>
      <c r="I19" s="37"/>
      <c r="K19" s="2"/>
      <c r="O19" s="22">
        <f>'6.4'!O54</f>
        <v>1985</v>
      </c>
      <c r="P19" s="29">
        <f>'6.4'!Q54</f>
        <v>2.8789383840739684</v>
      </c>
    </row>
    <row r="20" spans="1:16" x14ac:dyDescent="0.2">
      <c r="A20" t="s">
        <v>387</v>
      </c>
      <c r="C20" s="31">
        <v>1632453</v>
      </c>
      <c r="D20" s="31">
        <v>1826430</v>
      </c>
      <c r="E20" s="29">
        <f>'6.4'!E20</f>
        <v>2.385265617366465</v>
      </c>
      <c r="F20" s="26">
        <f t="shared" si="1"/>
        <v>5171513</v>
      </c>
      <c r="G20" s="31">
        <v>98116</v>
      </c>
      <c r="H20" s="21">
        <f t="shared" si="2"/>
        <v>1.9E-2</v>
      </c>
      <c r="I20" s="37"/>
      <c r="K20" s="2"/>
      <c r="O20" s="22">
        <f>'6.4'!O55</f>
        <v>1986</v>
      </c>
      <c r="P20" s="29">
        <f>'6.4'!Q55</f>
        <v>2.0498785892003166</v>
      </c>
    </row>
    <row r="21" spans="1:16" x14ac:dyDescent="0.2">
      <c r="A21" t="s">
        <v>388</v>
      </c>
      <c r="C21" s="31">
        <v>1429526</v>
      </c>
      <c r="D21" s="31">
        <v>1769972</v>
      </c>
      <c r="E21" s="29">
        <f>'6.4'!E21</f>
        <v>2.5056768649457406</v>
      </c>
      <c r="F21" s="26">
        <f t="shared" si="1"/>
        <v>5011653</v>
      </c>
      <c r="G21" s="31">
        <v>135678</v>
      </c>
      <c r="H21" s="21">
        <f t="shared" si="2"/>
        <v>2.7E-2</v>
      </c>
      <c r="I21" s="37"/>
      <c r="K21" s="2"/>
      <c r="O21" s="22">
        <f>'6.4'!O56</f>
        <v>1987</v>
      </c>
      <c r="P21" s="29">
        <f>'6.4'!Q56</f>
        <v>1.9936436916734259</v>
      </c>
    </row>
    <row r="22" spans="1:16" x14ac:dyDescent="0.2">
      <c r="A22" t="s">
        <v>389</v>
      </c>
      <c r="C22" s="31">
        <v>1390109</v>
      </c>
      <c r="D22" s="31">
        <v>1555310</v>
      </c>
      <c r="E22" s="29">
        <f>'6.4'!E22</f>
        <v>2.4905762618235174</v>
      </c>
      <c r="F22" s="26">
        <f>ROUND(D22*$E$23,0)</f>
        <v>4403840</v>
      </c>
      <c r="G22" s="31">
        <v>1013636</v>
      </c>
      <c r="H22" s="21">
        <f t="shared" si="2"/>
        <v>0.23</v>
      </c>
      <c r="I22" s="37"/>
      <c r="K22" s="2"/>
      <c r="O22" s="22">
        <f>'6.4'!O57</f>
        <v>1988</v>
      </c>
      <c r="P22" s="29">
        <f>'6.4'!Q57</f>
        <v>2.1473124836449715</v>
      </c>
    </row>
    <row r="23" spans="1:16" x14ac:dyDescent="0.2">
      <c r="A23" t="s">
        <v>390</v>
      </c>
      <c r="B23" s="12"/>
      <c r="C23" s="31">
        <v>1571433</v>
      </c>
      <c r="D23" s="31">
        <v>1629721</v>
      </c>
      <c r="E23" s="29">
        <f>'6.4'!E23</f>
        <v>2.8314871857113864</v>
      </c>
      <c r="F23" s="26">
        <f>ROUND(D23*E23,0)</f>
        <v>4614534</v>
      </c>
      <c r="G23" s="31">
        <v>49512</v>
      </c>
      <c r="H23" s="21">
        <f t="shared" si="2"/>
        <v>1.0999999999999999E-2</v>
      </c>
      <c r="I23" s="37"/>
      <c r="K23" s="2"/>
      <c r="O23" s="22">
        <f>'6.4'!O58</f>
        <v>1989</v>
      </c>
      <c r="P23" s="29">
        <f>'6.4'!Q58</f>
        <v>2.385265617366465</v>
      </c>
    </row>
    <row r="24" spans="1:16" x14ac:dyDescent="0.2">
      <c r="A24" t="s">
        <v>367</v>
      </c>
      <c r="B24" s="12"/>
      <c r="C24" s="31">
        <v>1587772</v>
      </c>
      <c r="D24" s="31"/>
      <c r="E24" s="29">
        <f>'6.4'!E24</f>
        <v>3.2531461484671529</v>
      </c>
      <c r="F24" s="26">
        <f>ROUND(C24*E24,0)</f>
        <v>5165254</v>
      </c>
      <c r="G24" s="31">
        <v>86000</v>
      </c>
      <c r="H24" s="21">
        <f t="shared" si="2"/>
        <v>1.7000000000000001E-2</v>
      </c>
      <c r="I24" s="37"/>
      <c r="K24" s="2"/>
      <c r="O24" s="22">
        <f>'6.4'!O59</f>
        <v>1990</v>
      </c>
      <c r="P24" s="29">
        <f>'6.4'!Q59</f>
        <v>2.5056768649457406</v>
      </c>
    </row>
    <row r="25" spans="1:16" x14ac:dyDescent="0.2">
      <c r="A25" t="s">
        <v>368</v>
      </c>
      <c r="B25" s="12"/>
      <c r="C25" s="31">
        <v>2203514</v>
      </c>
      <c r="D25" s="31"/>
      <c r="E25" s="29">
        <f>'6.4'!E25</f>
        <v>3.2531461484671529</v>
      </c>
      <c r="F25" s="26">
        <f>ROUND(C25*E25,0)</f>
        <v>7168353</v>
      </c>
      <c r="G25" s="31">
        <v>254088</v>
      </c>
      <c r="H25" s="21">
        <f t="shared" si="2"/>
        <v>3.5000000000000003E-2</v>
      </c>
      <c r="I25" s="37"/>
      <c r="K25" s="2"/>
      <c r="O25" s="22">
        <f>'6.4'!O60</f>
        <v>1991</v>
      </c>
      <c r="P25" s="29">
        <f>'6.4'!Q60</f>
        <v>2.4905762618235174</v>
      </c>
    </row>
    <row r="26" spans="1:16" x14ac:dyDescent="0.2">
      <c r="A26" t="s">
        <v>369</v>
      </c>
      <c r="C26" s="31">
        <v>2669951</v>
      </c>
      <c r="D26" s="31"/>
      <c r="E26" s="29">
        <f>'6.4'!E26</f>
        <v>3.2531461484671529</v>
      </c>
      <c r="F26" s="26">
        <f>ROUND(C26*E26,0)</f>
        <v>8685741</v>
      </c>
      <c r="G26" s="31">
        <v>854753</v>
      </c>
      <c r="H26" s="21">
        <f t="shared" si="2"/>
        <v>9.8000000000000004E-2</v>
      </c>
      <c r="I26" s="37"/>
      <c r="K26" s="2"/>
      <c r="O26" s="22">
        <f>'6.4'!O61</f>
        <v>1992</v>
      </c>
      <c r="P26" s="29">
        <f>'6.4'!Q61</f>
        <v>2.8314871857113864</v>
      </c>
    </row>
    <row r="27" spans="1:16" x14ac:dyDescent="0.2">
      <c r="A27" t="s">
        <v>370</v>
      </c>
      <c r="C27" s="31">
        <v>5639923</v>
      </c>
      <c r="D27" s="31"/>
      <c r="E27" s="29">
        <f>'6.4'!E27</f>
        <v>3.2531461484671529</v>
      </c>
      <c r="F27" s="26">
        <f t="shared" ref="F27:F49" si="3">ROUND(C27*E27,0)</f>
        <v>18347494</v>
      </c>
      <c r="G27" s="31">
        <v>502177</v>
      </c>
      <c r="H27" s="21">
        <f t="shared" si="2"/>
        <v>2.7E-2</v>
      </c>
      <c r="I27" s="37"/>
      <c r="K27" s="2"/>
      <c r="O27" s="22">
        <f>'6.4'!O62</f>
        <v>1993</v>
      </c>
      <c r="P27" s="29">
        <f>'6.4'!Q62</f>
        <v>3.2531461484671529</v>
      </c>
    </row>
    <row r="28" spans="1:16" x14ac:dyDescent="0.2">
      <c r="A28" t="s">
        <v>371</v>
      </c>
      <c r="C28" s="31">
        <v>3183758</v>
      </c>
      <c r="E28" s="29">
        <f>'6.4'!E28</f>
        <v>3.2531461484671529</v>
      </c>
      <c r="F28" s="26">
        <f t="shared" si="3"/>
        <v>10357230</v>
      </c>
      <c r="G28" s="31">
        <v>199390</v>
      </c>
      <c r="H28" s="21">
        <f t="shared" si="2"/>
        <v>1.9E-2</v>
      </c>
      <c r="I28" s="37"/>
      <c r="K28" s="2"/>
      <c r="O28" s="22">
        <f>'6.4'!O63</f>
        <v>1994</v>
      </c>
      <c r="P28" s="29">
        <f>'6.4'!Q63</f>
        <v>3.2531461484671529</v>
      </c>
    </row>
    <row r="29" spans="1:16" x14ac:dyDescent="0.2">
      <c r="A29" t="s">
        <v>372</v>
      </c>
      <c r="C29" s="31">
        <v>3613310</v>
      </c>
      <c r="D29" s="31"/>
      <c r="E29" s="29">
        <f>'6.4'!E29</f>
        <v>3.3026864451443179</v>
      </c>
      <c r="F29" s="26">
        <f t="shared" si="3"/>
        <v>11933630</v>
      </c>
      <c r="G29" s="31">
        <v>1561275</v>
      </c>
      <c r="H29" s="21">
        <f t="shared" si="2"/>
        <v>0.13100000000000001</v>
      </c>
      <c r="I29" s="37"/>
      <c r="K29" s="2"/>
      <c r="O29" s="22">
        <f>'6.4'!O64</f>
        <v>1995</v>
      </c>
      <c r="P29" s="29">
        <f>'6.4'!Q64</f>
        <v>3.2531461484671529</v>
      </c>
    </row>
    <row r="30" spans="1:16" x14ac:dyDescent="0.2">
      <c r="A30" t="s">
        <v>373</v>
      </c>
      <c r="C30" s="31">
        <v>6808428</v>
      </c>
      <c r="D30" s="31"/>
      <c r="E30" s="29">
        <f>'6.4'!E30</f>
        <v>3.3537589159455186</v>
      </c>
      <c r="F30" s="26">
        <f t="shared" si="3"/>
        <v>22833826</v>
      </c>
      <c r="G30" s="31">
        <v>2735082</v>
      </c>
      <c r="H30" s="21">
        <f t="shared" si="2"/>
        <v>0.12</v>
      </c>
      <c r="I30" s="37"/>
      <c r="K30" s="2"/>
      <c r="O30" s="22">
        <f>'6.4'!O65</f>
        <v>1996</v>
      </c>
      <c r="P30" s="29">
        <f>'6.4'!Q65</f>
        <v>3.2531461484671529</v>
      </c>
    </row>
    <row r="31" spans="1:16" x14ac:dyDescent="0.2">
      <c r="A31" t="s">
        <v>374</v>
      </c>
      <c r="C31" s="31">
        <v>5167158</v>
      </c>
      <c r="D31" s="31"/>
      <c r="E31" s="29">
        <f>'6.4'!E31</f>
        <v>3.209338675545951</v>
      </c>
      <c r="F31" s="26">
        <f t="shared" si="3"/>
        <v>16583160</v>
      </c>
      <c r="G31" s="31">
        <v>317804</v>
      </c>
      <c r="H31" s="21">
        <f t="shared" si="2"/>
        <v>1.9E-2</v>
      </c>
      <c r="I31" s="37"/>
      <c r="K31" s="2"/>
      <c r="L31" t="s">
        <v>211</v>
      </c>
      <c r="O31" s="22">
        <f>'6.4'!O66</f>
        <v>1997</v>
      </c>
      <c r="P31" s="29">
        <f>'6.4'!Q66</f>
        <v>3.2531461484671529</v>
      </c>
    </row>
    <row r="32" spans="1:16" x14ac:dyDescent="0.2">
      <c r="A32" t="s">
        <v>375</v>
      </c>
      <c r="C32" s="31">
        <v>4763324</v>
      </c>
      <c r="D32" s="31"/>
      <c r="E32" s="29">
        <f>'6.4'!E32</f>
        <v>3.0165127864233838</v>
      </c>
      <c r="F32" s="26">
        <f t="shared" si="3"/>
        <v>14368628</v>
      </c>
      <c r="G32" s="31">
        <v>431244</v>
      </c>
      <c r="H32" s="21">
        <f t="shared" si="2"/>
        <v>0.03</v>
      </c>
      <c r="I32" s="37"/>
      <c r="K32" s="2"/>
      <c r="L32" s="68">
        <f>[2]ISO!$P$48</f>
        <v>0.83032597247441198</v>
      </c>
      <c r="O32" s="22">
        <f>'6.4'!O67</f>
        <v>1998</v>
      </c>
      <c r="P32" s="29">
        <f>'6.4'!Q67</f>
        <v>3.3026864451443179</v>
      </c>
    </row>
    <row r="33" spans="1:16" x14ac:dyDescent="0.2">
      <c r="A33" t="s">
        <v>376</v>
      </c>
      <c r="C33" s="31">
        <v>8479915</v>
      </c>
      <c r="D33" s="31"/>
      <c r="E33" s="29">
        <f>'6.4'!E33</f>
        <v>2.8863443172156207</v>
      </c>
      <c r="F33" s="26">
        <f t="shared" si="3"/>
        <v>24475954</v>
      </c>
      <c r="G33" s="31">
        <v>7300265</v>
      </c>
      <c r="H33" s="21">
        <f t="shared" si="2"/>
        <v>0.29799999999999999</v>
      </c>
      <c r="I33" s="37"/>
      <c r="K33" s="2"/>
      <c r="O33" s="22">
        <f>'6.4'!O68</f>
        <v>1999</v>
      </c>
      <c r="P33" s="29">
        <f>'6.4'!Q68</f>
        <v>3.3537589159455186</v>
      </c>
    </row>
    <row r="34" spans="1:16" x14ac:dyDescent="0.2">
      <c r="A34" t="s">
        <v>377</v>
      </c>
      <c r="C34" s="108">
        <v>9934549</v>
      </c>
      <c r="D34" s="31"/>
      <c r="E34" s="29">
        <f>'6.4'!E34</f>
        <v>2.6891459199349992</v>
      </c>
      <c r="F34" s="26">
        <f t="shared" si="3"/>
        <v>26715452</v>
      </c>
      <c r="G34" s="108">
        <v>2122879</v>
      </c>
      <c r="H34" s="21">
        <f t="shared" si="2"/>
        <v>7.9000000000000001E-2</v>
      </c>
      <c r="I34" s="37"/>
      <c r="K34" s="2"/>
      <c r="O34" s="22">
        <f>'6.4'!O69</f>
        <v>2000</v>
      </c>
      <c r="P34" s="29">
        <f>'6.4'!Q69</f>
        <v>3.209338675545951</v>
      </c>
    </row>
    <row r="35" spans="1:16" x14ac:dyDescent="0.2">
      <c r="A35" t="s">
        <v>378</v>
      </c>
      <c r="B35" s="22"/>
      <c r="C35" s="108">
        <v>14597450</v>
      </c>
      <c r="D35" s="41"/>
      <c r="E35" s="29">
        <f>'6.4'!E35</f>
        <v>2.448174392695059</v>
      </c>
      <c r="F35" s="26">
        <f t="shared" si="3"/>
        <v>35737103</v>
      </c>
      <c r="G35" s="108">
        <v>212644</v>
      </c>
      <c r="H35" s="21">
        <f t="shared" si="2"/>
        <v>6.0000000000000001E-3</v>
      </c>
      <c r="I35" s="37"/>
      <c r="K35" s="2"/>
      <c r="O35" s="22">
        <f>'6.4'!O70</f>
        <v>2001</v>
      </c>
      <c r="P35" s="29">
        <f>'6.4'!Q70</f>
        <v>3.0165127864233838</v>
      </c>
    </row>
    <row r="36" spans="1:16" x14ac:dyDescent="0.2">
      <c r="A36" t="s">
        <v>292</v>
      </c>
      <c r="C36" s="108">
        <v>16137249</v>
      </c>
      <c r="E36" s="29">
        <f>'6.4'!E36</f>
        <v>2.2196457159722458</v>
      </c>
      <c r="F36" s="26">
        <f t="shared" si="3"/>
        <v>35818976</v>
      </c>
      <c r="G36" s="108">
        <v>566758</v>
      </c>
      <c r="H36" s="21">
        <f t="shared" si="2"/>
        <v>1.6E-2</v>
      </c>
      <c r="I36" s="37"/>
      <c r="K36" s="2"/>
      <c r="O36" s="22">
        <f>'6.4'!O71</f>
        <v>2002</v>
      </c>
      <c r="P36" s="29">
        <f>'6.4'!Q71</f>
        <v>2.8863443172156207</v>
      </c>
    </row>
    <row r="37" spans="1:16" x14ac:dyDescent="0.2">
      <c r="A37" t="s">
        <v>356</v>
      </c>
      <c r="C37" s="108">
        <v>21249313</v>
      </c>
      <c r="E37" s="29">
        <f>'6.4'!E37</f>
        <v>2.0368887779518374</v>
      </c>
      <c r="F37" s="26">
        <f t="shared" si="3"/>
        <v>43282487</v>
      </c>
      <c r="G37" s="108">
        <v>434362</v>
      </c>
      <c r="H37" s="21">
        <f t="shared" si="2"/>
        <v>0.01</v>
      </c>
      <c r="I37" s="37"/>
      <c r="K37" s="2"/>
      <c r="O37" s="22">
        <f>'6.4'!O72</f>
        <v>2003</v>
      </c>
      <c r="P37" s="29">
        <f>'6.4'!Q72</f>
        <v>2.6834493652118017</v>
      </c>
    </row>
    <row r="38" spans="1:16" x14ac:dyDescent="0.2">
      <c r="A38" t="s">
        <v>334</v>
      </c>
      <c r="C38" s="108">
        <v>27752523</v>
      </c>
      <c r="E38" s="29">
        <f>'6.4'!E38</f>
        <v>1.8570470989540067</v>
      </c>
      <c r="F38" s="26">
        <f t="shared" si="3"/>
        <v>51537742</v>
      </c>
      <c r="G38" s="108">
        <v>27752523</v>
      </c>
      <c r="H38" s="21">
        <f t="shared" si="2"/>
        <v>0.53800000000000003</v>
      </c>
      <c r="I38" s="37"/>
      <c r="K38" s="2"/>
      <c r="O38" s="22">
        <f>'6.4'!O73</f>
        <v>2004</v>
      </c>
      <c r="P38" s="29">
        <f>'6.4'!Q73</f>
        <v>2.4394994229198192</v>
      </c>
    </row>
    <row r="39" spans="1:16" x14ac:dyDescent="0.2">
      <c r="A39" t="s">
        <v>339</v>
      </c>
      <c r="C39" s="108">
        <v>27990909</v>
      </c>
      <c r="E39" s="29">
        <f>'6.4'!E39</f>
        <v>1.7641482522914038</v>
      </c>
      <c r="F39" s="26">
        <f t="shared" si="3"/>
        <v>49380113</v>
      </c>
      <c r="G39" s="108">
        <v>17103924</v>
      </c>
      <c r="H39" s="21">
        <f>ROUND(G39/F39,3)</f>
        <v>0.34599999999999997</v>
      </c>
      <c r="I39" s="37"/>
      <c r="K39" s="2"/>
      <c r="O39" s="22">
        <f>'6.4'!O74</f>
        <v>2005</v>
      </c>
      <c r="P39" s="29">
        <f>'6.4'!Q74</f>
        <v>2.2177267481089267</v>
      </c>
    </row>
    <row r="40" spans="1:16" x14ac:dyDescent="0.2">
      <c r="A40" t="s">
        <v>357</v>
      </c>
      <c r="C40" s="108">
        <v>29085395</v>
      </c>
      <c r="E40" s="29">
        <f>'6.4'!E40</f>
        <v>1.5997647448930246</v>
      </c>
      <c r="F40" s="26">
        <f t="shared" si="3"/>
        <v>46529790</v>
      </c>
      <c r="G40" s="108">
        <v>2074340</v>
      </c>
      <c r="H40" s="21">
        <f t="shared" si="2"/>
        <v>4.4999999999999998E-2</v>
      </c>
      <c r="I40" s="37"/>
      <c r="K40" s="2"/>
      <c r="O40" s="22">
        <f>'6.4'!O75</f>
        <v>2006</v>
      </c>
      <c r="P40" s="29">
        <f>'6.4'!Q75</f>
        <v>2.0559284430216072</v>
      </c>
    </row>
    <row r="41" spans="1:16" x14ac:dyDescent="0.2">
      <c r="A41" t="s">
        <v>358</v>
      </c>
      <c r="C41" s="108">
        <v>27439364</v>
      </c>
      <c r="E41" s="29">
        <f>'6.4'!E41</f>
        <v>1.4780006228698483</v>
      </c>
      <c r="F41" s="26">
        <f t="shared" si="3"/>
        <v>40555397</v>
      </c>
      <c r="G41" s="108">
        <v>1768194</v>
      </c>
      <c r="H41" s="21">
        <f t="shared" si="2"/>
        <v>4.3999999999999997E-2</v>
      </c>
      <c r="I41" s="37"/>
      <c r="K41" s="2"/>
      <c r="O41" s="22">
        <f>'6.4'!O76</f>
        <v>2007</v>
      </c>
      <c r="P41" s="29">
        <f>'6.4'!Q76</f>
        <v>1.8629745755036669</v>
      </c>
    </row>
    <row r="42" spans="1:16" x14ac:dyDescent="0.2">
      <c r="A42" t="s">
        <v>361</v>
      </c>
      <c r="C42" s="108">
        <v>25580489</v>
      </c>
      <c r="E42" s="29">
        <f>'6.4'!E42</f>
        <v>1.4430316100910405</v>
      </c>
      <c r="F42" s="26">
        <f t="shared" si="3"/>
        <v>36913454</v>
      </c>
      <c r="G42" s="108">
        <v>10619019</v>
      </c>
      <c r="H42" s="21">
        <f t="shared" si="2"/>
        <v>0.28799999999999998</v>
      </c>
      <c r="I42" s="37"/>
      <c r="K42" s="2"/>
      <c r="O42" s="22">
        <f>'6.4'!O77</f>
        <v>2008</v>
      </c>
      <c r="P42" s="29">
        <f>'6.4'!Q77</f>
        <v>1.7602319101810135</v>
      </c>
    </row>
    <row r="43" spans="1:16" x14ac:dyDescent="0.2">
      <c r="A43" t="s">
        <v>379</v>
      </c>
      <c r="C43" s="108">
        <v>26761300</v>
      </c>
      <c r="E43" s="29">
        <f>'6.4'!E43</f>
        <v>1.3723433115836108</v>
      </c>
      <c r="F43" s="26">
        <f t="shared" si="3"/>
        <v>36725691</v>
      </c>
      <c r="G43" s="108">
        <v>8409391</v>
      </c>
      <c r="H43" s="37">
        <f t="shared" si="2"/>
        <v>0.22900000000000001</v>
      </c>
      <c r="I43" s="37"/>
      <c r="K43" s="2"/>
      <c r="O43" s="22">
        <f>'6.4'!O78</f>
        <v>2009</v>
      </c>
      <c r="P43" s="29">
        <f>'6.4'!Q78</f>
        <v>1.6031505260642462</v>
      </c>
    </row>
    <row r="44" spans="1:16" x14ac:dyDescent="0.2">
      <c r="A44" t="s">
        <v>380</v>
      </c>
      <c r="C44" s="108">
        <v>27964798</v>
      </c>
      <c r="E44" s="29">
        <f>'6.4'!E44</f>
        <v>1.3075797103216005</v>
      </c>
      <c r="F44" s="26">
        <f t="shared" si="3"/>
        <v>36566202</v>
      </c>
      <c r="G44" s="108">
        <v>1468876</v>
      </c>
      <c r="H44" s="37">
        <f t="shared" si="2"/>
        <v>0.04</v>
      </c>
      <c r="I44" s="37"/>
      <c r="K44" s="2"/>
      <c r="O44" s="22">
        <f>'6.4'!O79</f>
        <v>2010</v>
      </c>
      <c r="P44" s="29">
        <f>'6.4'!Q79</f>
        <v>1.478148059301279</v>
      </c>
    </row>
    <row r="45" spans="1:16" x14ac:dyDescent="0.2">
      <c r="A45" t="s">
        <v>401</v>
      </c>
      <c r="C45" s="59">
        <f>[2]ISO!P35</f>
        <v>28148014</v>
      </c>
      <c r="E45" s="29">
        <f>'6.4'!E45</f>
        <v>1.2467307484438648</v>
      </c>
      <c r="F45" s="26">
        <f t="shared" si="3"/>
        <v>35092995</v>
      </c>
      <c r="G45" s="59">
        <f>[2]ISO!U35</f>
        <v>1110819</v>
      </c>
      <c r="H45" s="37">
        <f t="shared" si="2"/>
        <v>3.2000000000000001E-2</v>
      </c>
      <c r="I45" s="37"/>
      <c r="K45" s="2"/>
      <c r="L45" t="s">
        <v>214</v>
      </c>
      <c r="M45" t="s">
        <v>215</v>
      </c>
      <c r="O45" s="22">
        <f>'6.4'!O80</f>
        <v>2011</v>
      </c>
      <c r="P45" s="29">
        <f>'6.4'!Q80</f>
        <v>1.4414199451600616</v>
      </c>
    </row>
    <row r="46" spans="1:16" x14ac:dyDescent="0.2">
      <c r="A46" t="s">
        <v>402</v>
      </c>
      <c r="C46" s="59">
        <f>[2]ISO!P36</f>
        <v>26771800</v>
      </c>
      <c r="E46" s="29">
        <f>'6.4'!E46</f>
        <v>1.1863253854339271</v>
      </c>
      <c r="F46" s="26">
        <f t="shared" si="3"/>
        <v>31760066</v>
      </c>
      <c r="G46" s="59">
        <f>[2]ISO!U36</f>
        <v>1289267</v>
      </c>
      <c r="H46" s="37">
        <f t="shared" ref="H46:H54" si="4">ROUND(G46/F46,3)</f>
        <v>4.1000000000000002E-2</v>
      </c>
      <c r="I46" s="37"/>
      <c r="K46" s="2"/>
      <c r="L46" s="36">
        <f>'6.4'!L48</f>
        <v>34607</v>
      </c>
      <c r="M46" s="36">
        <f>'6.4'!M48</f>
        <v>36525</v>
      </c>
      <c r="N46" t="s">
        <v>216</v>
      </c>
      <c r="O46" s="22">
        <f>'6.4'!O81</f>
        <v>2012</v>
      </c>
      <c r="P46" s="29">
        <f>'6.4'!Q81</f>
        <v>1.3727809001524396</v>
      </c>
    </row>
    <row r="47" spans="1:16" x14ac:dyDescent="0.2">
      <c r="A47" t="s">
        <v>403</v>
      </c>
      <c r="C47" s="59">
        <f>[2]ISO!P37</f>
        <v>22867664</v>
      </c>
      <c r="E47" s="29">
        <f>'6.4'!E47</f>
        <v>1.1296863217775721</v>
      </c>
      <c r="F47" s="26">
        <f t="shared" si="3"/>
        <v>25833287</v>
      </c>
      <c r="G47" s="59">
        <f>[2]ISO!U37</f>
        <v>2164326</v>
      </c>
      <c r="H47" s="37">
        <f t="shared" si="4"/>
        <v>8.4000000000000005E-2</v>
      </c>
      <c r="I47" s="37"/>
      <c r="K47" s="2"/>
      <c r="L47" s="36"/>
      <c r="M47" s="36">
        <f>'6.4'!M49</f>
        <v>43830</v>
      </c>
      <c r="N47" t="s">
        <v>217</v>
      </c>
      <c r="O47" s="22">
        <f>'6.4'!O82</f>
        <v>2013</v>
      </c>
      <c r="P47" s="29">
        <f>'6.4'!Q82</f>
        <v>1.3074103810975615</v>
      </c>
    </row>
    <row r="48" spans="1:16" x14ac:dyDescent="0.2">
      <c r="A48" t="s">
        <v>404</v>
      </c>
      <c r="C48" s="59">
        <f>[2]ISO!P38</f>
        <v>19215442</v>
      </c>
      <c r="D48" s="18"/>
      <c r="E48" s="29">
        <f>'6.4'!E48</f>
        <v>1.102499999999994</v>
      </c>
      <c r="F48" s="26">
        <f t="shared" si="3"/>
        <v>21185025</v>
      </c>
      <c r="G48" s="59">
        <f>[2]ISO!U38</f>
        <v>250393484</v>
      </c>
      <c r="H48" s="37">
        <f t="shared" si="4"/>
        <v>11.819000000000001</v>
      </c>
      <c r="I48" s="37"/>
      <c r="K48" s="2"/>
      <c r="L48" s="36">
        <f>'6.4'!L50</f>
        <v>45291</v>
      </c>
      <c r="M48" s="36">
        <f>'6.4'!M50</f>
        <v>45291</v>
      </c>
      <c r="N48" t="s">
        <v>217</v>
      </c>
      <c r="O48" s="22">
        <f>'6.4'!O83</f>
        <v>2014</v>
      </c>
      <c r="P48" s="29">
        <f>'6.4'!Q83</f>
        <v>1.2451527439024395</v>
      </c>
    </row>
    <row r="49" spans="1:16" x14ac:dyDescent="0.2">
      <c r="A49" s="22">
        <v>2018</v>
      </c>
      <c r="C49" s="59">
        <f>[2]ISO!P39</f>
        <v>18331424</v>
      </c>
      <c r="E49" s="29">
        <f>'6.4'!E49</f>
        <v>1.0755512293710299</v>
      </c>
      <c r="F49" s="26">
        <f t="shared" si="3"/>
        <v>19716386</v>
      </c>
      <c r="G49" s="59">
        <f>[2]ISO!U39</f>
        <v>387950</v>
      </c>
      <c r="H49" s="37">
        <f t="shared" si="4"/>
        <v>0.02</v>
      </c>
      <c r="I49" s="37"/>
      <c r="K49" s="2"/>
      <c r="O49" s="22">
        <f>'6.4'!O84</f>
        <v>2015</v>
      </c>
      <c r="P49" s="29">
        <f>'6.4'!Q84</f>
        <v>1.1858597560975612</v>
      </c>
    </row>
    <row r="50" spans="1:16" x14ac:dyDescent="0.2">
      <c r="A50" s="22">
        <v>2019</v>
      </c>
      <c r="C50" s="59">
        <f>[2]ISO!P40</f>
        <v>16405992</v>
      </c>
      <c r="E50" s="29">
        <f>'6.4'!E50</f>
        <v>1.049999999999998</v>
      </c>
      <c r="F50" s="26">
        <f t="shared" ref="F50:F51" si="5">ROUND(C50*E50,0)</f>
        <v>17226292</v>
      </c>
      <c r="G50" s="59">
        <f>[2]ISO!U40</f>
        <v>147300</v>
      </c>
      <c r="H50" s="37">
        <f t="shared" si="4"/>
        <v>8.9999999999999993E-3</v>
      </c>
      <c r="I50" s="37"/>
      <c r="K50" s="2"/>
      <c r="O50" s="22">
        <f>'6.4'!O85</f>
        <v>2016</v>
      </c>
      <c r="P50" s="29">
        <f>'6.4'!Q85</f>
        <v>1.1293902439024393</v>
      </c>
    </row>
    <row r="51" spans="1:16" x14ac:dyDescent="0.2">
      <c r="A51" s="22">
        <v>2020</v>
      </c>
      <c r="C51" s="59">
        <f>[2]ISO!P41</f>
        <v>16076264</v>
      </c>
      <c r="E51" s="29">
        <f>'6.4'!E51</f>
        <v>1.0499999999999974</v>
      </c>
      <c r="F51" s="26">
        <f t="shared" si="5"/>
        <v>16880077</v>
      </c>
      <c r="G51" s="59">
        <f>[2]ISO!U41</f>
        <v>1441041</v>
      </c>
      <c r="H51" s="37">
        <f t="shared" si="4"/>
        <v>8.5000000000000006E-2</v>
      </c>
      <c r="I51" s="37"/>
      <c r="K51" s="2"/>
      <c r="O51" s="22">
        <f>'6.4'!O86</f>
        <v>2017</v>
      </c>
      <c r="P51" s="29">
        <f>'6.4'!Q86</f>
        <v>1.1025</v>
      </c>
    </row>
    <row r="52" spans="1:16" x14ac:dyDescent="0.2">
      <c r="A52" s="22">
        <v>2021</v>
      </c>
      <c r="C52" s="59">
        <f>[2]ISO!P42</f>
        <v>17132906</v>
      </c>
      <c r="E52" s="29">
        <f>'6.4'!E52</f>
        <v>1.0499999999999947</v>
      </c>
      <c r="F52" s="26">
        <f t="shared" ref="F52:F54" si="6">ROUND(C52*E52,0)</f>
        <v>17989551</v>
      </c>
      <c r="G52" s="59">
        <f>[2]ISO!U42</f>
        <v>53835</v>
      </c>
      <c r="H52" s="37">
        <f t="shared" si="4"/>
        <v>3.0000000000000001E-3</v>
      </c>
      <c r="I52" s="37"/>
      <c r="K52" s="2"/>
      <c r="O52" s="22">
        <f>'6.4'!O87</f>
        <v>2018</v>
      </c>
      <c r="P52" s="29">
        <f>'6.4'!Q87</f>
        <v>1.075609756097561</v>
      </c>
    </row>
    <row r="53" spans="1:16" x14ac:dyDescent="0.2">
      <c r="A53" s="22">
        <v>2022</v>
      </c>
      <c r="C53" s="59">
        <f>[2]ISO!P43</f>
        <v>23463692</v>
      </c>
      <c r="E53" s="29">
        <f>'6.4'!E53</f>
        <v>1.0224475776595738</v>
      </c>
      <c r="F53" s="26">
        <f t="shared" si="6"/>
        <v>23990395</v>
      </c>
      <c r="G53" s="59">
        <f>[2]ISO!U43</f>
        <v>237342</v>
      </c>
      <c r="H53" s="37">
        <f t="shared" si="4"/>
        <v>0.01</v>
      </c>
      <c r="I53" s="37"/>
      <c r="K53" s="2"/>
      <c r="O53" s="22">
        <f>'6.4'!O88</f>
        <v>2019</v>
      </c>
      <c r="P53" s="29">
        <f>'6.4'!Q88</f>
        <v>1.05</v>
      </c>
    </row>
    <row r="54" spans="1:16" x14ac:dyDescent="0.2">
      <c r="A54" s="22">
        <v>2023</v>
      </c>
      <c r="C54" s="59">
        <f>[2]ISO!P44</f>
        <v>35525342</v>
      </c>
      <c r="E54" s="29">
        <f>'6.4'!E54</f>
        <v>1</v>
      </c>
      <c r="F54" s="26">
        <f t="shared" si="6"/>
        <v>35525342</v>
      </c>
      <c r="G54" s="59">
        <f>[2]ISO!U44</f>
        <v>882298</v>
      </c>
      <c r="H54" s="37">
        <f t="shared" si="4"/>
        <v>2.5000000000000001E-2</v>
      </c>
      <c r="I54" s="37"/>
      <c r="K54" s="2"/>
      <c r="O54" s="22">
        <f>'6.4'!O89</f>
        <v>2020</v>
      </c>
      <c r="P54" s="29">
        <f>'6.4'!Q89</f>
        <v>1.05</v>
      </c>
    </row>
    <row r="55" spans="1:16" x14ac:dyDescent="0.2">
      <c r="A55" s="206"/>
      <c r="B55" s="206"/>
      <c r="C55" s="206"/>
      <c r="D55" s="206"/>
      <c r="E55" s="206"/>
      <c r="F55" s="206"/>
      <c r="G55" s="206"/>
      <c r="H55" s="206"/>
      <c r="K55" s="2"/>
      <c r="O55" s="22">
        <f>'6.4'!O90</f>
        <v>2021</v>
      </c>
      <c r="P55" s="29">
        <f>'6.4'!Q90</f>
        <v>1.05</v>
      </c>
    </row>
    <row r="56" spans="1:16" x14ac:dyDescent="0.2">
      <c r="A56" t="s">
        <v>7</v>
      </c>
      <c r="C56" s="211">
        <f>SUM(C14:C55)</f>
        <v>537519238</v>
      </c>
      <c r="D56" s="211"/>
      <c r="E56" s="211"/>
      <c r="F56" s="211">
        <f>SUM(F14:F55)</f>
        <v>868186360</v>
      </c>
      <c r="G56" s="211">
        <f>SUM(G14:G55)</f>
        <v>346801348</v>
      </c>
      <c r="H56" s="37">
        <f>ROUND(G56/F56,3)</f>
        <v>0.39900000000000002</v>
      </c>
      <c r="K56" s="2"/>
      <c r="O56" s="22">
        <f>'6.4'!O91</f>
        <v>2022</v>
      </c>
      <c r="P56" s="29">
        <f>'6.4'!Q91</f>
        <v>1.024390243902439</v>
      </c>
    </row>
    <row r="57" spans="1:16" ht="12" thickBot="1" x14ac:dyDescent="0.25">
      <c r="A57" s="6"/>
      <c r="B57" s="6"/>
      <c r="C57" s="6"/>
      <c r="D57" s="6"/>
      <c r="E57" s="6"/>
      <c r="F57" s="6"/>
      <c r="G57" s="6"/>
      <c r="H57" s="6"/>
      <c r="K57" s="2"/>
      <c r="O57" s="22">
        <f>'6.4'!O92</f>
        <v>2023</v>
      </c>
      <c r="P57" s="29">
        <f>'6.4'!Q92</f>
        <v>1</v>
      </c>
    </row>
    <row r="58" spans="1:16" ht="12" thickTop="1" x14ac:dyDescent="0.2">
      <c r="K58" s="2"/>
    </row>
    <row r="59" spans="1:16" x14ac:dyDescent="0.2">
      <c r="A59" t="s">
        <v>17</v>
      </c>
      <c r="K59" s="2"/>
    </row>
    <row r="60" spans="1:16" x14ac:dyDescent="0.2">
      <c r="B60" s="12" t="str">
        <f>C12&amp;" Provided by TDI. "&amp;A14&amp;" - "&amp;A26&amp;" are year ending "&amp;TEXT($L$46,"m/d/xx")&amp;" as of "&amp;TEXT($M$46,"m/d/yy")&amp;"; "&amp;A27&amp;" - "&amp;YEAR(L48)&amp;" are year ending "&amp;TEXT($L$48,"m/d/xx")&amp;" as of "&amp;TEXT($M$48,"m/d/yy")</f>
        <v>(2) Provided by TDI. 1983 - 1995 are year ending 9/30/xx as of 12/31/99; 1996 - 2023 are year ending 12/31/xx as of 12/31/23</v>
      </c>
      <c r="K60" s="2"/>
    </row>
    <row r="61" spans="1:16" x14ac:dyDescent="0.2">
      <c r="B61" s="12" t="str">
        <f>D12&amp;" Provided by TDI (1992 MR = 1992 manual rates)"</f>
        <v>(3) Provided by TDI (1992 MR = 1992 manual rates)</v>
      </c>
      <c r="C61" s="12"/>
      <c r="K61" s="2"/>
    </row>
    <row r="62" spans="1:16" x14ac:dyDescent="0.2">
      <c r="B62" s="12" t="str">
        <f>'6.4'!B62</f>
        <v>(4) Represents 8/1/80 through 6/30/23 rate changes for TWIA; factors assume uniform earning of written premium</v>
      </c>
      <c r="K62" s="2"/>
    </row>
    <row r="63" spans="1:16" x14ac:dyDescent="0.2">
      <c r="B63" s="12" t="str">
        <f>"      and that TWIA premium represents "&amp;TEXT(L32,"0.0%")&amp;" of industry data in "&amp;LEFT(A5,FIND("(",A5)-2)</f>
        <v xml:space="preserve">      and that TWIA premium represents 83.0% of industry data in Tier 1 -- Territory 9</v>
      </c>
      <c r="K63" s="2"/>
    </row>
    <row r="64" spans="1:16" x14ac:dyDescent="0.2">
      <c r="B64" s="12" t="str">
        <f>F12&amp;" = "&amp;D12&amp;" x "&amp;E12&amp;" for "&amp;A14&amp;" - "&amp;A23&amp;"; "&amp;C12&amp;" x "&amp;E12&amp;" for "&amp;A24&amp;" - "&amp;YEAR(L48)</f>
        <v>(5) = (3) x (4) for 1983 - 1992; (2) x (4) for 1993 - 2023</v>
      </c>
      <c r="K64" s="2"/>
    </row>
    <row r="65" spans="1:11" x14ac:dyDescent="0.2">
      <c r="B65" s="12" t="str">
        <f>G12&amp;" Provided by TDI. "&amp;A14&amp;" - "&amp;A26&amp;" are year ending "&amp;TEXT($L$46,"m/d/xx")&amp;" as of "&amp;TEXT($M$46,"m/d/yy")&amp;"; "&amp;A27&amp;" - "&amp;A42&amp;" are year ending "&amp;TEXT($L$48,"m/d/xx")&amp;" as of "&amp;TEXT($M$47,"m/d/yy")</f>
        <v>(6) Provided by TDI. 1983 - 1995 are year ending 9/30/xx as of 12/31/99; 1996 - 2011 are year ending 12/31/xx as of 12/31/19</v>
      </c>
      <c r="D65" s="41"/>
      <c r="E65" s="41"/>
      <c r="F65" s="41"/>
      <c r="G65" s="21"/>
      <c r="K65" s="2"/>
    </row>
    <row r="66" spans="1:11" x14ac:dyDescent="0.2">
      <c r="B66" t="str">
        <f>"    2012 - "&amp;YEAR(M48)&amp;" are year ending 12/31/xx as of "&amp;TEXT(M48,"m/d/yy")</f>
        <v xml:space="preserve">    2012 - 2023 are year ending 12/31/xx as of 12/31/23</v>
      </c>
      <c r="K66" s="2"/>
    </row>
    <row r="67" spans="1:11" x14ac:dyDescent="0.2">
      <c r="B67" s="12" t="str">
        <f>H12&amp;" = "&amp;G12&amp;" / "&amp;F12</f>
        <v>(7) = (6) / (5)</v>
      </c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FC5C-1C50-4FF6-B781-81D5BE9493CF}">
  <sheetPr>
    <pageSetUpPr fitToPage="1"/>
  </sheetPr>
  <dimension ref="A1:F40"/>
  <sheetViews>
    <sheetView showGridLines="0" workbookViewId="0"/>
  </sheetViews>
  <sheetFormatPr defaultRowHeight="11.25" x14ac:dyDescent="0.2"/>
  <cols>
    <col min="1" max="1" width="10" style="11" bestFit="1" customWidth="1"/>
    <col min="2" max="2" width="65" bestFit="1" customWidth="1"/>
    <col min="3" max="3" width="115.33203125" bestFit="1" customWidth="1"/>
    <col min="4" max="4" width="8.83203125" bestFit="1" customWidth="1"/>
    <col min="5" max="5" width="8.33203125" bestFit="1" customWidth="1"/>
    <col min="6" max="6" width="15.6640625" style="22" bestFit="1" customWidth="1"/>
  </cols>
  <sheetData>
    <row r="1" spans="1:6" ht="12" thickBot="1" x14ac:dyDescent="0.25"/>
    <row r="2" spans="1:6" x14ac:dyDescent="0.2">
      <c r="A2" s="184" t="s">
        <v>0</v>
      </c>
      <c r="B2" s="185"/>
      <c r="C2" s="185"/>
      <c r="D2" s="185"/>
      <c r="E2" s="186"/>
    </row>
    <row r="3" spans="1:6" x14ac:dyDescent="0.2">
      <c r="A3" s="187" t="s">
        <v>166</v>
      </c>
      <c r="E3" s="188"/>
    </row>
    <row r="4" spans="1:6" x14ac:dyDescent="0.2">
      <c r="A4" s="187" t="s">
        <v>1</v>
      </c>
      <c r="E4" s="188"/>
    </row>
    <row r="5" spans="1:6" x14ac:dyDescent="0.2">
      <c r="A5" s="189"/>
      <c r="E5" s="188"/>
    </row>
    <row r="6" spans="1:6" x14ac:dyDescent="0.2">
      <c r="A6" s="272" t="s">
        <v>433</v>
      </c>
      <c r="B6" s="273"/>
      <c r="C6" s="273"/>
      <c r="D6" s="273"/>
      <c r="E6" s="274"/>
      <c r="F6" s="8"/>
    </row>
    <row r="7" spans="1:6" x14ac:dyDescent="0.2">
      <c r="A7" s="189"/>
      <c r="E7" s="188"/>
    </row>
    <row r="8" spans="1:6" x14ac:dyDescent="0.2">
      <c r="A8" s="190"/>
      <c r="E8" s="188"/>
    </row>
    <row r="9" spans="1:6" x14ac:dyDescent="0.2">
      <c r="A9" s="191" t="s">
        <v>538</v>
      </c>
      <c r="B9" s="182" t="s">
        <v>434</v>
      </c>
      <c r="C9" s="182" t="s">
        <v>534</v>
      </c>
      <c r="D9" s="182" t="s">
        <v>435</v>
      </c>
      <c r="E9" s="192" t="s">
        <v>436</v>
      </c>
      <c r="F9" s="8"/>
    </row>
    <row r="10" spans="1:6" x14ac:dyDescent="0.2">
      <c r="A10" s="193">
        <v>1</v>
      </c>
      <c r="B10" t="str">
        <f>'1'!A4</f>
        <v>Summary of Indicated Rate Change</v>
      </c>
      <c r="C10" t="str">
        <f>'1'!A5</f>
        <v>By Method for Projecting Hurricane Loss &amp; LAE</v>
      </c>
      <c r="D10" t="str">
        <f>'1'!K1</f>
        <v>Exhibit 1</v>
      </c>
      <c r="E10" s="194"/>
      <c r="F10" s="183"/>
    </row>
    <row r="11" spans="1:6" x14ac:dyDescent="0.2">
      <c r="A11" s="193">
        <v>2.1</v>
      </c>
      <c r="B11" t="str">
        <f>'2.1'!A4</f>
        <v>Projected Ultimate Non-Hurricane Loss &amp; LAE Ratio</v>
      </c>
      <c r="D11" t="str">
        <f>'2.1'!J1</f>
        <v>Exhibit 2</v>
      </c>
      <c r="E11" s="188" t="str">
        <f>'2.1'!J2</f>
        <v>Sheet 1</v>
      </c>
      <c r="F11"/>
    </row>
    <row r="12" spans="1:6" x14ac:dyDescent="0.2">
      <c r="A12" s="193">
        <v>2.2000000000000002</v>
      </c>
      <c r="B12" t="str">
        <f>'2.2'!A4</f>
        <v>Projected Ultimate Non-Hurricane Loss</v>
      </c>
      <c r="D12" t="str">
        <f>'2.2'!M1</f>
        <v>Exhibit 2</v>
      </c>
      <c r="E12" s="188" t="str">
        <f>'2.2'!M2</f>
        <v>Sheet 2</v>
      </c>
      <c r="F12"/>
    </row>
    <row r="13" spans="1:6" x14ac:dyDescent="0.2">
      <c r="A13" s="193">
        <v>2.2999999999999998</v>
      </c>
      <c r="B13" t="str">
        <f>'2.3'!A4</f>
        <v>Summary of TWIA Historical Paid Loss as of 12/31/23</v>
      </c>
      <c r="D13" t="str">
        <f>'2.3'!K1</f>
        <v>Exhibit 2</v>
      </c>
      <c r="E13" s="188" t="str">
        <f>'2.3'!K2</f>
        <v>Sheet 3</v>
      </c>
      <c r="F13"/>
    </row>
    <row r="14" spans="1:6" x14ac:dyDescent="0.2">
      <c r="A14" s="193">
        <v>2.4</v>
      </c>
      <c r="B14" t="str">
        <f>'2.4'!A4</f>
        <v>Calculation of Net Trend Factors</v>
      </c>
      <c r="D14" t="str">
        <f>'2.4'!K1</f>
        <v>Exhibit 2</v>
      </c>
      <c r="E14" s="188" t="str">
        <f>'2.4'!K2</f>
        <v>Sheet 4</v>
      </c>
      <c r="F14"/>
    </row>
    <row r="15" spans="1:6" x14ac:dyDescent="0.2">
      <c r="A15" s="193">
        <v>3.1</v>
      </c>
      <c r="B15" t="str">
        <f>'3.1'!A4</f>
        <v>Premium Trend Analysis</v>
      </c>
      <c r="C15" t="str">
        <f>'3.1'!A5</f>
        <v>TWIA Commercial Written Premium at Present Rates (WPPR)</v>
      </c>
      <c r="D15" t="str">
        <f>'3.1'!L1</f>
        <v>Exhibit 3</v>
      </c>
      <c r="E15" s="195" t="str">
        <f>'3.1'!L2</f>
        <v>Sheet 1</v>
      </c>
      <c r="F15"/>
    </row>
    <row r="16" spans="1:6" x14ac:dyDescent="0.2">
      <c r="A16" s="193" t="s">
        <v>530</v>
      </c>
      <c r="B16" t="str">
        <f>'3.2a'!A4</f>
        <v>Loss Trend Analysis</v>
      </c>
      <c r="C16" t="str">
        <f>'3.2a'!A5</f>
        <v>Summary of Indices and Calculation of Prospective Loss Costs</v>
      </c>
      <c r="D16" t="str">
        <f>'3.2a'!L1</f>
        <v>Exhibit 3</v>
      </c>
      <c r="E16" s="188" t="str">
        <f>'3.2a'!L2</f>
        <v>Sheet 2a</v>
      </c>
      <c r="F16"/>
    </row>
    <row r="17" spans="1:6" x14ac:dyDescent="0.2">
      <c r="A17" s="193" t="s">
        <v>531</v>
      </c>
      <c r="B17" t="str">
        <f>'3.2b'!A4</f>
        <v>Loss Trend Analysis</v>
      </c>
      <c r="C17" t="str">
        <f>'3.2b'!A5</f>
        <v>Boeckh Commercial Construction Index Trend (Statewide)</v>
      </c>
      <c r="D17" t="str">
        <f>'3.2b'!L1</f>
        <v>Exhibit 3</v>
      </c>
      <c r="E17" s="188" t="str">
        <f>'3.2b'!L2</f>
        <v>Sheet 2b</v>
      </c>
      <c r="F17"/>
    </row>
    <row r="18" spans="1:6" x14ac:dyDescent="0.2">
      <c r="A18" s="193" t="s">
        <v>532</v>
      </c>
      <c r="B18" t="str">
        <f>'3.2c'!A4</f>
        <v>Loss Trend Analysis</v>
      </c>
      <c r="C18" t="str">
        <f>'3.2c'!A5</f>
        <v>Boeckh Commercial Construction Index Trend (Coastal)</v>
      </c>
      <c r="D18" t="str">
        <f>'3.2c'!L1</f>
        <v>Exhibit 3</v>
      </c>
      <c r="E18" s="188" t="str">
        <f>'3.2c'!L2</f>
        <v>Sheet 2c</v>
      </c>
      <c r="F18"/>
    </row>
    <row r="19" spans="1:6" x14ac:dyDescent="0.2">
      <c r="A19" s="193" t="s">
        <v>533</v>
      </c>
      <c r="B19" t="str">
        <f>'3.2d'!A4</f>
        <v>Loss Trend Analysis</v>
      </c>
      <c r="C19" t="str">
        <f>'3.2d'!A5</f>
        <v>Modified Consumer Price Index - External Trend</v>
      </c>
      <c r="D19" t="str">
        <f>'3.2d'!L1</f>
        <v>Exhibit 3</v>
      </c>
      <c r="E19" s="188" t="str">
        <f>'3.2d'!L2</f>
        <v>Sheet 2d</v>
      </c>
      <c r="F19"/>
    </row>
    <row r="20" spans="1:6" x14ac:dyDescent="0.2">
      <c r="A20" s="193">
        <v>4</v>
      </c>
      <c r="B20" t="str">
        <f>'4'!A4</f>
        <v>Development of LAE Factor Using TWIA Commercial + Residential Experience</v>
      </c>
      <c r="C20" s="196"/>
      <c r="D20" t="str">
        <f>'4'!J1</f>
        <v>Exhibit 4</v>
      </c>
      <c r="E20" s="188"/>
      <c r="F20"/>
    </row>
    <row r="21" spans="1:6" x14ac:dyDescent="0.2">
      <c r="A21" s="193">
        <v>5</v>
      </c>
      <c r="B21" t="str">
        <f>'5'!A4</f>
        <v>Summary of Indicated Hurricane Loss &amp; LAE Ratios</v>
      </c>
      <c r="C21" s="196"/>
      <c r="D21" t="str">
        <f>'5'!H1</f>
        <v>Exhibit 5</v>
      </c>
      <c r="E21" s="194"/>
      <c r="F21" s="183"/>
    </row>
    <row r="22" spans="1:6" x14ac:dyDescent="0.2">
      <c r="A22" s="193">
        <v>6.1</v>
      </c>
      <c r="B22" t="str">
        <f>'6.1'!A4</f>
        <v>Industry Experience -- Commercial Extended Coverage</v>
      </c>
      <c r="C22" t="str">
        <f>'6.1'!A5</f>
        <v>Hurricane Years Only</v>
      </c>
      <c r="D22" t="str">
        <f>'6.1'!J1</f>
        <v>Exhibit 6</v>
      </c>
      <c r="E22" s="188" t="str">
        <f>'6.1'!J2</f>
        <v>Sheet 1</v>
      </c>
      <c r="F22"/>
    </row>
    <row r="23" spans="1:6" x14ac:dyDescent="0.2">
      <c r="A23" s="193">
        <v>6.2</v>
      </c>
      <c r="B23" t="str">
        <f>'6.2'!A4</f>
        <v>Industry Experience -- Commercial Extended Coverage</v>
      </c>
      <c r="C23" t="str">
        <f>'6.2'!A5</f>
        <v>Non-Hurricane Loss Ratio</v>
      </c>
      <c r="D23" t="str">
        <f>'6.2'!J1</f>
        <v>Exhibit 6</v>
      </c>
      <c r="E23" s="188" t="str">
        <f>'6.2'!J2</f>
        <v>Sheet 2</v>
      </c>
      <c r="F23"/>
    </row>
    <row r="24" spans="1:6" x14ac:dyDescent="0.2">
      <c r="A24" s="193">
        <v>6.3</v>
      </c>
      <c r="B24" t="str">
        <f>'6.3'!A4</f>
        <v>Industry Experience -- Commercial Extended Coverage</v>
      </c>
      <c r="C24" t="str">
        <f>'6.3'!A5</f>
        <v>Summary by Territory</v>
      </c>
      <c r="D24" t="str">
        <f>'6.3'!I1</f>
        <v>Exhibit 6</v>
      </c>
      <c r="E24" s="188" t="str">
        <f>'6.3'!I2</f>
        <v>Sheet 3</v>
      </c>
      <c r="F24"/>
    </row>
    <row r="25" spans="1:6" x14ac:dyDescent="0.2">
      <c r="A25" s="193">
        <v>6.4</v>
      </c>
      <c r="B25" t="str">
        <f>'6.4'!A4</f>
        <v>Industry Experience -- Commercial Extended Coverage</v>
      </c>
      <c r="C25" t="str">
        <f>'6.4'!A5</f>
        <v>Tier 1 -- Territory 8 (Galveston County)</v>
      </c>
      <c r="D25" t="str">
        <f>'6.4'!J1</f>
        <v>Exhibit 6</v>
      </c>
      <c r="E25" s="188" t="str">
        <f>'6.4'!J2</f>
        <v>Sheet 4</v>
      </c>
      <c r="F25"/>
    </row>
    <row r="26" spans="1:6" x14ac:dyDescent="0.2">
      <c r="A26" s="193">
        <v>6.5</v>
      </c>
      <c r="B26" t="str">
        <f>'6.5'!A4</f>
        <v>Industry Experience -- Commercial Extended Coverage</v>
      </c>
      <c r="C26" t="str">
        <f>'6.5'!A5</f>
        <v>Tier 1 -- Territory 9 (Nueces County)</v>
      </c>
      <c r="D26" t="str">
        <f>'6.5'!J1</f>
        <v>Exhibit 6</v>
      </c>
      <c r="E26" s="188" t="str">
        <f>'6.5'!J2</f>
        <v>Sheet 5</v>
      </c>
      <c r="F26"/>
    </row>
    <row r="27" spans="1:6" x14ac:dyDescent="0.2">
      <c r="A27" s="193">
        <v>6.6</v>
      </c>
      <c r="B27" t="str">
        <f>'6.6'!A4</f>
        <v>Industry Experience -- Commercial Extended Coverage</v>
      </c>
      <c r="C27" t="str">
        <f>'6.6'!A5</f>
        <v>Tier 1 -- Territory 10 (Other Tier 1)</v>
      </c>
      <c r="D27" t="str">
        <f>'6.6'!J1</f>
        <v>Exhibit 6</v>
      </c>
      <c r="E27" s="188" t="str">
        <f>'6.6'!J2</f>
        <v>Sheet 6</v>
      </c>
      <c r="F27"/>
    </row>
    <row r="28" spans="1:6" x14ac:dyDescent="0.2">
      <c r="A28" s="193">
        <v>6.7</v>
      </c>
      <c r="B28" t="str">
        <f>'6.7'!A4</f>
        <v>Industry Experience -- Commercial Extended Coverage</v>
      </c>
      <c r="C28" t="str">
        <f>'6.7'!A5</f>
        <v>Tier 2 (Territories 1 and 11)</v>
      </c>
      <c r="D28" t="str">
        <f>'6.7'!J1</f>
        <v>Exhibit 6</v>
      </c>
      <c r="E28" s="188" t="str">
        <f>'6.7'!J2</f>
        <v>Sheet 7</v>
      </c>
      <c r="F28"/>
    </row>
    <row r="29" spans="1:6" x14ac:dyDescent="0.2">
      <c r="A29" s="193">
        <v>7.1</v>
      </c>
      <c r="B29" t="str">
        <f>'7.1'!A4</f>
        <v>Hurricane Loss Ratio -- Verisk (AIR) Model</v>
      </c>
      <c r="C29" t="str">
        <f>'7.1'!A5</f>
        <v>Model Version: Verisk Touchstone 10.0 Tropical Cyclone (TC) and Severe Thunderstorm (ST)</v>
      </c>
      <c r="D29" t="str">
        <f>'7.1'!J1</f>
        <v>Exhibit 7</v>
      </c>
      <c r="E29" s="188" t="str">
        <f>'7.1'!J2</f>
        <v>Sheet 1</v>
      </c>
      <c r="F29"/>
    </row>
    <row r="30" spans="1:6" x14ac:dyDescent="0.2">
      <c r="A30" s="193">
        <v>7.2</v>
      </c>
      <c r="B30" t="str">
        <f>'7.2'!A4</f>
        <v>Hurricane Loss Ratio -- RMS Model</v>
      </c>
      <c r="C30" t="str">
        <f>'7.2'!A5</f>
        <v>Model Version: RMS RiskLink 23.0 Windstorm/Hurricane and Convective Storm (WS/CS)</v>
      </c>
      <c r="D30" t="str">
        <f>'7.2'!J1</f>
        <v>Exhibit 7</v>
      </c>
      <c r="E30" s="188" t="str">
        <f>'7.2'!J2</f>
        <v>Sheet 2</v>
      </c>
      <c r="F30"/>
    </row>
    <row r="31" spans="1:6" x14ac:dyDescent="0.2">
      <c r="A31" s="193">
        <v>7.3</v>
      </c>
      <c r="B31" t="str">
        <f>'7.3'!A4</f>
        <v>Hurricane Loss Ratio -- Impact Forecasting Model</v>
      </c>
      <c r="C31" t="str">
        <f>'7.3'!A5</f>
        <v>Model Version: Impact Forecasting ELEMENTS 18.0 Atlantic Tropical Cyclone and Severe Convective Storm</v>
      </c>
      <c r="D31" t="str">
        <f>'7.3'!J1</f>
        <v>Exhibit 7</v>
      </c>
      <c r="E31" s="188" t="str">
        <f>'7.3'!J2</f>
        <v>Sheet 3</v>
      </c>
      <c r="F31"/>
    </row>
    <row r="32" spans="1:6" x14ac:dyDescent="0.2">
      <c r="A32" s="193">
        <v>7.4</v>
      </c>
      <c r="B32" t="str">
        <f>'7.4'!A4</f>
        <v>Hurricane Loss Ratio -- CoreLogic RQE Model</v>
      </c>
      <c r="C32" t="str">
        <f>'7.4'!A5</f>
        <v>Model Version: CoreLogic Risk Quantification &amp; Engineering (RQE) v23 North Atlantic Hurricane (HU) and Severe Convective Storm (SCS)</v>
      </c>
      <c r="D32" t="str">
        <f>'7.4'!J1</f>
        <v>Exhibit 7</v>
      </c>
      <c r="E32" s="188" t="str">
        <f>'7.4'!J2</f>
        <v>Sheet 4</v>
      </c>
      <c r="F32"/>
    </row>
    <row r="33" spans="1:6" x14ac:dyDescent="0.2">
      <c r="A33" s="193">
        <v>8</v>
      </c>
      <c r="B33" t="str">
        <f>'8'!A4</f>
        <v>Texas Hurricanes 1850 - 2023</v>
      </c>
      <c r="D33" t="str">
        <f>'8'!J1</f>
        <v>Exhibit 8</v>
      </c>
      <c r="E33" s="194"/>
      <c r="F33" s="183"/>
    </row>
    <row r="34" spans="1:6" x14ac:dyDescent="0.2">
      <c r="A34" s="193">
        <v>9.1</v>
      </c>
      <c r="B34" t="str">
        <f>'9.1'!A4</f>
        <v>Calculation of Earned Premium at Present Rate Level</v>
      </c>
      <c r="D34" t="str">
        <f>'9.1'!J1</f>
        <v>Exhibit 9</v>
      </c>
      <c r="E34" s="188" t="str">
        <f>'9.1'!J2</f>
        <v>Sheet 1</v>
      </c>
      <c r="F34"/>
    </row>
    <row r="35" spans="1:6" x14ac:dyDescent="0.2">
      <c r="A35" s="193">
        <v>9.1999999999999993</v>
      </c>
      <c r="B35" t="str">
        <f>'9.2'!A4</f>
        <v>Calculation of On-Level Premium Factors</v>
      </c>
      <c r="D35" t="str">
        <f>'9.2'!O1</f>
        <v>Exhibit 9</v>
      </c>
      <c r="E35" s="188" t="str">
        <f>'9.2'!O2</f>
        <v>Sheet 2</v>
      </c>
      <c r="F35"/>
    </row>
    <row r="36" spans="1:6" x14ac:dyDescent="0.2">
      <c r="A36" s="193">
        <v>9.3000000000000007</v>
      </c>
      <c r="B36" t="str">
        <f>'9.3'!A4</f>
        <v>History of Rate Level Changes</v>
      </c>
      <c r="D36" t="str">
        <f>'9.3'!K1</f>
        <v>Exhibit 9</v>
      </c>
      <c r="E36" s="188" t="str">
        <f>'9.3'!K2</f>
        <v>Sheet 3</v>
      </c>
      <c r="F36"/>
    </row>
    <row r="37" spans="1:6" x14ac:dyDescent="0.2">
      <c r="A37" s="193">
        <v>10.1</v>
      </c>
      <c r="B37" t="str">
        <f>'10.1'!A4</f>
        <v>Expenses and Permissible Loss &amp; LAE Ratios</v>
      </c>
      <c r="D37" t="str">
        <f>'10.1'!J1</f>
        <v>Exhibit 10</v>
      </c>
      <c r="E37" s="188" t="str">
        <f>'10.1'!J2</f>
        <v>Sheet 1</v>
      </c>
      <c r="F37"/>
    </row>
    <row r="38" spans="1:6" x14ac:dyDescent="0.2">
      <c r="A38" s="193">
        <v>10.199999999999999</v>
      </c>
      <c r="B38" t="str">
        <f>'10.2'!A4</f>
        <v>Development of Reinsurer Expense</v>
      </c>
      <c r="C38" t="str">
        <f>'10.2'!A5</f>
        <v>Using Average of Verisk and  RMS Hurricane Models</v>
      </c>
      <c r="D38" t="str">
        <f>'10.2'!H1</f>
        <v>Exhibit 10</v>
      </c>
      <c r="E38" s="188" t="str">
        <f>'10.2'!H2</f>
        <v>Sheet 2</v>
      </c>
      <c r="F38"/>
    </row>
    <row r="39" spans="1:6" x14ac:dyDescent="0.2">
      <c r="A39" s="193">
        <v>11.1</v>
      </c>
      <c r="B39" t="str">
        <f>'11.1'!A4</f>
        <v>Reconciliation of Paid Loss Data to Schedule P</v>
      </c>
      <c r="D39" t="str">
        <f>'11.1'!I1</f>
        <v>Exhibit 11</v>
      </c>
      <c r="E39" s="188" t="str">
        <f>'11.1'!I2</f>
        <v>Sheet 1</v>
      </c>
      <c r="F39" s="183"/>
    </row>
    <row r="40" spans="1:6" ht="12" thickBot="1" x14ac:dyDescent="0.25">
      <c r="A40" s="197">
        <v>11.2</v>
      </c>
      <c r="B40" s="198" t="str">
        <f>'11.2'!A4</f>
        <v>Reconciliation of Premium Data to Annual Statement</v>
      </c>
      <c r="C40" s="198"/>
      <c r="D40" s="198" t="str">
        <f>'11.2'!J1</f>
        <v>Exhibit 11</v>
      </c>
      <c r="E40" s="202" t="str">
        <f>'11.2'!J2</f>
        <v>Sheet 2</v>
      </c>
    </row>
  </sheetData>
  <phoneticPr fontId="0" type="noConversion"/>
  <pageMargins left="0.5" right="0.5" top="0.5" bottom="0.5" header="0.5" footer="0.5"/>
  <pageSetup scale="77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00FF00"/>
  </sheetPr>
  <dimension ref="A1:P71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68</v>
      </c>
      <c r="K1" s="1"/>
      <c r="N1" t="s">
        <v>447</v>
      </c>
      <c r="O1" t="s">
        <v>467</v>
      </c>
    </row>
    <row r="2" spans="1:15" x14ac:dyDescent="0.2">
      <c r="A2" s="8" t="str">
        <f>'1'!$A$2</f>
        <v>Commercial Property - Wind &amp; Hail</v>
      </c>
      <c r="B2" s="12"/>
      <c r="J2" s="7" t="s">
        <v>90</v>
      </c>
      <c r="K2" s="2"/>
      <c r="N2" t="s">
        <v>447</v>
      </c>
      <c r="O2" t="s">
        <v>473</v>
      </c>
    </row>
    <row r="3" spans="1:15" x14ac:dyDescent="0.2">
      <c r="A3" s="8" t="str">
        <f>'1'!$A$3</f>
        <v>Rate Level Review</v>
      </c>
      <c r="B3" s="12"/>
      <c r="K3" s="2"/>
      <c r="N3" t="s">
        <v>447</v>
      </c>
      <c r="O3" t="s">
        <v>476</v>
      </c>
    </row>
    <row r="4" spans="1:15" x14ac:dyDescent="0.2">
      <c r="A4" t="s">
        <v>205</v>
      </c>
      <c r="B4" s="12"/>
      <c r="K4" s="2"/>
    </row>
    <row r="5" spans="1:15" x14ac:dyDescent="0.2">
      <c r="A5" t="s">
        <v>38</v>
      </c>
      <c r="B5" s="12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5" ht="12" thickTop="1" x14ac:dyDescent="0.2">
      <c r="K8" s="2"/>
    </row>
    <row r="9" spans="1:15" x14ac:dyDescent="0.2">
      <c r="A9" t="s">
        <v>40</v>
      </c>
      <c r="C9" s="134"/>
      <c r="D9" s="11" t="s">
        <v>79</v>
      </c>
      <c r="E9" s="11" t="s">
        <v>207</v>
      </c>
      <c r="F9" s="11" t="s">
        <v>79</v>
      </c>
      <c r="G9" s="11"/>
      <c r="H9" s="11"/>
      <c r="K9" s="2"/>
      <c r="L9" s="24"/>
    </row>
    <row r="10" spans="1:15" x14ac:dyDescent="0.2">
      <c r="A10" t="s">
        <v>41</v>
      </c>
      <c r="C10" s="11" t="s">
        <v>79</v>
      </c>
      <c r="D10" s="11" t="s">
        <v>80</v>
      </c>
      <c r="E10" s="11" t="s">
        <v>208</v>
      </c>
      <c r="F10" s="11" t="s">
        <v>209</v>
      </c>
      <c r="G10" s="11" t="s">
        <v>59</v>
      </c>
      <c r="H10" s="11" t="s">
        <v>59</v>
      </c>
      <c r="K10" s="2"/>
      <c r="L10" s="12"/>
    </row>
    <row r="11" spans="1:15" x14ac:dyDescent="0.2">
      <c r="A11" s="9" t="s">
        <v>26</v>
      </c>
      <c r="B11" s="9"/>
      <c r="C11" s="144" t="s">
        <v>80</v>
      </c>
      <c r="D11" s="144" t="s">
        <v>206</v>
      </c>
      <c r="E11" s="144" t="s">
        <v>89</v>
      </c>
      <c r="F11" s="144" t="s">
        <v>210</v>
      </c>
      <c r="G11" s="144" t="s">
        <v>33</v>
      </c>
      <c r="H11" s="144" t="s">
        <v>51</v>
      </c>
      <c r="K11" s="2"/>
      <c r="L11" s="36"/>
    </row>
    <row r="12" spans="1:15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5" x14ac:dyDescent="0.2">
      <c r="K13" s="2"/>
    </row>
    <row r="14" spans="1:15" x14ac:dyDescent="0.2">
      <c r="A14" s="60" t="s">
        <v>381</v>
      </c>
      <c r="C14" s="31">
        <v>3769988</v>
      </c>
      <c r="D14" s="31">
        <v>4139464</v>
      </c>
      <c r="E14" s="29">
        <f>'6.4'!E14</f>
        <v>3.8293316891072973</v>
      </c>
      <c r="F14" s="26">
        <f>ROUND(D14*$E$23,0)</f>
        <v>11720839</v>
      </c>
      <c r="G14" s="31">
        <v>5242728</v>
      </c>
      <c r="H14" s="21">
        <f t="shared" ref="H14:H51" si="1">ROUND(G14/F14,3)</f>
        <v>0.44700000000000001</v>
      </c>
      <c r="I14" s="21"/>
      <c r="K14" s="2"/>
      <c r="L14" s="29"/>
    </row>
    <row r="15" spans="1:15" x14ac:dyDescent="0.2">
      <c r="A15" t="s">
        <v>382</v>
      </c>
      <c r="C15" s="31">
        <v>4835650</v>
      </c>
      <c r="D15" s="31">
        <v>5883059</v>
      </c>
      <c r="E15" s="29">
        <f>'6.4'!E15</f>
        <v>3.5112843511426886</v>
      </c>
      <c r="F15" s="26">
        <f>ROUND(D15*$E$23,0)</f>
        <v>16657806</v>
      </c>
      <c r="G15" s="31">
        <v>1759233</v>
      </c>
      <c r="H15" s="21">
        <f t="shared" si="1"/>
        <v>0.106</v>
      </c>
      <c r="I15" s="21"/>
      <c r="K15" s="2"/>
    </row>
    <row r="16" spans="1:15" x14ac:dyDescent="0.2">
      <c r="A16" t="s">
        <v>383</v>
      </c>
      <c r="C16" s="31">
        <v>3637366</v>
      </c>
      <c r="D16" s="31">
        <v>3997227</v>
      </c>
      <c r="E16" s="29">
        <f>'6.4'!E16</f>
        <v>2.8789383840739684</v>
      </c>
      <c r="F16" s="26">
        <f t="shared" ref="F16:F21" si="2">ROUND(D16*$E$23,0)</f>
        <v>11318097</v>
      </c>
      <c r="G16" s="31">
        <v>534724</v>
      </c>
      <c r="H16" s="21">
        <f t="shared" si="1"/>
        <v>4.7E-2</v>
      </c>
      <c r="I16" s="21"/>
      <c r="K16" s="2"/>
    </row>
    <row r="17" spans="1:16" x14ac:dyDescent="0.2">
      <c r="A17" t="s">
        <v>384</v>
      </c>
      <c r="C17" s="31">
        <v>4787352</v>
      </c>
      <c r="D17" s="31">
        <v>3948102</v>
      </c>
      <c r="E17" s="29">
        <f>'6.4'!E17</f>
        <v>2.0498785892003166</v>
      </c>
      <c r="F17" s="26">
        <f t="shared" si="2"/>
        <v>11179000</v>
      </c>
      <c r="G17" s="31">
        <v>1943819</v>
      </c>
      <c r="H17" s="21">
        <f t="shared" si="1"/>
        <v>0.17399999999999999</v>
      </c>
      <c r="I17" s="21"/>
      <c r="K17" s="2"/>
      <c r="O17" s="22"/>
      <c r="P17" s="29"/>
    </row>
    <row r="18" spans="1:16" x14ac:dyDescent="0.2">
      <c r="A18" t="s">
        <v>385</v>
      </c>
      <c r="C18" s="31">
        <v>5996981</v>
      </c>
      <c r="D18" s="31">
        <v>5352970</v>
      </c>
      <c r="E18" s="29">
        <f>'6.4'!E18</f>
        <v>1.9936436916734259</v>
      </c>
      <c r="F18" s="26">
        <f t="shared" si="2"/>
        <v>15156866</v>
      </c>
      <c r="G18" s="31">
        <v>338938</v>
      </c>
      <c r="H18" s="21">
        <f t="shared" si="1"/>
        <v>2.1999999999999999E-2</v>
      </c>
      <c r="I18" s="21"/>
      <c r="K18" s="2"/>
      <c r="O18" s="22"/>
      <c r="P18" s="29"/>
    </row>
    <row r="19" spans="1:16" x14ac:dyDescent="0.2">
      <c r="A19" t="s">
        <v>386</v>
      </c>
      <c r="C19" s="31">
        <v>5872305</v>
      </c>
      <c r="D19" s="31">
        <v>5768621</v>
      </c>
      <c r="E19" s="29">
        <f>'6.4'!E19</f>
        <v>2.1473124836449715</v>
      </c>
      <c r="F19" s="26">
        <f t="shared" si="2"/>
        <v>16333776</v>
      </c>
      <c r="G19" s="31">
        <v>1442599</v>
      </c>
      <c r="H19" s="21">
        <f t="shared" si="1"/>
        <v>8.7999999999999995E-2</v>
      </c>
      <c r="I19" s="21"/>
      <c r="K19" s="2"/>
      <c r="O19" s="22"/>
      <c r="P19" s="29"/>
    </row>
    <row r="20" spans="1:16" x14ac:dyDescent="0.2">
      <c r="A20" t="s">
        <v>387</v>
      </c>
      <c r="C20" s="31">
        <v>5125436</v>
      </c>
      <c r="D20" s="31">
        <v>5918163</v>
      </c>
      <c r="E20" s="29">
        <f>'6.4'!E20</f>
        <v>2.385265617366465</v>
      </c>
      <c r="F20" s="26">
        <f t="shared" si="2"/>
        <v>16757203</v>
      </c>
      <c r="G20" s="31">
        <v>349413</v>
      </c>
      <c r="H20" s="21">
        <f t="shared" si="1"/>
        <v>2.1000000000000001E-2</v>
      </c>
      <c r="I20" s="21"/>
      <c r="K20" s="2"/>
      <c r="O20" s="22"/>
      <c r="P20" s="29"/>
    </row>
    <row r="21" spans="1:16" x14ac:dyDescent="0.2">
      <c r="A21" t="s">
        <v>388</v>
      </c>
      <c r="C21" s="31">
        <v>3842130</v>
      </c>
      <c r="D21" s="31">
        <v>4624825</v>
      </c>
      <c r="E21" s="29">
        <f>'6.4'!E21</f>
        <v>2.5056768649457406</v>
      </c>
      <c r="F21" s="26">
        <f t="shared" si="2"/>
        <v>13095133</v>
      </c>
      <c r="G21" s="31">
        <v>1263817</v>
      </c>
      <c r="H21" s="21">
        <f t="shared" si="1"/>
        <v>9.7000000000000003E-2</v>
      </c>
      <c r="I21" s="21"/>
      <c r="K21" s="2"/>
      <c r="O21" s="22"/>
      <c r="P21" s="29"/>
    </row>
    <row r="22" spans="1:16" x14ac:dyDescent="0.2">
      <c r="A22" t="s">
        <v>389</v>
      </c>
      <c r="C22" s="31">
        <v>4253902</v>
      </c>
      <c r="D22" s="31">
        <v>4765878</v>
      </c>
      <c r="E22" s="29">
        <f>'6.4'!E22</f>
        <v>2.4905762618235174</v>
      </c>
      <c r="F22" s="26">
        <f>ROUND(D22*$E$23,0)</f>
        <v>13494522</v>
      </c>
      <c r="G22" s="31">
        <v>14752702</v>
      </c>
      <c r="H22" s="21">
        <f t="shared" si="1"/>
        <v>1.093</v>
      </c>
      <c r="I22" s="21"/>
      <c r="K22" s="2"/>
      <c r="O22" s="22"/>
      <c r="P22" s="29"/>
    </row>
    <row r="23" spans="1:16" x14ac:dyDescent="0.2">
      <c r="A23" t="s">
        <v>390</v>
      </c>
      <c r="B23" s="12"/>
      <c r="C23" s="31">
        <v>4034147</v>
      </c>
      <c r="D23" s="31">
        <v>4187015</v>
      </c>
      <c r="E23" s="29">
        <f>'6.4'!E23</f>
        <v>2.8314871857113864</v>
      </c>
      <c r="F23" s="26">
        <f t="shared" ref="F23" si="3">ROUND(D23*E23,0)</f>
        <v>11855479</v>
      </c>
      <c r="G23" s="31">
        <v>276158</v>
      </c>
      <c r="H23" s="21">
        <f t="shared" si="1"/>
        <v>2.3E-2</v>
      </c>
      <c r="I23" s="21"/>
      <c r="K23" s="2"/>
      <c r="O23" s="22"/>
      <c r="P23" s="29"/>
    </row>
    <row r="24" spans="1:16" x14ac:dyDescent="0.2">
      <c r="A24" t="s">
        <v>367</v>
      </c>
      <c r="B24" s="12"/>
      <c r="C24" s="31">
        <v>4540606</v>
      </c>
      <c r="D24" s="31"/>
      <c r="E24" s="29">
        <f>'6.4'!E24</f>
        <v>3.2531461484671529</v>
      </c>
      <c r="F24" s="26">
        <f>ROUND(C24*E24,0)</f>
        <v>14771255</v>
      </c>
      <c r="G24" s="31">
        <v>245603</v>
      </c>
      <c r="H24" s="21">
        <f t="shared" si="1"/>
        <v>1.7000000000000001E-2</v>
      </c>
      <c r="I24" s="21"/>
      <c r="K24" s="2"/>
      <c r="O24" s="22"/>
      <c r="P24" s="29"/>
    </row>
    <row r="25" spans="1:16" x14ac:dyDescent="0.2">
      <c r="A25" t="s">
        <v>368</v>
      </c>
      <c r="B25" s="12"/>
      <c r="C25" s="31">
        <v>5145260</v>
      </c>
      <c r="D25" s="31"/>
      <c r="E25" s="29">
        <f>'6.4'!E25</f>
        <v>3.2531461484671529</v>
      </c>
      <c r="F25" s="26">
        <f>ROUND(C25*E25,0)</f>
        <v>16738283</v>
      </c>
      <c r="G25" s="31">
        <v>3130886</v>
      </c>
      <c r="H25" s="21">
        <f t="shared" si="1"/>
        <v>0.187</v>
      </c>
      <c r="I25" s="21"/>
      <c r="K25" s="2"/>
      <c r="O25" s="22"/>
      <c r="P25" s="29"/>
    </row>
    <row r="26" spans="1:16" x14ac:dyDescent="0.2">
      <c r="A26" t="s">
        <v>369</v>
      </c>
      <c r="C26" s="31">
        <v>9324050</v>
      </c>
      <c r="D26" s="31"/>
      <c r="E26" s="29">
        <f>'6.4'!E26</f>
        <v>3.2531461484671529</v>
      </c>
      <c r="F26" s="26">
        <f>ROUND(C26*E26,0)</f>
        <v>30332497</v>
      </c>
      <c r="G26" s="31">
        <v>10852486</v>
      </c>
      <c r="H26" s="21">
        <f t="shared" si="1"/>
        <v>0.35799999999999998</v>
      </c>
      <c r="I26" s="21"/>
      <c r="K26" s="2"/>
      <c r="O26" s="22"/>
      <c r="P26" s="29"/>
    </row>
    <row r="27" spans="1:16" x14ac:dyDescent="0.2">
      <c r="A27" t="s">
        <v>370</v>
      </c>
      <c r="C27" s="31">
        <v>15331047</v>
      </c>
      <c r="D27" s="31"/>
      <c r="E27" s="29">
        <f>'6.4'!E27</f>
        <v>3.2531461484671529</v>
      </c>
      <c r="F27" s="26">
        <f t="shared" ref="F27:F46" si="4">ROUND(C27*E27,0)</f>
        <v>49874137</v>
      </c>
      <c r="G27" s="31">
        <v>1478175</v>
      </c>
      <c r="H27" s="21">
        <f t="shared" si="1"/>
        <v>0.03</v>
      </c>
      <c r="I27" s="21"/>
      <c r="K27" s="2"/>
      <c r="O27" s="22"/>
      <c r="P27" s="29"/>
    </row>
    <row r="28" spans="1:16" x14ac:dyDescent="0.2">
      <c r="A28" t="s">
        <v>371</v>
      </c>
      <c r="C28" s="31">
        <v>17116368</v>
      </c>
      <c r="E28" s="29">
        <f>'6.4'!E28</f>
        <v>3.2531461484671529</v>
      </c>
      <c r="F28" s="26">
        <f t="shared" si="4"/>
        <v>55682047</v>
      </c>
      <c r="G28" s="31">
        <v>1911482</v>
      </c>
      <c r="H28" s="21">
        <f t="shared" si="1"/>
        <v>3.4000000000000002E-2</v>
      </c>
      <c r="I28" s="21"/>
      <c r="K28" s="2"/>
      <c r="O28" s="22"/>
      <c r="P28" s="29"/>
    </row>
    <row r="29" spans="1:16" x14ac:dyDescent="0.2">
      <c r="A29" t="s">
        <v>372</v>
      </c>
      <c r="C29" s="31">
        <v>17623413</v>
      </c>
      <c r="D29" s="31"/>
      <c r="E29" s="29">
        <f>'6.4'!E29</f>
        <v>3.3026864451443179</v>
      </c>
      <c r="F29" s="26">
        <f t="shared" si="4"/>
        <v>58204607</v>
      </c>
      <c r="G29" s="31">
        <v>6340723</v>
      </c>
      <c r="H29" s="21">
        <f t="shared" si="1"/>
        <v>0.109</v>
      </c>
      <c r="I29" s="21"/>
      <c r="K29" s="2"/>
      <c r="O29" s="22"/>
      <c r="P29" s="29"/>
    </row>
    <row r="30" spans="1:16" x14ac:dyDescent="0.2">
      <c r="A30" t="s">
        <v>373</v>
      </c>
      <c r="C30" s="31">
        <v>15019386</v>
      </c>
      <c r="D30" s="31"/>
      <c r="E30" s="29">
        <f>'6.4'!E30</f>
        <v>3.3537589159455186</v>
      </c>
      <c r="F30" s="26">
        <f t="shared" si="4"/>
        <v>50371400</v>
      </c>
      <c r="G30" s="31">
        <v>5614569</v>
      </c>
      <c r="H30" s="21">
        <f t="shared" si="1"/>
        <v>0.111</v>
      </c>
      <c r="I30" s="21"/>
      <c r="K30" s="2"/>
      <c r="O30" s="22"/>
      <c r="P30" s="29"/>
    </row>
    <row r="31" spans="1:16" x14ac:dyDescent="0.2">
      <c r="A31" t="s">
        <v>374</v>
      </c>
      <c r="C31" s="31">
        <v>11756138</v>
      </c>
      <c r="D31" s="31"/>
      <c r="E31" s="29">
        <f>'6.4'!E31</f>
        <v>3.209338675545951</v>
      </c>
      <c r="F31" s="26">
        <f t="shared" si="4"/>
        <v>37729428</v>
      </c>
      <c r="G31" s="31">
        <v>4969254</v>
      </c>
      <c r="H31" s="21">
        <f t="shared" si="1"/>
        <v>0.13200000000000001</v>
      </c>
      <c r="I31" s="21"/>
      <c r="K31" s="2"/>
      <c r="L31" t="s">
        <v>211</v>
      </c>
      <c r="O31" s="22"/>
      <c r="P31" s="29"/>
    </row>
    <row r="32" spans="1:16" x14ac:dyDescent="0.2">
      <c r="A32" t="s">
        <v>375</v>
      </c>
      <c r="C32" s="31">
        <v>11140104</v>
      </c>
      <c r="D32" s="31"/>
      <c r="E32" s="29">
        <f>'6.4'!E32</f>
        <v>3.0165127864233838</v>
      </c>
      <c r="F32" s="26">
        <f t="shared" si="4"/>
        <v>33604266</v>
      </c>
      <c r="G32" s="31">
        <v>1824700</v>
      </c>
      <c r="H32" s="21">
        <f t="shared" si="1"/>
        <v>5.3999999999999999E-2</v>
      </c>
      <c r="I32" s="21"/>
      <c r="K32" s="2"/>
      <c r="L32" s="68">
        <f>[2]ISO!$Q$48</f>
        <v>0.62674912866661359</v>
      </c>
      <c r="O32" s="22"/>
      <c r="P32" s="29"/>
    </row>
    <row r="33" spans="1:16" x14ac:dyDescent="0.2">
      <c r="A33" t="s">
        <v>376</v>
      </c>
      <c r="C33" s="31">
        <v>20528832</v>
      </c>
      <c r="D33" s="31"/>
      <c r="E33" s="29">
        <f>'6.4'!E33</f>
        <v>2.8863443172156207</v>
      </c>
      <c r="F33" s="26">
        <f t="shared" si="4"/>
        <v>59253278</v>
      </c>
      <c r="G33" s="31">
        <v>4053342</v>
      </c>
      <c r="H33" s="21">
        <f t="shared" si="1"/>
        <v>6.8000000000000005E-2</v>
      </c>
      <c r="I33" s="21"/>
      <c r="K33" s="2"/>
      <c r="O33" s="22"/>
      <c r="P33" s="29"/>
    </row>
    <row r="34" spans="1:16" x14ac:dyDescent="0.2">
      <c r="A34" t="s">
        <v>377</v>
      </c>
      <c r="C34" s="108">
        <v>23885668</v>
      </c>
      <c r="D34" s="31"/>
      <c r="E34" s="29">
        <f>'6.4'!E34</f>
        <v>2.6891459199349992</v>
      </c>
      <c r="F34" s="26">
        <f t="shared" si="4"/>
        <v>64232047</v>
      </c>
      <c r="G34" s="108">
        <v>29908218</v>
      </c>
      <c r="H34" s="21">
        <f t="shared" si="1"/>
        <v>0.46600000000000003</v>
      </c>
      <c r="I34" s="37"/>
      <c r="K34" s="2"/>
      <c r="O34" s="22"/>
      <c r="P34" s="29"/>
    </row>
    <row r="35" spans="1:16" x14ac:dyDescent="0.2">
      <c r="A35" t="s">
        <v>378</v>
      </c>
      <c r="B35" s="22"/>
      <c r="C35" s="108">
        <v>31412192</v>
      </c>
      <c r="D35" s="41"/>
      <c r="E35" s="29">
        <f>'6.4'!E35</f>
        <v>2.448174392695059</v>
      </c>
      <c r="F35" s="26">
        <f t="shared" si="4"/>
        <v>76902524</v>
      </c>
      <c r="G35" s="108">
        <v>1462655</v>
      </c>
      <c r="H35" s="21">
        <f t="shared" si="1"/>
        <v>1.9E-2</v>
      </c>
      <c r="I35" s="37"/>
      <c r="K35" s="2"/>
      <c r="O35" s="22"/>
      <c r="P35" s="29"/>
    </row>
    <row r="36" spans="1:16" x14ac:dyDescent="0.2">
      <c r="A36" t="s">
        <v>292</v>
      </c>
      <c r="C36" s="108">
        <v>34104704</v>
      </c>
      <c r="E36" s="29">
        <f>'6.4'!E36</f>
        <v>2.2196457159722458</v>
      </c>
      <c r="F36" s="26">
        <f>ROUND(C36*E36,0)</f>
        <v>75700360</v>
      </c>
      <c r="G36" s="108">
        <v>272418664</v>
      </c>
      <c r="H36" s="21">
        <f t="shared" si="1"/>
        <v>3.5990000000000002</v>
      </c>
      <c r="I36" s="37"/>
      <c r="K36" s="2"/>
      <c r="O36" s="22"/>
      <c r="P36" s="29"/>
    </row>
    <row r="37" spans="1:16" x14ac:dyDescent="0.2">
      <c r="A37" t="s">
        <v>356</v>
      </c>
      <c r="C37" s="108">
        <v>46246638</v>
      </c>
      <c r="E37" s="29">
        <f>'6.4'!E37</f>
        <v>2.0368887779518374</v>
      </c>
      <c r="F37" s="26">
        <f t="shared" si="4"/>
        <v>94199258</v>
      </c>
      <c r="G37" s="108">
        <v>2315133</v>
      </c>
      <c r="H37" s="21">
        <f t="shared" si="1"/>
        <v>2.5000000000000001E-2</v>
      </c>
      <c r="I37" s="37"/>
      <c r="K37" s="2"/>
      <c r="O37" s="22"/>
      <c r="P37" s="29"/>
    </row>
    <row r="38" spans="1:16" x14ac:dyDescent="0.2">
      <c r="A38" t="s">
        <v>334</v>
      </c>
      <c r="C38" s="108">
        <v>71922575</v>
      </c>
      <c r="E38" s="29">
        <f>'6.4'!E38</f>
        <v>1.8570470989540067</v>
      </c>
      <c r="F38" s="26">
        <f t="shared" si="4"/>
        <v>133563609</v>
      </c>
      <c r="G38" s="108">
        <v>7479422</v>
      </c>
      <c r="H38" s="21">
        <f t="shared" si="1"/>
        <v>5.6000000000000001E-2</v>
      </c>
      <c r="I38" s="37"/>
      <c r="K38" s="2"/>
      <c r="O38" s="22"/>
      <c r="P38" s="29"/>
    </row>
    <row r="39" spans="1:16" x14ac:dyDescent="0.2">
      <c r="A39" t="s">
        <v>339</v>
      </c>
      <c r="C39" s="108">
        <v>66558177</v>
      </c>
      <c r="E39" s="29">
        <f>'6.4'!E39</f>
        <v>1.7641482522914038</v>
      </c>
      <c r="F39" s="26">
        <f t="shared" si="4"/>
        <v>117418492</v>
      </c>
      <c r="G39" s="108">
        <v>538764477</v>
      </c>
      <c r="H39" s="21">
        <f>ROUND(G39/F39,3)</f>
        <v>4.5880000000000001</v>
      </c>
      <c r="I39" s="37"/>
      <c r="K39" s="2"/>
      <c r="O39" s="22"/>
      <c r="P39" s="29"/>
    </row>
    <row r="40" spans="1:16" x14ac:dyDescent="0.2">
      <c r="A40" t="s">
        <v>357</v>
      </c>
      <c r="C40" s="108">
        <v>64583344</v>
      </c>
      <c r="E40" s="29">
        <f>'6.4'!E40</f>
        <v>1.5997647448930246</v>
      </c>
      <c r="F40" s="26">
        <f t="shared" si="4"/>
        <v>103318157</v>
      </c>
      <c r="G40" s="108">
        <v>1576316</v>
      </c>
      <c r="H40" s="21">
        <f t="shared" si="1"/>
        <v>1.4999999999999999E-2</v>
      </c>
      <c r="K40" s="2"/>
      <c r="O40" s="22"/>
      <c r="P40" s="29"/>
    </row>
    <row r="41" spans="1:16" x14ac:dyDescent="0.2">
      <c r="A41" t="s">
        <v>358</v>
      </c>
      <c r="C41" s="108">
        <v>63606679</v>
      </c>
      <c r="E41" s="29">
        <f>'6.4'!E41</f>
        <v>1.4780006228698483</v>
      </c>
      <c r="F41" s="26">
        <f t="shared" si="4"/>
        <v>94010711</v>
      </c>
      <c r="G41" s="108">
        <v>5423427</v>
      </c>
      <c r="H41" s="21">
        <f t="shared" si="1"/>
        <v>5.8000000000000003E-2</v>
      </c>
      <c r="K41" s="2"/>
      <c r="O41" s="22"/>
      <c r="P41" s="29"/>
    </row>
    <row r="42" spans="1:16" x14ac:dyDescent="0.2">
      <c r="A42" t="s">
        <v>361</v>
      </c>
      <c r="C42" s="108">
        <v>63551427</v>
      </c>
      <c r="E42" s="29">
        <f>'6.4'!E42</f>
        <v>1.4430316100910405</v>
      </c>
      <c r="F42" s="26">
        <f>ROUND(C42*E42,0)</f>
        <v>91706718</v>
      </c>
      <c r="G42" s="108">
        <v>16247025</v>
      </c>
      <c r="H42" s="21">
        <f t="shared" si="1"/>
        <v>0.17699999999999999</v>
      </c>
      <c r="I42" s="37"/>
      <c r="K42" s="2"/>
      <c r="O42" s="22"/>
      <c r="P42" s="29"/>
    </row>
    <row r="43" spans="1:16" x14ac:dyDescent="0.2">
      <c r="A43" t="s">
        <v>379</v>
      </c>
      <c r="C43" s="108">
        <v>68482322</v>
      </c>
      <c r="E43" s="29">
        <f>'6.4'!E43</f>
        <v>1.3723433115836108</v>
      </c>
      <c r="F43" s="26">
        <f t="shared" si="4"/>
        <v>93981257</v>
      </c>
      <c r="G43" s="108">
        <v>13608787</v>
      </c>
      <c r="H43" s="21">
        <f t="shared" si="1"/>
        <v>0.14499999999999999</v>
      </c>
      <c r="K43" s="2"/>
      <c r="O43" s="22"/>
      <c r="P43" s="29"/>
    </row>
    <row r="44" spans="1:16" x14ac:dyDescent="0.2">
      <c r="A44" t="s">
        <v>380</v>
      </c>
      <c r="C44" s="108">
        <v>71237559</v>
      </c>
      <c r="E44" s="29">
        <f>'6.4'!E44</f>
        <v>1.3075797103216005</v>
      </c>
      <c r="F44" s="26">
        <f t="shared" si="4"/>
        <v>93148787</v>
      </c>
      <c r="G44" s="108">
        <v>882597</v>
      </c>
      <c r="H44" s="21">
        <f t="shared" si="1"/>
        <v>8.9999999999999993E-3</v>
      </c>
      <c r="K44" s="2"/>
      <c r="L44" t="s">
        <v>214</v>
      </c>
      <c r="M44" t="s">
        <v>215</v>
      </c>
      <c r="O44" s="22"/>
      <c r="P44" s="29"/>
    </row>
    <row r="45" spans="1:16" x14ac:dyDescent="0.2">
      <c r="A45" t="s">
        <v>401</v>
      </c>
      <c r="C45" s="59">
        <f>[2]ISO!Q35</f>
        <v>68174178</v>
      </c>
      <c r="E45" s="29">
        <f>'6.4'!E45</f>
        <v>1.2467307484438648</v>
      </c>
      <c r="F45" s="26">
        <f t="shared" si="4"/>
        <v>84994844</v>
      </c>
      <c r="G45" s="59">
        <f>[2]ISO!V35</f>
        <v>996584</v>
      </c>
      <c r="H45" s="21">
        <f t="shared" si="1"/>
        <v>1.2E-2</v>
      </c>
      <c r="K45" s="2"/>
      <c r="L45" s="36">
        <f>'6.4'!L48</f>
        <v>34607</v>
      </c>
      <c r="M45" s="36">
        <f>'6.4'!M48</f>
        <v>36525</v>
      </c>
      <c r="N45" t="s">
        <v>216</v>
      </c>
      <c r="O45" s="22"/>
      <c r="P45" s="29"/>
    </row>
    <row r="46" spans="1:16" x14ac:dyDescent="0.2">
      <c r="A46" t="s">
        <v>402</v>
      </c>
      <c r="C46" s="59">
        <f>[2]ISO!Q36</f>
        <v>62527205</v>
      </c>
      <c r="E46" s="29">
        <f>'6.4'!E46</f>
        <v>1.1863253854339271</v>
      </c>
      <c r="F46" s="26">
        <f t="shared" si="4"/>
        <v>74177611</v>
      </c>
      <c r="G46" s="59">
        <f>[2]ISO!V36</f>
        <v>15894931</v>
      </c>
      <c r="H46" s="21">
        <f t="shared" si="1"/>
        <v>0.214</v>
      </c>
      <c r="K46" s="2"/>
      <c r="L46" s="36">
        <f>'6.4'!L50</f>
        <v>45291</v>
      </c>
      <c r="M46" s="36">
        <f>'6.4'!M50</f>
        <v>45291</v>
      </c>
      <c r="N46" t="s">
        <v>217</v>
      </c>
      <c r="O46" s="22"/>
      <c r="P46" s="29"/>
    </row>
    <row r="47" spans="1:16" x14ac:dyDescent="0.2">
      <c r="A47" t="s">
        <v>403</v>
      </c>
      <c r="C47" s="59">
        <f>[2]ISO!Q37</f>
        <v>57364072</v>
      </c>
      <c r="E47" s="29">
        <f>'6.4'!E47</f>
        <v>1.1296863217775721</v>
      </c>
      <c r="F47" s="26">
        <f t="shared" ref="F47:F54" si="5">ROUND(C47*E47,0)</f>
        <v>64803407</v>
      </c>
      <c r="G47" s="59">
        <f>[2]ISO!V37</f>
        <v>2363193</v>
      </c>
      <c r="H47" s="21">
        <f t="shared" si="1"/>
        <v>3.5999999999999997E-2</v>
      </c>
      <c r="K47" s="2"/>
      <c r="O47" s="22"/>
      <c r="P47" s="29"/>
    </row>
    <row r="48" spans="1:16" x14ac:dyDescent="0.2">
      <c r="A48" t="s">
        <v>404</v>
      </c>
      <c r="C48" s="59">
        <f>[2]ISO!Q38</f>
        <v>45752402</v>
      </c>
      <c r="D48" s="18"/>
      <c r="E48" s="29">
        <f>'6.4'!E48</f>
        <v>1.102499999999994</v>
      </c>
      <c r="F48" s="26">
        <f t="shared" si="5"/>
        <v>50442023</v>
      </c>
      <c r="G48" s="59">
        <f>[2]ISO!V38</f>
        <v>224437428</v>
      </c>
      <c r="H48" s="21">
        <f t="shared" si="1"/>
        <v>4.4489999999999998</v>
      </c>
      <c r="K48" s="2"/>
      <c r="O48" s="22"/>
      <c r="P48" s="29"/>
    </row>
    <row r="49" spans="1:16" x14ac:dyDescent="0.2">
      <c r="A49" s="22">
        <v>2018</v>
      </c>
      <c r="C49" s="59">
        <f>[2]ISO!Q39</f>
        <v>42451251</v>
      </c>
      <c r="E49" s="29">
        <f>'6.4'!E49</f>
        <v>1.0755512293710299</v>
      </c>
      <c r="F49" s="26">
        <f t="shared" si="5"/>
        <v>45658495</v>
      </c>
      <c r="G49" s="59">
        <f>[2]ISO!V39</f>
        <v>805050</v>
      </c>
      <c r="H49" s="21">
        <f t="shared" si="1"/>
        <v>1.7999999999999999E-2</v>
      </c>
      <c r="I49" s="129"/>
      <c r="K49" s="2"/>
      <c r="O49" s="22"/>
      <c r="P49" s="29"/>
    </row>
    <row r="50" spans="1:16" x14ac:dyDescent="0.2">
      <c r="A50" s="22">
        <v>2019</v>
      </c>
      <c r="C50" s="59">
        <f>[2]ISO!Q40</f>
        <v>40593983</v>
      </c>
      <c r="E50" s="29">
        <f>'6.4'!E50</f>
        <v>1.049999999999998</v>
      </c>
      <c r="F50" s="26">
        <f t="shared" si="5"/>
        <v>42623682</v>
      </c>
      <c r="G50" s="59">
        <f>[2]ISO!V40</f>
        <v>2761830</v>
      </c>
      <c r="H50" s="21">
        <f t="shared" si="1"/>
        <v>6.5000000000000002E-2</v>
      </c>
      <c r="I50" s="129"/>
      <c r="K50" s="2"/>
      <c r="O50" s="22"/>
      <c r="P50" s="29"/>
    </row>
    <row r="51" spans="1:16" x14ac:dyDescent="0.2">
      <c r="A51" s="22">
        <v>2020</v>
      </c>
      <c r="C51" s="59">
        <f>[2]ISO!Q41</f>
        <v>40880312</v>
      </c>
      <c r="E51" s="29">
        <f>'6.4'!E51</f>
        <v>1.0499999999999974</v>
      </c>
      <c r="F51" s="26">
        <f>ROUND(C51*E51,0)</f>
        <v>42924328</v>
      </c>
      <c r="G51" s="59">
        <f>[2]ISO!V41</f>
        <v>6669659</v>
      </c>
      <c r="H51" s="21">
        <f t="shared" si="1"/>
        <v>0.155</v>
      </c>
      <c r="I51" s="129"/>
      <c r="K51" s="2"/>
      <c r="O51" s="22"/>
      <c r="P51" s="29"/>
    </row>
    <row r="52" spans="1:16" x14ac:dyDescent="0.2">
      <c r="A52" s="22">
        <v>2021</v>
      </c>
      <c r="C52" s="59">
        <f>[2]ISO!Q42</f>
        <v>41224994</v>
      </c>
      <c r="E52" s="29">
        <f>'6.4'!E52</f>
        <v>1.0499999999999947</v>
      </c>
      <c r="F52" s="26">
        <f t="shared" si="5"/>
        <v>43286244</v>
      </c>
      <c r="G52" s="59">
        <f>[2]ISO!V42</f>
        <v>3488124</v>
      </c>
      <c r="H52" s="21">
        <f>ROUND(G52/F52,3)</f>
        <v>8.1000000000000003E-2</v>
      </c>
      <c r="K52" s="2"/>
      <c r="O52" s="22"/>
      <c r="P52" s="29"/>
    </row>
    <row r="53" spans="1:16" x14ac:dyDescent="0.2">
      <c r="A53" s="22">
        <v>2022</v>
      </c>
      <c r="C53" s="59">
        <f>[2]ISO!Q43</f>
        <v>48496297</v>
      </c>
      <c r="E53" s="29">
        <f>'6.4'!E53</f>
        <v>1.0224475776595738</v>
      </c>
      <c r="F53" s="26">
        <f t="shared" si="5"/>
        <v>49584921</v>
      </c>
      <c r="G53" s="59">
        <f>[2]ISO!V43</f>
        <v>2042676</v>
      </c>
      <c r="H53" s="21">
        <f>ROUND(G53/F53,3)</f>
        <v>4.1000000000000002E-2</v>
      </c>
      <c r="K53" s="2"/>
      <c r="O53" s="22"/>
      <c r="P53" s="29"/>
    </row>
    <row r="54" spans="1:16" x14ac:dyDescent="0.2">
      <c r="A54" s="22">
        <v>2023</v>
      </c>
      <c r="C54" s="59">
        <f>[2]ISO!Q44</f>
        <v>70862455</v>
      </c>
      <c r="E54" s="29">
        <f>'6.4'!E54</f>
        <v>1</v>
      </c>
      <c r="F54" s="26">
        <f t="shared" si="5"/>
        <v>70862455</v>
      </c>
      <c r="G54" s="59">
        <f>[2]ISO!V44</f>
        <v>5189022</v>
      </c>
      <c r="H54" s="21">
        <f>ROUND(G54/F54,3)</f>
        <v>7.2999999999999995E-2</v>
      </c>
      <c r="K54" s="2"/>
      <c r="O54" s="22"/>
      <c r="P54" s="29"/>
    </row>
    <row r="55" spans="1:16" x14ac:dyDescent="0.2">
      <c r="A55" s="206"/>
      <c r="B55" s="206"/>
      <c r="C55" s="206"/>
      <c r="D55" s="206"/>
      <c r="E55" s="206"/>
      <c r="F55" s="206"/>
      <c r="G55" s="206"/>
      <c r="H55" s="206"/>
      <c r="K55" s="2"/>
      <c r="O55" s="22"/>
      <c r="P55" s="29"/>
    </row>
    <row r="56" spans="1:16" x14ac:dyDescent="0.2">
      <c r="A56" t="s">
        <v>7</v>
      </c>
      <c r="C56" s="46">
        <f>SUM(C14:C55)</f>
        <v>1297598895</v>
      </c>
      <c r="D56" s="46"/>
      <c r="E56" s="46"/>
      <c r="F56" s="46">
        <f>SUM(F14:F55)</f>
        <v>2151669849</v>
      </c>
      <c r="G56" s="46">
        <f>SUM(G14:G55)</f>
        <v>1223060569</v>
      </c>
      <c r="H56" s="21">
        <f>ROUND(G56/F56,3)</f>
        <v>0.56799999999999995</v>
      </c>
      <c r="K56" s="2"/>
      <c r="O56" s="22"/>
      <c r="P56" s="29"/>
    </row>
    <row r="57" spans="1:16" ht="12" thickBot="1" x14ac:dyDescent="0.25">
      <c r="A57" s="6"/>
      <c r="B57" s="6"/>
      <c r="C57" s="6"/>
      <c r="D57" s="6"/>
      <c r="E57" s="6"/>
      <c r="F57" s="6"/>
      <c r="G57" s="6"/>
      <c r="H57" s="6"/>
      <c r="K57" s="2"/>
    </row>
    <row r="58" spans="1:16" ht="12" thickTop="1" x14ac:dyDescent="0.2">
      <c r="K58" s="2"/>
    </row>
    <row r="59" spans="1:16" x14ac:dyDescent="0.2">
      <c r="A59" t="s">
        <v>17</v>
      </c>
      <c r="K59" s="2"/>
    </row>
    <row r="60" spans="1:16" x14ac:dyDescent="0.2">
      <c r="B60" s="12" t="str">
        <f>C12&amp;" Provided by TDI. "&amp;A14&amp;" - "&amp;A26&amp;" are year ending "&amp;TEXT($L$45,"m/d/xx")&amp;" as of "&amp;TEXT($M$45,"m/d/yy")&amp;"; "&amp;A27&amp;" - "&amp;YEAR(L46)&amp;" are year ending "&amp;TEXT($L$46,"m/d/xx")&amp;" as of "&amp;TEXT($M$46,"m/d/yy")</f>
        <v>(2) Provided by TDI. 1983 - 1995 are year ending 9/30/xx as of 12/31/99; 1996 - 2023 are year ending 12/31/xx as of 12/31/23</v>
      </c>
      <c r="K60" s="2"/>
    </row>
    <row r="61" spans="1:16" x14ac:dyDescent="0.2">
      <c r="B61" s="12" t="str">
        <f>D12&amp;" Provided by TDI (1992 MR = 1992 manual rates)"</f>
        <v>(3) Provided by TDI (1992 MR = 1992 manual rates)</v>
      </c>
      <c r="C61" s="12"/>
      <c r="K61" s="2"/>
    </row>
    <row r="62" spans="1:16" x14ac:dyDescent="0.2">
      <c r="B62" s="12" t="str">
        <f>'6.4'!B62</f>
        <v>(4) Represents 8/1/80 through 6/30/23 rate changes for TWIA; factors assume uniform earning of written premium</v>
      </c>
      <c r="K62" s="2"/>
    </row>
    <row r="63" spans="1:16" x14ac:dyDescent="0.2">
      <c r="B63" s="12" t="str">
        <f>"      and that TWIA premium represents "&amp;TEXT(L32,"0.0%")&amp;" of industry data in "&amp;LEFT(A5,FIND("(",A5)-2)</f>
        <v xml:space="preserve">      and that TWIA premium represents 62.7% of industry data in Tier 1 -- Territory 10</v>
      </c>
      <c r="K63" s="2"/>
    </row>
    <row r="64" spans="1:16" x14ac:dyDescent="0.2">
      <c r="B64" s="12" t="str">
        <f>F12&amp;" = "&amp;D12&amp;" x "&amp;E12&amp;" for "&amp;A14&amp;" - "&amp;A23&amp;"; "&amp;C12&amp;" x "&amp;E12&amp;" for "&amp;A24&amp;" - "&amp;YEAR(L46)</f>
        <v>(5) = (3) x (4) for 1983 - 1992; (2) x (4) for 1993 - 2023</v>
      </c>
      <c r="K64" s="2"/>
    </row>
    <row r="65" spans="1:11" x14ac:dyDescent="0.2">
      <c r="B65" s="12" t="str">
        <f>'6.5'!B65</f>
        <v>(6) Provided by TDI. 1983 - 1995 are year ending 9/30/xx as of 12/31/99; 1996 - 2011 are year ending 12/31/xx as of 12/31/19</v>
      </c>
      <c r="D65" s="41"/>
      <c r="E65" s="41"/>
      <c r="F65" s="41"/>
      <c r="G65" s="21"/>
      <c r="K65" s="2"/>
    </row>
    <row r="66" spans="1:11" x14ac:dyDescent="0.2">
      <c r="B66" s="12" t="str">
        <f>'6.5'!B66</f>
        <v xml:space="preserve">    2012 - 2023 are year ending 12/31/xx as of 12/31/23</v>
      </c>
      <c r="K66" s="2"/>
    </row>
    <row r="67" spans="1:11" x14ac:dyDescent="0.2">
      <c r="B67" s="12" t="str">
        <f>'6.5'!B67</f>
        <v>(7) = (6) / (5)</v>
      </c>
      <c r="I67" s="18"/>
      <c r="K67" s="2"/>
    </row>
    <row r="68" spans="1:11" x14ac:dyDescent="0.2">
      <c r="A68" s="40"/>
      <c r="B68" t="s">
        <v>437</v>
      </c>
      <c r="C68" s="31"/>
      <c r="D68" s="31"/>
      <c r="E68" s="31"/>
      <c r="F68" s="31"/>
      <c r="G68" s="18"/>
      <c r="H68" s="18"/>
      <c r="I68" s="18"/>
      <c r="K68" s="2"/>
    </row>
    <row r="69" spans="1:11" x14ac:dyDescent="0.2">
      <c r="A69" s="40"/>
      <c r="C69" s="31"/>
      <c r="D69" s="31"/>
      <c r="E69" s="31"/>
      <c r="F69" s="31"/>
      <c r="G69" s="18"/>
      <c r="H69" s="18"/>
      <c r="I69" s="18"/>
      <c r="K69" s="2"/>
    </row>
    <row r="70" spans="1:11" ht="12" thickBot="1" x14ac:dyDescent="0.25">
      <c r="A70" s="40"/>
      <c r="C70" s="31"/>
      <c r="D70" s="31"/>
      <c r="E70" s="31"/>
      <c r="F70" s="31"/>
      <c r="G70" s="18"/>
      <c r="H70" s="18"/>
      <c r="I70" s="18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00FF00"/>
  </sheetPr>
  <dimension ref="A1:P71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  <col min="12" max="12" width="15.1640625" bestFit="1" customWidth="1"/>
  </cols>
  <sheetData>
    <row r="1" spans="1:16" x14ac:dyDescent="0.2">
      <c r="A1" s="8" t="str">
        <f>'1'!$A$1</f>
        <v>Texas Windstorm Insurance Association</v>
      </c>
      <c r="B1" s="12"/>
      <c r="J1" s="7" t="s">
        <v>68</v>
      </c>
      <c r="K1" s="1"/>
      <c r="N1" t="s">
        <v>447</v>
      </c>
      <c r="O1" t="s">
        <v>467</v>
      </c>
    </row>
    <row r="2" spans="1:16" x14ac:dyDescent="0.2">
      <c r="A2" s="8" t="str">
        <f>'1'!$A$2</f>
        <v>Commercial Property - Wind &amp; Hail</v>
      </c>
      <c r="B2" s="12"/>
      <c r="J2" s="7" t="s">
        <v>91</v>
      </c>
      <c r="K2" s="2"/>
      <c r="N2" t="s">
        <v>447</v>
      </c>
      <c r="O2" t="s">
        <v>473</v>
      </c>
    </row>
    <row r="3" spans="1:16" x14ac:dyDescent="0.2">
      <c r="A3" s="8" t="str">
        <f>'1'!$A$3</f>
        <v>Rate Level Review</v>
      </c>
      <c r="B3" s="12"/>
      <c r="K3" s="2"/>
      <c r="N3" t="s">
        <v>447</v>
      </c>
      <c r="O3" t="s">
        <v>476</v>
      </c>
    </row>
    <row r="4" spans="1:16" x14ac:dyDescent="0.2">
      <c r="A4" t="s">
        <v>205</v>
      </c>
      <c r="B4" s="12"/>
      <c r="K4" s="2"/>
    </row>
    <row r="5" spans="1:16" x14ac:dyDescent="0.2">
      <c r="A5" t="s">
        <v>332</v>
      </c>
      <c r="B5" s="12"/>
      <c r="K5" s="2"/>
    </row>
    <row r="6" spans="1:16" x14ac:dyDescent="0.2">
      <c r="K6" s="2"/>
      <c r="L6" t="s">
        <v>394</v>
      </c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K7" s="2"/>
      <c r="L7">
        <f>'1'!H15</f>
        <v>0.45</v>
      </c>
    </row>
    <row r="8" spans="1:16" ht="12" thickTop="1" x14ac:dyDescent="0.2">
      <c r="K8" s="2"/>
    </row>
    <row r="9" spans="1:16" x14ac:dyDescent="0.2">
      <c r="A9" t="s">
        <v>40</v>
      </c>
      <c r="C9" s="134"/>
      <c r="D9" s="11" t="s">
        <v>79</v>
      </c>
      <c r="E9" s="11" t="s">
        <v>207</v>
      </c>
      <c r="F9" s="11" t="s">
        <v>79</v>
      </c>
      <c r="G9" s="11"/>
      <c r="H9" s="11"/>
      <c r="K9" s="2"/>
      <c r="L9" s="24"/>
    </row>
    <row r="10" spans="1:16" x14ac:dyDescent="0.2">
      <c r="A10" t="s">
        <v>41</v>
      </c>
      <c r="C10" s="11" t="s">
        <v>79</v>
      </c>
      <c r="D10" s="11" t="s">
        <v>80</v>
      </c>
      <c r="E10" s="11" t="s">
        <v>208</v>
      </c>
      <c r="F10" s="11" t="s">
        <v>209</v>
      </c>
      <c r="G10" s="11" t="s">
        <v>59</v>
      </c>
      <c r="H10" s="11" t="s">
        <v>59</v>
      </c>
      <c r="K10" s="2"/>
      <c r="L10" s="12"/>
    </row>
    <row r="11" spans="1:16" x14ac:dyDescent="0.2">
      <c r="A11" s="9" t="s">
        <v>26</v>
      </c>
      <c r="B11" s="9"/>
      <c r="C11" s="144" t="s">
        <v>80</v>
      </c>
      <c r="D11" s="144" t="s">
        <v>206</v>
      </c>
      <c r="E11" s="144" t="s">
        <v>89</v>
      </c>
      <c r="F11" s="144" t="s">
        <v>210</v>
      </c>
      <c r="G11" s="144" t="s">
        <v>33</v>
      </c>
      <c r="H11" s="144" t="s">
        <v>51</v>
      </c>
      <c r="K11" s="2"/>
      <c r="L11" s="36"/>
    </row>
    <row r="12" spans="1:16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6" x14ac:dyDescent="0.2">
      <c r="K13" s="2"/>
    </row>
    <row r="14" spans="1:16" x14ac:dyDescent="0.2">
      <c r="A14" s="60">
        <v>1983</v>
      </c>
      <c r="C14" s="108">
        <v>7250559</v>
      </c>
      <c r="D14" s="31">
        <v>7334192</v>
      </c>
      <c r="E14" s="29">
        <f>'6.4'!E14</f>
        <v>3.8293316891072973</v>
      </c>
      <c r="F14" s="26">
        <f>D14*$E$23</f>
        <v>20766670.665546965</v>
      </c>
      <c r="G14" s="108">
        <v>33451768</v>
      </c>
      <c r="H14" s="21">
        <f>ROUND(G14/F14,3)</f>
        <v>1.611</v>
      </c>
      <c r="I14" s="21"/>
      <c r="K14" s="2"/>
      <c r="L14" s="29"/>
    </row>
    <row r="15" spans="1:16" x14ac:dyDescent="0.2">
      <c r="A15" s="22">
        <f>A14+1</f>
        <v>1984</v>
      </c>
      <c r="C15" s="108">
        <v>6146403</v>
      </c>
      <c r="D15" s="31">
        <v>7090092</v>
      </c>
      <c r="E15" s="29">
        <f>'6.4'!E15</f>
        <v>3.5112843511426886</v>
      </c>
      <c r="F15" s="26">
        <f t="shared" ref="F15:F21" si="1">D15*$E$23</f>
        <v>20075504.643514816</v>
      </c>
      <c r="G15" s="108">
        <v>3096573</v>
      </c>
      <c r="H15" s="21">
        <f t="shared" ref="H15:H45" si="2">ROUND(G15/F15,3)</f>
        <v>0.154</v>
      </c>
      <c r="I15" s="21"/>
      <c r="K15" s="2"/>
    </row>
    <row r="16" spans="1:16" x14ac:dyDescent="0.2">
      <c r="A16" s="22">
        <f t="shared" ref="A16:A47" si="3">A15+1</f>
        <v>1985</v>
      </c>
      <c r="C16" s="108">
        <v>7715669</v>
      </c>
      <c r="D16" s="31">
        <v>8264972</v>
      </c>
      <c r="E16" s="29">
        <f>'6.4'!E16</f>
        <v>2.8789383840739684</v>
      </c>
      <c r="F16" s="26">
        <f t="shared" si="1"/>
        <v>23402162.30826341</v>
      </c>
      <c r="G16" s="108">
        <v>2019280</v>
      </c>
      <c r="H16" s="21">
        <f t="shared" si="2"/>
        <v>8.5999999999999993E-2</v>
      </c>
      <c r="I16" s="21"/>
      <c r="K16" s="2"/>
      <c r="O16" s="22"/>
      <c r="P16" s="29"/>
    </row>
    <row r="17" spans="1:16" x14ac:dyDescent="0.2">
      <c r="A17" s="22">
        <f t="shared" si="3"/>
        <v>1986</v>
      </c>
      <c r="C17" s="108">
        <v>11101057</v>
      </c>
      <c r="D17" s="31">
        <v>8943773</v>
      </c>
      <c r="E17" s="29">
        <f>'6.4'!E17</f>
        <v>2.0498785892003166</v>
      </c>
      <c r="F17" s="26">
        <f t="shared" si="1"/>
        <v>25324178.641411483</v>
      </c>
      <c r="G17" s="108">
        <v>3439343</v>
      </c>
      <c r="H17" s="21">
        <f t="shared" si="2"/>
        <v>0.13600000000000001</v>
      </c>
      <c r="I17" s="21"/>
      <c r="K17" s="2"/>
      <c r="O17" s="22"/>
      <c r="P17" s="29"/>
    </row>
    <row r="18" spans="1:16" x14ac:dyDescent="0.2">
      <c r="A18" s="22">
        <f t="shared" si="3"/>
        <v>1987</v>
      </c>
      <c r="C18" s="108">
        <v>19731857</v>
      </c>
      <c r="D18" s="31">
        <v>16746125</v>
      </c>
      <c r="E18" s="29">
        <f>'6.4'!E18</f>
        <v>1.9936436916734259</v>
      </c>
      <c r="F18" s="26">
        <f t="shared" si="1"/>
        <v>47416438.347821087</v>
      </c>
      <c r="G18" s="108">
        <v>1552595</v>
      </c>
      <c r="H18" s="21">
        <f t="shared" si="2"/>
        <v>3.3000000000000002E-2</v>
      </c>
      <c r="I18" s="21"/>
      <c r="K18" s="2"/>
      <c r="O18" s="22"/>
      <c r="P18" s="29"/>
    </row>
    <row r="19" spans="1:16" x14ac:dyDescent="0.2">
      <c r="A19" s="22">
        <f t="shared" si="3"/>
        <v>1988</v>
      </c>
      <c r="C19" s="108">
        <v>14491218</v>
      </c>
      <c r="D19" s="31">
        <v>13901265</v>
      </c>
      <c r="E19" s="29">
        <f>'6.4'!E19</f>
        <v>2.1473124836449715</v>
      </c>
      <c r="F19" s="26">
        <f t="shared" si="1"/>
        <v>39361253.712678194</v>
      </c>
      <c r="G19" s="108">
        <v>2041063</v>
      </c>
      <c r="H19" s="21">
        <f t="shared" si="2"/>
        <v>5.1999999999999998E-2</v>
      </c>
      <c r="I19" s="21"/>
      <c r="K19" s="2"/>
      <c r="O19" s="22"/>
      <c r="P19" s="29"/>
    </row>
    <row r="20" spans="1:16" x14ac:dyDescent="0.2">
      <c r="A20" s="22">
        <f t="shared" si="3"/>
        <v>1989</v>
      </c>
      <c r="C20" s="108">
        <v>14584082</v>
      </c>
      <c r="D20" s="31">
        <v>16324747</v>
      </c>
      <c r="E20" s="29">
        <f>'6.4'!E20</f>
        <v>2.385265617366465</v>
      </c>
      <c r="F20" s="26">
        <f t="shared" si="1"/>
        <v>46223311.940480396</v>
      </c>
      <c r="G20" s="108">
        <v>2746147</v>
      </c>
      <c r="H20" s="21">
        <f t="shared" si="2"/>
        <v>5.8999999999999997E-2</v>
      </c>
      <c r="I20" s="21"/>
      <c r="K20" s="2"/>
      <c r="O20" s="22"/>
      <c r="P20" s="29"/>
    </row>
    <row r="21" spans="1:16" x14ac:dyDescent="0.2">
      <c r="A21" s="22">
        <f t="shared" si="3"/>
        <v>1990</v>
      </c>
      <c r="C21" s="108">
        <v>12102427</v>
      </c>
      <c r="D21" s="31">
        <v>14172295</v>
      </c>
      <c r="E21" s="29">
        <f>'6.4'!E21</f>
        <v>2.5056768649457406</v>
      </c>
      <c r="F21" s="26">
        <f t="shared" si="1"/>
        <v>40128671.68462155</v>
      </c>
      <c r="G21" s="108">
        <v>2967816</v>
      </c>
      <c r="H21" s="21">
        <f t="shared" si="2"/>
        <v>7.3999999999999996E-2</v>
      </c>
      <c r="I21" s="21"/>
      <c r="K21" s="2"/>
      <c r="O21" s="22"/>
      <c r="P21" s="29"/>
    </row>
    <row r="22" spans="1:16" x14ac:dyDescent="0.2">
      <c r="A22" s="22">
        <f>A21+1</f>
        <v>1991</v>
      </c>
      <c r="C22" s="108">
        <v>13947169</v>
      </c>
      <c r="D22" s="31">
        <v>17133114</v>
      </c>
      <c r="E22" s="29">
        <f>'6.4'!E22</f>
        <v>2.4905762618235174</v>
      </c>
      <c r="F22" s="26">
        <f>D22*$E$23</f>
        <v>48512192.742332354</v>
      </c>
      <c r="G22" s="108">
        <v>2440246</v>
      </c>
      <c r="H22" s="21">
        <f t="shared" si="2"/>
        <v>0.05</v>
      </c>
      <c r="I22" s="21"/>
      <c r="K22" s="2"/>
      <c r="O22" s="22"/>
      <c r="P22" s="29"/>
    </row>
    <row r="23" spans="1:16" x14ac:dyDescent="0.2">
      <c r="A23" s="22">
        <f t="shared" si="3"/>
        <v>1992</v>
      </c>
      <c r="B23" s="12"/>
      <c r="C23" s="108">
        <v>15779782</v>
      </c>
      <c r="D23" s="31">
        <v>19121264</v>
      </c>
      <c r="E23" s="29">
        <f>'6.4'!E23</f>
        <v>2.8314871857113864</v>
      </c>
      <c r="F23" s="26">
        <f>D23*E23</f>
        <v>54141613.990604445</v>
      </c>
      <c r="G23" s="108">
        <v>2232412</v>
      </c>
      <c r="H23" s="21">
        <f t="shared" si="2"/>
        <v>4.1000000000000002E-2</v>
      </c>
      <c r="I23" s="21"/>
      <c r="K23" s="2"/>
      <c r="O23" s="22"/>
      <c r="P23" s="29"/>
    </row>
    <row r="24" spans="1:16" x14ac:dyDescent="0.2">
      <c r="A24" s="22">
        <f t="shared" si="3"/>
        <v>1993</v>
      </c>
      <c r="B24" s="12"/>
      <c r="C24" s="108">
        <v>13455788</v>
      </c>
      <c r="E24" s="29">
        <f>'6.4'!E24</f>
        <v>3.2531461484671529</v>
      </c>
      <c r="F24" s="26">
        <f>C24*E24</f>
        <v>43773644.906790532</v>
      </c>
      <c r="G24" s="108">
        <v>2357383</v>
      </c>
      <c r="H24" s="21">
        <f t="shared" si="2"/>
        <v>5.3999999999999999E-2</v>
      </c>
      <c r="I24" s="21"/>
      <c r="K24" s="2"/>
      <c r="O24" s="22"/>
      <c r="P24" s="29"/>
    </row>
    <row r="25" spans="1:16" x14ac:dyDescent="0.2">
      <c r="A25" s="22">
        <f t="shared" si="3"/>
        <v>1994</v>
      </c>
      <c r="B25" s="12"/>
      <c r="C25" s="108">
        <v>6449086</v>
      </c>
      <c r="D25" s="31"/>
      <c r="E25" s="29">
        <f>'6.4'!E25</f>
        <v>3.2531461484671529</v>
      </c>
      <c r="F25" s="26">
        <f t="shared" ref="F25:F49" si="4">C25*E25</f>
        <v>20979819.282033436</v>
      </c>
      <c r="G25" s="108">
        <v>1579205</v>
      </c>
      <c r="H25" s="21">
        <f t="shared" si="2"/>
        <v>7.4999999999999997E-2</v>
      </c>
      <c r="I25" s="21"/>
      <c r="K25" s="2"/>
      <c r="O25" s="22"/>
      <c r="P25" s="29"/>
    </row>
    <row r="26" spans="1:16" x14ac:dyDescent="0.2">
      <c r="A26" s="22">
        <f t="shared" si="3"/>
        <v>1995</v>
      </c>
      <c r="C26" s="108">
        <v>17734471</v>
      </c>
      <c r="D26" s="31"/>
      <c r="E26" s="29">
        <f>'6.4'!E26</f>
        <v>3.2531461484671529</v>
      </c>
      <c r="F26" s="26">
        <f t="shared" si="4"/>
        <v>57692826.028752416</v>
      </c>
      <c r="G26" s="108">
        <v>11314057</v>
      </c>
      <c r="H26" s="21">
        <f t="shared" si="2"/>
        <v>0.19600000000000001</v>
      </c>
      <c r="I26" s="21"/>
      <c r="K26" s="2"/>
      <c r="O26" s="22"/>
      <c r="P26" s="29"/>
    </row>
    <row r="27" spans="1:16" x14ac:dyDescent="0.2">
      <c r="A27" s="22">
        <f t="shared" si="3"/>
        <v>1996</v>
      </c>
      <c r="C27" s="108">
        <v>28876403</v>
      </c>
      <c r="E27" s="29">
        <f>'6.4'!E27</f>
        <v>3.2531461484671529</v>
      </c>
      <c r="F27" s="26">
        <f t="shared" si="4"/>
        <v>93939159.201035336</v>
      </c>
      <c r="G27" s="108">
        <v>5938855</v>
      </c>
      <c r="H27" s="21">
        <f t="shared" si="2"/>
        <v>6.3E-2</v>
      </c>
      <c r="I27" s="21"/>
      <c r="K27" s="2"/>
      <c r="O27" s="22"/>
      <c r="P27" s="29"/>
    </row>
    <row r="28" spans="1:16" x14ac:dyDescent="0.2">
      <c r="A28" s="22">
        <f t="shared" si="3"/>
        <v>1997</v>
      </c>
      <c r="C28" s="108">
        <v>27434262</v>
      </c>
      <c r="D28" s="31"/>
      <c r="E28" s="29">
        <f>'6.4'!E28</f>
        <v>3.2531461484671529</v>
      </c>
      <c r="F28" s="26">
        <f>C28*E28</f>
        <v>89247663.76133877</v>
      </c>
      <c r="G28" s="108">
        <v>7691121</v>
      </c>
      <c r="H28" s="21">
        <f t="shared" si="2"/>
        <v>8.5999999999999993E-2</v>
      </c>
      <c r="I28" s="21"/>
      <c r="K28" s="2"/>
      <c r="O28" s="22"/>
      <c r="P28" s="29"/>
    </row>
    <row r="29" spans="1:16" x14ac:dyDescent="0.2">
      <c r="A29" s="22">
        <f t="shared" si="3"/>
        <v>1998</v>
      </c>
      <c r="C29" s="108">
        <v>26616230</v>
      </c>
      <c r="D29" s="31"/>
      <c r="E29" s="29">
        <f>'6.4'!E29</f>
        <v>3.3026864451443179</v>
      </c>
      <c r="F29" s="26">
        <f t="shared" si="4"/>
        <v>87905062.041843548</v>
      </c>
      <c r="G29" s="108">
        <v>7574576</v>
      </c>
      <c r="H29" s="21">
        <f t="shared" si="2"/>
        <v>8.5999999999999993E-2</v>
      </c>
      <c r="I29" s="21"/>
      <c r="K29" s="2"/>
      <c r="O29" s="22"/>
      <c r="P29" s="29"/>
    </row>
    <row r="30" spans="1:16" x14ac:dyDescent="0.2">
      <c r="A30" s="22">
        <f t="shared" si="3"/>
        <v>1999</v>
      </c>
      <c r="C30" s="108">
        <v>23901401</v>
      </c>
      <c r="D30" s="31"/>
      <c r="E30" s="29">
        <f>'6.4'!E30</f>
        <v>3.3537589159455186</v>
      </c>
      <c r="F30" s="26">
        <f t="shared" si="4"/>
        <v>80159536.707339138</v>
      </c>
      <c r="G30" s="108">
        <v>6821707</v>
      </c>
      <c r="H30" s="21">
        <f t="shared" si="2"/>
        <v>8.5000000000000006E-2</v>
      </c>
      <c r="I30" s="21"/>
      <c r="K30" s="2"/>
      <c r="O30" s="22"/>
      <c r="P30" s="29"/>
    </row>
    <row r="31" spans="1:16" x14ac:dyDescent="0.2">
      <c r="A31" s="22">
        <f t="shared" si="3"/>
        <v>2000</v>
      </c>
      <c r="C31" s="108">
        <v>19819200</v>
      </c>
      <c r="D31" s="31"/>
      <c r="E31" s="29">
        <f>'6.4'!E31</f>
        <v>3.209338675545951</v>
      </c>
      <c r="F31" s="26">
        <f t="shared" si="4"/>
        <v>63606525.078380309</v>
      </c>
      <c r="G31" s="108">
        <v>35670537</v>
      </c>
      <c r="H31" s="21">
        <f t="shared" si="2"/>
        <v>0.56100000000000005</v>
      </c>
      <c r="I31" s="21"/>
      <c r="K31" s="2"/>
      <c r="L31" t="s">
        <v>211</v>
      </c>
      <c r="O31" s="22"/>
      <c r="P31" s="29"/>
    </row>
    <row r="32" spans="1:16" x14ac:dyDescent="0.2">
      <c r="A32" s="22">
        <f t="shared" si="3"/>
        <v>2001</v>
      </c>
      <c r="C32" s="108">
        <v>21641352</v>
      </c>
      <c r="D32" s="31"/>
      <c r="E32" s="29">
        <f>'6.4'!E32</f>
        <v>3.0165127864233838</v>
      </c>
      <c r="F32" s="26">
        <f t="shared" si="4"/>
        <v>65281415.023489274</v>
      </c>
      <c r="G32" s="108">
        <v>17852673</v>
      </c>
      <c r="H32" s="21">
        <f t="shared" si="2"/>
        <v>0.27300000000000002</v>
      </c>
      <c r="I32" s="21"/>
      <c r="K32" s="2"/>
      <c r="L32" s="68">
        <f>[2]ISO!$R$48</f>
        <v>7.6080714211664456E-3</v>
      </c>
      <c r="N32" s="50"/>
      <c r="O32" s="22"/>
      <c r="P32" s="29"/>
    </row>
    <row r="33" spans="1:16" x14ac:dyDescent="0.2">
      <c r="A33" s="22">
        <f t="shared" si="3"/>
        <v>2002</v>
      </c>
      <c r="C33" s="108">
        <v>31941586</v>
      </c>
      <c r="D33" s="31"/>
      <c r="E33" s="29">
        <f>'6.4'!E33</f>
        <v>2.8863443172156207</v>
      </c>
      <c r="F33" s="26">
        <f t="shared" si="4"/>
        <v>92194415.233954027</v>
      </c>
      <c r="G33" s="108">
        <v>8461924</v>
      </c>
      <c r="H33" s="21">
        <f t="shared" si="2"/>
        <v>9.1999999999999998E-2</v>
      </c>
      <c r="I33" s="21"/>
      <c r="K33" s="2"/>
      <c r="N33" s="57"/>
      <c r="O33" s="22"/>
      <c r="P33" s="29"/>
    </row>
    <row r="34" spans="1:16" x14ac:dyDescent="0.2">
      <c r="A34" s="22">
        <f t="shared" si="3"/>
        <v>2003</v>
      </c>
      <c r="C34" s="108">
        <v>35755041</v>
      </c>
      <c r="D34" s="31"/>
      <c r="E34" s="29">
        <f>'6.4'!E34</f>
        <v>2.6891459199349992</v>
      </c>
      <c r="F34" s="26">
        <f t="shared" si="4"/>
        <v>96150522.622258618</v>
      </c>
      <c r="G34" s="108">
        <v>28411179</v>
      </c>
      <c r="H34" s="21">
        <f t="shared" si="2"/>
        <v>0.29499999999999998</v>
      </c>
      <c r="I34" s="21"/>
      <c r="K34" s="2"/>
      <c r="N34" s="50"/>
      <c r="O34" s="22"/>
      <c r="P34" s="29"/>
    </row>
    <row r="35" spans="1:16" x14ac:dyDescent="0.2">
      <c r="A35" s="22">
        <f t="shared" si="3"/>
        <v>2004</v>
      </c>
      <c r="B35" s="22"/>
      <c r="C35" s="108">
        <v>54522810</v>
      </c>
      <c r="D35" s="41"/>
      <c r="E35" s="29">
        <f>'6.4'!E35</f>
        <v>2.448174392695059</v>
      </c>
      <c r="F35" s="26">
        <f t="shared" si="4"/>
        <v>133481347.25977808</v>
      </c>
      <c r="G35" s="108">
        <v>3982223</v>
      </c>
      <c r="H35" s="21">
        <f t="shared" si="2"/>
        <v>0.03</v>
      </c>
      <c r="I35" s="21"/>
      <c r="K35" s="2"/>
      <c r="O35" s="22"/>
      <c r="P35" s="29"/>
    </row>
    <row r="36" spans="1:16" x14ac:dyDescent="0.2">
      <c r="A36" s="22">
        <f t="shared" si="3"/>
        <v>2005</v>
      </c>
      <c r="C36" s="108">
        <v>55697704</v>
      </c>
      <c r="E36" s="29">
        <f>'6.4'!E36</f>
        <v>2.2196457159722458</v>
      </c>
      <c r="F36" s="26">
        <f t="shared" si="4"/>
        <v>123629170.07309023</v>
      </c>
      <c r="G36" s="108">
        <v>59821556</v>
      </c>
      <c r="H36" s="21">
        <f t="shared" si="2"/>
        <v>0.48399999999999999</v>
      </c>
      <c r="I36" s="21"/>
      <c r="K36" s="2"/>
      <c r="O36" s="22"/>
      <c r="P36" s="29"/>
    </row>
    <row r="37" spans="1:16" x14ac:dyDescent="0.2">
      <c r="A37" s="22">
        <f t="shared" si="3"/>
        <v>2006</v>
      </c>
      <c r="C37" s="108">
        <v>61057252</v>
      </c>
      <c r="E37" s="29">
        <f>'6.4'!E37</f>
        <v>2.0368887779518374</v>
      </c>
      <c r="F37" s="26">
        <f t="shared" si="4"/>
        <v>124366831.41137739</v>
      </c>
      <c r="G37" s="108">
        <v>6946289</v>
      </c>
      <c r="H37" s="21">
        <f t="shared" si="2"/>
        <v>5.6000000000000001E-2</v>
      </c>
      <c r="I37" s="21"/>
      <c r="K37" s="2"/>
      <c r="O37" s="22"/>
      <c r="P37" s="29"/>
    </row>
    <row r="38" spans="1:16" x14ac:dyDescent="0.2">
      <c r="A38" s="22">
        <f t="shared" si="3"/>
        <v>2007</v>
      </c>
      <c r="C38" s="108">
        <v>61608161</v>
      </c>
      <c r="E38" s="29">
        <f>'6.4'!E38</f>
        <v>1.8570470989540067</v>
      </c>
      <c r="F38" s="26">
        <f t="shared" si="4"/>
        <v>114409256.65694137</v>
      </c>
      <c r="G38" s="108">
        <v>10794322</v>
      </c>
      <c r="H38" s="21">
        <f t="shared" si="2"/>
        <v>9.4E-2</v>
      </c>
      <c r="I38" s="21"/>
      <c r="K38" s="2"/>
      <c r="N38" s="50"/>
      <c r="O38" s="22"/>
      <c r="P38" s="29"/>
    </row>
    <row r="39" spans="1:16" x14ac:dyDescent="0.2">
      <c r="A39" s="22">
        <f t="shared" si="3"/>
        <v>2008</v>
      </c>
      <c r="C39" s="108">
        <v>58154456</v>
      </c>
      <c r="E39" s="29">
        <f>'6.4'!E39</f>
        <v>1.7641482522914038</v>
      </c>
      <c r="F39" s="26">
        <f t="shared" si="4"/>
        <v>102593081.91535734</v>
      </c>
      <c r="G39" s="108">
        <v>477796637</v>
      </c>
      <c r="H39" s="21">
        <f t="shared" si="2"/>
        <v>4.657</v>
      </c>
      <c r="I39" s="21"/>
      <c r="K39" s="2"/>
      <c r="O39" s="22"/>
      <c r="P39" s="29"/>
    </row>
    <row r="40" spans="1:16" x14ac:dyDescent="0.2">
      <c r="A40" s="22">
        <f t="shared" si="3"/>
        <v>2009</v>
      </c>
      <c r="C40" s="108">
        <v>62172956</v>
      </c>
      <c r="E40" s="29">
        <f>'6.4'!E40</f>
        <v>1.5997647448930246</v>
      </c>
      <c r="F40" s="26">
        <f t="shared" si="4"/>
        <v>99462103.09458524</v>
      </c>
      <c r="G40" s="108">
        <v>9127735</v>
      </c>
      <c r="H40" s="21">
        <f t="shared" si="2"/>
        <v>9.1999999999999998E-2</v>
      </c>
      <c r="I40" s="21"/>
      <c r="K40" s="2"/>
      <c r="N40" s="50"/>
      <c r="O40" s="22"/>
      <c r="P40" s="29"/>
    </row>
    <row r="41" spans="1:16" x14ac:dyDescent="0.2">
      <c r="A41" s="22">
        <f t="shared" si="3"/>
        <v>2010</v>
      </c>
      <c r="C41" s="108">
        <v>70966450</v>
      </c>
      <c r="D41" s="31"/>
      <c r="E41" s="29">
        <f>'6.4'!E41</f>
        <v>1.4780006228698483</v>
      </c>
      <c r="F41" s="26">
        <f t="shared" si="4"/>
        <v>104888457.30286194</v>
      </c>
      <c r="G41" s="108">
        <v>3378802</v>
      </c>
      <c r="H41" s="21">
        <f t="shared" si="2"/>
        <v>3.2000000000000001E-2</v>
      </c>
      <c r="I41" s="21"/>
      <c r="K41" s="2"/>
      <c r="O41" s="22"/>
      <c r="P41" s="29"/>
    </row>
    <row r="42" spans="1:16" x14ac:dyDescent="0.2">
      <c r="A42" s="22">
        <f t="shared" si="3"/>
        <v>2011</v>
      </c>
      <c r="C42" s="108">
        <v>71822950</v>
      </c>
      <c r="D42" s="31"/>
      <c r="E42" s="29">
        <f>'6.4'!E42</f>
        <v>1.4430316100910405</v>
      </c>
      <c r="F42" s="26">
        <f>C42*E42</f>
        <v>103642787.17998829</v>
      </c>
      <c r="G42" s="108">
        <v>19035462</v>
      </c>
      <c r="H42" s="21">
        <f>ROUND(G42/F42,3)</f>
        <v>0.184</v>
      </c>
      <c r="I42" s="21"/>
      <c r="K42" s="2"/>
      <c r="O42" s="22"/>
      <c r="P42" s="29"/>
    </row>
    <row r="43" spans="1:16" ht="10.5" customHeight="1" x14ac:dyDescent="0.2">
      <c r="A43" s="22">
        <f t="shared" si="3"/>
        <v>2012</v>
      </c>
      <c r="C43" s="108">
        <v>79268241</v>
      </c>
      <c r="D43" s="31"/>
      <c r="E43" s="29">
        <f>'6.4'!E43</f>
        <v>1.3723433115836108</v>
      </c>
      <c r="F43" s="26">
        <f>C43*E43</f>
        <v>108783240.35734776</v>
      </c>
      <c r="G43" s="108">
        <v>10920914</v>
      </c>
      <c r="H43" s="37">
        <f t="shared" si="2"/>
        <v>0.1</v>
      </c>
      <c r="I43" s="21"/>
      <c r="K43" s="2"/>
      <c r="O43" s="22"/>
      <c r="P43" s="29"/>
    </row>
    <row r="44" spans="1:16" x14ac:dyDescent="0.2">
      <c r="A44" s="22">
        <f t="shared" si="3"/>
        <v>2013</v>
      </c>
      <c r="C44" s="108">
        <v>87594841</v>
      </c>
      <c r="D44" s="31"/>
      <c r="E44" s="29">
        <f>'6.4'!E44</f>
        <v>1.3075797103216005</v>
      </c>
      <c r="F44" s="26">
        <f>C44*E44</f>
        <v>114537236.82044666</v>
      </c>
      <c r="G44" s="108">
        <v>7837537</v>
      </c>
      <c r="H44" s="37">
        <f t="shared" si="2"/>
        <v>6.8000000000000005E-2</v>
      </c>
      <c r="I44" s="21"/>
      <c r="K44" s="2"/>
      <c r="O44" s="22"/>
      <c r="P44" s="29"/>
    </row>
    <row r="45" spans="1:16" x14ac:dyDescent="0.2">
      <c r="A45" s="22">
        <f t="shared" si="3"/>
        <v>2014</v>
      </c>
      <c r="C45" s="59">
        <f>[2]ISO!R35</f>
        <v>106263316</v>
      </c>
      <c r="D45" s="31"/>
      <c r="E45" s="29">
        <f>'6.4'!E45</f>
        <v>1.2467307484438648</v>
      </c>
      <c r="F45" s="26">
        <f>C45*E45</f>
        <v>132481743.48880692</v>
      </c>
      <c r="G45" s="59">
        <f>[2]ISO!W35</f>
        <v>5735588</v>
      </c>
      <c r="H45" s="37">
        <f t="shared" si="2"/>
        <v>4.2999999999999997E-2</v>
      </c>
      <c r="I45" s="21"/>
      <c r="K45" s="2"/>
      <c r="L45" t="s">
        <v>214</v>
      </c>
      <c r="M45" t="s">
        <v>215</v>
      </c>
      <c r="O45" s="22"/>
      <c r="P45" s="29"/>
    </row>
    <row r="46" spans="1:16" x14ac:dyDescent="0.2">
      <c r="A46" s="22">
        <f t="shared" si="3"/>
        <v>2015</v>
      </c>
      <c r="C46" s="59">
        <f>[2]ISO!R36</f>
        <v>107983965</v>
      </c>
      <c r="D46" s="31"/>
      <c r="E46" s="29">
        <f>'6.4'!E46</f>
        <v>1.1863253854339271</v>
      </c>
      <c r="F46" s="26">
        <f>C46*E46</f>
        <v>128104118.8993087</v>
      </c>
      <c r="G46" s="59">
        <f>[2]ISO!W36</f>
        <v>17102994</v>
      </c>
      <c r="H46" s="37">
        <f t="shared" ref="H46:H51" si="5">ROUND(G46/F46,3)</f>
        <v>0.13400000000000001</v>
      </c>
      <c r="I46" s="21"/>
      <c r="K46" s="2"/>
      <c r="O46" s="22"/>
      <c r="P46" s="29"/>
    </row>
    <row r="47" spans="1:16" x14ac:dyDescent="0.2">
      <c r="A47" s="22">
        <f t="shared" si="3"/>
        <v>2016</v>
      </c>
      <c r="C47" s="59">
        <f>[2]ISO!R37</f>
        <v>101520013</v>
      </c>
      <c r="D47" s="31"/>
      <c r="E47" s="29">
        <f>'6.4'!E47</f>
        <v>1.1296863217775721</v>
      </c>
      <c r="F47" s="26">
        <f t="shared" si="4"/>
        <v>114685770.07278131</v>
      </c>
      <c r="G47" s="59">
        <f>[2]ISO!W37</f>
        <v>34371973</v>
      </c>
      <c r="H47" s="37">
        <f t="shared" si="5"/>
        <v>0.3</v>
      </c>
      <c r="I47" s="21"/>
      <c r="K47" s="2"/>
      <c r="L47" s="36">
        <f>'6.4'!L48</f>
        <v>34607</v>
      </c>
      <c r="M47" s="36">
        <f>'6.4'!M48</f>
        <v>36525</v>
      </c>
      <c r="N47" t="s">
        <v>216</v>
      </c>
      <c r="O47" s="22"/>
      <c r="P47" s="29"/>
    </row>
    <row r="48" spans="1:16" x14ac:dyDescent="0.2">
      <c r="A48" s="22">
        <v>2017</v>
      </c>
      <c r="C48" s="59">
        <f>[2]ISO!R38</f>
        <v>93448164</v>
      </c>
      <c r="D48" s="18"/>
      <c r="E48" s="29">
        <f>'6.4'!E48</f>
        <v>1.102499999999994</v>
      </c>
      <c r="F48" s="26">
        <f t="shared" si="4"/>
        <v>103026600.80999944</v>
      </c>
      <c r="G48" s="59">
        <f>[2]ISO!W38</f>
        <v>128790753</v>
      </c>
      <c r="H48" s="37">
        <f>ROUND(G48/F48,3)</f>
        <v>1.25</v>
      </c>
      <c r="I48" s="21"/>
      <c r="K48" s="2"/>
      <c r="L48" s="36">
        <f>'6.4'!L50</f>
        <v>45291</v>
      </c>
      <c r="M48" s="36">
        <f>'6.4'!M50</f>
        <v>45291</v>
      </c>
      <c r="N48" t="s">
        <v>217</v>
      </c>
      <c r="O48" s="22"/>
      <c r="P48" s="29"/>
    </row>
    <row r="49" spans="1:16" x14ac:dyDescent="0.2">
      <c r="A49" s="22">
        <v>2018</v>
      </c>
      <c r="C49" s="59">
        <f>[2]ISO!R39</f>
        <v>96212608</v>
      </c>
      <c r="E49" s="29">
        <f>'6.4'!E49</f>
        <v>1.0755512293710299</v>
      </c>
      <c r="F49" s="26">
        <f t="shared" si="4"/>
        <v>103481588.81539299</v>
      </c>
      <c r="G49" s="59">
        <f>[2]ISO!W39</f>
        <v>14268532</v>
      </c>
      <c r="H49" s="37">
        <f t="shared" si="5"/>
        <v>0.13800000000000001</v>
      </c>
      <c r="I49" s="21"/>
      <c r="K49" s="2"/>
      <c r="O49" s="22"/>
      <c r="P49" s="29"/>
    </row>
    <row r="50" spans="1:16" x14ac:dyDescent="0.2">
      <c r="A50" s="22">
        <v>2019</v>
      </c>
      <c r="C50" s="59">
        <f>[2]ISO!R40</f>
        <v>96321965</v>
      </c>
      <c r="E50" s="29">
        <f>'6.4'!E50</f>
        <v>1.049999999999998</v>
      </c>
      <c r="F50" s="26">
        <f>C50*E50</f>
        <v>101138063.24999981</v>
      </c>
      <c r="G50" s="59">
        <f>[2]ISO!W40</f>
        <v>17258166</v>
      </c>
      <c r="H50" s="37">
        <f t="shared" si="5"/>
        <v>0.17100000000000001</v>
      </c>
      <c r="I50" s="21"/>
      <c r="K50" s="2"/>
      <c r="O50" s="22"/>
      <c r="P50" s="29"/>
    </row>
    <row r="51" spans="1:16" x14ac:dyDescent="0.2">
      <c r="A51" s="22">
        <v>2020</v>
      </c>
      <c r="C51" s="59">
        <f>[2]ISO!R41</f>
        <v>100503267</v>
      </c>
      <c r="E51" s="29">
        <f>'6.4'!E51</f>
        <v>1.0499999999999974</v>
      </c>
      <c r="F51" s="26">
        <f>C51*E51</f>
        <v>105528430.34999974</v>
      </c>
      <c r="G51" s="59">
        <f>[2]ISO!W41</f>
        <v>26805567</v>
      </c>
      <c r="H51" s="37">
        <f t="shared" si="5"/>
        <v>0.254</v>
      </c>
      <c r="I51" s="21"/>
      <c r="K51" s="2"/>
      <c r="O51" s="22"/>
      <c r="P51" s="29"/>
    </row>
    <row r="52" spans="1:16" x14ac:dyDescent="0.2">
      <c r="A52" s="22">
        <v>2021</v>
      </c>
      <c r="C52" s="59">
        <f>[2]ISO!R42</f>
        <v>106850988</v>
      </c>
      <c r="E52" s="29">
        <f>'6.4'!E52</f>
        <v>1.0499999999999947</v>
      </c>
      <c r="F52" s="26">
        <f>C52*E52</f>
        <v>112193537.39999944</v>
      </c>
      <c r="G52" s="59">
        <f>[2]ISO!W42</f>
        <v>26116610</v>
      </c>
      <c r="H52" s="37">
        <f>ROUND(G52/F52,3)</f>
        <v>0.23300000000000001</v>
      </c>
      <c r="I52" s="21"/>
      <c r="K52" s="2"/>
      <c r="O52" s="22"/>
      <c r="P52" s="29"/>
    </row>
    <row r="53" spans="1:16" x14ac:dyDescent="0.2">
      <c r="A53" s="22">
        <v>2022</v>
      </c>
      <c r="C53" s="59">
        <f>[2]ISO!R43</f>
        <v>123023200</v>
      </c>
      <c r="E53" s="29">
        <f>'6.4'!E53</f>
        <v>1.0224475776595738</v>
      </c>
      <c r="F53" s="26">
        <f>C53*E53</f>
        <v>125784772.83592929</v>
      </c>
      <c r="G53" s="59">
        <f>[2]ISO!W43</f>
        <v>14112407</v>
      </c>
      <c r="H53" s="37">
        <f>ROUND(G53/F53,3)</f>
        <v>0.112</v>
      </c>
      <c r="I53" s="21"/>
      <c r="K53" s="2"/>
      <c r="O53" s="22"/>
      <c r="P53" s="29"/>
    </row>
    <row r="54" spans="1:16" x14ac:dyDescent="0.2">
      <c r="A54" s="22">
        <v>2023</v>
      </c>
      <c r="C54" s="59">
        <f>[2]ISO!R44</f>
        <v>144097558</v>
      </c>
      <c r="E54" s="29">
        <f>'6.4'!E54</f>
        <v>1</v>
      </c>
      <c r="F54" s="26">
        <f>C54*E54</f>
        <v>144097558</v>
      </c>
      <c r="G54" s="59">
        <f>[2]ISO!W44</f>
        <v>14768794</v>
      </c>
      <c r="H54" s="37">
        <f>ROUND(G54/F54,3)</f>
        <v>0.10199999999999999</v>
      </c>
      <c r="I54" s="21"/>
      <c r="K54" s="2"/>
      <c r="O54" s="22"/>
      <c r="P54" s="29"/>
    </row>
    <row r="55" spans="1:16" x14ac:dyDescent="0.2">
      <c r="A55" s="206"/>
      <c r="B55" s="206"/>
      <c r="C55" s="206"/>
      <c r="D55" s="206"/>
      <c r="E55" s="206"/>
      <c r="F55" s="206"/>
      <c r="G55" s="206"/>
      <c r="H55" s="206"/>
      <c r="K55" s="2"/>
      <c r="O55" s="22"/>
      <c r="P55" s="29"/>
    </row>
    <row r="56" spans="1:16" x14ac:dyDescent="0.2">
      <c r="A56" t="s">
        <v>7</v>
      </c>
      <c r="C56" s="46">
        <f>SUM(C14:C55)</f>
        <v>2115565908</v>
      </c>
      <c r="D56" s="46"/>
      <c r="E56" s="21"/>
      <c r="F56" s="46">
        <f>SUM(F14:F55)</f>
        <v>3456598284.5584822</v>
      </c>
      <c r="G56" s="46">
        <f>SUM(G14:G55)</f>
        <v>1098633321</v>
      </c>
      <c r="H56" s="21">
        <f>ROUND(G56/F56,3)</f>
        <v>0.318</v>
      </c>
      <c r="K56" s="2"/>
    </row>
    <row r="57" spans="1:16" ht="12" thickBot="1" x14ac:dyDescent="0.25">
      <c r="A57" s="6"/>
      <c r="B57" s="6"/>
      <c r="C57" s="6"/>
      <c r="D57" s="6"/>
      <c r="E57" s="6"/>
      <c r="F57" s="6"/>
      <c r="G57" s="6"/>
      <c r="H57" s="6"/>
      <c r="K57" s="2"/>
    </row>
    <row r="58" spans="1:16" ht="12" thickTop="1" x14ac:dyDescent="0.2">
      <c r="K58" s="2"/>
    </row>
    <row r="59" spans="1:16" x14ac:dyDescent="0.2">
      <c r="A59" t="s">
        <v>17</v>
      </c>
      <c r="K59" s="2"/>
    </row>
    <row r="60" spans="1:16" x14ac:dyDescent="0.2">
      <c r="B60" s="12" t="str">
        <f>C12&amp;" Provided by TDI. "&amp;A14&amp;" - "&amp;A26&amp;" are year ending "&amp;TEXT($L$47,"m/d/xx")&amp;" as of "&amp;TEXT($M$47,"m/d/yy")&amp;"; "&amp;A27&amp;" - "&amp;YEAR(L48)&amp;" are year ending "&amp;TEXT($L$48,"m/d/xx")&amp;" as of "&amp;TEXT($M$48,"m/d/yy")</f>
        <v>(2) Provided by TDI. 1983 - 1995 are year ending 9/30/xx as of 12/31/99; 1996 - 2023 are year ending 12/31/xx as of 12/31/23</v>
      </c>
      <c r="K60" s="2"/>
    </row>
    <row r="61" spans="1:16" x14ac:dyDescent="0.2">
      <c r="B61" s="12" t="str">
        <f>D12&amp;" Provided by TDI (1992 MR = 1992 manual rates)"</f>
        <v>(3) Provided by TDI (1992 MR = 1992 manual rates)</v>
      </c>
      <c r="C61" s="12"/>
      <c r="K61" s="2"/>
    </row>
    <row r="62" spans="1:16" x14ac:dyDescent="0.2">
      <c r="B62" s="12" t="str">
        <f>'6.4'!B62</f>
        <v>(4) Represents 8/1/80 through 6/30/23 rate changes for TWIA; factors assume uniform earning of written premium</v>
      </c>
      <c r="K62" s="2"/>
    </row>
    <row r="63" spans="1:16" x14ac:dyDescent="0.2">
      <c r="B63" s="12" t="str">
        <f>"      and that TWIA premium represents "&amp;TEXT(L32,"0.0%")&amp;" of industry data in "&amp;LEFT(A5,FIND("(",A5)-2)</f>
        <v xml:space="preserve">      and that TWIA premium represents 0.8% of industry data in Tier 2</v>
      </c>
      <c r="K63" s="2"/>
    </row>
    <row r="64" spans="1:16" x14ac:dyDescent="0.2">
      <c r="B64" s="12" t="str">
        <f>F12&amp;" = "&amp;D12&amp;" x "&amp;E12&amp;" for "&amp;A14&amp;" - "&amp;A23&amp;"; "&amp;C12&amp;" x "&amp;E12&amp;" for "&amp;A24&amp;" - "&amp;YEAR(M48)</f>
        <v>(5) = (3) x (4) for 1983 - 1992; (2) x (4) for 1993 - 2023</v>
      </c>
      <c r="K64" s="2"/>
    </row>
    <row r="65" spans="1:11" x14ac:dyDescent="0.2">
      <c r="B65" s="12" t="str">
        <f>'6.5'!B65</f>
        <v>(6) Provided by TDI. 1983 - 1995 are year ending 9/30/xx as of 12/31/99; 1996 - 2011 are year ending 12/31/xx as of 12/31/19</v>
      </c>
      <c r="D65" s="41"/>
      <c r="E65" s="41"/>
      <c r="F65" s="41"/>
      <c r="G65" s="21"/>
      <c r="I65" s="19"/>
      <c r="K65" s="2"/>
    </row>
    <row r="66" spans="1:11" x14ac:dyDescent="0.2">
      <c r="B66" s="12" t="str">
        <f>'6.5'!B66</f>
        <v xml:space="preserve">    2012 - 2023 are year ending 12/31/xx as of 12/31/23</v>
      </c>
      <c r="I66" s="19"/>
      <c r="K66" s="2"/>
    </row>
    <row r="67" spans="1:11" x14ac:dyDescent="0.2">
      <c r="B67" s="12" t="str">
        <f>'6.5'!B67</f>
        <v>(7) = (6) / (5)</v>
      </c>
      <c r="I67" s="19"/>
      <c r="K67" s="2"/>
    </row>
    <row r="68" spans="1:11" x14ac:dyDescent="0.2">
      <c r="A68" s="40"/>
      <c r="C68" s="18"/>
      <c r="D68" s="18"/>
      <c r="E68" s="19"/>
      <c r="F68" s="19"/>
      <c r="G68" s="19"/>
      <c r="H68" s="19"/>
      <c r="I68" s="19"/>
      <c r="K68" s="2"/>
    </row>
    <row r="69" spans="1:11" x14ac:dyDescent="0.2">
      <c r="A69" s="40"/>
      <c r="C69" s="18"/>
      <c r="D69" s="18"/>
      <c r="E69" s="19"/>
      <c r="F69" s="19"/>
      <c r="G69" s="19"/>
      <c r="H69" s="19"/>
      <c r="K69" s="2"/>
    </row>
    <row r="70" spans="1:11" ht="12" thickBot="1" x14ac:dyDescent="0.25">
      <c r="A70" s="40"/>
      <c r="C70" s="18"/>
      <c r="D70" s="18"/>
      <c r="E70" s="19"/>
      <c r="F70" s="19"/>
      <c r="G70" s="19"/>
      <c r="H70" s="19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tabColor rgb="FF00FF00"/>
  </sheetPr>
  <dimension ref="A1:U69"/>
  <sheetViews>
    <sheetView showGridLines="0" zoomScaleNormal="100" workbookViewId="0"/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  <col min="12" max="12" width="1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327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20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497</v>
      </c>
      <c r="B4" s="12"/>
      <c r="K4" s="2"/>
    </row>
    <row r="5" spans="1:12" x14ac:dyDescent="0.2">
      <c r="A5" t="s">
        <v>522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71" t="s">
        <v>94</v>
      </c>
      <c r="K9" s="2"/>
      <c r="L9" s="24"/>
    </row>
    <row r="10" spans="1:12" x14ac:dyDescent="0.2">
      <c r="C10" s="11" t="s">
        <v>95</v>
      </c>
      <c r="D10" s="11" t="s">
        <v>96</v>
      </c>
      <c r="E10" s="11" t="s">
        <v>99</v>
      </c>
      <c r="K10" s="2"/>
      <c r="L10" s="12" t="s">
        <v>116</v>
      </c>
    </row>
    <row r="11" spans="1:12" x14ac:dyDescent="0.2">
      <c r="A11" s="9" t="s">
        <v>93</v>
      </c>
      <c r="B11" s="9"/>
      <c r="C11" s="144" t="str">
        <f>"as of "&amp;TEXT($L$11,"m/d/yy")</f>
        <v>as of 11/30/23</v>
      </c>
      <c r="D11" s="144" t="s">
        <v>97</v>
      </c>
      <c r="E11" s="144" t="s">
        <v>98</v>
      </c>
      <c r="K11" s="2"/>
      <c r="L11" s="221">
        <f>'10.2'!J14</f>
        <v>45260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101</v>
      </c>
      <c r="C14" s="226">
        <f>ROUND('[2]Hurr Models'!E5/1000, 0)</f>
        <v>536224</v>
      </c>
      <c r="D14" s="154">
        <f>IFERROR(E14/C14,0)</f>
        <v>4.352387516597541</v>
      </c>
      <c r="E14" s="226">
        <f>'[2]Hurr Models'!K29</f>
        <v>2333854.6436999999</v>
      </c>
      <c r="K14" s="2"/>
    </row>
    <row r="15" spans="1:12" x14ac:dyDescent="0.2">
      <c r="A15" t="s">
        <v>102</v>
      </c>
      <c r="C15" s="226">
        <f>ROUND('[2]Hurr Models'!E6/1000, 0)</f>
        <v>878166</v>
      </c>
      <c r="D15" s="154">
        <f t="shared" ref="D15:D28" si="0">IFERROR(E15/C15,0)</f>
        <v>3.5649564658618074</v>
      </c>
      <c r="E15" s="226">
        <f>'[2]Hurr Models'!K30</f>
        <v>3130623.5597999999</v>
      </c>
      <c r="K15" s="2"/>
    </row>
    <row r="16" spans="1:12" x14ac:dyDescent="0.2">
      <c r="A16" t="s">
        <v>103</v>
      </c>
      <c r="C16" s="226">
        <f>ROUND('[2]Hurr Models'!E7/1000, 0)</f>
        <v>165659</v>
      </c>
      <c r="D16" s="154">
        <f t="shared" si="0"/>
        <v>4.1794173881286261</v>
      </c>
      <c r="E16" s="226">
        <f>'[2]Hurr Models'!K31</f>
        <v>692358.10510000004</v>
      </c>
      <c r="K16" s="2"/>
    </row>
    <row r="17" spans="1:21" x14ac:dyDescent="0.2">
      <c r="A17" t="s">
        <v>104</v>
      </c>
      <c r="C17" s="226">
        <f>ROUND('[2]Hurr Models'!E8/1000, 0)</f>
        <v>1848471</v>
      </c>
      <c r="D17" s="154">
        <f t="shared" si="0"/>
        <v>5.2614202136252075</v>
      </c>
      <c r="E17" s="226">
        <f>'[2]Hurr Models'!K32</f>
        <v>9725582.6837000009</v>
      </c>
      <c r="K17" s="2"/>
    </row>
    <row r="18" spans="1:21" x14ac:dyDescent="0.2">
      <c r="A18" t="s">
        <v>105</v>
      </c>
      <c r="C18" s="226">
        <f>ROUND('[2]Hurr Models'!E9/1000, 0)</f>
        <v>96387</v>
      </c>
      <c r="D18" s="154">
        <f t="shared" si="0"/>
        <v>2.9185593939016674</v>
      </c>
      <c r="E18" s="226">
        <f>'[2]Hurr Models'!K33</f>
        <v>281311.18430000002</v>
      </c>
      <c r="K18" s="2"/>
    </row>
    <row r="19" spans="1:21" x14ac:dyDescent="0.2">
      <c r="A19" t="s">
        <v>106</v>
      </c>
      <c r="C19" s="226">
        <f>ROUND('[2]Hurr Models'!E10/1000, 0)</f>
        <v>3751783</v>
      </c>
      <c r="D19" s="154">
        <f t="shared" si="0"/>
        <v>10.911793258485366</v>
      </c>
      <c r="E19" s="226">
        <f>'[2]Hurr Models'!K34</f>
        <v>40938680.446699999</v>
      </c>
      <c r="K19" s="2"/>
    </row>
    <row r="20" spans="1:21" x14ac:dyDescent="0.2">
      <c r="A20" t="s">
        <v>107</v>
      </c>
      <c r="C20" s="226">
        <f>ROUND('[2]Hurr Models'!E11/1000, 0)</f>
        <v>229714</v>
      </c>
      <c r="D20" s="154">
        <f t="shared" si="0"/>
        <v>4.2662107006973891</v>
      </c>
      <c r="E20" s="226">
        <f>'[2]Hurr Models'!K35</f>
        <v>980008.32490000001</v>
      </c>
      <c r="K20" s="2"/>
    </row>
    <row r="21" spans="1:21" x14ac:dyDescent="0.2">
      <c r="A21" t="s">
        <v>108</v>
      </c>
      <c r="C21" s="226">
        <f>ROUND('[2]Hurr Models'!E12/1000, 0)</f>
        <v>1018540</v>
      </c>
      <c r="D21" s="154">
        <f t="shared" si="0"/>
        <v>2.8203365170734584</v>
      </c>
      <c r="E21" s="226">
        <f>'[2]Hurr Models'!K36</f>
        <v>2872625.5561000002</v>
      </c>
      <c r="K21" s="2"/>
    </row>
    <row r="22" spans="1:21" x14ac:dyDescent="0.2">
      <c r="A22" t="s">
        <v>109</v>
      </c>
      <c r="C22" s="226">
        <f>ROUND('[2]Hurr Models'!E13/1000, 0)</f>
        <v>0</v>
      </c>
      <c r="D22" s="154">
        <f t="shared" si="0"/>
        <v>0</v>
      </c>
      <c r="E22" s="226">
        <f>'[2]Hurr Models'!K37</f>
        <v>0</v>
      </c>
      <c r="K22" s="2"/>
    </row>
    <row r="23" spans="1:21" x14ac:dyDescent="0.2">
      <c r="A23" t="s">
        <v>110</v>
      </c>
      <c r="B23" s="12"/>
      <c r="C23" s="226">
        <f>ROUND('[2]Hurr Models'!E14/1000, 0)</f>
        <v>70660</v>
      </c>
      <c r="D23" s="154">
        <f t="shared" si="0"/>
        <v>1.67811425559015</v>
      </c>
      <c r="E23" s="226">
        <f>'[2]Hurr Models'!K38</f>
        <v>118575.5533</v>
      </c>
      <c r="K23" s="2"/>
    </row>
    <row r="24" spans="1:21" x14ac:dyDescent="0.2">
      <c r="A24" t="s">
        <v>111</v>
      </c>
      <c r="B24" s="12"/>
      <c r="C24" s="226">
        <f>ROUND('[2]Hurr Models'!E15/1000, 0)</f>
        <v>154472</v>
      </c>
      <c r="D24" s="154">
        <f t="shared" si="0"/>
        <v>4.2027402519550465</v>
      </c>
      <c r="E24" s="226">
        <f>'[2]Hurr Models'!K39</f>
        <v>649205.69219999993</v>
      </c>
      <c r="K24" s="2"/>
    </row>
    <row r="25" spans="1:21" x14ac:dyDescent="0.2">
      <c r="A25" t="s">
        <v>112</v>
      </c>
      <c r="B25" s="12"/>
      <c r="C25" s="226">
        <f>ROUND('[2]Hurr Models'!E16/1000, 0)</f>
        <v>3830431</v>
      </c>
      <c r="D25" s="154">
        <f t="shared" si="0"/>
        <v>4.7306747708547681</v>
      </c>
      <c r="E25" s="226">
        <f>'[2]Hurr Models'!K40</f>
        <v>18120523.293200001</v>
      </c>
      <c r="K25" s="2"/>
      <c r="M25" s="18"/>
      <c r="N25" s="18"/>
      <c r="O25" s="18"/>
    </row>
    <row r="26" spans="1:21" x14ac:dyDescent="0.2">
      <c r="A26" t="s">
        <v>113</v>
      </c>
      <c r="C26" s="226">
        <f>ROUND('[2]Hurr Models'!E17/1000, 0)</f>
        <v>21460</v>
      </c>
      <c r="D26" s="154">
        <f t="shared" si="0"/>
        <v>1.874101081081081</v>
      </c>
      <c r="E26" s="226">
        <f>'[2]Hurr Models'!K41</f>
        <v>40218.209199999998</v>
      </c>
      <c r="K26" s="2"/>
      <c r="M26" s="18"/>
      <c r="N26" s="18"/>
      <c r="O26" s="18"/>
    </row>
    <row r="27" spans="1:21" x14ac:dyDescent="0.2">
      <c r="A27" t="s">
        <v>114</v>
      </c>
      <c r="C27" s="226">
        <f>ROUND('[2]Hurr Models'!E18/1000, 0)</f>
        <v>250473</v>
      </c>
      <c r="D27" s="154">
        <f t="shared" si="0"/>
        <v>2.8629096561306007</v>
      </c>
      <c r="E27" s="226">
        <f>'[2]Hurr Models'!K42</f>
        <v>717081.5702999999</v>
      </c>
      <c r="K27" s="2"/>
      <c r="M27" s="18"/>
      <c r="N27" s="18"/>
      <c r="O27" s="18"/>
    </row>
    <row r="28" spans="1:21" x14ac:dyDescent="0.2">
      <c r="A28" t="s">
        <v>115</v>
      </c>
      <c r="C28" s="226">
        <f>ROUND('[2]Hurr Models'!E19/1000, 0)</f>
        <v>25499</v>
      </c>
      <c r="D28" s="154">
        <f t="shared" si="0"/>
        <v>2.7656942978156005</v>
      </c>
      <c r="E28" s="226">
        <f>'[2]Hurr Models'!K43</f>
        <v>70522.438899999994</v>
      </c>
      <c r="K28" s="2"/>
      <c r="M28" s="18"/>
      <c r="N28" s="18"/>
      <c r="O28" s="18"/>
    </row>
    <row r="29" spans="1:21" x14ac:dyDescent="0.2">
      <c r="A29" s="9"/>
      <c r="B29" s="23"/>
      <c r="C29" s="25"/>
      <c r="D29" s="33"/>
      <c r="E29" s="27"/>
      <c r="K29" s="2"/>
    </row>
    <row r="30" spans="1:21" x14ac:dyDescent="0.2">
      <c r="C30" s="18"/>
      <c r="D30" s="18"/>
      <c r="E30" s="12"/>
      <c r="K30" s="2"/>
    </row>
    <row r="31" spans="1:21" x14ac:dyDescent="0.2">
      <c r="A31" t="s">
        <v>7</v>
      </c>
      <c r="C31" s="26">
        <f>SUM(C14:C28)</f>
        <v>12877939</v>
      </c>
      <c r="D31" s="154">
        <f t="shared" ref="D31" si="1">IFERROR(E31/C31,0)</f>
        <v>6.2642920782122049</v>
      </c>
      <c r="E31" s="26">
        <f>SUM(E14:E28)</f>
        <v>80671171.261399999</v>
      </c>
      <c r="K31" s="2"/>
      <c r="N31" s="13"/>
      <c r="O31" s="13"/>
      <c r="P31" s="13"/>
      <c r="Q31" s="13"/>
      <c r="R31" s="13"/>
      <c r="S31" s="13"/>
      <c r="T31" s="13"/>
      <c r="U31" s="13"/>
    </row>
    <row r="32" spans="1:21" x14ac:dyDescent="0.2">
      <c r="K32" s="2"/>
    </row>
    <row r="33" spans="1:21" x14ac:dyDescent="0.2">
      <c r="A33" s="40" t="s">
        <v>73</v>
      </c>
      <c r="B33" t="str">
        <f>"In-Force Premium as of "&amp;TEXT(L11,"mm/dd/yy")&amp;" at Present Rates"</f>
        <v>In-Force Premium as of 11/30/23 at Present Rates</v>
      </c>
      <c r="E33" s="226">
        <f>[2]PremIF!$D$22</f>
        <v>128411458</v>
      </c>
      <c r="K33" s="2"/>
      <c r="M33" s="22"/>
      <c r="N33" s="18"/>
      <c r="O33" s="18"/>
      <c r="P33" s="18"/>
      <c r="Q33" s="18"/>
      <c r="R33" s="19"/>
      <c r="S33" s="19"/>
      <c r="T33" s="19"/>
      <c r="U33" s="19"/>
    </row>
    <row r="34" spans="1:21" x14ac:dyDescent="0.2">
      <c r="A34" s="40" t="s">
        <v>77</v>
      </c>
      <c r="B34" t="s">
        <v>100</v>
      </c>
      <c r="E34" s="19">
        <f>ROUND(E31/E33,3)</f>
        <v>0.628</v>
      </c>
      <c r="K34" s="2"/>
      <c r="L34" s="18"/>
      <c r="M34" s="22"/>
      <c r="N34" s="18"/>
      <c r="O34" s="18"/>
      <c r="P34" s="18"/>
      <c r="Q34" s="18"/>
      <c r="R34" s="19"/>
      <c r="S34" s="19"/>
      <c r="T34" s="19"/>
      <c r="U34" s="19"/>
    </row>
    <row r="35" spans="1:21" ht="12" thickBot="1" x14ac:dyDescent="0.25">
      <c r="A35" s="6"/>
      <c r="B35" s="6"/>
      <c r="C35" s="6"/>
      <c r="D35" s="6"/>
      <c r="E35" s="6"/>
      <c r="K35" s="2"/>
    </row>
    <row r="36" spans="1:21" ht="12" thickTop="1" x14ac:dyDescent="0.2">
      <c r="K36" s="2"/>
    </row>
    <row r="37" spans="1:21" x14ac:dyDescent="0.2">
      <c r="A37" t="s">
        <v>17</v>
      </c>
      <c r="K37" s="2"/>
    </row>
    <row r="38" spans="1:21" x14ac:dyDescent="0.2">
      <c r="B38" s="12" t="str">
        <f>C12&amp;" Provided by TWIA and geo-coded by Verisk"</f>
        <v>(2) Provided by TWIA and geo-coded by Verisk</v>
      </c>
      <c r="K38" s="2"/>
    </row>
    <row r="39" spans="1:21" x14ac:dyDescent="0.2">
      <c r="B39" s="12" t="str">
        <f>D12&amp;" = "&amp;E12&amp;" / "&amp;C12</f>
        <v>(3) = (4) / (2)</v>
      </c>
      <c r="K39" s="2"/>
      <c r="Q39" s="18"/>
    </row>
    <row r="40" spans="1:21" x14ac:dyDescent="0.2">
      <c r="B40" s="12" t="str">
        <f>E12&amp;" Provided by Verisk"&amp;" using Verisk Touchstone v10 (versus Verisk Touchstone v9 for prior year results)"</f>
        <v>(4) Provided by Verisk using Verisk Touchstone v10 (versus Verisk Touchstone v9 for prior year results)</v>
      </c>
      <c r="F40" s="41"/>
      <c r="G40" s="21"/>
      <c r="H40" s="21"/>
      <c r="K40" s="2"/>
      <c r="Q40" s="18"/>
    </row>
    <row r="41" spans="1:21" x14ac:dyDescent="0.2">
      <c r="B41" s="12" t="str">
        <f>A33&amp;" Provided by TWIA"</f>
        <v>(5) Provided by TWIA</v>
      </c>
      <c r="K41" s="2"/>
    </row>
    <row r="42" spans="1:21" x14ac:dyDescent="0.2">
      <c r="B42" s="12" t="str">
        <f>A34&amp;" = "&amp;E12&amp;" Total / "&amp;A33&amp;""</f>
        <v>(6) = (4) Total / (5)</v>
      </c>
      <c r="K42" s="2"/>
    </row>
    <row r="43" spans="1:21" x14ac:dyDescent="0.2">
      <c r="K43" s="2"/>
    </row>
    <row r="44" spans="1:21" x14ac:dyDescent="0.2">
      <c r="K44" s="2"/>
    </row>
    <row r="45" spans="1:21" x14ac:dyDescent="0.2">
      <c r="K45" s="2"/>
    </row>
    <row r="46" spans="1:21" x14ac:dyDescent="0.2">
      <c r="K46" s="2"/>
    </row>
    <row r="47" spans="1:21" x14ac:dyDescent="0.2">
      <c r="K47" s="2"/>
    </row>
    <row r="48" spans="1:2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x14ac:dyDescent="0.2">
      <c r="K62" s="2"/>
    </row>
    <row r="63" spans="1:11" x14ac:dyDescent="0.2">
      <c r="A63" s="40"/>
      <c r="C63" s="31"/>
      <c r="D63" s="31"/>
      <c r="E63" s="31"/>
      <c r="F63" s="31"/>
      <c r="G63" s="18"/>
      <c r="H63" s="18"/>
      <c r="I63" s="18"/>
      <c r="K63" s="2"/>
    </row>
    <row r="64" spans="1:11" x14ac:dyDescent="0.2">
      <c r="A64" s="40"/>
      <c r="C64" s="19"/>
      <c r="D64" s="19"/>
      <c r="E64" s="19"/>
      <c r="F64" s="19"/>
      <c r="G64" s="19"/>
      <c r="H64" s="19"/>
      <c r="I64" s="19"/>
      <c r="K64" s="2"/>
    </row>
    <row r="65" spans="1:11" x14ac:dyDescent="0.2">
      <c r="B65" s="22"/>
      <c r="C65" s="41"/>
      <c r="D65" s="41"/>
      <c r="E65" s="41"/>
      <c r="F65" s="41"/>
      <c r="G65" s="21"/>
      <c r="H65" s="21"/>
      <c r="K65" s="2"/>
    </row>
    <row r="66" spans="1:11" x14ac:dyDescent="0.2">
      <c r="B66" s="22"/>
      <c r="C66" s="41"/>
      <c r="D66" s="41"/>
      <c r="E66" s="41"/>
      <c r="F66" s="41"/>
      <c r="G66" s="21"/>
      <c r="H66" s="21"/>
      <c r="K66" s="2"/>
    </row>
    <row r="67" spans="1:11" x14ac:dyDescent="0.2">
      <c r="B67" s="22"/>
      <c r="C67" s="41"/>
      <c r="D67" s="41"/>
      <c r="E67" s="41"/>
      <c r="F67" s="41"/>
      <c r="G67" s="21"/>
      <c r="H67" s="21"/>
      <c r="K67" s="2"/>
    </row>
    <row r="68" spans="1:11" ht="12" thickBot="1" x14ac:dyDescent="0.25">
      <c r="B68" s="22"/>
      <c r="C68" s="41"/>
      <c r="D68" s="41"/>
      <c r="E68" s="41"/>
      <c r="F68" s="41"/>
      <c r="G68" s="21"/>
      <c r="H68" s="21"/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>
    <tabColor rgb="FF00FF00"/>
  </sheetPr>
  <dimension ref="A1:L69"/>
  <sheetViews>
    <sheetView showGridLines="0" zoomScaleNormal="100" workbookViewId="0"/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327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58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120</v>
      </c>
      <c r="B4" s="12"/>
      <c r="K4" s="2"/>
    </row>
    <row r="5" spans="1:12" x14ac:dyDescent="0.2">
      <c r="A5" t="s">
        <v>523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71" t="s">
        <v>94</v>
      </c>
      <c r="D9" s="11"/>
      <c r="E9" s="11"/>
      <c r="K9" s="2"/>
      <c r="L9" s="24"/>
    </row>
    <row r="10" spans="1:12" x14ac:dyDescent="0.2">
      <c r="C10" s="11" t="s">
        <v>95</v>
      </c>
      <c r="D10" s="11" t="s">
        <v>96</v>
      </c>
      <c r="E10" s="11" t="s">
        <v>99</v>
      </c>
      <c r="K10" s="2"/>
      <c r="L10" s="12" t="s">
        <v>116</v>
      </c>
    </row>
    <row r="11" spans="1:12" x14ac:dyDescent="0.2">
      <c r="A11" s="9" t="s">
        <v>93</v>
      </c>
      <c r="B11" s="9"/>
      <c r="C11" s="144" t="str">
        <f>"as of "&amp;TEXT($L$11,"m/d/yy")</f>
        <v>as of 11/30/23</v>
      </c>
      <c r="D11" s="144" t="s">
        <v>97</v>
      </c>
      <c r="E11" s="144" t="s">
        <v>98</v>
      </c>
      <c r="K11" s="2"/>
      <c r="L11" s="36">
        <f>'7.1'!L11</f>
        <v>45260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101</v>
      </c>
      <c r="C14" s="18">
        <f>'7.1'!C14</f>
        <v>536224</v>
      </c>
      <c r="D14" s="154">
        <f>IFERROR(E14/C14,0)</f>
        <v>4.8731371630139639</v>
      </c>
      <c r="E14" s="226">
        <f>'[2]Hurr Models'!K5</f>
        <v>2613093.1020999998</v>
      </c>
      <c r="K14" s="2"/>
    </row>
    <row r="15" spans="1:12" x14ac:dyDescent="0.2">
      <c r="A15" t="s">
        <v>102</v>
      </c>
      <c r="C15" s="18">
        <f>'7.1'!C15</f>
        <v>878166</v>
      </c>
      <c r="D15" s="154">
        <f t="shared" ref="D15:D28" si="0">IFERROR(E15/C15,0)</f>
        <v>4.1567320061355142</v>
      </c>
      <c r="E15" s="226">
        <f>'[2]Hurr Models'!K6</f>
        <v>3650300.7189000002</v>
      </c>
      <c r="K15" s="2"/>
    </row>
    <row r="16" spans="1:12" x14ac:dyDescent="0.2">
      <c r="A16" t="s">
        <v>103</v>
      </c>
      <c r="C16" s="18">
        <f>'7.1'!C16</f>
        <v>165659</v>
      </c>
      <c r="D16" s="154">
        <f t="shared" si="0"/>
        <v>6.1133766327214332</v>
      </c>
      <c r="E16" s="226">
        <f>'[2]Hurr Models'!K7</f>
        <v>1012735.8596</v>
      </c>
      <c r="K16" s="2"/>
    </row>
    <row r="17" spans="1:11" x14ac:dyDescent="0.2">
      <c r="A17" t="s">
        <v>104</v>
      </c>
      <c r="C17" s="18">
        <f>'7.1'!C17</f>
        <v>1848471</v>
      </c>
      <c r="D17" s="154">
        <f t="shared" si="0"/>
        <v>6.0193998187691342</v>
      </c>
      <c r="E17" s="226">
        <f>'[2]Hurr Models'!K8</f>
        <v>11126686.0024</v>
      </c>
      <c r="K17" s="2"/>
    </row>
    <row r="18" spans="1:11" x14ac:dyDescent="0.2">
      <c r="A18" t="s">
        <v>105</v>
      </c>
      <c r="C18" s="18">
        <f>'7.1'!C18</f>
        <v>96387</v>
      </c>
      <c r="D18" s="154">
        <f t="shared" si="0"/>
        <v>3.6072595941361389</v>
      </c>
      <c r="E18" s="226">
        <f>'[2]Hurr Models'!K9</f>
        <v>347692.93050000002</v>
      </c>
      <c r="K18" s="2"/>
    </row>
    <row r="19" spans="1:11" x14ac:dyDescent="0.2">
      <c r="A19" t="s">
        <v>106</v>
      </c>
      <c r="C19" s="18">
        <f>'7.1'!C19</f>
        <v>3751783</v>
      </c>
      <c r="D19" s="154">
        <f t="shared" si="0"/>
        <v>8.091467516085018</v>
      </c>
      <c r="E19" s="226">
        <f>'[2]Hurr Models'!K10</f>
        <v>30357430.271899998</v>
      </c>
      <c r="K19" s="2"/>
    </row>
    <row r="20" spans="1:11" x14ac:dyDescent="0.2">
      <c r="A20" t="s">
        <v>107</v>
      </c>
      <c r="C20" s="18">
        <f>'7.1'!C20</f>
        <v>229714</v>
      </c>
      <c r="D20" s="154">
        <f t="shared" si="0"/>
        <v>3.8695823023411724</v>
      </c>
      <c r="E20" s="226">
        <f>'[2]Hurr Models'!K11</f>
        <v>888897.22900000005</v>
      </c>
      <c r="K20" s="2"/>
    </row>
    <row r="21" spans="1:11" x14ac:dyDescent="0.2">
      <c r="A21" t="s">
        <v>108</v>
      </c>
      <c r="C21" s="18">
        <f>'7.1'!C21</f>
        <v>1018540</v>
      </c>
      <c r="D21" s="154">
        <f t="shared" si="0"/>
        <v>3.0431652968955563</v>
      </c>
      <c r="E21" s="226">
        <f>'[2]Hurr Models'!K12</f>
        <v>3099585.5814999999</v>
      </c>
      <c r="K21" s="2"/>
    </row>
    <row r="22" spans="1:11" x14ac:dyDescent="0.2">
      <c r="A22" t="s">
        <v>109</v>
      </c>
      <c r="C22" s="18">
        <f>'7.1'!C22</f>
        <v>0</v>
      </c>
      <c r="D22" s="154">
        <f t="shared" si="0"/>
        <v>0</v>
      </c>
      <c r="E22" s="226">
        <f>'[2]Hurr Models'!K13</f>
        <v>0</v>
      </c>
      <c r="K22" s="2"/>
    </row>
    <row r="23" spans="1:11" x14ac:dyDescent="0.2">
      <c r="A23" t="s">
        <v>110</v>
      </c>
      <c r="B23" s="12"/>
      <c r="C23" s="18">
        <f>'7.1'!C23</f>
        <v>70660</v>
      </c>
      <c r="D23" s="154">
        <f t="shared" si="0"/>
        <v>2.6160729564109824</v>
      </c>
      <c r="E23" s="226">
        <f>'[2]Hurr Models'!K14</f>
        <v>184851.7151</v>
      </c>
      <c r="K23" s="2"/>
    </row>
    <row r="24" spans="1:11" x14ac:dyDescent="0.2">
      <c r="A24" t="s">
        <v>111</v>
      </c>
      <c r="B24" s="12"/>
      <c r="C24" s="18">
        <f>'7.1'!C24</f>
        <v>154472</v>
      </c>
      <c r="D24" s="154">
        <f t="shared" si="0"/>
        <v>5.2623909964265367</v>
      </c>
      <c r="E24" s="226">
        <f>'[2]Hurr Models'!K15</f>
        <v>812892.06200000003</v>
      </c>
      <c r="K24" s="2"/>
    </row>
    <row r="25" spans="1:11" x14ac:dyDescent="0.2">
      <c r="A25" t="s">
        <v>112</v>
      </c>
      <c r="B25" s="12"/>
      <c r="C25" s="18">
        <f>'7.1'!C25</f>
        <v>3830431</v>
      </c>
      <c r="D25" s="154">
        <f t="shared" si="0"/>
        <v>5.0425129760071385</v>
      </c>
      <c r="E25" s="226">
        <f>'[2]Hurr Models'!K16</f>
        <v>19314998.021200001</v>
      </c>
      <c r="K25" s="2"/>
    </row>
    <row r="26" spans="1:11" x14ac:dyDescent="0.2">
      <c r="A26" t="s">
        <v>113</v>
      </c>
      <c r="C26" s="18">
        <f>'7.1'!C26</f>
        <v>21460</v>
      </c>
      <c r="D26" s="154">
        <f t="shared" si="0"/>
        <v>3.9225615983224604</v>
      </c>
      <c r="E26" s="226">
        <f>'[2]Hurr Models'!K17</f>
        <v>84178.171900000001</v>
      </c>
      <c r="K26" s="2"/>
    </row>
    <row r="27" spans="1:11" x14ac:dyDescent="0.2">
      <c r="A27" t="s">
        <v>114</v>
      </c>
      <c r="C27" s="18">
        <f>'7.1'!C27</f>
        <v>250473</v>
      </c>
      <c r="D27" s="154">
        <f t="shared" si="0"/>
        <v>4.0889461866149244</v>
      </c>
      <c r="E27" s="226">
        <f>'[2]Hurr Models'!K18</f>
        <v>1024170.6182</v>
      </c>
      <c r="K27" s="2"/>
    </row>
    <row r="28" spans="1:11" x14ac:dyDescent="0.2">
      <c r="A28" t="s">
        <v>115</v>
      </c>
      <c r="C28" s="18">
        <f>'7.1'!C28</f>
        <v>25499</v>
      </c>
      <c r="D28" s="154">
        <f t="shared" si="0"/>
        <v>3.9471177261853407</v>
      </c>
      <c r="E28" s="226">
        <f>'[2]Hurr Models'!K19</f>
        <v>100647.5549</v>
      </c>
      <c r="K28" s="2"/>
    </row>
    <row r="29" spans="1:11" x14ac:dyDescent="0.2">
      <c r="A29" s="9"/>
      <c r="B29" s="23"/>
      <c r="C29" s="25"/>
      <c r="D29" s="33"/>
      <c r="E29" s="27"/>
      <c r="K29" s="2"/>
    </row>
    <row r="30" spans="1:11" x14ac:dyDescent="0.2">
      <c r="C30" s="18"/>
      <c r="D30" s="18"/>
      <c r="E30" s="12"/>
      <c r="K30" s="2"/>
    </row>
    <row r="31" spans="1:11" x14ac:dyDescent="0.2">
      <c r="A31" t="s">
        <v>7</v>
      </c>
      <c r="C31" s="26">
        <f>SUM(C14:C28)</f>
        <v>12877939</v>
      </c>
      <c r="D31" s="154">
        <f t="shared" ref="D31" si="1">IFERROR(E31/C31,0)</f>
        <v>5.7942625632253737</v>
      </c>
      <c r="E31" s="26">
        <f>SUM(E14:E28)</f>
        <v>74618159.839200005</v>
      </c>
      <c r="K31" s="2"/>
    </row>
    <row r="32" spans="1:11" x14ac:dyDescent="0.2">
      <c r="K32" s="2"/>
    </row>
    <row r="33" spans="1:11" x14ac:dyDescent="0.2">
      <c r="A33" s="40" t="s">
        <v>73</v>
      </c>
      <c r="B33" t="str">
        <f>'7.1'!B33</f>
        <v>In-Force Premium as of 11/30/23 at Present Rates</v>
      </c>
      <c r="E33" s="18">
        <f>'7.1'!E33</f>
        <v>128411458</v>
      </c>
      <c r="K33" s="2"/>
    </row>
    <row r="34" spans="1:11" x14ac:dyDescent="0.2">
      <c r="A34" s="40" t="s">
        <v>77</v>
      </c>
      <c r="B34" t="s">
        <v>100</v>
      </c>
      <c r="E34" s="19">
        <f>ROUND(E31/E33,3)</f>
        <v>0.58099999999999996</v>
      </c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17</v>
      </c>
      <c r="K37" s="2"/>
    </row>
    <row r="38" spans="1:11" x14ac:dyDescent="0.2">
      <c r="B38" s="12" t="str">
        <f>C12&amp;" Provided by TWIA and geo-coded by RMS"</f>
        <v>(2) Provided by TWIA and geo-coded by RMS</v>
      </c>
      <c r="K38" s="2"/>
    </row>
    <row r="39" spans="1:11" x14ac:dyDescent="0.2">
      <c r="B39" s="12" t="str">
        <f>D12&amp;" = "&amp;E12&amp;" / "&amp;C12</f>
        <v>(3) = (4) / (2)</v>
      </c>
      <c r="K39" s="2"/>
    </row>
    <row r="40" spans="1:11" x14ac:dyDescent="0.2">
      <c r="B40" s="12" t="str">
        <f>E12&amp;" Provided by RMS"&amp;" using RMS RiskLink v23 (versus RMS RiskLink v21 for prior year results)"</f>
        <v>(4) Provided by RMS using RMS RiskLink v23 (versus RMS RiskLink v21 for prior year results)</v>
      </c>
      <c r="F40" s="41"/>
      <c r="G40" s="41"/>
      <c r="H40" s="41"/>
      <c r="K40" s="2"/>
    </row>
    <row r="41" spans="1:11" x14ac:dyDescent="0.2">
      <c r="B41" s="12" t="str">
        <f>A33&amp;" Provided by TWIA"</f>
        <v>(5) Provided by TWIA</v>
      </c>
      <c r="K41" s="2"/>
    </row>
    <row r="42" spans="1:11" x14ac:dyDescent="0.2">
      <c r="B42" s="12" t="str">
        <f>A34&amp;" = "&amp;E12&amp;" Total / "&amp;A33</f>
        <v>(6) = (4) Total / (5)</v>
      </c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A55" s="40"/>
      <c r="C55" s="31"/>
      <c r="D55" s="31"/>
      <c r="E55" s="31"/>
      <c r="F55" s="31"/>
      <c r="G55" s="31"/>
      <c r="H55" s="31"/>
      <c r="I55" s="18"/>
      <c r="K55" s="2"/>
    </row>
    <row r="56" spans="1:11" x14ac:dyDescent="0.2">
      <c r="A56" s="40"/>
      <c r="C56" s="31"/>
      <c r="D56" s="31"/>
      <c r="E56" s="31"/>
      <c r="F56" s="31"/>
      <c r="G56" s="31"/>
      <c r="H56" s="31"/>
      <c r="I56" s="18"/>
      <c r="K56" s="2"/>
    </row>
    <row r="57" spans="1:11" x14ac:dyDescent="0.2">
      <c r="A57" s="40"/>
      <c r="C57" s="31"/>
      <c r="D57" s="31"/>
      <c r="E57" s="31"/>
      <c r="F57" s="31"/>
      <c r="G57" s="31"/>
      <c r="H57" s="31"/>
      <c r="I57" s="18"/>
      <c r="K57" s="2"/>
    </row>
    <row r="58" spans="1:11" x14ac:dyDescent="0.2">
      <c r="A58" s="40"/>
      <c r="C58" s="31"/>
      <c r="D58" s="31"/>
      <c r="E58" s="31"/>
      <c r="F58" s="31"/>
      <c r="G58" s="31"/>
      <c r="H58" s="31"/>
      <c r="I58" s="18"/>
      <c r="K58" s="2"/>
    </row>
    <row r="59" spans="1:11" x14ac:dyDescent="0.2">
      <c r="A59" s="40"/>
      <c r="C59" s="31"/>
      <c r="D59" s="31"/>
      <c r="E59" s="31"/>
      <c r="F59" s="31"/>
      <c r="G59" s="31"/>
      <c r="H59" s="31"/>
      <c r="I59" s="18"/>
      <c r="K59" s="2"/>
    </row>
    <row r="60" spans="1:11" x14ac:dyDescent="0.2">
      <c r="A60" s="40"/>
      <c r="C60" s="31"/>
      <c r="D60" s="31"/>
      <c r="E60" s="31"/>
      <c r="F60" s="31"/>
      <c r="G60" s="31"/>
      <c r="H60" s="31"/>
      <c r="I60" s="18"/>
      <c r="K60" s="2"/>
    </row>
    <row r="61" spans="1:11" x14ac:dyDescent="0.2">
      <c r="A61" s="40"/>
      <c r="C61" s="31"/>
      <c r="D61" s="31"/>
      <c r="E61" s="31"/>
      <c r="F61" s="31"/>
      <c r="G61" s="31"/>
      <c r="H61" s="31"/>
      <c r="I61" s="18"/>
      <c r="K61" s="2"/>
    </row>
    <row r="62" spans="1:11" x14ac:dyDescent="0.2">
      <c r="A62" s="40"/>
      <c r="C62" s="31"/>
      <c r="D62" s="31"/>
      <c r="E62" s="31"/>
      <c r="F62" s="31"/>
      <c r="G62" s="31"/>
      <c r="H62" s="31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41"/>
      <c r="G64" s="41"/>
      <c r="H64" s="41"/>
      <c r="K64" s="2"/>
    </row>
    <row r="65" spans="1:11" x14ac:dyDescent="0.2">
      <c r="B65" s="22"/>
      <c r="C65" s="41"/>
      <c r="D65" s="41"/>
      <c r="E65" s="41"/>
      <c r="F65" s="41"/>
      <c r="G65" s="41"/>
      <c r="H65" s="41"/>
      <c r="K65" s="2"/>
    </row>
    <row r="66" spans="1:11" x14ac:dyDescent="0.2">
      <c r="B66" s="22"/>
      <c r="C66" s="41"/>
      <c r="D66" s="41"/>
      <c r="E66" s="41"/>
      <c r="F66" s="41"/>
      <c r="G66" s="41"/>
      <c r="H66" s="41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1126-2BF2-44C8-BCA0-E688876B7BE2}">
  <sheetPr>
    <tabColor rgb="FF00FF00"/>
  </sheetPr>
  <dimension ref="A1:L69"/>
  <sheetViews>
    <sheetView showGridLines="0" zoomScaleNormal="100" workbookViewId="0"/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327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60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492</v>
      </c>
      <c r="B4" s="12"/>
      <c r="K4" s="2"/>
    </row>
    <row r="5" spans="1:12" x14ac:dyDescent="0.2">
      <c r="A5" t="s">
        <v>524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71" t="s">
        <v>94</v>
      </c>
      <c r="D9" s="11"/>
      <c r="E9" s="11"/>
      <c r="K9" s="2"/>
      <c r="L9" s="24"/>
    </row>
    <row r="10" spans="1:12" x14ac:dyDescent="0.2">
      <c r="C10" s="11" t="s">
        <v>95</v>
      </c>
      <c r="D10" s="11" t="s">
        <v>96</v>
      </c>
      <c r="E10" s="11" t="s">
        <v>99</v>
      </c>
      <c r="K10" s="2"/>
      <c r="L10" s="12" t="s">
        <v>116</v>
      </c>
    </row>
    <row r="11" spans="1:12" x14ac:dyDescent="0.2">
      <c r="A11" s="9" t="s">
        <v>93</v>
      </c>
      <c r="B11" s="9"/>
      <c r="C11" s="144" t="str">
        <f>"as of "&amp;TEXT($L$11,"m/d/yy")</f>
        <v>as of 11/30/23</v>
      </c>
      <c r="D11" s="144" t="s">
        <v>97</v>
      </c>
      <c r="E11" s="144" t="s">
        <v>98</v>
      </c>
      <c r="K11" s="2"/>
      <c r="L11" s="36">
        <f>'7.2'!L11</f>
        <v>45260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101</v>
      </c>
      <c r="C14" s="18">
        <f>'7.1'!C14</f>
        <v>536224</v>
      </c>
      <c r="D14" s="154">
        <f>IFERROR(E14/C14,0)</f>
        <v>3.2452026312005433</v>
      </c>
      <c r="E14" s="226">
        <f>'[2]Hurr Models'!K50</f>
        <v>1740155.5357128801</v>
      </c>
      <c r="K14" s="2"/>
    </row>
    <row r="15" spans="1:12" x14ac:dyDescent="0.2">
      <c r="A15" t="s">
        <v>102</v>
      </c>
      <c r="C15" s="18">
        <f>'7.1'!C15</f>
        <v>878166</v>
      </c>
      <c r="D15" s="154">
        <f t="shared" ref="D15:D28" si="0">IFERROR(E15/C15,0)</f>
        <v>1.9901965295203525</v>
      </c>
      <c r="E15" s="226">
        <f>'[2]Hurr Models'!K51</f>
        <v>1747722.92554277</v>
      </c>
      <c r="K15" s="2"/>
    </row>
    <row r="16" spans="1:12" x14ac:dyDescent="0.2">
      <c r="A16" t="s">
        <v>103</v>
      </c>
      <c r="C16" s="18">
        <f>'7.1'!C16</f>
        <v>165659</v>
      </c>
      <c r="D16" s="154">
        <f t="shared" si="0"/>
        <v>2.6572973657073629</v>
      </c>
      <c r="E16" s="226">
        <f>'[2]Hurr Models'!K52</f>
        <v>440205.22430571599</v>
      </c>
      <c r="K16" s="2"/>
    </row>
    <row r="17" spans="1:11" x14ac:dyDescent="0.2">
      <c r="A17" t="s">
        <v>104</v>
      </c>
      <c r="C17" s="18">
        <f>'7.1'!C17</f>
        <v>1848471</v>
      </c>
      <c r="D17" s="154">
        <f t="shared" si="0"/>
        <v>3.0784446986180471</v>
      </c>
      <c r="E17" s="226">
        <f>'[2]Hurr Models'!K53</f>
        <v>5690415.7504992001</v>
      </c>
      <c r="K17" s="2"/>
    </row>
    <row r="18" spans="1:11" x14ac:dyDescent="0.2">
      <c r="A18" t="s">
        <v>105</v>
      </c>
      <c r="C18" s="18">
        <f>'7.1'!C18</f>
        <v>96387</v>
      </c>
      <c r="D18" s="154">
        <f t="shared" si="0"/>
        <v>1.7237372428482263</v>
      </c>
      <c r="E18" s="226">
        <f>'[2]Hurr Models'!K54</f>
        <v>166145.86162641199</v>
      </c>
      <c r="K18" s="2"/>
    </row>
    <row r="19" spans="1:11" x14ac:dyDescent="0.2">
      <c r="A19" t="s">
        <v>106</v>
      </c>
      <c r="C19" s="18">
        <f>'7.1'!C19</f>
        <v>3751783</v>
      </c>
      <c r="D19" s="154">
        <f t="shared" si="0"/>
        <v>2.8758067618637861</v>
      </c>
      <c r="E19" s="226">
        <f>'[2]Hurr Models'!K55</f>
        <v>10789402.920445601</v>
      </c>
      <c r="K19" s="2"/>
    </row>
    <row r="20" spans="1:11" x14ac:dyDescent="0.2">
      <c r="A20" t="s">
        <v>107</v>
      </c>
      <c r="C20" s="18">
        <f>'7.1'!C20</f>
        <v>229714</v>
      </c>
      <c r="D20" s="154">
        <f t="shared" si="0"/>
        <v>1.0991281175544974</v>
      </c>
      <c r="E20" s="226">
        <f>'[2]Hurr Models'!K56</f>
        <v>252485.11639591379</v>
      </c>
      <c r="K20" s="2"/>
    </row>
    <row r="21" spans="1:11" x14ac:dyDescent="0.2">
      <c r="A21" t="s">
        <v>108</v>
      </c>
      <c r="C21" s="18">
        <f>'7.1'!C21</f>
        <v>1018540</v>
      </c>
      <c r="D21" s="154">
        <f t="shared" si="0"/>
        <v>1.1842776305320213</v>
      </c>
      <c r="E21" s="226">
        <f>'[2]Hurr Models'!K57</f>
        <v>1206234.1378020849</v>
      </c>
      <c r="K21" s="2"/>
    </row>
    <row r="22" spans="1:11" x14ac:dyDescent="0.2">
      <c r="A22" t="s">
        <v>109</v>
      </c>
      <c r="C22" s="18">
        <f>'7.1'!C22</f>
        <v>0</v>
      </c>
      <c r="D22" s="154">
        <f t="shared" si="0"/>
        <v>0</v>
      </c>
      <c r="E22" s="226">
        <f>'[2]Hurr Models'!K58</f>
        <v>0</v>
      </c>
      <c r="K22" s="2"/>
    </row>
    <row r="23" spans="1:11" x14ac:dyDescent="0.2">
      <c r="A23" t="s">
        <v>110</v>
      </c>
      <c r="B23" s="12"/>
      <c r="C23" s="18">
        <f>'7.1'!C23</f>
        <v>70660</v>
      </c>
      <c r="D23" s="154">
        <f t="shared" si="0"/>
        <v>1.7919647530910983</v>
      </c>
      <c r="E23" s="226">
        <f>'[2]Hurr Models'!K59</f>
        <v>126620.22945341701</v>
      </c>
      <c r="K23" s="2"/>
    </row>
    <row r="24" spans="1:11" x14ac:dyDescent="0.2">
      <c r="A24" t="s">
        <v>111</v>
      </c>
      <c r="B24" s="12"/>
      <c r="C24" s="18">
        <f>'7.1'!C24</f>
        <v>154472</v>
      </c>
      <c r="D24" s="154">
        <f t="shared" si="0"/>
        <v>2.9626857172092809</v>
      </c>
      <c r="E24" s="226">
        <f>'[2]Hurr Models'!K60</f>
        <v>457651.98810875206</v>
      </c>
      <c r="K24" s="2"/>
    </row>
    <row r="25" spans="1:11" x14ac:dyDescent="0.2">
      <c r="A25" t="s">
        <v>112</v>
      </c>
      <c r="B25" s="12"/>
      <c r="C25" s="18">
        <f>'7.1'!C25</f>
        <v>3830431</v>
      </c>
      <c r="D25" s="154">
        <f t="shared" si="0"/>
        <v>3.1695071206444392</v>
      </c>
      <c r="E25" s="226">
        <f>'[2]Hurr Models'!K61</f>
        <v>12140578.3296372</v>
      </c>
      <c r="K25" s="2"/>
    </row>
    <row r="26" spans="1:11" x14ac:dyDescent="0.2">
      <c r="A26" t="s">
        <v>113</v>
      </c>
      <c r="C26" s="18">
        <f>'7.1'!C26</f>
        <v>21460</v>
      </c>
      <c r="D26" s="154">
        <f t="shared" si="0"/>
        <v>3.3898269495511091</v>
      </c>
      <c r="E26" s="226">
        <f>'[2]Hurr Models'!K62</f>
        <v>72745.686337366802</v>
      </c>
      <c r="K26" s="2"/>
    </row>
    <row r="27" spans="1:11" x14ac:dyDescent="0.2">
      <c r="A27" t="s">
        <v>114</v>
      </c>
      <c r="C27" s="18">
        <f>'7.1'!C27</f>
        <v>250473</v>
      </c>
      <c r="D27" s="154">
        <f t="shared" si="0"/>
        <v>2.4013395090460605</v>
      </c>
      <c r="E27" s="226">
        <f>'[2]Hurr Models'!K63</f>
        <v>601470.71084929397</v>
      </c>
      <c r="K27" s="2"/>
    </row>
    <row r="28" spans="1:11" x14ac:dyDescent="0.2">
      <c r="A28" t="s">
        <v>115</v>
      </c>
      <c r="C28" s="18">
        <f>'7.1'!C28</f>
        <v>25499</v>
      </c>
      <c r="D28" s="154">
        <f t="shared" si="0"/>
        <v>3.0590535696041372</v>
      </c>
      <c r="E28" s="226">
        <f>'[2]Hurr Models'!K64</f>
        <v>78002.8069713359</v>
      </c>
      <c r="K28" s="2"/>
    </row>
    <row r="29" spans="1:11" x14ac:dyDescent="0.2">
      <c r="A29" s="9"/>
      <c r="B29" s="23"/>
      <c r="C29" s="25"/>
      <c r="D29" s="33"/>
      <c r="E29" s="27"/>
      <c r="K29" s="2"/>
    </row>
    <row r="30" spans="1:11" x14ac:dyDescent="0.2">
      <c r="C30" s="18"/>
      <c r="D30" s="18"/>
      <c r="E30" s="12"/>
      <c r="K30" s="2"/>
    </row>
    <row r="31" spans="1:11" x14ac:dyDescent="0.2">
      <c r="A31" t="s">
        <v>7</v>
      </c>
      <c r="C31" s="26">
        <f>SUM(C14:C28)</f>
        <v>12877939</v>
      </c>
      <c r="D31" s="154">
        <f t="shared" ref="D31" si="1">IFERROR(E31/C31,0)</f>
        <v>2.7574161691314067</v>
      </c>
      <c r="E31" s="26">
        <f>SUM(E14:E28)</f>
        <v>35509837.223687939</v>
      </c>
      <c r="K31" s="2"/>
    </row>
    <row r="32" spans="1:11" x14ac:dyDescent="0.2">
      <c r="K32" s="2"/>
    </row>
    <row r="33" spans="1:11" x14ac:dyDescent="0.2">
      <c r="A33" s="40" t="s">
        <v>73</v>
      </c>
      <c r="B33" t="str">
        <f>'7.1'!B33</f>
        <v>In-Force Premium as of 11/30/23 at Present Rates</v>
      </c>
      <c r="E33" s="26">
        <f>'7.1'!E33</f>
        <v>128411458</v>
      </c>
      <c r="K33" s="2"/>
    </row>
    <row r="34" spans="1:11" x14ac:dyDescent="0.2">
      <c r="A34" s="40" t="s">
        <v>77</v>
      </c>
      <c r="B34" t="s">
        <v>100</v>
      </c>
      <c r="E34" s="19">
        <f>ROUND(E31/E33,3)</f>
        <v>0.27700000000000002</v>
      </c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17</v>
      </c>
      <c r="K37" s="2"/>
    </row>
    <row r="38" spans="1:11" x14ac:dyDescent="0.2">
      <c r="B38" s="12" t="str">
        <f>C12&amp;" Provided by TWIA and geo-coded by Impact Forecasting"</f>
        <v>(2) Provided by TWIA and geo-coded by Impact Forecasting</v>
      </c>
      <c r="K38" s="2"/>
    </row>
    <row r="39" spans="1:11" x14ac:dyDescent="0.2">
      <c r="B39" s="12" t="str">
        <f>D12&amp;" = "&amp;E12&amp;" / "&amp;C12</f>
        <v>(3) = (4) / (2)</v>
      </c>
      <c r="K39" s="2"/>
    </row>
    <row r="40" spans="1:11" x14ac:dyDescent="0.2">
      <c r="B40" s="12" t="str">
        <f>E12&amp;" Provided by Impact Forecasting"&amp;" using Impact Forecasting v18 (versus Impact Forecasting v15 for prior year results)"</f>
        <v>(4) Provided by Impact Forecasting using Impact Forecasting v18 (versus Impact Forecasting v15 for prior year results)</v>
      </c>
      <c r="F40" s="41"/>
      <c r="G40" s="41"/>
      <c r="H40" s="41"/>
      <c r="K40" s="2"/>
    </row>
    <row r="41" spans="1:11" x14ac:dyDescent="0.2">
      <c r="B41" s="12" t="str">
        <f>A33&amp;" Provided by TWIA"</f>
        <v>(5) Provided by TWIA</v>
      </c>
      <c r="K41" s="2"/>
    </row>
    <row r="42" spans="1:11" x14ac:dyDescent="0.2">
      <c r="B42" s="12" t="str">
        <f>A34&amp;" = "&amp;E12&amp;" Total / "&amp;A33</f>
        <v>(6) = (4) Total / (5)</v>
      </c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A55" s="40"/>
      <c r="C55" s="31"/>
      <c r="D55" s="31"/>
      <c r="E55" s="31"/>
      <c r="F55" s="31"/>
      <c r="G55" s="31"/>
      <c r="H55" s="31"/>
      <c r="I55" s="18"/>
      <c r="K55" s="2"/>
    </row>
    <row r="56" spans="1:11" x14ac:dyDescent="0.2">
      <c r="A56" s="40"/>
      <c r="C56" s="31"/>
      <c r="D56" s="31"/>
      <c r="E56" s="31"/>
      <c r="F56" s="31"/>
      <c r="G56" s="31"/>
      <c r="H56" s="31"/>
      <c r="I56" s="18"/>
      <c r="K56" s="2"/>
    </row>
    <row r="57" spans="1:11" x14ac:dyDescent="0.2">
      <c r="A57" s="40"/>
      <c r="C57" s="31"/>
      <c r="D57" s="31"/>
      <c r="E57" s="31"/>
      <c r="F57" s="31"/>
      <c r="G57" s="31"/>
      <c r="H57" s="31"/>
      <c r="I57" s="18"/>
      <c r="K57" s="2"/>
    </row>
    <row r="58" spans="1:11" x14ac:dyDescent="0.2">
      <c r="A58" s="40"/>
      <c r="C58" s="31"/>
      <c r="D58" s="31"/>
      <c r="E58" s="31"/>
      <c r="F58" s="31"/>
      <c r="G58" s="31"/>
      <c r="H58" s="31"/>
      <c r="I58" s="18"/>
      <c r="K58" s="2"/>
    </row>
    <row r="59" spans="1:11" x14ac:dyDescent="0.2">
      <c r="A59" s="40"/>
      <c r="C59" s="31"/>
      <c r="D59" s="31"/>
      <c r="E59" s="31"/>
      <c r="F59" s="31"/>
      <c r="G59" s="31"/>
      <c r="H59" s="31"/>
      <c r="I59" s="18"/>
      <c r="K59" s="2"/>
    </row>
    <row r="60" spans="1:11" x14ac:dyDescent="0.2">
      <c r="A60" s="40"/>
      <c r="C60" s="31"/>
      <c r="D60" s="31"/>
      <c r="E60" s="31"/>
      <c r="F60" s="31"/>
      <c r="G60" s="31"/>
      <c r="H60" s="31"/>
      <c r="I60" s="18"/>
      <c r="K60" s="2"/>
    </row>
    <row r="61" spans="1:11" x14ac:dyDescent="0.2">
      <c r="A61" s="40"/>
      <c r="C61" s="31"/>
      <c r="D61" s="31"/>
      <c r="E61" s="31"/>
      <c r="F61" s="31"/>
      <c r="G61" s="31"/>
      <c r="H61" s="31"/>
      <c r="I61" s="18"/>
      <c r="K61" s="2"/>
    </row>
    <row r="62" spans="1:11" x14ac:dyDescent="0.2">
      <c r="A62" s="40"/>
      <c r="C62" s="31"/>
      <c r="D62" s="31"/>
      <c r="E62" s="31"/>
      <c r="F62" s="31"/>
      <c r="G62" s="31"/>
      <c r="H62" s="31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41"/>
      <c r="G64" s="41"/>
      <c r="H64" s="41"/>
      <c r="K64" s="2"/>
    </row>
    <row r="65" spans="1:11" x14ac:dyDescent="0.2">
      <c r="B65" s="22"/>
      <c r="C65" s="41"/>
      <c r="D65" s="41"/>
      <c r="E65" s="41"/>
      <c r="F65" s="41"/>
      <c r="G65" s="41"/>
      <c r="H65" s="41"/>
      <c r="K65" s="2"/>
    </row>
    <row r="66" spans="1:11" x14ac:dyDescent="0.2">
      <c r="B66" s="22"/>
      <c r="C66" s="41"/>
      <c r="D66" s="41"/>
      <c r="E66" s="41"/>
      <c r="F66" s="41"/>
      <c r="G66" s="41"/>
      <c r="H66" s="41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33CB-D272-4269-B87C-F6001C425968}">
  <sheetPr>
    <tabColor rgb="FF00FF00"/>
  </sheetPr>
  <dimension ref="A1:L69"/>
  <sheetViews>
    <sheetView showGridLines="0" zoomScaleNormal="100" workbookViewId="0"/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327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61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490</v>
      </c>
      <c r="B4" s="12"/>
      <c r="K4" s="2"/>
    </row>
    <row r="5" spans="1:12" x14ac:dyDescent="0.2">
      <c r="A5" t="s">
        <v>525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71" t="s">
        <v>94</v>
      </c>
      <c r="D9" s="11"/>
      <c r="E9" s="11"/>
      <c r="K9" s="2"/>
      <c r="L9" s="24"/>
    </row>
    <row r="10" spans="1:12" x14ac:dyDescent="0.2">
      <c r="C10" s="11" t="s">
        <v>95</v>
      </c>
      <c r="D10" s="11" t="s">
        <v>96</v>
      </c>
      <c r="E10" s="11" t="s">
        <v>99</v>
      </c>
      <c r="K10" s="2"/>
      <c r="L10" s="12" t="s">
        <v>116</v>
      </c>
    </row>
    <row r="11" spans="1:12" x14ac:dyDescent="0.2">
      <c r="A11" s="9" t="s">
        <v>93</v>
      </c>
      <c r="B11" s="9"/>
      <c r="C11" s="144" t="str">
        <f>"as of "&amp;TEXT($L$11,"m/d/yy")</f>
        <v>as of 11/30/23</v>
      </c>
      <c r="D11" s="144" t="s">
        <v>97</v>
      </c>
      <c r="E11" s="144" t="s">
        <v>98</v>
      </c>
      <c r="K11" s="2"/>
      <c r="L11" s="36">
        <f>'7.3'!L11</f>
        <v>45260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101</v>
      </c>
      <c r="C14" s="18">
        <f>'7.1'!C14</f>
        <v>536224</v>
      </c>
      <c r="D14" s="154">
        <f>IFERROR(E14/C14,0)</f>
        <v>3.775319113756527</v>
      </c>
      <c r="E14" s="226">
        <f>'[2]Hurr Models'!K70</f>
        <v>2024416.71645498</v>
      </c>
      <c r="K14" s="2"/>
    </row>
    <row r="15" spans="1:12" x14ac:dyDescent="0.2">
      <c r="A15" t="s">
        <v>102</v>
      </c>
      <c r="C15" s="18">
        <f>'7.1'!C15</f>
        <v>878166</v>
      </c>
      <c r="D15" s="154">
        <f t="shared" ref="D15:D28" si="0">IFERROR(E15/C15,0)</f>
        <v>3.0765509857813287</v>
      </c>
      <c r="E15" s="226">
        <f>'[2]Hurr Models'!K71</f>
        <v>2701722.4729796462</v>
      </c>
      <c r="K15" s="2"/>
    </row>
    <row r="16" spans="1:12" x14ac:dyDescent="0.2">
      <c r="A16" t="s">
        <v>103</v>
      </c>
      <c r="C16" s="18">
        <f>'7.1'!C16</f>
        <v>165659</v>
      </c>
      <c r="D16" s="154">
        <f t="shared" si="0"/>
        <v>3.6326694296513504</v>
      </c>
      <c r="E16" s="226">
        <f>'[2]Hurr Models'!K72</f>
        <v>601784.38504661305</v>
      </c>
      <c r="K16" s="2"/>
    </row>
    <row r="17" spans="1:11" x14ac:dyDescent="0.2">
      <c r="A17" t="s">
        <v>104</v>
      </c>
      <c r="C17" s="18">
        <f>'7.1'!C17</f>
        <v>1848471</v>
      </c>
      <c r="D17" s="154">
        <f t="shared" si="0"/>
        <v>3.6582992684076192</v>
      </c>
      <c r="E17" s="226">
        <f>'[2]Hurr Models'!K73</f>
        <v>6762260.1069727</v>
      </c>
      <c r="K17" s="2"/>
    </row>
    <row r="18" spans="1:11" x14ac:dyDescent="0.2">
      <c r="A18" t="s">
        <v>105</v>
      </c>
      <c r="C18" s="18">
        <f>'7.1'!C18</f>
        <v>96387</v>
      </c>
      <c r="D18" s="154">
        <f t="shared" si="0"/>
        <v>2.9140708356885781</v>
      </c>
      <c r="E18" s="226">
        <f>'[2]Hurr Models'!K74</f>
        <v>280878.54563951498</v>
      </c>
      <c r="K18" s="2"/>
    </row>
    <row r="19" spans="1:11" x14ac:dyDescent="0.2">
      <c r="A19" t="s">
        <v>106</v>
      </c>
      <c r="C19" s="18">
        <f>'7.1'!C19</f>
        <v>3751783</v>
      </c>
      <c r="D19" s="154">
        <f t="shared" si="0"/>
        <v>5.9356554508662942</v>
      </c>
      <c r="E19" s="226">
        <f>'[2]Hurr Models'!K75</f>
        <v>22269291.214417499</v>
      </c>
      <c r="K19" s="2"/>
    </row>
    <row r="20" spans="1:11" x14ac:dyDescent="0.2">
      <c r="A20" t="s">
        <v>107</v>
      </c>
      <c r="C20" s="18">
        <f>'7.1'!C20</f>
        <v>229714</v>
      </c>
      <c r="D20" s="154">
        <f t="shared" si="0"/>
        <v>3.6444287337899572</v>
      </c>
      <c r="E20" s="226">
        <f>'[2]Hurr Models'!K76</f>
        <v>837176.30215382623</v>
      </c>
      <c r="K20" s="2"/>
    </row>
    <row r="21" spans="1:11" x14ac:dyDescent="0.2">
      <c r="A21" t="s">
        <v>108</v>
      </c>
      <c r="C21" s="18">
        <f>'7.1'!C21</f>
        <v>1018540</v>
      </c>
      <c r="D21" s="154">
        <f t="shared" si="0"/>
        <v>3.653200869206835</v>
      </c>
      <c r="E21" s="226">
        <f>'[2]Hurr Models'!K77</f>
        <v>3720931.2133219298</v>
      </c>
      <c r="K21" s="2"/>
    </row>
    <row r="22" spans="1:11" x14ac:dyDescent="0.2">
      <c r="A22" t="s">
        <v>109</v>
      </c>
      <c r="C22" s="18">
        <f>'7.1'!C22</f>
        <v>0</v>
      </c>
      <c r="D22" s="154">
        <f t="shared" si="0"/>
        <v>0</v>
      </c>
      <c r="E22" s="226">
        <f>'[2]Hurr Models'!K78</f>
        <v>0</v>
      </c>
      <c r="K22" s="2"/>
    </row>
    <row r="23" spans="1:11" x14ac:dyDescent="0.2">
      <c r="A23" t="s">
        <v>110</v>
      </c>
      <c r="B23" s="12"/>
      <c r="C23" s="18">
        <f>'7.1'!C23</f>
        <v>70660</v>
      </c>
      <c r="D23" s="154">
        <f t="shared" si="0"/>
        <v>2.1793329823693606</v>
      </c>
      <c r="E23" s="226">
        <f>'[2]Hurr Models'!K79</f>
        <v>153991.668534219</v>
      </c>
      <c r="K23" s="2"/>
    </row>
    <row r="24" spans="1:11" x14ac:dyDescent="0.2">
      <c r="A24" t="s">
        <v>111</v>
      </c>
      <c r="B24" s="12"/>
      <c r="C24" s="18">
        <f>'7.1'!C24</f>
        <v>154472</v>
      </c>
      <c r="D24" s="154">
        <f t="shared" si="0"/>
        <v>3.9713648913195825</v>
      </c>
      <c r="E24" s="226">
        <f>'[2]Hurr Models'!K80</f>
        <v>613464.67749191856</v>
      </c>
      <c r="K24" s="2"/>
    </row>
    <row r="25" spans="1:11" x14ac:dyDescent="0.2">
      <c r="A25" t="s">
        <v>112</v>
      </c>
      <c r="B25" s="12"/>
      <c r="C25" s="18">
        <f>'7.1'!C25</f>
        <v>3830431</v>
      </c>
      <c r="D25" s="154">
        <f t="shared" si="0"/>
        <v>3.326105280854426</v>
      </c>
      <c r="E25" s="226">
        <f>'[2]Hurr Models'!K81</f>
        <v>12740416.7770485</v>
      </c>
      <c r="K25" s="2"/>
    </row>
    <row r="26" spans="1:11" x14ac:dyDescent="0.2">
      <c r="A26" t="s">
        <v>113</v>
      </c>
      <c r="C26" s="18">
        <f>'7.1'!C26</f>
        <v>21460</v>
      </c>
      <c r="D26" s="154">
        <f t="shared" si="0"/>
        <v>2.4780960875810671</v>
      </c>
      <c r="E26" s="226">
        <f>'[2]Hurr Models'!K82</f>
        <v>53179.942039489702</v>
      </c>
      <c r="K26" s="2"/>
    </row>
    <row r="27" spans="1:11" x14ac:dyDescent="0.2">
      <c r="A27" t="s">
        <v>114</v>
      </c>
      <c r="C27" s="18">
        <f>'7.1'!C27</f>
        <v>250473</v>
      </c>
      <c r="D27" s="154">
        <f t="shared" si="0"/>
        <v>2.4211898709433526</v>
      </c>
      <c r="E27" s="226">
        <f>'[2]Hurr Models'!K83</f>
        <v>606442.69054479431</v>
      </c>
      <c r="K27" s="2"/>
    </row>
    <row r="28" spans="1:11" x14ac:dyDescent="0.2">
      <c r="A28" t="s">
        <v>115</v>
      </c>
      <c r="C28" s="18">
        <f>'7.1'!C28</f>
        <v>25499</v>
      </c>
      <c r="D28" s="154">
        <f t="shared" si="0"/>
        <v>2.7854243352902701</v>
      </c>
      <c r="E28" s="226">
        <f>'[2]Hurr Models'!K84</f>
        <v>71025.535125566603</v>
      </c>
      <c r="K28" s="2"/>
    </row>
    <row r="29" spans="1:11" x14ac:dyDescent="0.2">
      <c r="A29" s="9"/>
      <c r="B29" s="23"/>
      <c r="C29" s="25"/>
      <c r="D29" s="33"/>
      <c r="E29" s="27"/>
      <c r="K29" s="2"/>
    </row>
    <row r="30" spans="1:11" x14ac:dyDescent="0.2">
      <c r="C30" s="18"/>
      <c r="D30" s="18"/>
      <c r="E30" s="12"/>
      <c r="K30" s="2"/>
    </row>
    <row r="31" spans="1:11" x14ac:dyDescent="0.2">
      <c r="A31" t="s">
        <v>7</v>
      </c>
      <c r="C31" s="26">
        <f>SUM(C14:C28)</f>
        <v>12877939</v>
      </c>
      <c r="D31" s="154">
        <f t="shared" ref="D31" si="1">IFERROR(E31/C31,0)</f>
        <v>4.1494980095628033</v>
      </c>
      <c r="E31" s="26">
        <f>SUM(E14:E28)</f>
        <v>53436982.247771196</v>
      </c>
      <c r="K31" s="2"/>
    </row>
    <row r="32" spans="1:11" x14ac:dyDescent="0.2">
      <c r="K32" s="2"/>
    </row>
    <row r="33" spans="1:11" x14ac:dyDescent="0.2">
      <c r="A33" s="40" t="s">
        <v>73</v>
      </c>
      <c r="B33" t="str">
        <f>'7.1'!B33</f>
        <v>In-Force Premium as of 11/30/23 at Present Rates</v>
      </c>
      <c r="E33" s="26">
        <f>'7.1'!E33</f>
        <v>128411458</v>
      </c>
      <c r="K33" s="2"/>
    </row>
    <row r="34" spans="1:11" x14ac:dyDescent="0.2">
      <c r="A34" s="40" t="s">
        <v>77</v>
      </c>
      <c r="B34" t="s">
        <v>100</v>
      </c>
      <c r="E34" s="19">
        <f>ROUND(E31/E33,3)</f>
        <v>0.41599999999999998</v>
      </c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17</v>
      </c>
      <c r="K37" s="2"/>
    </row>
    <row r="38" spans="1:11" x14ac:dyDescent="0.2">
      <c r="B38" s="12" t="str">
        <f>C12&amp;" Provided by TWIA and geo-coded by CoreLogic RQE"</f>
        <v>(2) Provided by TWIA and geo-coded by CoreLogic RQE</v>
      </c>
      <c r="K38" s="2"/>
    </row>
    <row r="39" spans="1:11" x14ac:dyDescent="0.2">
      <c r="B39" s="12" t="str">
        <f>D12&amp;" = "&amp;E12&amp;" / "&amp;C12</f>
        <v>(3) = (4) / (2)</v>
      </c>
      <c r="K39" s="2"/>
    </row>
    <row r="40" spans="1:11" x14ac:dyDescent="0.2">
      <c r="B40" s="12" t="str">
        <f>E12&amp;" Provided by CoreLogic RQE"&amp;" using CoreLogic RQE v23 (versus CoreLogic RQE v21 for prior year results)"</f>
        <v>(4) Provided by CoreLogic RQE using CoreLogic RQE v23 (versus CoreLogic RQE v21 for prior year results)</v>
      </c>
      <c r="F40" s="41"/>
      <c r="G40" s="41"/>
      <c r="H40" s="41"/>
      <c r="K40" s="2"/>
    </row>
    <row r="41" spans="1:11" x14ac:dyDescent="0.2">
      <c r="B41" s="12" t="str">
        <f>A33&amp;" Provided by TWIA"</f>
        <v>(5) Provided by TWIA</v>
      </c>
      <c r="K41" s="2"/>
    </row>
    <row r="42" spans="1:11" x14ac:dyDescent="0.2">
      <c r="B42" s="12" t="str">
        <f>A34&amp;" = "&amp;E12&amp;" Total / "&amp;A33</f>
        <v>(6) = (4) Total / (5)</v>
      </c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A55" s="40"/>
      <c r="C55" s="31"/>
      <c r="D55" s="31"/>
      <c r="E55" s="31"/>
      <c r="F55" s="31"/>
      <c r="G55" s="31"/>
      <c r="H55" s="31"/>
      <c r="I55" s="18"/>
      <c r="K55" s="2"/>
    </row>
    <row r="56" spans="1:11" x14ac:dyDescent="0.2">
      <c r="A56" s="40"/>
      <c r="C56" s="31"/>
      <c r="D56" s="31"/>
      <c r="E56" s="31"/>
      <c r="F56" s="31"/>
      <c r="G56" s="31"/>
      <c r="H56" s="31"/>
      <c r="I56" s="18"/>
      <c r="K56" s="2"/>
    </row>
    <row r="57" spans="1:11" x14ac:dyDescent="0.2">
      <c r="A57" s="40"/>
      <c r="C57" s="31"/>
      <c r="D57" s="31"/>
      <c r="E57" s="31"/>
      <c r="F57" s="31"/>
      <c r="G57" s="31"/>
      <c r="H57" s="31"/>
      <c r="I57" s="18"/>
      <c r="K57" s="2"/>
    </row>
    <row r="58" spans="1:11" x14ac:dyDescent="0.2">
      <c r="A58" s="40"/>
      <c r="C58" s="31"/>
      <c r="D58" s="31"/>
      <c r="E58" s="31"/>
      <c r="F58" s="31"/>
      <c r="G58" s="31"/>
      <c r="H58" s="31"/>
      <c r="I58" s="18"/>
      <c r="K58" s="2"/>
    </row>
    <row r="59" spans="1:11" x14ac:dyDescent="0.2">
      <c r="A59" s="40"/>
      <c r="C59" s="31"/>
      <c r="D59" s="31"/>
      <c r="E59" s="31"/>
      <c r="F59" s="31"/>
      <c r="G59" s="31"/>
      <c r="H59" s="31"/>
      <c r="I59" s="18"/>
      <c r="K59" s="2"/>
    </row>
    <row r="60" spans="1:11" x14ac:dyDescent="0.2">
      <c r="A60" s="40"/>
      <c r="C60" s="31"/>
      <c r="D60" s="31"/>
      <c r="E60" s="31"/>
      <c r="F60" s="31"/>
      <c r="G60" s="31"/>
      <c r="H60" s="31"/>
      <c r="I60" s="18"/>
      <c r="K60" s="2"/>
    </row>
    <row r="61" spans="1:11" x14ac:dyDescent="0.2">
      <c r="A61" s="40"/>
      <c r="C61" s="31"/>
      <c r="D61" s="31"/>
      <c r="E61" s="31"/>
      <c r="F61" s="31"/>
      <c r="G61" s="31"/>
      <c r="H61" s="31"/>
      <c r="I61" s="18"/>
      <c r="K61" s="2"/>
    </row>
    <row r="62" spans="1:11" x14ac:dyDescent="0.2">
      <c r="A62" s="40"/>
      <c r="C62" s="31"/>
      <c r="D62" s="31"/>
      <c r="E62" s="31"/>
      <c r="F62" s="31"/>
      <c r="G62" s="31"/>
      <c r="H62" s="31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41"/>
      <c r="G64" s="41"/>
      <c r="H64" s="41"/>
      <c r="K64" s="2"/>
    </row>
    <row r="65" spans="1:11" x14ac:dyDescent="0.2">
      <c r="B65" s="22"/>
      <c r="C65" s="41"/>
      <c r="D65" s="41"/>
      <c r="E65" s="41"/>
      <c r="F65" s="41"/>
      <c r="G65" s="41"/>
      <c r="H65" s="41"/>
      <c r="K65" s="2"/>
    </row>
    <row r="66" spans="1:11" x14ac:dyDescent="0.2">
      <c r="B66" s="22"/>
      <c r="C66" s="41"/>
      <c r="D66" s="41"/>
      <c r="E66" s="41"/>
      <c r="F66" s="41"/>
      <c r="G66" s="41"/>
      <c r="H66" s="41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>
    <tabColor rgb="FF00FF00"/>
  </sheetPr>
  <dimension ref="A1:P70"/>
  <sheetViews>
    <sheetView showGridLines="0" zoomScaleNormal="100" workbookViewId="0"/>
  </sheetViews>
  <sheetFormatPr defaultColWidth="11.33203125" defaultRowHeight="11.25" x14ac:dyDescent="0.2"/>
  <cols>
    <col min="1" max="1" width="6.33203125" customWidth="1"/>
    <col min="2" max="2" width="10.1640625" customWidth="1"/>
    <col min="3" max="3" width="20.1640625" customWidth="1"/>
    <col min="4" max="4" width="11.33203125" customWidth="1"/>
    <col min="5" max="5" width="6.33203125" customWidth="1"/>
    <col min="6" max="6" width="10.1640625" customWidth="1"/>
    <col min="7" max="7" width="20.1640625" customWidth="1"/>
    <col min="8" max="9" width="11.33203125" customWidth="1"/>
    <col min="10" max="10" width="14" customWidth="1"/>
  </cols>
  <sheetData>
    <row r="1" spans="1:16" x14ac:dyDescent="0.2">
      <c r="A1" s="8" t="str">
        <f>'1'!$A$1</f>
        <v>Texas Windstorm Insurance Association</v>
      </c>
      <c r="B1" s="8"/>
      <c r="J1" s="7" t="s">
        <v>118</v>
      </c>
      <c r="K1" s="1"/>
      <c r="O1" t="s">
        <v>447</v>
      </c>
      <c r="P1" t="s">
        <v>459</v>
      </c>
    </row>
    <row r="2" spans="1:16" x14ac:dyDescent="0.2">
      <c r="A2" s="8" t="str">
        <f>'1'!$A$2</f>
        <v>Commercial Property - Wind &amp; Hail</v>
      </c>
      <c r="B2" s="8"/>
      <c r="J2" s="7"/>
      <c r="K2" s="2"/>
      <c r="O2" t="s">
        <v>447</v>
      </c>
      <c r="P2" t="s">
        <v>460</v>
      </c>
    </row>
    <row r="3" spans="1:16" x14ac:dyDescent="0.2">
      <c r="A3" s="8" t="str">
        <f>'1'!$A$3</f>
        <v>Rate Level Review</v>
      </c>
      <c r="B3" s="8"/>
      <c r="K3" s="2"/>
      <c r="L3" s="11" t="s">
        <v>70</v>
      </c>
      <c r="M3" t="s">
        <v>71</v>
      </c>
    </row>
    <row r="4" spans="1:16" x14ac:dyDescent="0.2">
      <c r="A4" t="str">
        <f>"Texas Hurricanes "&amp;L4&amp;" - "&amp;YEAR(M4)</f>
        <v>Texas Hurricanes 1850 - 2023</v>
      </c>
      <c r="K4" s="2"/>
      <c r="L4" s="141">
        <v>1850</v>
      </c>
      <c r="M4" s="64">
        <v>45291</v>
      </c>
    </row>
    <row r="5" spans="1:16" x14ac:dyDescent="0.2">
      <c r="K5" s="2"/>
      <c r="L5" s="64">
        <v>25569</v>
      </c>
      <c r="M5" s="64">
        <v>45291</v>
      </c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K7" s="2"/>
    </row>
    <row r="8" spans="1:16" ht="12" thickTop="1" x14ac:dyDescent="0.2">
      <c r="K8" s="2"/>
    </row>
    <row r="9" spans="1:16" x14ac:dyDescent="0.2">
      <c r="C9" s="36"/>
      <c r="K9" s="2"/>
      <c r="L9" s="24"/>
    </row>
    <row r="10" spans="1:16" x14ac:dyDescent="0.2">
      <c r="A10" s="10" t="s">
        <v>311</v>
      </c>
      <c r="E10" s="10" t="s">
        <v>311</v>
      </c>
      <c r="K10" s="2"/>
      <c r="L10" s="11"/>
    </row>
    <row r="11" spans="1:16" x14ac:dyDescent="0.2">
      <c r="A11" s="144" t="s">
        <v>41</v>
      </c>
      <c r="B11" s="144" t="s">
        <v>310</v>
      </c>
      <c r="C11" s="144" t="s">
        <v>123</v>
      </c>
      <c r="E11" s="144" t="s">
        <v>41</v>
      </c>
      <c r="F11" s="144" t="s">
        <v>310</v>
      </c>
      <c r="G11" s="144" t="s">
        <v>123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E12" s="13" t="str">
        <f>A12</f>
        <v>(1)</v>
      </c>
      <c r="F12" s="13"/>
      <c r="G12" s="13" t="str">
        <f>C12</f>
        <v>(2)</v>
      </c>
      <c r="K12" s="2"/>
    </row>
    <row r="13" spans="1:16" x14ac:dyDescent="0.2">
      <c r="K13" s="2"/>
    </row>
    <row r="14" spans="1:16" x14ac:dyDescent="0.2">
      <c r="A14">
        <v>1851</v>
      </c>
      <c r="B14" s="11" t="s">
        <v>312</v>
      </c>
      <c r="E14">
        <v>1933</v>
      </c>
      <c r="F14" s="11" t="s">
        <v>313</v>
      </c>
      <c r="K14" s="2"/>
      <c r="L14" s="49"/>
    </row>
    <row r="15" spans="1:16" x14ac:dyDescent="0.2">
      <c r="A15">
        <v>1854</v>
      </c>
      <c r="B15" s="11" t="s">
        <v>312</v>
      </c>
      <c r="E15">
        <v>1934</v>
      </c>
      <c r="F15" s="11" t="s">
        <v>314</v>
      </c>
      <c r="K15" s="2"/>
    </row>
    <row r="16" spans="1:16" x14ac:dyDescent="0.2">
      <c r="A16">
        <v>1854</v>
      </c>
      <c r="B16" s="11" t="s">
        <v>313</v>
      </c>
      <c r="C16" t="s">
        <v>317</v>
      </c>
      <c r="E16">
        <v>1936</v>
      </c>
      <c r="F16" s="11" t="s">
        <v>312</v>
      </c>
      <c r="K16" s="2"/>
    </row>
    <row r="17" spans="1:11" x14ac:dyDescent="0.2">
      <c r="A17">
        <v>1865</v>
      </c>
      <c r="B17" s="11" t="s">
        <v>313</v>
      </c>
      <c r="C17" t="s">
        <v>318</v>
      </c>
      <c r="E17">
        <v>1940</v>
      </c>
      <c r="F17" s="11" t="s">
        <v>316</v>
      </c>
      <c r="K17" s="2"/>
    </row>
    <row r="18" spans="1:11" x14ac:dyDescent="0.2">
      <c r="A18">
        <v>1866</v>
      </c>
      <c r="B18" s="11" t="s">
        <v>314</v>
      </c>
      <c r="E18">
        <v>1941</v>
      </c>
      <c r="F18" s="11" t="s">
        <v>313</v>
      </c>
      <c r="K18" s="2"/>
    </row>
    <row r="19" spans="1:11" x14ac:dyDescent="0.2">
      <c r="A19">
        <v>1867</v>
      </c>
      <c r="B19" s="11" t="s">
        <v>315</v>
      </c>
      <c r="C19" t="s">
        <v>319</v>
      </c>
      <c r="E19">
        <v>1942</v>
      </c>
      <c r="F19" s="11" t="s">
        <v>316</v>
      </c>
      <c r="K19" s="2"/>
    </row>
    <row r="20" spans="1:11" x14ac:dyDescent="0.2">
      <c r="A20">
        <v>1869</v>
      </c>
      <c r="B20" s="11" t="s">
        <v>316</v>
      </c>
      <c r="C20" t="s">
        <v>320</v>
      </c>
      <c r="E20">
        <v>1942</v>
      </c>
      <c r="F20" s="11" t="s">
        <v>316</v>
      </c>
      <c r="K20" s="2"/>
    </row>
    <row r="21" spans="1:11" x14ac:dyDescent="0.2">
      <c r="A21">
        <v>1875</v>
      </c>
      <c r="B21" s="11" t="s">
        <v>313</v>
      </c>
      <c r="E21">
        <v>1943</v>
      </c>
      <c r="F21" s="11" t="s">
        <v>314</v>
      </c>
      <c r="K21" s="2"/>
    </row>
    <row r="22" spans="1:11" x14ac:dyDescent="0.2">
      <c r="A22">
        <v>1879</v>
      </c>
      <c r="B22" s="11" t="s">
        <v>316</v>
      </c>
      <c r="E22">
        <v>1945</v>
      </c>
      <c r="F22" s="11" t="s">
        <v>316</v>
      </c>
      <c r="K22" s="2"/>
    </row>
    <row r="23" spans="1:11" x14ac:dyDescent="0.2">
      <c r="A23">
        <v>1880</v>
      </c>
      <c r="B23" s="11" t="s">
        <v>316</v>
      </c>
      <c r="E23">
        <v>1947</v>
      </c>
      <c r="F23" s="11" t="s">
        <v>316</v>
      </c>
      <c r="K23" s="2"/>
    </row>
    <row r="24" spans="1:11" x14ac:dyDescent="0.2">
      <c r="A24">
        <v>1882</v>
      </c>
      <c r="B24" s="11" t="s">
        <v>313</v>
      </c>
      <c r="E24">
        <v>1949</v>
      </c>
      <c r="F24" s="11" t="s">
        <v>315</v>
      </c>
      <c r="K24" s="2"/>
    </row>
    <row r="25" spans="1:11" x14ac:dyDescent="0.2">
      <c r="A25">
        <v>1886</v>
      </c>
      <c r="B25" s="11" t="s">
        <v>312</v>
      </c>
      <c r="E25">
        <v>1957</v>
      </c>
      <c r="F25" s="11" t="s">
        <v>312</v>
      </c>
      <c r="G25" t="s">
        <v>124</v>
      </c>
      <c r="K25" s="2"/>
    </row>
    <row r="26" spans="1:11" x14ac:dyDescent="0.2">
      <c r="A26">
        <v>1886</v>
      </c>
      <c r="B26" s="11" t="s">
        <v>316</v>
      </c>
      <c r="C26" t="s">
        <v>321</v>
      </c>
      <c r="E26">
        <v>1959</v>
      </c>
      <c r="F26" s="11" t="s">
        <v>314</v>
      </c>
      <c r="G26" t="s">
        <v>125</v>
      </c>
      <c r="K26" s="2"/>
    </row>
    <row r="27" spans="1:11" x14ac:dyDescent="0.2">
      <c r="A27">
        <v>1886</v>
      </c>
      <c r="B27" s="11" t="s">
        <v>313</v>
      </c>
      <c r="E27">
        <v>1961</v>
      </c>
      <c r="F27" s="11" t="s">
        <v>313</v>
      </c>
      <c r="G27" t="s">
        <v>126</v>
      </c>
      <c r="K27" s="2"/>
    </row>
    <row r="28" spans="1:11" x14ac:dyDescent="0.2">
      <c r="A28">
        <v>1886</v>
      </c>
      <c r="B28" s="11" t="s">
        <v>315</v>
      </c>
      <c r="E28" s="9">
        <v>1963</v>
      </c>
      <c r="F28" s="144" t="s">
        <v>313</v>
      </c>
      <c r="G28" s="9" t="s">
        <v>127</v>
      </c>
      <c r="K28" s="2"/>
    </row>
    <row r="29" spans="1:11" x14ac:dyDescent="0.2">
      <c r="A29">
        <v>1887</v>
      </c>
      <c r="B29" s="11" t="s">
        <v>313</v>
      </c>
      <c r="E29">
        <v>1967</v>
      </c>
      <c r="F29" s="11" t="s">
        <v>313</v>
      </c>
      <c r="G29" t="s">
        <v>324</v>
      </c>
      <c r="K29" s="2"/>
    </row>
    <row r="30" spans="1:11" x14ac:dyDescent="0.2">
      <c r="A30">
        <v>1888</v>
      </c>
      <c r="B30" s="11" t="s">
        <v>312</v>
      </c>
      <c r="E30">
        <v>1970</v>
      </c>
      <c r="F30" s="11" t="s">
        <v>316</v>
      </c>
      <c r="G30" t="s">
        <v>128</v>
      </c>
      <c r="K30" s="2"/>
    </row>
    <row r="31" spans="1:11" x14ac:dyDescent="0.2">
      <c r="A31">
        <v>1891</v>
      </c>
      <c r="B31" s="11" t="s">
        <v>314</v>
      </c>
      <c r="E31">
        <v>1971</v>
      </c>
      <c r="F31" s="11" t="s">
        <v>313</v>
      </c>
      <c r="G31" t="s">
        <v>129</v>
      </c>
      <c r="K31" s="2"/>
    </row>
    <row r="32" spans="1:11" x14ac:dyDescent="0.2">
      <c r="A32">
        <v>1895</v>
      </c>
      <c r="B32" s="11" t="s">
        <v>316</v>
      </c>
      <c r="E32">
        <v>1980</v>
      </c>
      <c r="F32" s="11" t="s">
        <v>316</v>
      </c>
      <c r="G32" s="41" t="s">
        <v>130</v>
      </c>
      <c r="K32" s="2"/>
    </row>
    <row r="33" spans="1:11" x14ac:dyDescent="0.2">
      <c r="A33">
        <v>1897</v>
      </c>
      <c r="B33" s="11" t="s">
        <v>313</v>
      </c>
      <c r="E33">
        <v>1983</v>
      </c>
      <c r="F33" s="11" t="s">
        <v>316</v>
      </c>
      <c r="G33" t="s">
        <v>131</v>
      </c>
      <c r="K33" s="2"/>
    </row>
    <row r="34" spans="1:11" x14ac:dyDescent="0.2">
      <c r="A34">
        <v>1900</v>
      </c>
      <c r="B34" s="11" t="s">
        <v>313</v>
      </c>
      <c r="C34" t="s">
        <v>319</v>
      </c>
      <c r="E34">
        <v>1986</v>
      </c>
      <c r="F34" s="11" t="s">
        <v>312</v>
      </c>
      <c r="G34" t="s">
        <v>132</v>
      </c>
      <c r="K34" s="2"/>
    </row>
    <row r="35" spans="1:11" x14ac:dyDescent="0.2">
      <c r="A35">
        <v>1909</v>
      </c>
      <c r="B35" s="11" t="s">
        <v>312</v>
      </c>
      <c r="E35">
        <v>1989</v>
      </c>
      <c r="F35" s="11" t="s">
        <v>316</v>
      </c>
      <c r="G35" t="s">
        <v>133</v>
      </c>
      <c r="K35" s="2"/>
    </row>
    <row r="36" spans="1:11" x14ac:dyDescent="0.2">
      <c r="A36">
        <v>1909</v>
      </c>
      <c r="B36" s="11" t="s">
        <v>314</v>
      </c>
      <c r="C36" t="s">
        <v>322</v>
      </c>
      <c r="E36">
        <v>1989</v>
      </c>
      <c r="F36" s="11" t="s">
        <v>315</v>
      </c>
      <c r="G36" t="s">
        <v>134</v>
      </c>
      <c r="K36" s="2"/>
    </row>
    <row r="37" spans="1:11" x14ac:dyDescent="0.2">
      <c r="A37">
        <v>1909</v>
      </c>
      <c r="B37" s="11" t="s">
        <v>316</v>
      </c>
      <c r="E37">
        <v>1999</v>
      </c>
      <c r="F37" s="11" t="s">
        <v>316</v>
      </c>
      <c r="G37" t="s">
        <v>325</v>
      </c>
      <c r="K37" s="2"/>
    </row>
    <row r="38" spans="1:11" x14ac:dyDescent="0.2">
      <c r="A38">
        <v>1910</v>
      </c>
      <c r="B38" s="11" t="s">
        <v>313</v>
      </c>
      <c r="E38">
        <v>2003</v>
      </c>
      <c r="F38" s="11" t="s">
        <v>314</v>
      </c>
      <c r="G38" t="s">
        <v>278</v>
      </c>
      <c r="K38" s="2"/>
    </row>
    <row r="39" spans="1:11" x14ac:dyDescent="0.2">
      <c r="A39">
        <v>1912</v>
      </c>
      <c r="B39" s="11" t="s">
        <v>315</v>
      </c>
      <c r="E39">
        <v>2005</v>
      </c>
      <c r="F39" s="11" t="s">
        <v>313</v>
      </c>
      <c r="G39" t="s">
        <v>291</v>
      </c>
      <c r="K39" s="2"/>
    </row>
    <row r="40" spans="1:11" x14ac:dyDescent="0.2">
      <c r="A40">
        <v>1913</v>
      </c>
      <c r="B40" s="11" t="s">
        <v>312</v>
      </c>
      <c r="E40">
        <v>2007</v>
      </c>
      <c r="F40" s="11" t="s">
        <v>313</v>
      </c>
      <c r="G40" t="s">
        <v>328</v>
      </c>
      <c r="K40" s="2"/>
    </row>
    <row r="41" spans="1:11" x14ac:dyDescent="0.2">
      <c r="A41">
        <v>1915</v>
      </c>
      <c r="B41" s="11" t="s">
        <v>316</v>
      </c>
      <c r="C41" t="s">
        <v>319</v>
      </c>
      <c r="E41">
        <v>2008</v>
      </c>
      <c r="F41" s="11" t="s">
        <v>314</v>
      </c>
      <c r="G41" t="s">
        <v>336</v>
      </c>
      <c r="K41" s="2"/>
    </row>
    <row r="42" spans="1:11" x14ac:dyDescent="0.2">
      <c r="A42">
        <v>1916</v>
      </c>
      <c r="B42" s="11" t="s">
        <v>316</v>
      </c>
      <c r="E42">
        <v>2008</v>
      </c>
      <c r="F42" s="11" t="s">
        <v>313</v>
      </c>
      <c r="G42" t="s">
        <v>337</v>
      </c>
      <c r="K42" s="2"/>
    </row>
    <row r="43" spans="1:11" x14ac:dyDescent="0.2">
      <c r="A43">
        <v>1918</v>
      </c>
      <c r="B43" s="11" t="s">
        <v>316</v>
      </c>
      <c r="E43">
        <v>2017</v>
      </c>
      <c r="F43" s="11" t="s">
        <v>316</v>
      </c>
      <c r="G43" t="s">
        <v>395</v>
      </c>
      <c r="K43" s="2"/>
    </row>
    <row r="44" spans="1:11" x14ac:dyDescent="0.2">
      <c r="A44">
        <v>1919</v>
      </c>
      <c r="B44" s="11" t="s">
        <v>313</v>
      </c>
      <c r="E44">
        <v>2020</v>
      </c>
      <c r="F44" s="11" t="s">
        <v>314</v>
      </c>
      <c r="G44" t="s">
        <v>442</v>
      </c>
      <c r="K44" s="2"/>
    </row>
    <row r="45" spans="1:11" x14ac:dyDescent="0.2">
      <c r="A45">
        <v>1921</v>
      </c>
      <c r="B45" s="11" t="s">
        <v>312</v>
      </c>
      <c r="E45">
        <v>2020</v>
      </c>
      <c r="F45" s="11" t="s">
        <v>316</v>
      </c>
      <c r="G45" t="s">
        <v>443</v>
      </c>
      <c r="K45" s="2"/>
    </row>
    <row r="46" spans="1:11" x14ac:dyDescent="0.2">
      <c r="A46">
        <v>1929</v>
      </c>
      <c r="B46" s="11" t="s">
        <v>312</v>
      </c>
      <c r="E46">
        <v>2020</v>
      </c>
      <c r="F46" s="11" t="s">
        <v>315</v>
      </c>
      <c r="G46" t="s">
        <v>444</v>
      </c>
      <c r="K46" s="2"/>
    </row>
    <row r="47" spans="1:11" x14ac:dyDescent="0.2">
      <c r="A47">
        <v>1932</v>
      </c>
      <c r="B47" s="11" t="s">
        <v>316</v>
      </c>
      <c r="C47" t="s">
        <v>323</v>
      </c>
      <c r="E47">
        <v>2021</v>
      </c>
      <c r="F47" s="11" t="s">
        <v>313</v>
      </c>
      <c r="G47" t="s">
        <v>450</v>
      </c>
      <c r="K47" s="2"/>
    </row>
    <row r="48" spans="1:11" x14ac:dyDescent="0.2">
      <c r="A48">
        <v>1933</v>
      </c>
      <c r="B48" s="11" t="s">
        <v>555</v>
      </c>
      <c r="K48" s="2"/>
    </row>
    <row r="49" spans="1:13" x14ac:dyDescent="0.2">
      <c r="K49" s="2"/>
    </row>
    <row r="50" spans="1:13" x14ac:dyDescent="0.2">
      <c r="K50" s="2"/>
      <c r="M50" s="49"/>
    </row>
    <row r="51" spans="1:13" x14ac:dyDescent="0.2">
      <c r="A51" s="51" t="s">
        <v>135</v>
      </c>
      <c r="B51" s="51"/>
      <c r="C51" s="45" t="s">
        <v>136</v>
      </c>
      <c r="D51" s="45" t="s">
        <v>137</v>
      </c>
      <c r="E51" s="45" t="s">
        <v>236</v>
      </c>
      <c r="F51" s="45" t="s">
        <v>138</v>
      </c>
      <c r="G51" s="45"/>
      <c r="H51" s="21"/>
      <c r="K51" s="2"/>
    </row>
    <row r="52" spans="1:13" x14ac:dyDescent="0.2">
      <c r="A52" s="50"/>
      <c r="B52" s="50"/>
      <c r="C52" s="41"/>
      <c r="D52" s="41"/>
      <c r="E52" s="41"/>
      <c r="F52" s="41"/>
      <c r="G52" s="41"/>
      <c r="H52" s="21"/>
      <c r="K52" s="2"/>
    </row>
    <row r="53" spans="1:13" x14ac:dyDescent="0.2">
      <c r="A53" t="str">
        <f>E53&amp;"-Year"</f>
        <v>173-Year</v>
      </c>
      <c r="C53" s="12" t="str">
        <f>MONTH(M4+1)&amp;"/1/"&amp;YEAR(M4+1)-E53&amp;" - "&amp;TEXT(M4,"m/d/yyyy")</f>
        <v>1/1/1851 - 12/31/2023</v>
      </c>
      <c r="D53" s="12">
        <f>SUM(COUNTA(A14:A48),COUNTA(E14:E47))</f>
        <v>69</v>
      </c>
      <c r="E53" s="69">
        <f>YEAR($M$4)-$L$4</f>
        <v>173</v>
      </c>
      <c r="G53" s="100">
        <f>ROUND(D53/E53,3)</f>
        <v>0.39900000000000002</v>
      </c>
      <c r="K53" s="2"/>
    </row>
    <row r="54" spans="1:13" ht="12" thickBot="1" x14ac:dyDescent="0.25">
      <c r="A54" s="6"/>
      <c r="B54" s="6"/>
      <c r="C54" s="6"/>
      <c r="D54" s="6"/>
      <c r="E54" s="6"/>
      <c r="F54" s="6"/>
      <c r="G54" s="6"/>
      <c r="K54" s="2"/>
    </row>
    <row r="55" spans="1:13" ht="12" thickTop="1" x14ac:dyDescent="0.2">
      <c r="K55" s="2"/>
    </row>
    <row r="56" spans="1:13" x14ac:dyDescent="0.2">
      <c r="A56" t="s">
        <v>17</v>
      </c>
      <c r="K56" s="2"/>
    </row>
    <row r="57" spans="1:13" x14ac:dyDescent="0.2">
      <c r="B57" t="str">
        <f>$A$12&amp;", "&amp;$C$12&amp;" from NOAA Technical Memorandum NWS-NHC-6, updated with actual experience through 2023"</f>
        <v>(1), (2) from NOAA Technical Memorandum NWS-NHC-6, updated with actual experience through 2023</v>
      </c>
      <c r="K57" s="2"/>
    </row>
    <row r="58" spans="1:13" x14ac:dyDescent="0.2">
      <c r="K58" s="2"/>
    </row>
    <row r="59" spans="1:13" x14ac:dyDescent="0.2">
      <c r="K59" s="2"/>
    </row>
    <row r="60" spans="1:13" x14ac:dyDescent="0.2">
      <c r="K60" s="2"/>
    </row>
    <row r="61" spans="1:13" x14ac:dyDescent="0.2">
      <c r="K61" s="2"/>
    </row>
    <row r="62" spans="1:13" x14ac:dyDescent="0.2">
      <c r="K62" s="2"/>
    </row>
    <row r="63" spans="1:13" x14ac:dyDescent="0.2">
      <c r="K63" s="2"/>
    </row>
    <row r="64" spans="1:13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ht="12" thickBot="1" x14ac:dyDescent="0.25">
      <c r="K69" s="2"/>
    </row>
    <row r="70" spans="1:11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>
    <tabColor rgb="FF00FF00"/>
  </sheetPr>
  <dimension ref="A1:O73"/>
  <sheetViews>
    <sheetView showGridLines="0" zoomScaleNormal="100" workbookViewId="0"/>
  </sheetViews>
  <sheetFormatPr defaultColWidth="11.33203125" defaultRowHeight="11.25" x14ac:dyDescent="0.2"/>
  <cols>
    <col min="1" max="1" width="7" bestFit="1" customWidth="1"/>
    <col min="2" max="2" width="11.33203125" customWidth="1"/>
    <col min="3" max="5" width="15.33203125" customWidth="1"/>
    <col min="6" max="6" width="14" customWidth="1"/>
    <col min="7" max="9" width="11.33203125" customWidth="1"/>
    <col min="10" max="10" width="9" customWidth="1"/>
  </cols>
  <sheetData>
    <row r="1" spans="1:15" x14ac:dyDescent="0.2">
      <c r="A1" s="8" t="str">
        <f>'1'!$A$1</f>
        <v>Texas Windstorm Insurance Association</v>
      </c>
      <c r="B1" s="12"/>
      <c r="J1" s="7" t="s">
        <v>119</v>
      </c>
      <c r="K1" s="1"/>
      <c r="N1" s="7" t="s">
        <v>447</v>
      </c>
      <c r="O1" t="s">
        <v>458</v>
      </c>
    </row>
    <row r="2" spans="1:15" x14ac:dyDescent="0.2">
      <c r="A2" s="8" t="str">
        <f>'1'!$A$2</f>
        <v>Commercial Property - Wind &amp; Hail</v>
      </c>
      <c r="B2" s="12"/>
      <c r="J2" s="7" t="s">
        <v>20</v>
      </c>
      <c r="K2" s="2"/>
      <c r="N2" s="7" t="s">
        <v>447</v>
      </c>
      <c r="O2" t="s">
        <v>453</v>
      </c>
    </row>
    <row r="3" spans="1:15" x14ac:dyDescent="0.2">
      <c r="A3" s="8" t="str">
        <f>'1'!$A$3</f>
        <v>Rate Level Review</v>
      </c>
      <c r="B3" s="12"/>
      <c r="K3" s="2"/>
    </row>
    <row r="4" spans="1:15" x14ac:dyDescent="0.2">
      <c r="A4" t="s">
        <v>202</v>
      </c>
      <c r="B4" s="12"/>
      <c r="K4" s="2"/>
    </row>
    <row r="5" spans="1:15" x14ac:dyDescent="0.2">
      <c r="A5" t="s">
        <v>546</v>
      </c>
      <c r="B5" s="12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6"/>
      <c r="E7" s="6"/>
      <c r="F7" s="6"/>
      <c r="K7" s="2"/>
    </row>
    <row r="8" spans="1:15" ht="12" thickTop="1" x14ac:dyDescent="0.2">
      <c r="A8" t="s">
        <v>40</v>
      </c>
      <c r="K8" s="2"/>
    </row>
    <row r="9" spans="1:15" x14ac:dyDescent="0.2">
      <c r="A9" t="s">
        <v>41</v>
      </c>
      <c r="C9" s="134" t="s">
        <v>203</v>
      </c>
      <c r="D9" s="11" t="s">
        <v>201</v>
      </c>
      <c r="E9" s="11" t="s">
        <v>163</v>
      </c>
      <c r="F9" s="11" t="s">
        <v>36</v>
      </c>
      <c r="K9" s="2"/>
      <c r="L9" s="24"/>
    </row>
    <row r="10" spans="1:15" x14ac:dyDescent="0.2">
      <c r="A10" t="s">
        <v>26</v>
      </c>
      <c r="C10" s="11" t="s">
        <v>204</v>
      </c>
      <c r="D10" s="11" t="s">
        <v>193</v>
      </c>
      <c r="E10" s="11" t="s">
        <v>34</v>
      </c>
      <c r="F10" s="11" t="s">
        <v>34</v>
      </c>
      <c r="K10" s="2"/>
    </row>
    <row r="11" spans="1:15" x14ac:dyDescent="0.2">
      <c r="A11" s="9" t="str">
        <f>TEXT(L25,"m/d")</f>
        <v>12/31</v>
      </c>
      <c r="B11" s="9"/>
      <c r="C11" s="144" t="s">
        <v>80</v>
      </c>
      <c r="D11" s="144" t="s">
        <v>89</v>
      </c>
      <c r="E11" s="144" t="s">
        <v>89</v>
      </c>
      <c r="F11" s="144" t="s">
        <v>89</v>
      </c>
      <c r="K11" s="2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5" x14ac:dyDescent="0.2">
      <c r="K13" s="2"/>
    </row>
    <row r="14" spans="1:15" x14ac:dyDescent="0.2">
      <c r="A14" s="60">
        <v>1994</v>
      </c>
      <c r="B14" s="22"/>
      <c r="C14" s="18">
        <f>'11.2'!C14</f>
        <v>10672677</v>
      </c>
      <c r="D14" s="29">
        <f>'9.2'!O28</f>
        <v>3.2530000000000001</v>
      </c>
      <c r="E14" s="18">
        <f>ROUND(C14*D14,0)</f>
        <v>34718218</v>
      </c>
      <c r="F14" s="18">
        <f>ROUND(AVERAGE(E13:E14),0)</f>
        <v>34718218</v>
      </c>
      <c r="K14" s="2"/>
    </row>
    <row r="15" spans="1:15" x14ac:dyDescent="0.2">
      <c r="A15" t="str">
        <f>TEXT(A14+1,"#")</f>
        <v>1995</v>
      </c>
      <c r="B15" s="22"/>
      <c r="C15" s="18">
        <f>'11.2'!C15</f>
        <v>12865905</v>
      </c>
      <c r="D15" s="29">
        <f>'9.2'!O29</f>
        <v>3.2530000000000001</v>
      </c>
      <c r="E15" s="18">
        <f t="shared" ref="E15:E32" si="0">ROUND(C15*D15,0)</f>
        <v>41852789</v>
      </c>
      <c r="F15" s="18">
        <f>ROUND(AVERAGE(E14:E15),0)</f>
        <v>38285504</v>
      </c>
      <c r="K15" s="2"/>
      <c r="L15" s="31"/>
    </row>
    <row r="16" spans="1:15" x14ac:dyDescent="0.2">
      <c r="A16" t="str">
        <f t="shared" ref="A16:A43" si="1">TEXT(A15+1,"#")</f>
        <v>1996</v>
      </c>
      <c r="B16" s="22"/>
      <c r="C16" s="18">
        <f>'11.2'!C16</f>
        <v>15640660</v>
      </c>
      <c r="D16" s="29">
        <f>'9.2'!O30</f>
        <v>3.2530000000000001</v>
      </c>
      <c r="E16" s="18">
        <f t="shared" si="0"/>
        <v>50879067</v>
      </c>
      <c r="F16" s="18">
        <f>ROUND(AVERAGE(E15:E16),0)</f>
        <v>46365928</v>
      </c>
      <c r="K16" s="2"/>
    </row>
    <row r="17" spans="1:12" x14ac:dyDescent="0.2">
      <c r="A17" t="str">
        <f t="shared" si="1"/>
        <v>1997</v>
      </c>
      <c r="B17" s="22"/>
      <c r="C17" s="18">
        <f>'11.2'!C17</f>
        <v>16536186</v>
      </c>
      <c r="D17" s="29">
        <f>'9.2'!O31</f>
        <v>3.2530000000000001</v>
      </c>
      <c r="E17" s="18">
        <f t="shared" si="0"/>
        <v>53792213</v>
      </c>
      <c r="F17" s="18">
        <f t="shared" ref="F17:F31" si="2">ROUND(AVERAGE(E16:E17),0)</f>
        <v>52335640</v>
      </c>
      <c r="K17" s="2"/>
      <c r="L17" s="28"/>
    </row>
    <row r="18" spans="1:12" x14ac:dyDescent="0.2">
      <c r="A18" t="str">
        <f t="shared" si="1"/>
        <v>1998</v>
      </c>
      <c r="B18" s="22"/>
      <c r="C18" s="18">
        <f>'11.2'!C18</f>
        <v>16558977</v>
      </c>
      <c r="D18" s="29">
        <f>'9.2'!O32</f>
        <v>3.3530000000000002</v>
      </c>
      <c r="E18" s="18">
        <f t="shared" si="0"/>
        <v>55522250</v>
      </c>
      <c r="F18" s="18">
        <f t="shared" si="2"/>
        <v>54657232</v>
      </c>
      <c r="K18" s="2"/>
      <c r="L18" s="28"/>
    </row>
    <row r="19" spans="1:12" x14ac:dyDescent="0.2">
      <c r="A19" t="str">
        <f t="shared" si="1"/>
        <v>1999</v>
      </c>
      <c r="B19" s="22"/>
      <c r="C19" s="18">
        <f>'11.2'!C19</f>
        <v>17394142.049999997</v>
      </c>
      <c r="D19" s="29">
        <f>'9.2'!O33</f>
        <v>3.3530000000000002</v>
      </c>
      <c r="E19" s="18">
        <f t="shared" si="0"/>
        <v>58322558</v>
      </c>
      <c r="F19" s="18">
        <f>ROUND(AVERAGE(E18:E19),0)</f>
        <v>56922404</v>
      </c>
      <c r="K19" s="2"/>
      <c r="L19" s="28"/>
    </row>
    <row r="20" spans="1:12" x14ac:dyDescent="0.2">
      <c r="A20" t="str">
        <f t="shared" si="1"/>
        <v>2000</v>
      </c>
      <c r="B20" s="22"/>
      <c r="C20" s="18">
        <f>'11.2'!C20</f>
        <v>17332561</v>
      </c>
      <c r="D20" s="29">
        <f>'9.2'!O34</f>
        <v>3.077</v>
      </c>
      <c r="E20" s="18">
        <f t="shared" si="0"/>
        <v>53332290</v>
      </c>
      <c r="F20" s="18">
        <f t="shared" si="2"/>
        <v>55827424</v>
      </c>
      <c r="K20" s="2"/>
      <c r="L20" s="28"/>
    </row>
    <row r="21" spans="1:12" x14ac:dyDescent="0.2">
      <c r="A21" t="str">
        <f t="shared" si="1"/>
        <v>2001</v>
      </c>
      <c r="B21" s="22"/>
      <c r="C21" s="18">
        <f>'11.2'!C21</f>
        <v>17544251</v>
      </c>
      <c r="D21" s="29">
        <f>'9.2'!O35</f>
        <v>2.9580000000000002</v>
      </c>
      <c r="E21" s="18">
        <f t="shared" si="0"/>
        <v>51895894</v>
      </c>
      <c r="F21" s="18">
        <f>ROUND(AVERAGE(E20:E21),0)</f>
        <v>52614092</v>
      </c>
      <c r="K21" s="2"/>
      <c r="L21" s="28"/>
    </row>
    <row r="22" spans="1:12" x14ac:dyDescent="0.2">
      <c r="A22" t="str">
        <f t="shared" si="1"/>
        <v>2002</v>
      </c>
      <c r="B22" s="22"/>
      <c r="C22" s="18">
        <f>'11.2'!C22</f>
        <v>24013525</v>
      </c>
      <c r="D22" s="29">
        <f>'9.2'!O36</f>
        <v>2.8180000000000001</v>
      </c>
      <c r="E22" s="18">
        <f t="shared" si="0"/>
        <v>67670113</v>
      </c>
      <c r="F22" s="18">
        <f>ROUND(AVERAGE(E21:E22),0)</f>
        <v>59783004</v>
      </c>
      <c r="K22" s="2"/>
      <c r="L22" s="28"/>
    </row>
    <row r="23" spans="1:12" x14ac:dyDescent="0.2">
      <c r="A23" t="str">
        <f t="shared" si="1"/>
        <v>2003</v>
      </c>
      <c r="B23" s="22"/>
      <c r="C23" s="18">
        <f>'11.2'!C23</f>
        <v>29220514</v>
      </c>
      <c r="D23" s="29">
        <f>'9.2'!O37</f>
        <v>2.5619999999999998</v>
      </c>
      <c r="E23" s="18">
        <f t="shared" si="0"/>
        <v>74862957</v>
      </c>
      <c r="F23" s="18">
        <f>ROUND(AVERAGE(E22:E23),0)</f>
        <v>71266535</v>
      </c>
      <c r="K23" s="2"/>
      <c r="L23" s="28"/>
    </row>
    <row r="24" spans="1:12" x14ac:dyDescent="0.2">
      <c r="A24" t="str">
        <f t="shared" si="1"/>
        <v>2004</v>
      </c>
      <c r="B24" s="22"/>
      <c r="C24" s="18">
        <f>'11.2'!C24</f>
        <v>31009323</v>
      </c>
      <c r="D24" s="29">
        <f>'9.2'!O38</f>
        <v>2.3290000000000002</v>
      </c>
      <c r="E24" s="18">
        <f t="shared" si="0"/>
        <v>72220713</v>
      </c>
      <c r="F24" s="18">
        <f t="shared" si="2"/>
        <v>73541835</v>
      </c>
      <c r="K24" s="2"/>
      <c r="L24" t="s">
        <v>212</v>
      </c>
    </row>
    <row r="25" spans="1:12" x14ac:dyDescent="0.2">
      <c r="A25" t="str">
        <f t="shared" si="1"/>
        <v>2005</v>
      </c>
      <c r="C25" s="18">
        <f>'11.2'!C25</f>
        <v>35740174</v>
      </c>
      <c r="D25" s="29">
        <f>'9.2'!O39</f>
        <v>2.117</v>
      </c>
      <c r="E25" s="18">
        <f t="shared" si="0"/>
        <v>75661948</v>
      </c>
      <c r="F25" s="18">
        <f>ROUND(AVERAGE(E24:E25),0)</f>
        <v>73941331</v>
      </c>
      <c r="K25" s="2"/>
      <c r="L25" s="36">
        <f>'11.2'!$L$48</f>
        <v>45291</v>
      </c>
    </row>
    <row r="26" spans="1:12" x14ac:dyDescent="0.2">
      <c r="A26" t="str">
        <f t="shared" si="1"/>
        <v>2006</v>
      </c>
      <c r="B26" s="12"/>
      <c r="C26" s="18">
        <f>'11.2'!C26</f>
        <v>76847840</v>
      </c>
      <c r="D26" s="29">
        <f>'9.2'!O40</f>
        <v>1.964</v>
      </c>
      <c r="E26" s="18">
        <f t="shared" si="0"/>
        <v>150929158</v>
      </c>
      <c r="F26" s="18">
        <f t="shared" si="2"/>
        <v>113295553</v>
      </c>
      <c r="K26" s="2"/>
    </row>
    <row r="27" spans="1:12" x14ac:dyDescent="0.2">
      <c r="A27" t="str">
        <f t="shared" si="1"/>
        <v>2007</v>
      </c>
      <c r="C27" s="18">
        <f>'11.2'!C27</f>
        <v>110951718</v>
      </c>
      <c r="D27" s="29">
        <f>'9.2'!O41</f>
        <v>1.8</v>
      </c>
      <c r="E27" s="18">
        <f t="shared" si="0"/>
        <v>199713092</v>
      </c>
      <c r="F27" s="18">
        <f>ROUND(AVERAGE(E26:E27),0)</f>
        <v>175321125</v>
      </c>
      <c r="K27" s="2"/>
    </row>
    <row r="28" spans="1:12" x14ac:dyDescent="0.2">
      <c r="A28" t="str">
        <f t="shared" si="1"/>
        <v>2008</v>
      </c>
      <c r="C28" s="18">
        <f>'11.2'!C28</f>
        <v>98036118.420000017</v>
      </c>
      <c r="D28" s="29">
        <f>'9.2'!O42</f>
        <v>1.7150000000000001</v>
      </c>
      <c r="E28" s="18">
        <f t="shared" si="0"/>
        <v>168131943</v>
      </c>
      <c r="F28" s="18">
        <f>ROUND(AVERAGE(E27:E28),0)</f>
        <v>183922518</v>
      </c>
      <c r="K28" s="2"/>
    </row>
    <row r="29" spans="1:12" x14ac:dyDescent="0.2">
      <c r="A29" t="str">
        <f t="shared" si="1"/>
        <v>2009</v>
      </c>
      <c r="B29" s="22"/>
      <c r="C29" s="18">
        <f>'11.2'!C29</f>
        <v>111269572.63</v>
      </c>
      <c r="D29" s="29">
        <f>'9.2'!O43</f>
        <v>1.494</v>
      </c>
      <c r="E29" s="18">
        <f t="shared" si="0"/>
        <v>166236742</v>
      </c>
      <c r="F29" s="18">
        <f t="shared" si="2"/>
        <v>167184343</v>
      </c>
      <c r="K29" s="2"/>
    </row>
    <row r="30" spans="1:12" x14ac:dyDescent="0.2">
      <c r="A30" t="str">
        <f t="shared" si="1"/>
        <v>2010</v>
      </c>
      <c r="B30" s="22"/>
      <c r="C30" s="18">
        <f>'11.2'!C30</f>
        <v>102174679.52999991</v>
      </c>
      <c r="D30" s="29">
        <f>'9.2'!O44</f>
        <v>1.4770000000000001</v>
      </c>
      <c r="E30" s="18">
        <f t="shared" si="0"/>
        <v>150912002</v>
      </c>
      <c r="F30" s="18">
        <f>ROUND(AVERAGE(E29:E30),0)</f>
        <v>158574372</v>
      </c>
      <c r="K30" s="2"/>
      <c r="L30" s="29"/>
    </row>
    <row r="31" spans="1:12" x14ac:dyDescent="0.2">
      <c r="A31" t="str">
        <f t="shared" si="1"/>
        <v>2011</v>
      </c>
      <c r="B31" s="22"/>
      <c r="C31" s="18">
        <f>'11.2'!C31</f>
        <v>100017021</v>
      </c>
      <c r="D31" s="29">
        <f>'9.2'!O45</f>
        <v>1.407</v>
      </c>
      <c r="E31" s="18">
        <f t="shared" si="0"/>
        <v>140723949</v>
      </c>
      <c r="F31" s="18">
        <f t="shared" si="2"/>
        <v>145817976</v>
      </c>
      <c r="K31" s="2"/>
    </row>
    <row r="32" spans="1:12" x14ac:dyDescent="0.2">
      <c r="A32" t="str">
        <f t="shared" si="1"/>
        <v>2012</v>
      </c>
      <c r="B32" s="22"/>
      <c r="C32" s="18">
        <f>'11.2'!C32</f>
        <v>110524396.51999998</v>
      </c>
      <c r="D32" s="29">
        <f>'9.2'!O46</f>
        <v>1.34</v>
      </c>
      <c r="E32" s="18">
        <f t="shared" si="0"/>
        <v>148102691</v>
      </c>
      <c r="F32" s="18">
        <f t="shared" ref="F32:F37" si="3">ROUND(AVERAGE(E31:E32),0)</f>
        <v>144413320</v>
      </c>
      <c r="K32" s="2"/>
      <c r="L32" s="29"/>
    </row>
    <row r="33" spans="1:11" x14ac:dyDescent="0.2">
      <c r="A33" t="str">
        <f t="shared" si="1"/>
        <v>2013</v>
      </c>
      <c r="B33" s="22"/>
      <c r="C33" s="18">
        <f>'11.2'!C33</f>
        <v>112904624</v>
      </c>
      <c r="D33" s="29">
        <f>'9.2'!O47</f>
        <v>1.276</v>
      </c>
      <c r="E33" s="18">
        <f t="shared" ref="E33:E38" si="4">ROUND(C33*D33,0)</f>
        <v>144066300</v>
      </c>
      <c r="F33" s="18">
        <f>ROUND(AVERAGE(E32:E33),0)</f>
        <v>146084496</v>
      </c>
      <c r="K33" s="2"/>
    </row>
    <row r="34" spans="1:11" x14ac:dyDescent="0.2">
      <c r="A34" t="str">
        <f t="shared" si="1"/>
        <v>2014</v>
      </c>
      <c r="B34" s="22"/>
      <c r="C34" s="18">
        <f>'11.2'!C34</f>
        <v>104642688</v>
      </c>
      <c r="D34" s="29">
        <f>'9.2'!O48</f>
        <v>1.2150000000000001</v>
      </c>
      <c r="E34" s="18">
        <f t="shared" si="4"/>
        <v>127140866</v>
      </c>
      <c r="F34" s="18">
        <f t="shared" si="3"/>
        <v>135603583</v>
      </c>
      <c r="K34" s="2"/>
    </row>
    <row r="35" spans="1:11" x14ac:dyDescent="0.2">
      <c r="A35" t="str">
        <f t="shared" si="1"/>
        <v>2015</v>
      </c>
      <c r="B35" s="22"/>
      <c r="C35" s="18">
        <f>'11.2'!C35</f>
        <v>98715934</v>
      </c>
      <c r="D35" s="29">
        <f>'9.2'!O49</f>
        <v>1.1579999999999999</v>
      </c>
      <c r="E35" s="18">
        <f t="shared" si="4"/>
        <v>114313052</v>
      </c>
      <c r="F35" s="18">
        <f t="shared" si="3"/>
        <v>120726959</v>
      </c>
      <c r="K35" s="2"/>
    </row>
    <row r="36" spans="1:11" x14ac:dyDescent="0.2">
      <c r="A36" t="str">
        <f t="shared" si="1"/>
        <v>2016</v>
      </c>
      <c r="B36" s="22"/>
      <c r="C36" s="18">
        <f>'11.2'!C36</f>
        <v>88278690</v>
      </c>
      <c r="D36" s="29">
        <f>'9.2'!O50</f>
        <v>1.103</v>
      </c>
      <c r="E36" s="18">
        <f t="shared" si="4"/>
        <v>97371395</v>
      </c>
      <c r="F36" s="18">
        <f t="shared" si="3"/>
        <v>105842224</v>
      </c>
      <c r="K36" s="2"/>
    </row>
    <row r="37" spans="1:11" x14ac:dyDescent="0.2">
      <c r="A37" t="str">
        <f t="shared" si="1"/>
        <v>2017</v>
      </c>
      <c r="C37" s="18">
        <f>'11.2'!C37</f>
        <v>70749081</v>
      </c>
      <c r="D37" s="29">
        <f>'9.2'!O51</f>
        <v>1.103</v>
      </c>
      <c r="E37" s="18">
        <f t="shared" si="4"/>
        <v>78036236</v>
      </c>
      <c r="F37" s="18">
        <f t="shared" si="3"/>
        <v>87703816</v>
      </c>
      <c r="K37" s="2"/>
    </row>
    <row r="38" spans="1:11" x14ac:dyDescent="0.2">
      <c r="A38" t="str">
        <f t="shared" si="1"/>
        <v>2018</v>
      </c>
      <c r="C38" s="18">
        <f>'11.2'!C38</f>
        <v>65696833</v>
      </c>
      <c r="D38" s="29">
        <f>'9.2'!O52</f>
        <v>1.05</v>
      </c>
      <c r="E38" s="18">
        <f t="shared" si="4"/>
        <v>68981675</v>
      </c>
      <c r="F38" s="18">
        <f t="shared" ref="F38:F43" si="5">ROUND(AVERAGE(E37:E38),0)</f>
        <v>73508956</v>
      </c>
      <c r="K38" s="2"/>
    </row>
    <row r="39" spans="1:11" x14ac:dyDescent="0.2">
      <c r="A39" t="str">
        <f t="shared" si="1"/>
        <v>2019</v>
      </c>
      <c r="C39" s="18">
        <f>'11.2'!C39</f>
        <v>59123729</v>
      </c>
      <c r="D39" s="29">
        <f>'9.2'!O53</f>
        <v>1.05</v>
      </c>
      <c r="E39" s="18">
        <f t="shared" ref="E39" si="6">ROUND(C39*D39,0)</f>
        <v>62079915</v>
      </c>
      <c r="F39" s="18">
        <f t="shared" si="5"/>
        <v>65530795</v>
      </c>
      <c r="K39" s="2"/>
    </row>
    <row r="40" spans="1:11" x14ac:dyDescent="0.2">
      <c r="A40" t="str">
        <f t="shared" si="1"/>
        <v>2020</v>
      </c>
      <c r="C40" s="18">
        <f>'11.2'!C40</f>
        <v>60327052</v>
      </c>
      <c r="D40" s="29">
        <f>'9.2'!O54</f>
        <v>1.05</v>
      </c>
      <c r="E40" s="18">
        <f t="shared" ref="E40" si="7">ROUND(C40*D40,0)</f>
        <v>63343405</v>
      </c>
      <c r="F40" s="18">
        <f t="shared" si="5"/>
        <v>62711660</v>
      </c>
      <c r="K40" s="2"/>
    </row>
    <row r="41" spans="1:11" x14ac:dyDescent="0.2">
      <c r="A41" t="str">
        <f t="shared" si="1"/>
        <v>2021</v>
      </c>
      <c r="C41" s="18">
        <f>'11.2'!C41</f>
        <v>63366551</v>
      </c>
      <c r="D41" s="29">
        <f>'9.2'!O55</f>
        <v>1.05</v>
      </c>
      <c r="E41" s="18">
        <f t="shared" ref="E41" si="8">ROUND(C41*D41,0)</f>
        <v>66534879</v>
      </c>
      <c r="F41" s="18">
        <f t="shared" si="5"/>
        <v>64939142</v>
      </c>
      <c r="K41" s="2"/>
    </row>
    <row r="42" spans="1:11" x14ac:dyDescent="0.2">
      <c r="A42" t="str">
        <f t="shared" si="1"/>
        <v>2022</v>
      </c>
      <c r="C42" s="18">
        <f>'11.2'!C42</f>
        <v>88784127</v>
      </c>
      <c r="D42" s="29">
        <f>'9.2'!O56</f>
        <v>1</v>
      </c>
      <c r="E42" s="18">
        <f t="shared" ref="E42" si="9">ROUND(C42*D42,0)</f>
        <v>88784127</v>
      </c>
      <c r="F42" s="18">
        <f t="shared" si="5"/>
        <v>77659503</v>
      </c>
      <c r="K42" s="2"/>
    </row>
    <row r="43" spans="1:11" x14ac:dyDescent="0.2">
      <c r="A43" t="str">
        <f t="shared" si="1"/>
        <v>2023</v>
      </c>
      <c r="C43" s="18">
        <f>'11.2'!C43</f>
        <v>130162738</v>
      </c>
      <c r="D43" s="29">
        <f>'9.2'!O57</f>
        <v>1</v>
      </c>
      <c r="E43" s="18">
        <f t="shared" ref="E43" si="10">ROUND(C43*D43,0)</f>
        <v>130162738</v>
      </c>
      <c r="F43" s="18">
        <f t="shared" si="5"/>
        <v>109473433</v>
      </c>
      <c r="K43" s="2"/>
    </row>
    <row r="44" spans="1:11" x14ac:dyDescent="0.2">
      <c r="K44" s="2"/>
    </row>
    <row r="45" spans="1:11" x14ac:dyDescent="0.2">
      <c r="A45" t="s">
        <v>7</v>
      </c>
      <c r="C45" s="18">
        <f>SUM(C14:C44)</f>
        <v>1897102288.1499999</v>
      </c>
      <c r="D45" s="18"/>
      <c r="E45" s="18">
        <f t="shared" ref="E45:F45" si="11">SUM(E14:E44)</f>
        <v>2856295175</v>
      </c>
      <c r="F45" s="18">
        <f t="shared" si="11"/>
        <v>2808572921</v>
      </c>
      <c r="K45" s="2"/>
    </row>
    <row r="46" spans="1:11" ht="12" thickBot="1" x14ac:dyDescent="0.25">
      <c r="A46" s="6"/>
      <c r="B46" s="6"/>
      <c r="C46" s="6"/>
      <c r="D46" s="6"/>
      <c r="E46" s="6"/>
      <c r="F46" s="6"/>
      <c r="K46" s="2"/>
    </row>
    <row r="47" spans="1:11" ht="12" thickTop="1" x14ac:dyDescent="0.2">
      <c r="K47" s="2"/>
    </row>
    <row r="48" spans="1:11" x14ac:dyDescent="0.2">
      <c r="A48" t="s">
        <v>17</v>
      </c>
      <c r="K48" s="2"/>
    </row>
    <row r="49" spans="2:11" x14ac:dyDescent="0.2">
      <c r="B49" s="12" t="str">
        <f>C12&amp;" Provided by TWIA"</f>
        <v>(2) Provided by TWIA</v>
      </c>
      <c r="K49" s="2"/>
    </row>
    <row r="50" spans="2:11" x14ac:dyDescent="0.2">
      <c r="B50" s="12" t="str">
        <f>D12&amp;" "&amp;'9.2'!$O$1&amp;", "&amp;'9.2'!$O$2</f>
        <v>(3) Exhibit 9, Sheet 2</v>
      </c>
      <c r="K50" s="2"/>
    </row>
    <row r="51" spans="2:11" x14ac:dyDescent="0.2">
      <c r="B51" s="12" t="str">
        <f>E12&amp;" = "&amp;C12&amp;" * "&amp;D12&amp;" (calculated on a monthly basis)"</f>
        <v>(4) = (2) * (3) (calculated on a monthly basis)</v>
      </c>
      <c r="K51" s="2"/>
    </row>
    <row r="52" spans="2:11" x14ac:dyDescent="0.2">
      <c r="B52" s="12" t="str">
        <f>F12&amp;" Calculated from "&amp;E12&amp;", using annual uniform earning assumption for "&amp;A22&amp;" and prior and monthly for "&amp;A23&amp;" and after"</f>
        <v>(5) Calculated from (4), using annual uniform earning assumption for 2002 and prior and monthly for 2003 and after</v>
      </c>
      <c r="K52" s="2"/>
    </row>
    <row r="53" spans="2:11" x14ac:dyDescent="0.2">
      <c r="B53" s="12"/>
      <c r="K53" s="2"/>
    </row>
    <row r="54" spans="2:11" x14ac:dyDescent="0.2">
      <c r="K54" s="2"/>
    </row>
    <row r="55" spans="2:11" x14ac:dyDescent="0.2">
      <c r="K55" s="2"/>
    </row>
    <row r="56" spans="2:11" x14ac:dyDescent="0.2">
      <c r="K56" s="2"/>
    </row>
    <row r="57" spans="2:11" x14ac:dyDescent="0.2">
      <c r="K57" s="2"/>
    </row>
    <row r="58" spans="2:11" x14ac:dyDescent="0.2">
      <c r="K58" s="2"/>
    </row>
    <row r="59" spans="2:11" x14ac:dyDescent="0.2">
      <c r="K59" s="2"/>
    </row>
    <row r="60" spans="2:11" x14ac:dyDescent="0.2">
      <c r="K60" s="2"/>
    </row>
    <row r="61" spans="2:11" x14ac:dyDescent="0.2">
      <c r="K61" s="2"/>
    </row>
    <row r="62" spans="2:11" x14ac:dyDescent="0.2">
      <c r="K62" s="2"/>
    </row>
    <row r="63" spans="2:11" x14ac:dyDescent="0.2">
      <c r="K63" s="2"/>
    </row>
    <row r="64" spans="2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idden="1" x14ac:dyDescent="0.2">
      <c r="K71" s="2"/>
    </row>
    <row r="72" spans="1:11" ht="12" hidden="1" thickBot="1" x14ac:dyDescent="0.25">
      <c r="K72" s="2"/>
    </row>
    <row r="73" spans="1:11" ht="12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>
    <tabColor rgb="FF00FF00"/>
  </sheetPr>
  <dimension ref="A1:U71"/>
  <sheetViews>
    <sheetView showGridLines="0" zoomScaleNormal="100" workbookViewId="0"/>
  </sheetViews>
  <sheetFormatPr defaultColWidth="11.33203125" defaultRowHeight="11.25" x14ac:dyDescent="0.2"/>
  <cols>
    <col min="1" max="1" width="7.1640625" customWidth="1"/>
    <col min="2" max="2" width="10.6640625" customWidth="1"/>
    <col min="3" max="3" width="9.1640625" customWidth="1"/>
    <col min="4" max="4" width="9.6640625" customWidth="1"/>
    <col min="5" max="5" width="10.6640625" customWidth="1"/>
    <col min="6" max="10" width="7" customWidth="1"/>
    <col min="11" max="12" width="6.6640625" customWidth="1"/>
    <col min="13" max="13" width="7" customWidth="1"/>
    <col min="14" max="14" width="8.5" customWidth="1"/>
    <col min="15" max="15" width="9.6640625" customWidth="1"/>
    <col min="17" max="17" width="8.6640625" customWidth="1"/>
  </cols>
  <sheetData>
    <row r="1" spans="1:21" x14ac:dyDescent="0.2">
      <c r="A1" s="8" t="str">
        <f>'1'!$A$1</f>
        <v>Texas Windstorm Insurance Association</v>
      </c>
      <c r="O1" s="7" t="s">
        <v>119</v>
      </c>
      <c r="P1" s="1"/>
      <c r="T1" t="s">
        <v>447</v>
      </c>
      <c r="U1" t="s">
        <v>457</v>
      </c>
    </row>
    <row r="2" spans="1:21" x14ac:dyDescent="0.2">
      <c r="A2" s="8" t="str">
        <f>'1'!$A$2</f>
        <v>Commercial Property - Wind &amp; Hail</v>
      </c>
      <c r="O2" s="7" t="s">
        <v>58</v>
      </c>
      <c r="P2" s="2"/>
    </row>
    <row r="3" spans="1:21" x14ac:dyDescent="0.2">
      <c r="A3" s="8" t="str">
        <f>'1'!$A$3</f>
        <v>Rate Level Review</v>
      </c>
      <c r="P3" s="2"/>
    </row>
    <row r="4" spans="1:21" x14ac:dyDescent="0.2">
      <c r="A4" t="s">
        <v>192</v>
      </c>
      <c r="P4" s="2"/>
    </row>
    <row r="5" spans="1:21" x14ac:dyDescent="0.2">
      <c r="P5" s="2"/>
    </row>
    <row r="6" spans="1:21" x14ac:dyDescent="0.2">
      <c r="P6" s="2"/>
    </row>
    <row r="7" spans="1:21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"/>
    </row>
    <row r="8" spans="1:21" ht="12" thickTop="1" x14ac:dyDescent="0.2">
      <c r="P8" s="2"/>
    </row>
    <row r="9" spans="1:21" x14ac:dyDescent="0.2">
      <c r="B9" s="10" t="s">
        <v>195</v>
      </c>
      <c r="N9" s="11" t="s">
        <v>46</v>
      </c>
      <c r="O9" s="11" t="s">
        <v>201</v>
      </c>
      <c r="P9" s="2"/>
    </row>
    <row r="10" spans="1:21" x14ac:dyDescent="0.2">
      <c r="B10" t="s">
        <v>194</v>
      </c>
      <c r="F10" t="s">
        <v>198</v>
      </c>
      <c r="J10" s="11" t="s">
        <v>199</v>
      </c>
      <c r="N10" s="11" t="s">
        <v>12</v>
      </c>
      <c r="O10" s="11" t="s">
        <v>193</v>
      </c>
      <c r="P10" s="2"/>
    </row>
    <row r="11" spans="1:21" x14ac:dyDescent="0.2">
      <c r="A11" s="9" t="s">
        <v>41</v>
      </c>
      <c r="B11" s="9" t="s">
        <v>196</v>
      </c>
      <c r="C11" s="9"/>
      <c r="D11" s="9"/>
      <c r="E11" s="144" t="s">
        <v>197</v>
      </c>
      <c r="F11" s="9" t="s">
        <v>196</v>
      </c>
      <c r="G11" s="9"/>
      <c r="H11" s="9"/>
      <c r="I11" s="144" t="s">
        <v>197</v>
      </c>
      <c r="J11" s="144" t="s">
        <v>196</v>
      </c>
      <c r="K11" s="9"/>
      <c r="L11" s="9"/>
      <c r="M11" s="144" t="s">
        <v>197</v>
      </c>
      <c r="N11" s="144" t="s">
        <v>200</v>
      </c>
      <c r="O11" s="144" t="s">
        <v>89</v>
      </c>
      <c r="P11" s="2"/>
    </row>
    <row r="12" spans="1:21" x14ac:dyDescent="0.2">
      <c r="A12" s="13" t="str">
        <f>TEXT(COLUMN(),"(#)")</f>
        <v>(1)</v>
      </c>
      <c r="B12" s="11" t="str">
        <f>TEXT(COLUMN()-1,"(#)")</f>
        <v>(1)</v>
      </c>
      <c r="C12" s="11" t="str">
        <f>TEXT(COLUMN()-1,"(#)")</f>
        <v>(2)</v>
      </c>
      <c r="D12" s="11" t="str">
        <f>TEXT(COLUMN()-1,"(#)")</f>
        <v>(3)</v>
      </c>
      <c r="E12" s="11" t="str">
        <f t="shared" ref="E12:O12" si="0">TEXT(COLUMN()-1,"(#)")</f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11" t="str">
        <f t="shared" si="0"/>
        <v>(12)</v>
      </c>
      <c r="N12" s="11" t="str">
        <f t="shared" si="0"/>
        <v>(13)</v>
      </c>
      <c r="O12" s="11" t="str">
        <f t="shared" si="0"/>
        <v>(14)</v>
      </c>
      <c r="P12" s="2"/>
    </row>
    <row r="13" spans="1:21" x14ac:dyDescent="0.2">
      <c r="P13" s="2"/>
    </row>
    <row r="14" spans="1:21" x14ac:dyDescent="0.2">
      <c r="A14" s="22">
        <v>1980</v>
      </c>
      <c r="B14" s="60" t="s">
        <v>174</v>
      </c>
      <c r="D14" s="12"/>
      <c r="E14" s="61">
        <v>29434</v>
      </c>
      <c r="F14" s="28">
        <f>ROUND(VLOOKUP(TEXT(B14,"m/d/yy"),'9.3'!$A$14:$D$42,4,0),3)</f>
        <v>1</v>
      </c>
      <c r="G14" s="28"/>
      <c r="H14" s="28"/>
      <c r="I14" s="28">
        <f>ROUND(VLOOKUP(TEXT(E14,"m/d/yy"),'9.3'!$A$14:$D$42,4,0),3)</f>
        <v>1.175</v>
      </c>
      <c r="J14" s="55">
        <f>ROUND(IF(E14&gt;DATE($A14,1,1),MONTH(E14)-1+(DAY(E14)-1)/30,12),1)</f>
        <v>7</v>
      </c>
      <c r="K14" s="55"/>
      <c r="L14" s="55"/>
      <c r="M14" s="55">
        <f>12-SUM(J14:L14)</f>
        <v>5</v>
      </c>
      <c r="N14" s="28">
        <f>ROUND(SUMPRODUCT(F14:I14,J14:M14)/12,3)</f>
        <v>1.073</v>
      </c>
      <c r="O14" s="28">
        <f t="shared" ref="O14:O54" si="1">ROUND(N$59/N14,3)</f>
        <v>4.8689999999999998</v>
      </c>
      <c r="P14" s="242"/>
      <c r="R14" s="22"/>
      <c r="S14" s="22"/>
      <c r="T14" s="22"/>
    </row>
    <row r="15" spans="1:21" x14ac:dyDescent="0.2">
      <c r="A15" s="22">
        <v>1981</v>
      </c>
      <c r="B15" s="61">
        <v>29434</v>
      </c>
      <c r="D15" s="12"/>
      <c r="E15" s="61">
        <v>29830</v>
      </c>
      <c r="F15" s="28">
        <f>ROUND(VLOOKUP(TEXT(B15,"m/d/yy"),'9.3'!$A$14:$D$42,4,0),3)</f>
        <v>1.175</v>
      </c>
      <c r="G15" s="28"/>
      <c r="H15" s="28"/>
      <c r="I15" s="28">
        <f>ROUND(VLOOKUP(TEXT(E15,"m/d/yy"),'9.3'!$A$14:$D$42,4,0),3)</f>
        <v>1.1319999999999999</v>
      </c>
      <c r="J15" s="55">
        <f>ROUND(IF(E15&gt;DATE($A15,1,1),MONTH(E15)-1+(DAY(E15)-1)/30,12),1)</f>
        <v>8</v>
      </c>
      <c r="K15" s="55"/>
      <c r="L15" s="55"/>
      <c r="M15" s="55">
        <f t="shared" ref="M15:M36" si="2">12-SUM(J15:L15)</f>
        <v>4</v>
      </c>
      <c r="N15" s="28">
        <f t="shared" ref="N15:N36" si="3">ROUND(SUMPRODUCT(F15:I15,J15:M15)/12,3)</f>
        <v>1.161</v>
      </c>
      <c r="O15" s="28">
        <f t="shared" si="1"/>
        <v>4.5</v>
      </c>
      <c r="P15" s="242"/>
      <c r="R15" s="22"/>
      <c r="S15" s="22"/>
      <c r="T15" s="22"/>
    </row>
    <row r="16" spans="1:21" x14ac:dyDescent="0.2">
      <c r="A16" s="22">
        <v>1982</v>
      </c>
      <c r="B16" s="61">
        <v>29830</v>
      </c>
      <c r="D16" s="12"/>
      <c r="E16" s="61">
        <v>30195</v>
      </c>
      <c r="F16" s="28">
        <f>ROUND(VLOOKUP(TEXT(B16,"m/d/yy"),'9.3'!$A$14:$D$42,4,0),3)</f>
        <v>1.1319999999999999</v>
      </c>
      <c r="G16" s="28"/>
      <c r="H16" s="28"/>
      <c r="I16" s="28">
        <f>ROUND(VLOOKUP(TEXT(E16,"m/d/yy"),'9.3'!$A$14:$D$42,4,0),3)</f>
        <v>1.4279999999999999</v>
      </c>
      <c r="J16" s="55">
        <f>ROUND(IF(E16&gt;DATE($A16,1,1),MONTH(E16)-1+(DAY(E16)-1)/30,12),1)</f>
        <v>8</v>
      </c>
      <c r="K16" s="55"/>
      <c r="L16" s="55"/>
      <c r="M16" s="55">
        <f t="shared" si="2"/>
        <v>4</v>
      </c>
      <c r="N16" s="28">
        <f t="shared" si="3"/>
        <v>1.2310000000000001</v>
      </c>
      <c r="O16" s="28">
        <f t="shared" si="1"/>
        <v>4.2439999999999998</v>
      </c>
      <c r="P16" s="242"/>
      <c r="R16" s="22"/>
      <c r="S16" s="22"/>
      <c r="T16" s="22"/>
    </row>
    <row r="17" spans="1:20" x14ac:dyDescent="0.2">
      <c r="A17" s="22">
        <v>1983</v>
      </c>
      <c r="B17" s="61">
        <v>30195</v>
      </c>
      <c r="D17" s="12"/>
      <c r="E17" s="61">
        <v>30599</v>
      </c>
      <c r="F17" s="28">
        <f>ROUND(VLOOKUP(TEXT(B17,"m/d/yy"),'9.3'!$A$14:$D$42,4,0),3)</f>
        <v>1.4279999999999999</v>
      </c>
      <c r="G17" s="28"/>
      <c r="H17" s="28"/>
      <c r="I17" s="28">
        <f>ROUND(VLOOKUP(TEXT(E17,"m/d/yy"),'9.3'!$A$14:$D$42,4,0),3)</f>
        <v>1.514</v>
      </c>
      <c r="J17" s="55">
        <f>ROUND(IF(E17&gt;DATE($A17,1,1),MONTH(E17)-1+(DAY(E17)-1)/30,12),1)</f>
        <v>9.3000000000000007</v>
      </c>
      <c r="K17" s="55"/>
      <c r="L17" s="55"/>
      <c r="M17" s="55">
        <f t="shared" si="2"/>
        <v>2.6999999999999993</v>
      </c>
      <c r="N17" s="28">
        <f t="shared" si="3"/>
        <v>1.4470000000000001</v>
      </c>
      <c r="O17" s="28">
        <f t="shared" si="1"/>
        <v>3.61</v>
      </c>
      <c r="P17" s="242"/>
      <c r="R17" s="22"/>
      <c r="S17" s="22"/>
      <c r="T17" s="22"/>
    </row>
    <row r="18" spans="1:20" x14ac:dyDescent="0.2">
      <c r="A18" s="22">
        <v>1984</v>
      </c>
      <c r="B18" s="61">
        <v>30599</v>
      </c>
      <c r="D18" s="12"/>
      <c r="E18" s="61">
        <v>30599</v>
      </c>
      <c r="F18" s="28">
        <f>ROUND(VLOOKUP(TEXT(B18,"m/d/yy"),'9.3'!$A$14:$D$42,4,0),3)</f>
        <v>1.514</v>
      </c>
      <c r="G18" s="28"/>
      <c r="H18" s="28"/>
      <c r="I18" s="28">
        <f>ROUND(VLOOKUP(TEXT(E18,"m/d/yy"),'9.3'!$A$14:$D$42,4,0),3)</f>
        <v>1.514</v>
      </c>
      <c r="J18" s="55">
        <f>ROUND(IF(E18&gt;DATE($A18,1,1),MONTH(E18)-1+(DAY(E18)-1)/30,12),1)</f>
        <v>12</v>
      </c>
      <c r="K18" s="55"/>
      <c r="L18" s="55"/>
      <c r="M18" s="55">
        <f t="shared" si="2"/>
        <v>0</v>
      </c>
      <c r="N18" s="28">
        <f t="shared" si="3"/>
        <v>1.514</v>
      </c>
      <c r="O18" s="28">
        <f t="shared" si="1"/>
        <v>3.4510000000000001</v>
      </c>
      <c r="P18" s="242"/>
      <c r="R18" s="22"/>
      <c r="S18" s="22"/>
      <c r="T18" s="22"/>
    </row>
    <row r="19" spans="1:20" x14ac:dyDescent="0.2">
      <c r="A19" s="22">
        <v>1985</v>
      </c>
      <c r="B19" s="61">
        <v>30599</v>
      </c>
      <c r="C19" s="61">
        <v>31107</v>
      </c>
      <c r="D19" s="61">
        <v>31121</v>
      </c>
      <c r="E19" s="61">
        <v>31366</v>
      </c>
      <c r="F19" s="28">
        <f>ROUND(VLOOKUP(TEXT(B19,"m/d/yy"),'9.3'!$A$14:$D$42,4,0),3)</f>
        <v>1.514</v>
      </c>
      <c r="G19" s="28">
        <f>ROUND(VLOOKUP(TEXT(C19,"m/d/yy"),'9.3'!$A$14:$D$42,4,0),3)</f>
        <v>1.8919999999999999</v>
      </c>
      <c r="H19" s="28">
        <f>ROUND(VLOOKUP(TEXT(D19,"m/d/yy"),'9.3'!$A$14:$D$42,4,0),3)</f>
        <v>2.4279999999999999</v>
      </c>
      <c r="I19" s="28">
        <f>ROUND(VLOOKUP(TEXT(E19,"m/d/yy"),'9.3'!$A$14:$D$42,4,0),3)</f>
        <v>2.6509999999999998</v>
      </c>
      <c r="J19" s="62">
        <f>ROUND(IF(C19&gt;DATE($A19,1,1),MONTH(C19)-1+(DAY(C19)-1)/30,12),1)</f>
        <v>2</v>
      </c>
      <c r="K19" s="62">
        <f>ROUND(IF(D19&gt;DATE($A19,1,1),MONTH(D19)-1+(DAY(D19)-1)/30,12)-J19,1)</f>
        <v>0.5</v>
      </c>
      <c r="L19" s="62">
        <f>ROUND(IF(E19&gt;DATE($A19,1,1),MONTH(E19)-1+(DAY(E19)-1)/30,12)-J19-K19,1)</f>
        <v>8</v>
      </c>
      <c r="M19" s="55">
        <f t="shared" si="2"/>
        <v>1.5</v>
      </c>
      <c r="N19" s="28">
        <f t="shared" si="3"/>
        <v>2.2810000000000001</v>
      </c>
      <c r="O19" s="28">
        <f t="shared" si="1"/>
        <v>2.29</v>
      </c>
      <c r="P19" s="242"/>
      <c r="R19" s="22"/>
      <c r="S19" s="22"/>
      <c r="T19" s="22"/>
    </row>
    <row r="20" spans="1:20" x14ac:dyDescent="0.2">
      <c r="A20" s="22">
        <v>1986</v>
      </c>
      <c r="B20" s="61">
        <v>31366</v>
      </c>
      <c r="D20" s="12"/>
      <c r="E20" s="61">
        <v>31366</v>
      </c>
      <c r="F20" s="28">
        <f>ROUND(VLOOKUP(TEXT(B20,"m/d/yy"),'9.3'!$A$14:$D$42,4,0),3)</f>
        <v>2.6509999999999998</v>
      </c>
      <c r="G20" s="28"/>
      <c r="H20" s="28"/>
      <c r="I20" s="28">
        <f>ROUND(VLOOKUP(TEXT(E20,"m/d/yy"),'9.3'!$A$14:$D$42,4,0),3)</f>
        <v>2.6509999999999998</v>
      </c>
      <c r="J20" s="55">
        <f t="shared" ref="J20:J36" si="4">ROUND(IF(E20&gt;DATE($A20,1,1),MONTH(E20)-1+(DAY(E20)-1)/30,12),1)</f>
        <v>12</v>
      </c>
      <c r="K20" s="55"/>
      <c r="L20" s="55"/>
      <c r="M20" s="55">
        <f t="shared" si="2"/>
        <v>0</v>
      </c>
      <c r="N20" s="28">
        <f t="shared" si="3"/>
        <v>2.6509999999999998</v>
      </c>
      <c r="O20" s="28">
        <f t="shared" si="1"/>
        <v>1.9710000000000001</v>
      </c>
      <c r="P20" s="242"/>
      <c r="R20" s="22"/>
      <c r="S20" s="22"/>
      <c r="T20" s="22"/>
    </row>
    <row r="21" spans="1:20" x14ac:dyDescent="0.2">
      <c r="A21" s="22">
        <v>1987</v>
      </c>
      <c r="B21" s="61">
        <v>31366</v>
      </c>
      <c r="D21" s="12"/>
      <c r="E21" s="61">
        <v>31959</v>
      </c>
      <c r="F21" s="28">
        <f>ROUND(VLOOKUP(TEXT(B21,"m/d/yy"),'9.3'!$A$14:$D$42,4,0),3)</f>
        <v>2.6509999999999998</v>
      </c>
      <c r="G21" s="28"/>
      <c r="H21" s="28"/>
      <c r="I21" s="28">
        <f>ROUND(VLOOKUP(TEXT(E21,"m/d/yy"),'9.3'!$A$14:$D$42,4,0),3)</f>
        <v>2.407</v>
      </c>
      <c r="J21" s="55">
        <f t="shared" si="4"/>
        <v>6</v>
      </c>
      <c r="K21" s="55"/>
      <c r="L21" s="55"/>
      <c r="M21" s="55">
        <f t="shared" si="2"/>
        <v>6</v>
      </c>
      <c r="N21" s="28">
        <f t="shared" si="3"/>
        <v>2.5289999999999999</v>
      </c>
      <c r="O21" s="28">
        <f t="shared" si="1"/>
        <v>2.0659999999999998</v>
      </c>
      <c r="P21" s="242"/>
      <c r="R21" s="22"/>
      <c r="S21" s="22"/>
      <c r="T21" s="22"/>
    </row>
    <row r="22" spans="1:20" x14ac:dyDescent="0.2">
      <c r="A22" s="22">
        <v>1988</v>
      </c>
      <c r="B22" s="61">
        <v>31959</v>
      </c>
      <c r="D22" s="12"/>
      <c r="E22" s="61">
        <v>32448</v>
      </c>
      <c r="F22" s="28">
        <f>ROUND(VLOOKUP(TEXT(B22,"m/d/yy"),'9.3'!$A$14:$D$42,4,0),3)</f>
        <v>2.407</v>
      </c>
      <c r="G22" s="28"/>
      <c r="H22" s="28"/>
      <c r="I22" s="28">
        <f>ROUND(VLOOKUP(TEXT(E22,"m/d/yy"),'9.3'!$A$14:$D$42,4,0),3)</f>
        <v>2.0750000000000002</v>
      </c>
      <c r="J22" s="55">
        <f t="shared" si="4"/>
        <v>10</v>
      </c>
      <c r="K22" s="55"/>
      <c r="L22" s="55"/>
      <c r="M22" s="55">
        <f t="shared" si="2"/>
        <v>2</v>
      </c>
      <c r="N22" s="28">
        <f t="shared" si="3"/>
        <v>2.3519999999999999</v>
      </c>
      <c r="O22" s="28">
        <f t="shared" si="1"/>
        <v>2.2210000000000001</v>
      </c>
      <c r="P22" s="242"/>
      <c r="R22" s="22"/>
      <c r="S22" s="22"/>
      <c r="T22" s="22"/>
    </row>
    <row r="23" spans="1:20" x14ac:dyDescent="0.2">
      <c r="A23" s="22">
        <v>1989</v>
      </c>
      <c r="B23" s="61">
        <v>32448</v>
      </c>
      <c r="D23" s="12"/>
      <c r="E23" s="61">
        <v>32448</v>
      </c>
      <c r="F23" s="28">
        <f>ROUND(VLOOKUP(TEXT(B23,"m/d/yy"),'9.3'!$A$14:$D$42,4,0),3)</f>
        <v>2.0750000000000002</v>
      </c>
      <c r="G23" s="28"/>
      <c r="H23" s="28"/>
      <c r="I23" s="28">
        <f>ROUND(VLOOKUP(TEXT(E23,"m/d/yy"),'9.3'!$A$14:$D$42,4,0),3)</f>
        <v>2.0750000000000002</v>
      </c>
      <c r="J23" s="55">
        <f t="shared" si="4"/>
        <v>12</v>
      </c>
      <c r="K23" s="55"/>
      <c r="L23" s="55"/>
      <c r="M23" s="55">
        <f t="shared" si="2"/>
        <v>0</v>
      </c>
      <c r="N23" s="28">
        <f t="shared" si="3"/>
        <v>2.0750000000000002</v>
      </c>
      <c r="O23" s="28">
        <f t="shared" si="1"/>
        <v>2.5179999999999998</v>
      </c>
      <c r="P23" s="242"/>
      <c r="R23" s="22"/>
      <c r="S23" s="22"/>
      <c r="T23" s="22"/>
    </row>
    <row r="24" spans="1:20" x14ac:dyDescent="0.2">
      <c r="A24" s="22">
        <v>1990</v>
      </c>
      <c r="B24" s="61">
        <v>32448</v>
      </c>
      <c r="D24" s="12"/>
      <c r="E24" s="61">
        <v>32933</v>
      </c>
      <c r="F24" s="28">
        <f>ROUND(VLOOKUP(TEXT(B24,"m/d/yy"),'9.3'!$A$14:$D$42,4,0),3)</f>
        <v>2.0750000000000002</v>
      </c>
      <c r="G24" s="28"/>
      <c r="H24" s="28"/>
      <c r="I24" s="28">
        <f>ROUND(VLOOKUP(TEXT(E24,"m/d/yy"),'9.3'!$A$14:$D$42,4,0),3)</f>
        <v>2.1040000000000001</v>
      </c>
      <c r="J24" s="55">
        <f t="shared" si="4"/>
        <v>2</v>
      </c>
      <c r="K24" s="55"/>
      <c r="L24" s="55"/>
      <c r="M24" s="55">
        <f t="shared" si="2"/>
        <v>10</v>
      </c>
      <c r="N24" s="28">
        <f t="shared" si="3"/>
        <v>2.0990000000000002</v>
      </c>
      <c r="O24" s="28">
        <f t="shared" si="1"/>
        <v>2.4889999999999999</v>
      </c>
      <c r="P24" s="242"/>
      <c r="R24" s="22"/>
      <c r="S24" s="22"/>
      <c r="T24" s="22"/>
    </row>
    <row r="25" spans="1:20" x14ac:dyDescent="0.2">
      <c r="A25" s="22">
        <v>1991</v>
      </c>
      <c r="B25" s="61">
        <v>32933</v>
      </c>
      <c r="D25" s="12"/>
      <c r="E25" s="61">
        <v>33329</v>
      </c>
      <c r="F25" s="28">
        <f>ROUND(VLOOKUP(TEXT(B25,"m/d/yy"),'9.3'!$A$14:$D$42,4,0),3)</f>
        <v>2.1040000000000001</v>
      </c>
      <c r="G25" s="28"/>
      <c r="H25" s="28"/>
      <c r="I25" s="28">
        <f>ROUND(VLOOKUP(TEXT(E25,"m/d/yy"),'9.3'!$A$14:$D$42,4,0),3)</f>
        <v>2.0830000000000002</v>
      </c>
      <c r="J25" s="55">
        <f t="shared" si="4"/>
        <v>3</v>
      </c>
      <c r="K25" s="55"/>
      <c r="L25" s="55"/>
      <c r="M25" s="55">
        <f t="shared" si="2"/>
        <v>9</v>
      </c>
      <c r="N25" s="28">
        <f t="shared" si="3"/>
        <v>2.0880000000000001</v>
      </c>
      <c r="O25" s="28">
        <f t="shared" si="1"/>
        <v>2.5019999999999998</v>
      </c>
      <c r="P25" s="242"/>
      <c r="R25" s="22"/>
      <c r="S25" s="22"/>
      <c r="T25" s="22"/>
    </row>
    <row r="26" spans="1:20" x14ac:dyDescent="0.2">
      <c r="A26" s="22">
        <v>1992</v>
      </c>
      <c r="B26" s="61">
        <v>33604</v>
      </c>
      <c r="D26" s="12"/>
      <c r="E26" s="61">
        <v>33604</v>
      </c>
      <c r="F26" s="28">
        <f>ROUND(VLOOKUP(TEXT(B26,"m/d/yy"),'9.3'!$A$14:$D$42,4,0),3)</f>
        <v>1.6060000000000001</v>
      </c>
      <c r="G26" s="28"/>
      <c r="H26" s="28"/>
      <c r="I26" s="28">
        <f>ROUND(VLOOKUP(TEXT(E26,"m/d/yy"),'9.3'!$A$14:$D$42,4,0),3)</f>
        <v>1.6060000000000001</v>
      </c>
      <c r="J26" s="55">
        <f t="shared" si="4"/>
        <v>12</v>
      </c>
      <c r="K26" s="55"/>
      <c r="L26" s="55"/>
      <c r="M26" s="55">
        <f t="shared" si="2"/>
        <v>0</v>
      </c>
      <c r="N26" s="28">
        <f t="shared" si="3"/>
        <v>1.6060000000000001</v>
      </c>
      <c r="O26" s="28">
        <f t="shared" si="1"/>
        <v>3.2530000000000001</v>
      </c>
      <c r="P26" s="242"/>
      <c r="Q26" s="22">
        <v>1992</v>
      </c>
      <c r="R26" s="22"/>
      <c r="S26" s="22"/>
      <c r="T26" s="22"/>
    </row>
    <row r="27" spans="1:20" x14ac:dyDescent="0.2">
      <c r="A27" s="22">
        <v>1993</v>
      </c>
      <c r="B27" s="61">
        <v>33604</v>
      </c>
      <c r="D27" s="12"/>
      <c r="E27" s="61">
        <v>34243</v>
      </c>
      <c r="F27" s="28">
        <f>ROUND(VLOOKUP(TEXT(B27,"m/d/yy"),'9.3'!$A$14:$D$42,4,0),3)</f>
        <v>1.6060000000000001</v>
      </c>
      <c r="G27" s="28"/>
      <c r="H27" s="28"/>
      <c r="I27" s="28">
        <f>ROUND(VLOOKUP(TEXT(E27,"m/d/yy"),'9.3'!$A$14:$D$42,4,0),3)</f>
        <v>1.6060000000000001</v>
      </c>
      <c r="J27" s="55">
        <f t="shared" si="4"/>
        <v>9</v>
      </c>
      <c r="K27" s="55"/>
      <c r="L27" s="55"/>
      <c r="M27" s="55">
        <f t="shared" si="2"/>
        <v>3</v>
      </c>
      <c r="N27" s="28">
        <f t="shared" si="3"/>
        <v>1.6060000000000001</v>
      </c>
      <c r="O27" s="28">
        <f t="shared" si="1"/>
        <v>3.2530000000000001</v>
      </c>
      <c r="P27" s="242"/>
      <c r="Q27" s="22">
        <v>1993</v>
      </c>
      <c r="R27" s="22"/>
      <c r="S27" s="22"/>
      <c r="T27" s="22"/>
    </row>
    <row r="28" spans="1:20" x14ac:dyDescent="0.2">
      <c r="A28" s="22">
        <v>1994</v>
      </c>
      <c r="B28" s="61">
        <v>34243</v>
      </c>
      <c r="D28" s="12"/>
      <c r="E28" s="61">
        <v>34243</v>
      </c>
      <c r="F28" s="28">
        <f>ROUND(VLOOKUP(TEXT(B28,"m/d/yy"),'9.3'!$A$14:$D$42,4,0),3)</f>
        <v>1.6060000000000001</v>
      </c>
      <c r="G28" s="28"/>
      <c r="H28" s="28"/>
      <c r="I28" s="28">
        <f>ROUND(VLOOKUP(TEXT(E28,"m/d/yy"),'9.3'!$A$14:$D$42,4,0),3)</f>
        <v>1.6060000000000001</v>
      </c>
      <c r="J28" s="55">
        <f t="shared" si="4"/>
        <v>12</v>
      </c>
      <c r="K28" s="55"/>
      <c r="L28" s="55"/>
      <c r="M28" s="55">
        <f t="shared" si="2"/>
        <v>0</v>
      </c>
      <c r="N28" s="28">
        <f t="shared" si="3"/>
        <v>1.6060000000000001</v>
      </c>
      <c r="O28" s="28">
        <f t="shared" si="1"/>
        <v>3.2530000000000001</v>
      </c>
      <c r="P28" s="242"/>
      <c r="Q28" s="22">
        <v>1994</v>
      </c>
      <c r="R28" s="22"/>
      <c r="S28" s="22"/>
      <c r="T28" s="22"/>
    </row>
    <row r="29" spans="1:20" x14ac:dyDescent="0.2">
      <c r="A29" s="22">
        <v>1995</v>
      </c>
      <c r="B29" s="61">
        <v>34243</v>
      </c>
      <c r="D29" s="12"/>
      <c r="E29" s="61">
        <v>34243</v>
      </c>
      <c r="F29" s="28">
        <f>ROUND(VLOOKUP(TEXT(B29,"m/d/yy"),'9.3'!$A$14:$D$42,4,0),3)</f>
        <v>1.6060000000000001</v>
      </c>
      <c r="G29" s="28"/>
      <c r="H29" s="28"/>
      <c r="I29" s="28">
        <f>ROUND(VLOOKUP(TEXT(E29,"m/d/yy"),'9.3'!$A$14:$D$42,4,0),3)</f>
        <v>1.6060000000000001</v>
      </c>
      <c r="J29" s="55">
        <f t="shared" si="4"/>
        <v>12</v>
      </c>
      <c r="K29" s="55"/>
      <c r="L29" s="55"/>
      <c r="M29" s="55">
        <f t="shared" si="2"/>
        <v>0</v>
      </c>
      <c r="N29" s="28">
        <f t="shared" si="3"/>
        <v>1.6060000000000001</v>
      </c>
      <c r="O29" s="28">
        <f t="shared" si="1"/>
        <v>3.2530000000000001</v>
      </c>
      <c r="P29" s="242"/>
      <c r="Q29" s="22">
        <v>1995</v>
      </c>
      <c r="R29" s="22"/>
      <c r="S29" s="22"/>
      <c r="T29" s="22"/>
    </row>
    <row r="30" spans="1:20" x14ac:dyDescent="0.2">
      <c r="A30" s="22">
        <v>1996</v>
      </c>
      <c r="B30" s="61">
        <v>34243</v>
      </c>
      <c r="D30" s="12"/>
      <c r="E30" s="61">
        <v>34243</v>
      </c>
      <c r="F30" s="28">
        <f>ROUND(VLOOKUP(TEXT(B30,"m/d/yy"),'9.3'!$A$14:$D$42,4,0),3)</f>
        <v>1.6060000000000001</v>
      </c>
      <c r="G30" s="28"/>
      <c r="H30" s="28"/>
      <c r="I30" s="28">
        <f>ROUND(VLOOKUP(TEXT(E30,"m/d/yy"),'9.3'!$A$14:$D$42,4,0),3)</f>
        <v>1.6060000000000001</v>
      </c>
      <c r="J30" s="55">
        <f t="shared" si="4"/>
        <v>12</v>
      </c>
      <c r="K30" s="55"/>
      <c r="L30" s="55"/>
      <c r="M30" s="55">
        <f t="shared" si="2"/>
        <v>0</v>
      </c>
      <c r="N30" s="28">
        <f>ROUND(SUMPRODUCT(F30:I30,J30:M30)/12,3)</f>
        <v>1.6060000000000001</v>
      </c>
      <c r="O30" s="28">
        <f t="shared" si="1"/>
        <v>3.2530000000000001</v>
      </c>
      <c r="P30" s="242"/>
      <c r="Q30" s="22">
        <v>1996</v>
      </c>
      <c r="R30" s="22"/>
      <c r="S30" s="22"/>
      <c r="T30" s="22"/>
    </row>
    <row r="31" spans="1:20" x14ac:dyDescent="0.2">
      <c r="A31" s="22">
        <v>1997</v>
      </c>
      <c r="B31" s="61">
        <v>34243</v>
      </c>
      <c r="D31" s="12"/>
      <c r="E31" s="61">
        <v>34243</v>
      </c>
      <c r="F31" s="28">
        <f>ROUND(VLOOKUP(TEXT(B31,"m/d/yy"),'9.3'!$A$14:$D$42,4,0),3)</f>
        <v>1.6060000000000001</v>
      </c>
      <c r="G31" s="28"/>
      <c r="H31" s="28"/>
      <c r="I31" s="28">
        <f>ROUND(VLOOKUP(TEXT(E31,"m/d/yy"),'9.3'!$A$14:$D$42,4,0),3)</f>
        <v>1.6060000000000001</v>
      </c>
      <c r="J31" s="55">
        <f t="shared" si="4"/>
        <v>12</v>
      </c>
      <c r="K31" s="55"/>
      <c r="L31" s="55"/>
      <c r="M31" s="55">
        <f t="shared" si="2"/>
        <v>0</v>
      </c>
      <c r="N31" s="28">
        <f t="shared" si="3"/>
        <v>1.6060000000000001</v>
      </c>
      <c r="O31" s="28">
        <f t="shared" si="1"/>
        <v>3.2530000000000001</v>
      </c>
      <c r="P31" s="242"/>
      <c r="Q31" s="22">
        <v>1997</v>
      </c>
      <c r="R31" s="22"/>
      <c r="S31" s="22"/>
      <c r="T31" s="22"/>
    </row>
    <row r="32" spans="1:20" x14ac:dyDescent="0.2">
      <c r="A32" s="22">
        <v>1998</v>
      </c>
      <c r="B32" s="61">
        <v>35796</v>
      </c>
      <c r="D32" s="12"/>
      <c r="E32" s="61">
        <v>35796</v>
      </c>
      <c r="F32" s="28">
        <f>ROUND(VLOOKUP(TEXT(B32,"m/d/yy"),'9.3'!$A$14:$D$42,4,0),3)</f>
        <v>1.5580000000000001</v>
      </c>
      <c r="G32" s="28"/>
      <c r="H32" s="28"/>
      <c r="I32" s="28">
        <f>ROUND(VLOOKUP(TEXT(E32,"m/d/yy"),'9.3'!$A$14:$D$42,4,0),3)</f>
        <v>1.5580000000000001</v>
      </c>
      <c r="J32" s="55">
        <f t="shared" si="4"/>
        <v>12</v>
      </c>
      <c r="K32" s="55"/>
      <c r="L32" s="55"/>
      <c r="M32" s="55">
        <f t="shared" si="2"/>
        <v>0</v>
      </c>
      <c r="N32" s="28">
        <f t="shared" si="3"/>
        <v>1.5580000000000001</v>
      </c>
      <c r="O32" s="28">
        <f t="shared" si="1"/>
        <v>3.3530000000000002</v>
      </c>
      <c r="P32" s="242"/>
      <c r="Q32" s="22">
        <v>1998</v>
      </c>
      <c r="R32" s="22"/>
      <c r="S32" s="22"/>
      <c r="T32" s="22"/>
    </row>
    <row r="33" spans="1:20" x14ac:dyDescent="0.2">
      <c r="A33" s="22">
        <v>1999</v>
      </c>
      <c r="B33" s="61">
        <v>35796</v>
      </c>
      <c r="D33" s="124"/>
      <c r="E33" s="61">
        <v>35796</v>
      </c>
      <c r="F33" s="28">
        <f>ROUND(VLOOKUP(TEXT(B33,"m/d/yy"),'9.3'!$A$14:$D$42,4,0),3)</f>
        <v>1.5580000000000001</v>
      </c>
      <c r="G33" s="28"/>
      <c r="H33" s="28"/>
      <c r="I33" s="28">
        <f>ROUND(VLOOKUP(TEXT(E33,"m/d/yy"),'9.3'!$A$14:$D$42,4,0),3)</f>
        <v>1.5580000000000001</v>
      </c>
      <c r="J33" s="55">
        <f t="shared" si="4"/>
        <v>12</v>
      </c>
      <c r="K33" s="55"/>
      <c r="L33" s="55"/>
      <c r="M33" s="55">
        <f t="shared" si="2"/>
        <v>0</v>
      </c>
      <c r="N33" s="28">
        <f t="shared" si="3"/>
        <v>1.5580000000000001</v>
      </c>
      <c r="O33" s="28">
        <f t="shared" si="1"/>
        <v>3.3530000000000002</v>
      </c>
      <c r="P33" s="242"/>
      <c r="Q33" s="22">
        <v>1999</v>
      </c>
      <c r="R33" s="22"/>
      <c r="S33" s="22"/>
      <c r="T33" s="22"/>
    </row>
    <row r="34" spans="1:20" x14ac:dyDescent="0.2">
      <c r="A34" s="22">
        <v>2000</v>
      </c>
      <c r="B34" s="61">
        <v>36526</v>
      </c>
      <c r="D34" s="12"/>
      <c r="E34" s="61">
        <v>36526</v>
      </c>
      <c r="F34" s="28">
        <f>ROUND(VLOOKUP(TEXT(B34,"m/d/yy"),'9.3'!$A$14:$D$42,4,0),3)</f>
        <v>1.698</v>
      </c>
      <c r="G34" s="28"/>
      <c r="H34" s="28"/>
      <c r="I34" s="28">
        <f>ROUND(VLOOKUP(TEXT(E34,"m/d/yy"),'9.3'!$A$14:$D$42,4,0),3)</f>
        <v>1.698</v>
      </c>
      <c r="J34" s="55">
        <f t="shared" si="4"/>
        <v>12</v>
      </c>
      <c r="K34" s="55"/>
      <c r="L34" s="55"/>
      <c r="M34" s="55">
        <f t="shared" si="2"/>
        <v>0</v>
      </c>
      <c r="N34" s="28">
        <f t="shared" si="3"/>
        <v>1.698</v>
      </c>
      <c r="O34" s="28">
        <f t="shared" si="1"/>
        <v>3.077</v>
      </c>
      <c r="P34" s="242"/>
      <c r="Q34" s="22">
        <v>2000</v>
      </c>
      <c r="R34" s="22"/>
      <c r="S34" s="22"/>
      <c r="T34" s="22"/>
    </row>
    <row r="35" spans="1:20" x14ac:dyDescent="0.2">
      <c r="A35" s="22">
        <v>2001</v>
      </c>
      <c r="B35" s="61">
        <v>36892</v>
      </c>
      <c r="D35" s="12"/>
      <c r="E35" s="61">
        <v>36892</v>
      </c>
      <c r="F35" s="28">
        <f>ROUND(VLOOKUP(TEXT(B35,"m/d/yy"),'9.3'!$A$14:$D$42,4,0),3)</f>
        <v>1.766</v>
      </c>
      <c r="G35" s="28"/>
      <c r="H35" s="28"/>
      <c r="I35" s="28">
        <f>ROUND(VLOOKUP(TEXT(E35,"m/d/yy"),'9.3'!$A$14:$D$42,4,0),3)</f>
        <v>1.766</v>
      </c>
      <c r="J35" s="55">
        <f t="shared" si="4"/>
        <v>12</v>
      </c>
      <c r="K35" s="55"/>
      <c r="L35" s="55"/>
      <c r="M35" s="55">
        <f t="shared" si="2"/>
        <v>0</v>
      </c>
      <c r="N35" s="28">
        <f t="shared" si="3"/>
        <v>1.766</v>
      </c>
      <c r="O35" s="28">
        <f t="shared" si="1"/>
        <v>2.9580000000000002</v>
      </c>
      <c r="P35" s="242"/>
      <c r="Q35" s="22">
        <v>2001</v>
      </c>
      <c r="R35" s="22"/>
      <c r="S35" s="22"/>
      <c r="T35" s="22"/>
    </row>
    <row r="36" spans="1:20" x14ac:dyDescent="0.2">
      <c r="A36" s="22">
        <v>2002</v>
      </c>
      <c r="B36" s="61">
        <v>37257</v>
      </c>
      <c r="D36" s="12"/>
      <c r="E36" s="61">
        <v>37257</v>
      </c>
      <c r="F36" s="28">
        <f>ROUND(VLOOKUP(TEXT(B36,"m/d/yy"),'9.3'!$A$14:$D$42,4,0),3)</f>
        <v>1.8540000000000001</v>
      </c>
      <c r="I36" s="28">
        <f>ROUND(VLOOKUP(TEXT(E36,"m/d/yy"),'9.3'!$A$14:$D$42,4,0),3)</f>
        <v>1.8540000000000001</v>
      </c>
      <c r="J36" s="55">
        <f t="shared" si="4"/>
        <v>12</v>
      </c>
      <c r="M36" s="55">
        <f t="shared" si="2"/>
        <v>0</v>
      </c>
      <c r="N36" s="28">
        <f t="shared" si="3"/>
        <v>1.8540000000000001</v>
      </c>
      <c r="O36" s="28">
        <f t="shared" si="1"/>
        <v>2.8180000000000001</v>
      </c>
      <c r="P36" s="242"/>
      <c r="Q36" s="22">
        <v>2002</v>
      </c>
      <c r="R36" s="22"/>
      <c r="S36" s="22"/>
      <c r="T36" s="22"/>
    </row>
    <row r="37" spans="1:20" x14ac:dyDescent="0.2">
      <c r="A37" s="22">
        <v>2003</v>
      </c>
      <c r="B37" s="61">
        <v>37622</v>
      </c>
      <c r="D37" s="12"/>
      <c r="E37" s="61">
        <v>37622</v>
      </c>
      <c r="F37" s="28">
        <f>ROUND(VLOOKUP(TEXT(B37,"m/d/yy"),'9.3'!$A$14:$D$42,4,0),3)</f>
        <v>2.0390000000000001</v>
      </c>
      <c r="I37" s="28">
        <f>ROUND(VLOOKUP(TEXT(E37,"m/d/yy"),'9.3'!$A$14:$D$42,4,0),3)</f>
        <v>2.0390000000000001</v>
      </c>
      <c r="J37" s="55">
        <f t="shared" ref="J37:J47" si="5">ROUND(IF(E37&gt;DATE($A37,1,1),MONTH(E37)-1+(DAY(E37)-1)/30,12),1)</f>
        <v>12</v>
      </c>
      <c r="M37" s="55">
        <f t="shared" ref="M37:M44" si="6">12-SUM(J37:L37)</f>
        <v>0</v>
      </c>
      <c r="N37" s="28">
        <f t="shared" ref="N37:N43" si="7">ROUND(SUMPRODUCT(F37:I37,J37:M37)/12,3)</f>
        <v>2.0390000000000001</v>
      </c>
      <c r="O37" s="28">
        <f t="shared" si="1"/>
        <v>2.5619999999999998</v>
      </c>
      <c r="P37" s="242"/>
      <c r="Q37" s="22">
        <v>2003</v>
      </c>
      <c r="R37" s="22"/>
      <c r="S37" s="22"/>
      <c r="T37" s="22"/>
    </row>
    <row r="38" spans="1:20" x14ac:dyDescent="0.2">
      <c r="A38" s="22">
        <v>2004</v>
      </c>
      <c r="B38" s="61">
        <v>37987</v>
      </c>
      <c r="D38" s="12"/>
      <c r="E38" s="61">
        <v>37987</v>
      </c>
      <c r="F38" s="28">
        <f>ROUND(VLOOKUP(TEXT(B38,"m/d/yy"),'9.3'!$A$14:$D$42,4,0),3)</f>
        <v>2.2429999999999999</v>
      </c>
      <c r="I38" s="28">
        <f>ROUND(VLOOKUP(TEXT(E38,"m/d/yy"),'9.3'!$A$14:$D$42,4,0),3)</f>
        <v>2.2429999999999999</v>
      </c>
      <c r="J38" s="55">
        <f t="shared" si="5"/>
        <v>12</v>
      </c>
      <c r="M38" s="55">
        <f t="shared" si="6"/>
        <v>0</v>
      </c>
      <c r="N38" s="28">
        <f t="shared" si="7"/>
        <v>2.2429999999999999</v>
      </c>
      <c r="O38" s="28">
        <f t="shared" si="1"/>
        <v>2.3290000000000002</v>
      </c>
      <c r="P38" s="242"/>
      <c r="Q38" s="22">
        <v>2004</v>
      </c>
      <c r="R38" s="22"/>
      <c r="S38" s="22"/>
      <c r="T38" s="22"/>
    </row>
    <row r="39" spans="1:20" x14ac:dyDescent="0.2">
      <c r="A39" s="22">
        <v>2005</v>
      </c>
      <c r="B39" s="61">
        <v>38353</v>
      </c>
      <c r="D39" s="12"/>
      <c r="E39" s="61">
        <v>38353</v>
      </c>
      <c r="F39" s="28">
        <f>ROUND(VLOOKUP(TEXT(B39,"m/d/yy"),'9.3'!$A$14:$D$42,4,0),3)</f>
        <v>2.468</v>
      </c>
      <c r="I39" s="28">
        <f>ROUND(VLOOKUP(TEXT(E39,"m/d/yy"),'9.3'!$A$14:$D$42,4,0),3)</f>
        <v>2.468</v>
      </c>
      <c r="J39" s="55">
        <f t="shared" si="5"/>
        <v>12</v>
      </c>
      <c r="M39" s="55">
        <f t="shared" si="6"/>
        <v>0</v>
      </c>
      <c r="N39" s="28">
        <f>ROUND(SUMPRODUCT(F39:I39,J39:M39)/12,3)</f>
        <v>2.468</v>
      </c>
      <c r="O39" s="28">
        <f t="shared" si="1"/>
        <v>2.117</v>
      </c>
      <c r="P39" s="242"/>
      <c r="Q39" s="22">
        <v>2005</v>
      </c>
      <c r="R39" s="22"/>
      <c r="S39" s="22"/>
      <c r="T39" s="22"/>
    </row>
    <row r="40" spans="1:20" x14ac:dyDescent="0.2">
      <c r="A40" s="22">
        <v>2006</v>
      </c>
      <c r="B40" s="61">
        <v>38718</v>
      </c>
      <c r="C40" s="61"/>
      <c r="D40" s="12"/>
      <c r="E40" s="61">
        <v>38961</v>
      </c>
      <c r="F40" s="28">
        <f>ROUND(VLOOKUP(TEXT(B40,"m/d/yy"),'9.3'!$A$14:$D$42,4,0),3)</f>
        <v>2.5910000000000002</v>
      </c>
      <c r="I40" s="28">
        <f>ROUND(VLOOKUP(TEXT(E40,"m/d/yy"),'9.3'!$A$14:$D$42,4,0),3)</f>
        <v>2.798</v>
      </c>
      <c r="J40" s="55">
        <f t="shared" si="5"/>
        <v>8</v>
      </c>
      <c r="K40" s="62"/>
      <c r="M40" s="55">
        <f t="shared" si="6"/>
        <v>4</v>
      </c>
      <c r="N40" s="28">
        <f t="shared" si="7"/>
        <v>2.66</v>
      </c>
      <c r="O40" s="28">
        <f t="shared" si="1"/>
        <v>1.964</v>
      </c>
      <c r="P40" s="242"/>
      <c r="Q40" s="22">
        <v>2006</v>
      </c>
      <c r="R40" s="22"/>
      <c r="S40" s="22"/>
      <c r="T40" s="22"/>
    </row>
    <row r="41" spans="1:20" x14ac:dyDescent="0.2">
      <c r="A41" s="22">
        <v>2007</v>
      </c>
      <c r="B41" s="61">
        <v>39083</v>
      </c>
      <c r="E41" s="61">
        <v>39083</v>
      </c>
      <c r="F41" s="28">
        <f>ROUND(VLOOKUP(TEXT(B41,"m/d/yy"),'9.3'!$A$14:$D$42,4,0),3)</f>
        <v>2.9020000000000001</v>
      </c>
      <c r="I41" s="28">
        <f>ROUND(VLOOKUP(TEXT(E41,"m/d/yy"),'9.3'!$A$14:$D$42,4,0),3)</f>
        <v>2.9020000000000001</v>
      </c>
      <c r="J41" s="55">
        <f t="shared" si="5"/>
        <v>12</v>
      </c>
      <c r="M41" s="55">
        <f t="shared" si="6"/>
        <v>0</v>
      </c>
      <c r="N41" s="28">
        <f t="shared" si="7"/>
        <v>2.9020000000000001</v>
      </c>
      <c r="O41" s="28">
        <f t="shared" si="1"/>
        <v>1.8</v>
      </c>
      <c r="P41" s="242"/>
      <c r="Q41" s="22">
        <v>2007</v>
      </c>
      <c r="R41" s="22"/>
      <c r="S41" s="22"/>
      <c r="T41" s="22"/>
    </row>
    <row r="42" spans="1:20" x14ac:dyDescent="0.2">
      <c r="A42" s="22">
        <v>2008</v>
      </c>
      <c r="B42" s="61">
        <v>39083</v>
      </c>
      <c r="C42" s="61"/>
      <c r="E42" s="61">
        <v>39479</v>
      </c>
      <c r="F42" s="28">
        <f>ROUND(VLOOKUP(TEXT(B42,"m/d/yy"),'9.3'!$A$14:$D$42,4,0),3)</f>
        <v>2.9020000000000001</v>
      </c>
      <c r="I42" s="28">
        <f>ROUND(VLOOKUP(TEXT(E42,"m/d/yy"),'9.3'!$A$14:$D$42,4,0),3)</f>
        <v>3.0590000000000002</v>
      </c>
      <c r="J42" s="55">
        <f t="shared" si="5"/>
        <v>1</v>
      </c>
      <c r="K42" s="62"/>
      <c r="M42" s="55">
        <f t="shared" si="6"/>
        <v>11</v>
      </c>
      <c r="N42" s="28">
        <f>ROUND(SUMPRODUCT(F42:I42,J42:M42)/12,3)</f>
        <v>3.0459999999999998</v>
      </c>
      <c r="O42" s="28">
        <f t="shared" si="1"/>
        <v>1.7150000000000001</v>
      </c>
      <c r="P42" s="242"/>
      <c r="Q42" s="22">
        <v>2008</v>
      </c>
      <c r="R42" s="22"/>
      <c r="S42" s="22"/>
      <c r="T42" s="22"/>
    </row>
    <row r="43" spans="1:20" x14ac:dyDescent="0.2">
      <c r="A43" s="22">
        <v>2009</v>
      </c>
      <c r="B43" s="61">
        <v>39479</v>
      </c>
      <c r="C43" s="61"/>
      <c r="E43" s="61">
        <v>39845</v>
      </c>
      <c r="F43" s="28">
        <f>ROUND(VLOOKUP(TEXT(B43,"m/d/yy"),'9.3'!$A$14:$D$42,4,0),3)</f>
        <v>3.0590000000000002</v>
      </c>
      <c r="I43" s="28">
        <f>ROUND(VLOOKUP(TEXT(E43,"m/d/yy"),'9.3'!$A$14:$D$42,4,0),3)</f>
        <v>3.536</v>
      </c>
      <c r="J43" s="55">
        <f t="shared" si="5"/>
        <v>1</v>
      </c>
      <c r="K43" s="62"/>
      <c r="M43" s="55">
        <f t="shared" si="6"/>
        <v>11</v>
      </c>
      <c r="N43" s="28">
        <f t="shared" si="7"/>
        <v>3.496</v>
      </c>
      <c r="O43" s="28">
        <f t="shared" si="1"/>
        <v>1.494</v>
      </c>
      <c r="P43" s="242"/>
      <c r="Q43" s="22">
        <v>2009</v>
      </c>
      <c r="R43" s="22"/>
      <c r="S43" s="22"/>
      <c r="T43" s="22"/>
    </row>
    <row r="44" spans="1:20" x14ac:dyDescent="0.2">
      <c r="A44" s="22">
        <v>2010</v>
      </c>
      <c r="B44" s="61">
        <v>39845</v>
      </c>
      <c r="C44" s="61"/>
      <c r="E44" s="61">
        <v>39845</v>
      </c>
      <c r="F44" s="28">
        <f>ROUND(VLOOKUP(TEXT(B44,"m/d/yy"),'9.3'!$A$14:$D$42,4,0),3)</f>
        <v>3.536</v>
      </c>
      <c r="I44" s="28">
        <f>ROUND(VLOOKUP(TEXT(E44,"m/d/yy"),'9.3'!$A$14:$D$42,4,0),3)</f>
        <v>3.536</v>
      </c>
      <c r="J44" s="55">
        <f t="shared" si="5"/>
        <v>12</v>
      </c>
      <c r="K44" s="62"/>
      <c r="M44" s="55">
        <f t="shared" si="6"/>
        <v>0</v>
      </c>
      <c r="N44" s="28">
        <f t="shared" ref="N44:N50" si="8">ROUND(SUMPRODUCT(F44:I44,J44:M44)/12,3)</f>
        <v>3.536</v>
      </c>
      <c r="O44" s="28">
        <f t="shared" si="1"/>
        <v>1.4770000000000001</v>
      </c>
      <c r="P44" s="242"/>
      <c r="Q44" s="22">
        <v>2010</v>
      </c>
      <c r="R44" s="22"/>
      <c r="S44" s="22"/>
      <c r="T44" s="22"/>
    </row>
    <row r="45" spans="1:20" x14ac:dyDescent="0.2">
      <c r="A45" s="22">
        <v>2011</v>
      </c>
      <c r="B45" s="61">
        <v>40544</v>
      </c>
      <c r="C45" s="61"/>
      <c r="E45" s="61">
        <v>40544</v>
      </c>
      <c r="F45" s="28">
        <f>ROUND(VLOOKUP(TEXT(B45,"m/d/yy"),'9.3'!$A$14:$D$42,4,0),3)</f>
        <v>3.7130000000000001</v>
      </c>
      <c r="I45" s="28">
        <f>ROUND(VLOOKUP(TEXT(E45,"m/d/yy"),'9.3'!$A$14:$D$42,4,0),3)</f>
        <v>3.7130000000000001</v>
      </c>
      <c r="J45" s="55">
        <f t="shared" si="5"/>
        <v>12</v>
      </c>
      <c r="M45" s="55">
        <v>0</v>
      </c>
      <c r="N45" s="28">
        <f t="shared" si="8"/>
        <v>3.7130000000000001</v>
      </c>
      <c r="O45" s="28">
        <f t="shared" si="1"/>
        <v>1.407</v>
      </c>
      <c r="P45" s="242"/>
      <c r="Q45" s="22">
        <v>2011</v>
      </c>
      <c r="R45" s="22"/>
      <c r="S45" s="22"/>
      <c r="T45" s="22"/>
    </row>
    <row r="46" spans="1:20" x14ac:dyDescent="0.2">
      <c r="A46" s="22">
        <v>2012</v>
      </c>
      <c r="B46" s="61">
        <v>40909</v>
      </c>
      <c r="C46" s="61"/>
      <c r="E46" s="61">
        <v>40909</v>
      </c>
      <c r="F46" s="28">
        <f>ROUND(VLOOKUP(TEXT(B46,"m/d/yy"),'9.3'!$A$14:$D$42,4,0),3)</f>
        <v>3.8980000000000001</v>
      </c>
      <c r="I46" s="28">
        <f>ROUND(VLOOKUP(TEXT(E46,"m/d/yy"),'9.3'!$A$14:$D$42,4,0),3)</f>
        <v>3.8980000000000001</v>
      </c>
      <c r="J46" s="55">
        <v>12</v>
      </c>
      <c r="K46" s="62"/>
      <c r="M46" s="55">
        <f>12-SUM(J46:L46)</f>
        <v>0</v>
      </c>
      <c r="N46" s="28">
        <f t="shared" si="8"/>
        <v>3.8980000000000001</v>
      </c>
      <c r="O46" s="28">
        <f t="shared" si="1"/>
        <v>1.34</v>
      </c>
      <c r="P46" s="242"/>
      <c r="Q46" s="22">
        <v>2012</v>
      </c>
      <c r="R46" s="22"/>
      <c r="S46" s="22"/>
      <c r="T46" s="22"/>
    </row>
    <row r="47" spans="1:20" x14ac:dyDescent="0.2">
      <c r="A47" s="22">
        <v>2013</v>
      </c>
      <c r="B47" s="61">
        <v>41275</v>
      </c>
      <c r="C47" s="61"/>
      <c r="E47" s="61">
        <v>41275</v>
      </c>
      <c r="F47" s="28">
        <f>ROUND(VLOOKUP(TEXT(B47,"m/d/yy"),'9.3'!$A$14:$D$42,4,0),3)</f>
        <v>4.093</v>
      </c>
      <c r="I47" s="28">
        <f>ROUND(VLOOKUP(TEXT(E47,"m/d/yy"),'9.3'!$A$14:$D$42,4,0),3)</f>
        <v>4.093</v>
      </c>
      <c r="J47" s="55">
        <f t="shared" si="5"/>
        <v>12</v>
      </c>
      <c r="M47" s="55">
        <v>0</v>
      </c>
      <c r="N47" s="28">
        <f t="shared" si="8"/>
        <v>4.093</v>
      </c>
      <c r="O47" s="28">
        <f t="shared" si="1"/>
        <v>1.276</v>
      </c>
      <c r="P47" s="242"/>
      <c r="Q47" s="22">
        <v>2013</v>
      </c>
      <c r="R47" s="220"/>
      <c r="S47" s="22"/>
      <c r="T47" s="22"/>
    </row>
    <row r="48" spans="1:20" x14ac:dyDescent="0.2">
      <c r="A48" s="22">
        <v>2014</v>
      </c>
      <c r="B48" s="61">
        <v>41640</v>
      </c>
      <c r="C48" s="61"/>
      <c r="E48" s="61">
        <v>41640</v>
      </c>
      <c r="F48" s="28">
        <f>ROUND(VLOOKUP(TEXT(B48,"m/d/yy"),'9.3'!$A$14:$D$43,4,0),3)</f>
        <v>4.298</v>
      </c>
      <c r="I48" s="28">
        <f>ROUND(VLOOKUP(TEXT(E48,"m/d/yy"),'9.3'!$A$14:$D$43,4,0),3)</f>
        <v>4.298</v>
      </c>
      <c r="J48" s="55">
        <f>ROUND(IF(E48&gt;DATE($A48,1,1),MONTH(E48)-1+(DAY(E48)-1)/30,12),1)</f>
        <v>12</v>
      </c>
      <c r="M48" s="55">
        <v>0</v>
      </c>
      <c r="N48" s="28">
        <f t="shared" si="8"/>
        <v>4.298</v>
      </c>
      <c r="O48" s="28">
        <f t="shared" si="1"/>
        <v>1.2150000000000001</v>
      </c>
      <c r="P48" s="242"/>
      <c r="Q48" s="22">
        <v>2014</v>
      </c>
      <c r="R48" s="220"/>
      <c r="S48" s="22"/>
      <c r="T48" s="22"/>
    </row>
    <row r="49" spans="1:17" x14ac:dyDescent="0.2">
      <c r="A49" s="22">
        <v>2015</v>
      </c>
      <c r="B49" s="61">
        <v>42005</v>
      </c>
      <c r="C49" s="61"/>
      <c r="E49" s="61">
        <v>42370</v>
      </c>
      <c r="F49" s="28">
        <f>'9.3'!D44</f>
        <v>4.5127887177469237</v>
      </c>
      <c r="I49" s="28">
        <f t="shared" ref="I49:I55" si="9">F49</f>
        <v>4.5127887177469237</v>
      </c>
      <c r="J49" s="55">
        <v>12</v>
      </c>
      <c r="M49" s="55">
        <v>0</v>
      </c>
      <c r="N49" s="28">
        <f t="shared" si="8"/>
        <v>4.5129999999999999</v>
      </c>
      <c r="O49" s="28">
        <f t="shared" si="1"/>
        <v>1.1579999999999999</v>
      </c>
      <c r="P49" s="242"/>
      <c r="Q49" s="22">
        <v>2015</v>
      </c>
    </row>
    <row r="50" spans="1:17" x14ac:dyDescent="0.2">
      <c r="A50" s="22">
        <v>2016</v>
      </c>
      <c r="B50" s="61">
        <v>42370</v>
      </c>
      <c r="C50" s="61"/>
      <c r="E50" s="61">
        <v>42736</v>
      </c>
      <c r="F50" s="28">
        <f>'9.3'!D45</f>
        <v>4.7384281536342705</v>
      </c>
      <c r="I50" s="28">
        <f t="shared" si="9"/>
        <v>4.7384281536342705</v>
      </c>
      <c r="J50" s="55">
        <v>12</v>
      </c>
      <c r="M50" s="55">
        <v>0</v>
      </c>
      <c r="N50" s="28">
        <f t="shared" si="8"/>
        <v>4.7380000000000004</v>
      </c>
      <c r="O50" s="28">
        <f t="shared" si="1"/>
        <v>1.103</v>
      </c>
      <c r="P50" s="242"/>
      <c r="Q50" s="22">
        <v>2016</v>
      </c>
    </row>
    <row r="51" spans="1:17" x14ac:dyDescent="0.2">
      <c r="A51" s="22">
        <v>2017</v>
      </c>
      <c r="B51" s="61">
        <v>42736</v>
      </c>
      <c r="C51" s="61"/>
      <c r="E51" s="61">
        <v>43101</v>
      </c>
      <c r="F51" s="28">
        <f>'9.3'!D46</f>
        <v>4.7384281536342705</v>
      </c>
      <c r="I51" s="28">
        <f t="shared" si="9"/>
        <v>4.7384281536342705</v>
      </c>
      <c r="J51" s="55">
        <v>12</v>
      </c>
      <c r="M51" s="55">
        <v>0</v>
      </c>
      <c r="N51" s="28">
        <f t="shared" ref="N51:N56" si="10">ROUND(SUMPRODUCT(F51:I51,J51:M51)/12,3)</f>
        <v>4.7380000000000004</v>
      </c>
      <c r="O51" s="28">
        <f>ROUND(N$59/N51,3)</f>
        <v>1.103</v>
      </c>
      <c r="P51" s="242"/>
      <c r="Q51" s="22">
        <v>2017</v>
      </c>
    </row>
    <row r="52" spans="1:17" x14ac:dyDescent="0.2">
      <c r="A52" s="22">
        <v>2018</v>
      </c>
      <c r="B52" s="61">
        <v>43101</v>
      </c>
      <c r="C52" s="61"/>
      <c r="E52" s="61">
        <v>43466</v>
      </c>
      <c r="F52" s="28">
        <f>'9.3'!D47</f>
        <v>4.9753495613159844</v>
      </c>
      <c r="I52" s="28">
        <f t="shared" si="9"/>
        <v>4.9753495613159844</v>
      </c>
      <c r="J52" s="55">
        <v>12</v>
      </c>
      <c r="M52" s="55">
        <v>0</v>
      </c>
      <c r="N52" s="28">
        <f t="shared" si="10"/>
        <v>4.9749999999999996</v>
      </c>
      <c r="O52" s="28">
        <f t="shared" si="1"/>
        <v>1.05</v>
      </c>
      <c r="P52" s="242"/>
      <c r="Q52" s="22">
        <v>2018</v>
      </c>
    </row>
    <row r="53" spans="1:17" x14ac:dyDescent="0.2">
      <c r="A53" s="22">
        <v>2019</v>
      </c>
      <c r="B53" s="61">
        <v>43466</v>
      </c>
      <c r="C53" s="61"/>
      <c r="E53" s="61">
        <v>43831</v>
      </c>
      <c r="F53" s="28">
        <f>'9.3'!D48</f>
        <v>4.9753495613159844</v>
      </c>
      <c r="I53" s="28">
        <f t="shared" si="9"/>
        <v>4.9753495613159844</v>
      </c>
      <c r="J53" s="55">
        <v>12</v>
      </c>
      <c r="M53" s="55">
        <v>0</v>
      </c>
      <c r="N53" s="28">
        <f t="shared" si="10"/>
        <v>4.9749999999999996</v>
      </c>
      <c r="O53" s="28">
        <f t="shared" si="1"/>
        <v>1.05</v>
      </c>
      <c r="P53" s="242"/>
      <c r="Q53" s="22">
        <v>2019</v>
      </c>
    </row>
    <row r="54" spans="1:17" x14ac:dyDescent="0.2">
      <c r="A54" s="22">
        <v>2020</v>
      </c>
      <c r="B54" s="61">
        <v>43831</v>
      </c>
      <c r="C54" s="61"/>
      <c r="E54" s="61">
        <v>44197</v>
      </c>
      <c r="F54" s="28">
        <f>'9.3'!D49</f>
        <v>4.9753495613159844</v>
      </c>
      <c r="I54" s="28">
        <f t="shared" si="9"/>
        <v>4.9753495613159844</v>
      </c>
      <c r="J54" s="55">
        <v>12</v>
      </c>
      <c r="M54" s="55">
        <v>0</v>
      </c>
      <c r="N54" s="28">
        <f t="shared" si="10"/>
        <v>4.9749999999999996</v>
      </c>
      <c r="O54" s="28">
        <f t="shared" si="1"/>
        <v>1.05</v>
      </c>
      <c r="P54" s="242"/>
      <c r="Q54" s="22">
        <v>2020</v>
      </c>
    </row>
    <row r="55" spans="1:17" x14ac:dyDescent="0.2">
      <c r="A55" s="22">
        <v>2021</v>
      </c>
      <c r="B55" s="61">
        <v>44197</v>
      </c>
      <c r="C55" s="61"/>
      <c r="E55" s="61">
        <v>44562</v>
      </c>
      <c r="F55" s="28">
        <f>'9.3'!D50</f>
        <v>4.9753495613159844</v>
      </c>
      <c r="I55" s="28">
        <f t="shared" si="9"/>
        <v>4.9753495613159844</v>
      </c>
      <c r="J55" s="55">
        <v>12</v>
      </c>
      <c r="M55" s="55">
        <v>0</v>
      </c>
      <c r="N55" s="28">
        <f t="shared" si="10"/>
        <v>4.9749999999999996</v>
      </c>
      <c r="O55" s="28">
        <f>ROUND(N$59/N55,3)</f>
        <v>1.05</v>
      </c>
      <c r="P55" s="2"/>
      <c r="Q55" s="22">
        <v>2021</v>
      </c>
    </row>
    <row r="56" spans="1:17" x14ac:dyDescent="0.2">
      <c r="A56" s="22">
        <v>2022</v>
      </c>
      <c r="B56" s="61">
        <v>44562</v>
      </c>
      <c r="C56" s="61"/>
      <c r="E56" s="61">
        <v>44927</v>
      </c>
      <c r="F56" s="28">
        <f>'9.3'!D51</f>
        <v>5.2241170393817837</v>
      </c>
      <c r="I56" s="28">
        <f t="shared" ref="I56:I57" si="11">F56</f>
        <v>5.2241170393817837</v>
      </c>
      <c r="J56" s="55">
        <v>12</v>
      </c>
      <c r="M56" s="55">
        <v>0</v>
      </c>
      <c r="N56" s="28">
        <f t="shared" si="10"/>
        <v>5.2240000000000002</v>
      </c>
      <c r="O56" s="28">
        <f>ROUND(N$59/N56,3)</f>
        <v>1</v>
      </c>
      <c r="P56" s="2"/>
      <c r="Q56" s="22">
        <v>2022</v>
      </c>
    </row>
    <row r="57" spans="1:17" x14ac:dyDescent="0.2">
      <c r="A57" s="22">
        <v>2023</v>
      </c>
      <c r="B57" s="61">
        <v>44927</v>
      </c>
      <c r="C57" s="61"/>
      <c r="E57" s="61">
        <v>45292</v>
      </c>
      <c r="F57" s="28">
        <f>'9.3'!D52</f>
        <v>5.2241170393817837</v>
      </c>
      <c r="I57" s="28">
        <f t="shared" si="11"/>
        <v>5.2241170393817837</v>
      </c>
      <c r="J57" s="55">
        <v>12</v>
      </c>
      <c r="M57" s="55">
        <v>0</v>
      </c>
      <c r="N57" s="28">
        <f t="shared" ref="N57" si="12">ROUND(SUMPRODUCT(F57:I57,J57:M57)/12,3)</f>
        <v>5.2240000000000002</v>
      </c>
      <c r="O57" s="28">
        <f>ROUND(N$59/N57,3)</f>
        <v>1</v>
      </c>
      <c r="P57" s="2"/>
      <c r="Q57" s="22">
        <v>2023</v>
      </c>
    </row>
    <row r="58" spans="1:17" x14ac:dyDescent="0.2">
      <c r="A58" s="206"/>
      <c r="B58" s="207"/>
      <c r="C58" s="207"/>
      <c r="D58" s="206"/>
      <c r="E58" s="207"/>
      <c r="F58" s="208"/>
      <c r="G58" s="206"/>
      <c r="H58" s="206"/>
      <c r="I58" s="208"/>
      <c r="J58" s="209"/>
      <c r="K58" s="206"/>
      <c r="L58" s="206"/>
      <c r="M58" s="209"/>
      <c r="N58" s="208"/>
      <c r="O58" s="208"/>
      <c r="P58" s="2"/>
    </row>
    <row r="59" spans="1:17" x14ac:dyDescent="0.2">
      <c r="A59" t="s">
        <v>193</v>
      </c>
      <c r="B59" s="18"/>
      <c r="D59" s="18"/>
      <c r="E59" s="61"/>
      <c r="F59" s="29"/>
      <c r="G59" s="29"/>
      <c r="H59" s="29"/>
      <c r="I59" s="28">
        <f>'9.3'!D53</f>
        <v>5.2241170393817837</v>
      </c>
      <c r="J59" s="56"/>
      <c r="K59" s="56"/>
      <c r="L59" s="56"/>
      <c r="M59" s="56"/>
      <c r="N59" s="29">
        <f>I59</f>
        <v>5.2241170393817837</v>
      </c>
      <c r="O59" s="29">
        <v>1</v>
      </c>
      <c r="P59" s="2"/>
    </row>
    <row r="60" spans="1:17" ht="12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2"/>
    </row>
    <row r="61" spans="1:17" ht="12" thickTop="1" x14ac:dyDescent="0.2">
      <c r="P61" s="2"/>
    </row>
    <row r="62" spans="1:17" x14ac:dyDescent="0.2">
      <c r="A62" t="s">
        <v>17</v>
      </c>
      <c r="P62" s="2"/>
    </row>
    <row r="63" spans="1:17" x14ac:dyDescent="0.2">
      <c r="B63" s="12" t="str">
        <f>B12&amp;" - "&amp;E12&amp;" Rates in effect and beginning and end of year (B.O.Y. and E.O.Y.)"</f>
        <v>(1) - (4) Rates in effect and beginning and end of year (B.O.Y. and E.O.Y.)</v>
      </c>
      <c r="P63" s="2"/>
    </row>
    <row r="64" spans="1:17" x14ac:dyDescent="0.2">
      <c r="B64" t="s">
        <v>330</v>
      </c>
      <c r="P64" s="2"/>
    </row>
    <row r="65" spans="1:16" x14ac:dyDescent="0.2">
      <c r="B65" t="s">
        <v>556</v>
      </c>
      <c r="P65" s="2"/>
    </row>
    <row r="66" spans="1:16" x14ac:dyDescent="0.2">
      <c r="B66" t="s">
        <v>331</v>
      </c>
      <c r="P66" s="2"/>
    </row>
    <row r="67" spans="1:16" x14ac:dyDescent="0.2">
      <c r="B67" s="12" t="str">
        <f>F12&amp;" - "&amp;I12&amp;" Based on "&amp;'9.3'!$K$1&amp;", "&amp;'9.3'!$K$2</f>
        <v>(5) - (8) Based on Exhibit 9, Sheet 3</v>
      </c>
      <c r="P67" s="2"/>
    </row>
    <row r="68" spans="1:16" x14ac:dyDescent="0.2">
      <c r="B68" s="12" t="str">
        <f>J12&amp;" - "&amp;M12&amp;" Number of months that each of the rates were effective"</f>
        <v>(9) - (12) Number of months that each of the rates were effective</v>
      </c>
      <c r="P68" s="2"/>
    </row>
    <row r="69" spans="1:16" x14ac:dyDescent="0.2">
      <c r="B69" s="12" t="str">
        <f>N12&amp;" = Weighted average of "&amp;F12&amp;" - "&amp;I12&amp;" using "&amp;J12&amp;" - "&amp;M12&amp;" as weights"</f>
        <v>(13) = Weighted average of (5) - (8) using (9) - (12) as weights</v>
      </c>
      <c r="P69" s="2"/>
    </row>
    <row r="70" spans="1:16" ht="12" thickBot="1" x14ac:dyDescent="0.25">
      <c r="B70" s="12" t="str">
        <f>O12&amp;" = Current "&amp;N12&amp;" / "&amp;N12</f>
        <v>(14) = Current (13) / (13)</v>
      </c>
      <c r="P70" s="2"/>
    </row>
    <row r="71" spans="1:16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>
    <tabColor rgb="FF00FF00"/>
  </sheetPr>
  <dimension ref="A1:Q66"/>
  <sheetViews>
    <sheetView showGridLines="0" zoomScaleNormal="100" workbookViewId="0"/>
  </sheetViews>
  <sheetFormatPr defaultColWidth="11.33203125" defaultRowHeight="11.25" x14ac:dyDescent="0.2"/>
  <cols>
    <col min="1" max="1" width="8.1640625" bestFit="1" customWidth="1"/>
    <col min="2" max="2" width="11.33203125" customWidth="1"/>
    <col min="3" max="4" width="15.33203125" customWidth="1"/>
    <col min="5" max="10" width="11.33203125" customWidth="1"/>
    <col min="11" max="11" width="3.33203125" customWidth="1"/>
  </cols>
  <sheetData>
    <row r="1" spans="1:17" x14ac:dyDescent="0.2">
      <c r="A1" s="8" t="str">
        <f>'1'!$A$1</f>
        <v>Texas Windstorm Insurance Association</v>
      </c>
      <c r="B1" s="12"/>
      <c r="K1" s="7" t="s">
        <v>119</v>
      </c>
      <c r="L1" s="1"/>
      <c r="P1" t="s">
        <v>447</v>
      </c>
      <c r="Q1" t="s">
        <v>454</v>
      </c>
    </row>
    <row r="2" spans="1:17" x14ac:dyDescent="0.2">
      <c r="A2" s="8" t="str">
        <f>'1'!$A$2</f>
        <v>Commercial Property - Wind &amp; Hail</v>
      </c>
      <c r="B2" s="12"/>
      <c r="K2" s="7" t="s">
        <v>60</v>
      </c>
      <c r="L2" s="2"/>
    </row>
    <row r="3" spans="1:17" x14ac:dyDescent="0.2">
      <c r="A3" s="8" t="str">
        <f>'1'!$A$3</f>
        <v>Rate Level Review</v>
      </c>
      <c r="B3" s="12"/>
      <c r="L3" s="2"/>
    </row>
    <row r="4" spans="1:17" x14ac:dyDescent="0.2">
      <c r="A4" t="s">
        <v>172</v>
      </c>
      <c r="B4" s="12"/>
      <c r="L4" s="2"/>
    </row>
    <row r="5" spans="1:17" x14ac:dyDescent="0.2">
      <c r="B5" s="12"/>
      <c r="L5" s="2"/>
    </row>
    <row r="6" spans="1:17" x14ac:dyDescent="0.2">
      <c r="L6" s="2"/>
    </row>
    <row r="7" spans="1:17" ht="12" thickBot="1" x14ac:dyDescent="0.25">
      <c r="A7" s="6"/>
      <c r="B7" s="6"/>
      <c r="C7" s="6"/>
      <c r="D7" s="6"/>
      <c r="L7" s="2"/>
    </row>
    <row r="8" spans="1:17" ht="12" thickTop="1" x14ac:dyDescent="0.2">
      <c r="L8" s="2"/>
    </row>
    <row r="9" spans="1:17" x14ac:dyDescent="0.2">
      <c r="C9" s="12"/>
      <c r="L9" s="2"/>
    </row>
    <row r="10" spans="1:17" x14ac:dyDescent="0.2">
      <c r="A10" t="s">
        <v>173</v>
      </c>
      <c r="C10" s="11" t="s">
        <v>12</v>
      </c>
      <c r="D10" s="11" t="s">
        <v>48</v>
      </c>
      <c r="L10" s="2"/>
    </row>
    <row r="11" spans="1:17" x14ac:dyDescent="0.2">
      <c r="A11" s="9" t="s">
        <v>122</v>
      </c>
      <c r="B11" s="9"/>
      <c r="C11" s="144" t="s">
        <v>13</v>
      </c>
      <c r="D11" s="144" t="s">
        <v>89</v>
      </c>
      <c r="L11" s="2"/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L12" s="2"/>
    </row>
    <row r="13" spans="1:17" x14ac:dyDescent="0.2">
      <c r="L13" s="2"/>
    </row>
    <row r="14" spans="1:17" x14ac:dyDescent="0.2">
      <c r="A14" t="s">
        <v>174</v>
      </c>
      <c r="B14" s="22"/>
      <c r="C14" s="31"/>
      <c r="D14" s="35">
        <v>1</v>
      </c>
      <c r="L14" s="2"/>
    </row>
    <row r="15" spans="1:17" x14ac:dyDescent="0.2">
      <c r="A15" s="125" t="s">
        <v>175</v>
      </c>
      <c r="B15" s="22"/>
      <c r="C15" s="42">
        <v>0.17499999999999999</v>
      </c>
      <c r="D15" s="29">
        <f>D14*(1+C15)</f>
        <v>1.175</v>
      </c>
      <c r="L15" s="2"/>
    </row>
    <row r="16" spans="1:17" x14ac:dyDescent="0.2">
      <c r="A16" s="125" t="s">
        <v>176</v>
      </c>
      <c r="B16" s="22"/>
      <c r="C16" s="42">
        <v>-3.6999999999999998E-2</v>
      </c>
      <c r="D16" s="29">
        <f t="shared" ref="D16:D39" si="0">D15*(1+C16)</f>
        <v>1.1315250000000001</v>
      </c>
      <c r="L16" s="2"/>
    </row>
    <row r="17" spans="1:13" x14ac:dyDescent="0.2">
      <c r="A17" s="125" t="s">
        <v>177</v>
      </c>
      <c r="B17" s="22"/>
      <c r="C17" s="42">
        <v>0.26200000000000001</v>
      </c>
      <c r="D17" s="29">
        <f t="shared" si="0"/>
        <v>1.4279845500000001</v>
      </c>
      <c r="L17" s="2"/>
    </row>
    <row r="18" spans="1:13" x14ac:dyDescent="0.2">
      <c r="A18" s="125" t="s">
        <v>178</v>
      </c>
      <c r="B18" s="22"/>
      <c r="C18" s="42">
        <v>0.06</v>
      </c>
      <c r="D18" s="29">
        <f t="shared" si="0"/>
        <v>1.5136636230000002</v>
      </c>
      <c r="L18" s="2"/>
    </row>
    <row r="19" spans="1:13" x14ac:dyDescent="0.2">
      <c r="A19" s="125" t="s">
        <v>179</v>
      </c>
      <c r="B19" s="22"/>
      <c r="C19" s="42">
        <v>0.25</v>
      </c>
      <c r="D19" s="29">
        <f t="shared" si="0"/>
        <v>1.8920795287500003</v>
      </c>
      <c r="L19" s="2"/>
      <c r="M19" t="s">
        <v>543</v>
      </c>
    </row>
    <row r="20" spans="1:13" x14ac:dyDescent="0.2">
      <c r="A20" s="125" t="s">
        <v>180</v>
      </c>
      <c r="B20" s="22"/>
      <c r="C20" s="42">
        <v>0.28299999999999997</v>
      </c>
      <c r="D20" s="29">
        <f t="shared" si="0"/>
        <v>2.4275380353862501</v>
      </c>
      <c r="L20" s="2"/>
      <c r="M20" t="s">
        <v>431</v>
      </c>
    </row>
    <row r="21" spans="1:13" x14ac:dyDescent="0.2">
      <c r="A21" s="125" t="s">
        <v>181</v>
      </c>
      <c r="B21" s="22"/>
      <c r="C21" s="42">
        <v>9.1999999999999998E-2</v>
      </c>
      <c r="D21" s="29">
        <f t="shared" si="0"/>
        <v>2.6508715346417855</v>
      </c>
      <c r="L21" s="2"/>
    </row>
    <row r="22" spans="1:13" x14ac:dyDescent="0.2">
      <c r="A22" s="125" t="s">
        <v>182</v>
      </c>
      <c r="B22" s="22"/>
      <c r="C22" s="42">
        <v>-9.1999999999999998E-2</v>
      </c>
      <c r="D22" s="29">
        <f t="shared" si="0"/>
        <v>2.4069913534547411</v>
      </c>
      <c r="L22" s="2"/>
    </row>
    <row r="23" spans="1:13" x14ac:dyDescent="0.2">
      <c r="A23" s="125" t="s">
        <v>183</v>
      </c>
      <c r="B23" s="22"/>
      <c r="C23" s="42">
        <v>-0.13800000000000001</v>
      </c>
      <c r="D23" s="29">
        <f t="shared" si="0"/>
        <v>2.0748265466779867</v>
      </c>
      <c r="L23" s="2"/>
    </row>
    <row r="24" spans="1:13" x14ac:dyDescent="0.2">
      <c r="A24" s="125" t="s">
        <v>184</v>
      </c>
      <c r="B24" s="22"/>
      <c r="C24" s="42">
        <v>1.4E-2</v>
      </c>
      <c r="D24" s="29">
        <f t="shared" si="0"/>
        <v>2.1038741183314786</v>
      </c>
      <c r="L24" s="2"/>
    </row>
    <row r="25" spans="1:13" x14ac:dyDescent="0.2">
      <c r="A25" s="125" t="s">
        <v>185</v>
      </c>
      <c r="B25" s="22"/>
      <c r="C25" s="42">
        <v>-0.01</v>
      </c>
      <c r="D25" s="29">
        <f t="shared" si="0"/>
        <v>2.082835377148164</v>
      </c>
      <c r="L25" s="2"/>
    </row>
    <row r="26" spans="1:13" x14ac:dyDescent="0.2">
      <c r="A26" s="125" t="s">
        <v>186</v>
      </c>
      <c r="B26" s="22"/>
      <c r="C26" s="42">
        <v>-0.22900000000000001</v>
      </c>
      <c r="D26" s="29">
        <f t="shared" si="0"/>
        <v>1.6058660757812344</v>
      </c>
      <c r="L26" s="2"/>
      <c r="M26" t="s">
        <v>432</v>
      </c>
    </row>
    <row r="27" spans="1:13" x14ac:dyDescent="0.2">
      <c r="A27" s="125" t="s">
        <v>187</v>
      </c>
      <c r="B27" s="22"/>
      <c r="C27" s="42">
        <v>0</v>
      </c>
      <c r="D27" s="29">
        <f t="shared" si="0"/>
        <v>1.6058660757812344</v>
      </c>
      <c r="L27" s="2"/>
    </row>
    <row r="28" spans="1:13" x14ac:dyDescent="0.2">
      <c r="A28" s="125" t="s">
        <v>188</v>
      </c>
      <c r="B28" s="22"/>
      <c r="C28" s="42">
        <v>-0.03</v>
      </c>
      <c r="D28" s="29">
        <f t="shared" si="0"/>
        <v>1.5576900935077973</v>
      </c>
      <c r="L28" s="2"/>
    </row>
    <row r="29" spans="1:13" x14ac:dyDescent="0.2">
      <c r="A29" s="125" t="s">
        <v>189</v>
      </c>
      <c r="B29" s="22"/>
      <c r="C29" s="42">
        <v>0.09</v>
      </c>
      <c r="D29" s="29">
        <f t="shared" si="0"/>
        <v>1.6978822019234991</v>
      </c>
      <c r="L29" s="2"/>
    </row>
    <row r="30" spans="1:13" x14ac:dyDescent="0.2">
      <c r="A30" s="125" t="s">
        <v>190</v>
      </c>
      <c r="B30" s="22"/>
      <c r="C30" s="42">
        <v>0.04</v>
      </c>
      <c r="D30" s="29">
        <f t="shared" si="0"/>
        <v>1.7657974900004392</v>
      </c>
      <c r="L30" s="2"/>
    </row>
    <row r="31" spans="1:13" x14ac:dyDescent="0.2">
      <c r="A31" s="125" t="s">
        <v>191</v>
      </c>
      <c r="B31" s="22"/>
      <c r="C31" s="42">
        <v>0.05</v>
      </c>
      <c r="D31" s="29">
        <f>D30*(1+C31)</f>
        <v>1.8540873645004612</v>
      </c>
      <c r="L31" s="2"/>
    </row>
    <row r="32" spans="1:13" x14ac:dyDescent="0.2">
      <c r="A32" s="125" t="s">
        <v>219</v>
      </c>
      <c r="B32" s="22"/>
      <c r="C32" s="42">
        <v>0.1</v>
      </c>
      <c r="D32" s="29">
        <f>D31*(1+C32)</f>
        <v>2.0394961009505073</v>
      </c>
      <c r="L32" s="2"/>
    </row>
    <row r="33" spans="1:12" x14ac:dyDescent="0.2">
      <c r="A33" s="125" t="s">
        <v>268</v>
      </c>
      <c r="B33" s="22"/>
      <c r="C33" s="42">
        <v>0.1</v>
      </c>
      <c r="D33" s="29">
        <f t="shared" si="0"/>
        <v>2.2434457110455583</v>
      </c>
      <c r="L33" s="2"/>
    </row>
    <row r="34" spans="1:12" x14ac:dyDescent="0.2">
      <c r="A34" s="125" t="s">
        <v>279</v>
      </c>
      <c r="B34" s="22"/>
      <c r="C34" s="42">
        <v>0.1</v>
      </c>
      <c r="D34" s="29">
        <f t="shared" si="0"/>
        <v>2.4677902821501143</v>
      </c>
      <c r="L34" s="2"/>
    </row>
    <row r="35" spans="1:12" x14ac:dyDescent="0.2">
      <c r="A35" s="125" t="s">
        <v>290</v>
      </c>
      <c r="C35" s="42">
        <v>0.05</v>
      </c>
      <c r="D35" s="29">
        <f t="shared" si="0"/>
        <v>2.5911797962576202</v>
      </c>
      <c r="L35" s="2"/>
    </row>
    <row r="36" spans="1:12" x14ac:dyDescent="0.2">
      <c r="A36" s="125" t="s">
        <v>299</v>
      </c>
      <c r="C36" s="42">
        <v>0.08</v>
      </c>
      <c r="D36" s="29">
        <f t="shared" si="0"/>
        <v>2.7984741799582298</v>
      </c>
      <c r="L36" s="2"/>
    </row>
    <row r="37" spans="1:12" x14ac:dyDescent="0.2">
      <c r="A37" s="125" t="s">
        <v>300</v>
      </c>
      <c r="C37" s="42">
        <v>3.7000000000000005E-2</v>
      </c>
      <c r="D37" s="29">
        <f t="shared" si="0"/>
        <v>2.9020177246166843</v>
      </c>
      <c r="L37" s="2"/>
    </row>
    <row r="38" spans="1:12" x14ac:dyDescent="0.2">
      <c r="A38" s="125" t="s">
        <v>329</v>
      </c>
      <c r="C38" s="42">
        <v>5.3999999999999999E-2</v>
      </c>
      <c r="D38" s="29">
        <f t="shared" si="0"/>
        <v>3.0587266817459855</v>
      </c>
      <c r="L38" s="2"/>
    </row>
    <row r="39" spans="1:12" x14ac:dyDescent="0.2">
      <c r="A39" s="125" t="s">
        <v>335</v>
      </c>
      <c r="C39" s="42">
        <v>0.156</v>
      </c>
      <c r="D39" s="29">
        <f t="shared" si="0"/>
        <v>3.5358880440983591</v>
      </c>
      <c r="L39" s="2"/>
    </row>
    <row r="40" spans="1:12" x14ac:dyDescent="0.2">
      <c r="A40" s="125" t="s">
        <v>352</v>
      </c>
      <c r="C40" s="42">
        <v>0.05</v>
      </c>
      <c r="D40" s="29">
        <f t="shared" ref="D40:D45" si="1">D39*(1+C40)</f>
        <v>3.712682446303277</v>
      </c>
      <c r="L40" s="2"/>
    </row>
    <row r="41" spans="1:12" x14ac:dyDescent="0.2">
      <c r="A41" s="125" t="s">
        <v>354</v>
      </c>
      <c r="C41" s="42">
        <v>0.05</v>
      </c>
      <c r="D41" s="29">
        <f t="shared" si="1"/>
        <v>3.8983165686184411</v>
      </c>
      <c r="L41" s="2"/>
    </row>
    <row r="42" spans="1:12" x14ac:dyDescent="0.2">
      <c r="A42" s="125" t="s">
        <v>355</v>
      </c>
      <c r="C42" s="42">
        <v>0.05</v>
      </c>
      <c r="D42" s="29">
        <f>D41*(1+C42)</f>
        <v>4.0932323970493636</v>
      </c>
      <c r="L42" s="2"/>
    </row>
    <row r="43" spans="1:12" x14ac:dyDescent="0.2">
      <c r="A43" s="125" t="s">
        <v>362</v>
      </c>
      <c r="C43" s="123">
        <f>C42</f>
        <v>0.05</v>
      </c>
      <c r="D43" s="29">
        <f t="shared" si="1"/>
        <v>4.2978940169018323</v>
      </c>
      <c r="L43" s="2"/>
    </row>
    <row r="44" spans="1:12" x14ac:dyDescent="0.2">
      <c r="A44" s="126" t="s">
        <v>391</v>
      </c>
      <c r="C44" s="123">
        <v>0.05</v>
      </c>
      <c r="D44" s="29">
        <f t="shared" si="1"/>
        <v>4.5127887177469237</v>
      </c>
      <c r="L44" s="2"/>
    </row>
    <row r="45" spans="1:12" x14ac:dyDescent="0.2">
      <c r="A45" s="126" t="s">
        <v>393</v>
      </c>
      <c r="C45" s="123">
        <v>0.05</v>
      </c>
      <c r="D45" s="29">
        <f t="shared" si="1"/>
        <v>4.7384281536342705</v>
      </c>
      <c r="L45" s="2"/>
    </row>
    <row r="46" spans="1:12" x14ac:dyDescent="0.2">
      <c r="A46" s="126" t="s">
        <v>399</v>
      </c>
      <c r="C46" s="123">
        <v>0</v>
      </c>
      <c r="D46" s="29">
        <f t="shared" ref="D46:D50" si="2">D45*(1+C46)</f>
        <v>4.7384281536342705</v>
      </c>
      <c r="L46" s="2"/>
    </row>
    <row r="47" spans="1:12" x14ac:dyDescent="0.2">
      <c r="A47" s="126" t="s">
        <v>400</v>
      </c>
      <c r="C47" s="123">
        <v>0.05</v>
      </c>
      <c r="D47" s="29">
        <f t="shared" si="2"/>
        <v>4.9753495613159844</v>
      </c>
      <c r="L47" s="2"/>
    </row>
    <row r="48" spans="1:12" x14ac:dyDescent="0.2">
      <c r="A48" s="126">
        <v>43466</v>
      </c>
      <c r="C48" s="123">
        <v>0</v>
      </c>
      <c r="D48" s="29">
        <f t="shared" si="2"/>
        <v>4.9753495613159844</v>
      </c>
      <c r="L48" s="2"/>
    </row>
    <row r="49" spans="1:12" x14ac:dyDescent="0.2">
      <c r="A49" s="126">
        <v>43831</v>
      </c>
      <c r="C49" s="123">
        <v>0</v>
      </c>
      <c r="D49" s="29">
        <f t="shared" si="2"/>
        <v>4.9753495613159844</v>
      </c>
      <c r="L49" s="2"/>
    </row>
    <row r="50" spans="1:12" x14ac:dyDescent="0.2">
      <c r="A50" s="126">
        <v>44197</v>
      </c>
      <c r="C50" s="123">
        <v>0</v>
      </c>
      <c r="D50" s="29">
        <f t="shared" si="2"/>
        <v>4.9753495613159844</v>
      </c>
      <c r="L50" s="2"/>
    </row>
    <row r="51" spans="1:12" x14ac:dyDescent="0.2">
      <c r="A51" s="126">
        <v>44562</v>
      </c>
      <c r="C51" s="123">
        <v>0.05</v>
      </c>
      <c r="D51" s="29">
        <f>D50*(1+C51)</f>
        <v>5.2241170393817837</v>
      </c>
      <c r="L51" s="2"/>
    </row>
    <row r="52" spans="1:12" x14ac:dyDescent="0.2">
      <c r="A52" s="126">
        <v>44927</v>
      </c>
      <c r="C52" s="123">
        <v>0</v>
      </c>
      <c r="D52" s="29">
        <f>D51*(1+C52)</f>
        <v>5.2241170393817837</v>
      </c>
      <c r="L52" s="2"/>
    </row>
    <row r="53" spans="1:12" ht="12" thickBot="1" x14ac:dyDescent="0.25">
      <c r="A53" s="132">
        <v>45292</v>
      </c>
      <c r="B53" s="6"/>
      <c r="C53" s="138">
        <v>0</v>
      </c>
      <c r="D53" s="113">
        <f>D52*(1+C53)</f>
        <v>5.2241170393817837</v>
      </c>
      <c r="L53" s="2"/>
    </row>
    <row r="54" spans="1:12" ht="12" thickTop="1" x14ac:dyDescent="0.2">
      <c r="L54" s="2"/>
    </row>
    <row r="55" spans="1:12" x14ac:dyDescent="0.2">
      <c r="A55" t="s">
        <v>17</v>
      </c>
      <c r="L55" s="2"/>
    </row>
    <row r="56" spans="1:12" x14ac:dyDescent="0.2">
      <c r="B56" s="12" t="str">
        <f>C12&amp;" Provided by TWIA, excludes 1/1/92 refund on in-force policies"</f>
        <v>(2) Provided by TWIA, excludes 1/1/92 refund on in-force policies</v>
      </c>
      <c r="L56" s="2"/>
    </row>
    <row r="57" spans="1:12" x14ac:dyDescent="0.2">
      <c r="B57" s="12" t="str">
        <f>D12&amp;" = Cumulation of "&amp;C12</f>
        <v>(3) = Cumulation of (2)</v>
      </c>
      <c r="L57" s="2"/>
    </row>
    <row r="58" spans="1:12" x14ac:dyDescent="0.2">
      <c r="B58" s="12"/>
      <c r="L58" s="2"/>
    </row>
    <row r="59" spans="1:12" x14ac:dyDescent="0.2"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ht="12" thickBot="1" x14ac:dyDescent="0.25">
      <c r="L65" s="2"/>
    </row>
    <row r="66" spans="1:12" ht="12" thickBot="1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00"/>
  </sheetPr>
  <dimension ref="A1:M69"/>
  <sheetViews>
    <sheetView showGridLines="0" zoomScaleNormal="100" workbookViewId="0"/>
  </sheetViews>
  <sheetFormatPr defaultColWidth="11.33203125" defaultRowHeight="11.25" x14ac:dyDescent="0.2"/>
  <cols>
    <col min="1" max="1" width="2.5" bestFit="1" customWidth="1"/>
    <col min="2" max="2" width="28.5" customWidth="1"/>
    <col min="3" max="3" width="9.6640625" customWidth="1"/>
    <col min="4" max="4" width="13.33203125" customWidth="1"/>
    <col min="5" max="5" width="9.6640625" customWidth="1"/>
    <col min="6" max="6" width="12.6640625" customWidth="1"/>
    <col min="7" max="7" width="11.1640625" customWidth="1"/>
    <col min="8" max="8" width="9.6640625" customWidth="1"/>
    <col min="9" max="9" width="11.33203125" customWidth="1"/>
    <col min="10" max="10" width="6.33203125" customWidth="1"/>
    <col min="11" max="11" width="3.6640625" customWidth="1"/>
    <col min="13" max="13" width="8.5" bestFit="1" customWidth="1"/>
  </cols>
  <sheetData>
    <row r="1" spans="1:13" x14ac:dyDescent="0.2">
      <c r="A1" s="8" t="s">
        <v>0</v>
      </c>
      <c r="B1" s="12"/>
      <c r="K1" s="7" t="s">
        <v>547</v>
      </c>
      <c r="L1" s="1"/>
    </row>
    <row r="2" spans="1:13" x14ac:dyDescent="0.2">
      <c r="A2" s="8" t="s">
        <v>166</v>
      </c>
      <c r="B2" s="12"/>
      <c r="H2" s="7"/>
      <c r="I2" s="7"/>
      <c r="J2" s="7"/>
      <c r="K2" s="7"/>
      <c r="L2" s="2"/>
    </row>
    <row r="3" spans="1:13" x14ac:dyDescent="0.2">
      <c r="A3" s="8" t="s">
        <v>1</v>
      </c>
      <c r="B3" s="12"/>
      <c r="L3" s="2"/>
    </row>
    <row r="4" spans="1:13" x14ac:dyDescent="0.2">
      <c r="A4" t="s">
        <v>2</v>
      </c>
      <c r="B4" s="12"/>
      <c r="L4" s="2"/>
    </row>
    <row r="5" spans="1:13" x14ac:dyDescent="0.2">
      <c r="A5" t="s">
        <v>3</v>
      </c>
      <c r="B5" s="12"/>
      <c r="L5" s="2"/>
    </row>
    <row r="6" spans="1:13" x14ac:dyDescent="0.2">
      <c r="A6" t="s">
        <v>546</v>
      </c>
      <c r="L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L7" s="2"/>
      <c r="M7" s="6"/>
    </row>
    <row r="8" spans="1:13" ht="12" thickTop="1" x14ac:dyDescent="0.2">
      <c r="H8" s="11">
        <f>'2.1'!A23+1</f>
        <v>2024</v>
      </c>
      <c r="L8" s="2"/>
      <c r="M8" s="11">
        <f>H8-1</f>
        <v>2023</v>
      </c>
    </row>
    <row r="9" spans="1:13" x14ac:dyDescent="0.2">
      <c r="C9" s="10" t="s">
        <v>5</v>
      </c>
      <c r="H9" s="11" t="s">
        <v>11</v>
      </c>
      <c r="L9" s="2"/>
      <c r="M9" s="11" t="str">
        <f>H9</f>
        <v>Indicated</v>
      </c>
    </row>
    <row r="10" spans="1:13" x14ac:dyDescent="0.2">
      <c r="C10" s="11"/>
      <c r="D10" s="11"/>
      <c r="E10" s="11" t="s">
        <v>225</v>
      </c>
      <c r="F10" s="11"/>
      <c r="G10" s="11" t="s">
        <v>8</v>
      </c>
      <c r="H10" s="11" t="s">
        <v>12</v>
      </c>
      <c r="L10" s="2"/>
      <c r="M10" s="11" t="str">
        <f>H10</f>
        <v>Rate</v>
      </c>
    </row>
    <row r="11" spans="1:13" x14ac:dyDescent="0.2">
      <c r="A11" s="9" t="s">
        <v>16</v>
      </c>
      <c r="B11" s="9"/>
      <c r="C11" s="144" t="s">
        <v>4</v>
      </c>
      <c r="D11" s="144" t="s">
        <v>6</v>
      </c>
      <c r="E11" s="144" t="s">
        <v>226</v>
      </c>
      <c r="F11" s="144" t="s">
        <v>7</v>
      </c>
      <c r="G11" s="144" t="s">
        <v>227</v>
      </c>
      <c r="H11" s="144" t="s">
        <v>13</v>
      </c>
      <c r="L11" s="2"/>
      <c r="M11" s="144" t="str">
        <f>H11</f>
        <v>Change</v>
      </c>
    </row>
    <row r="12" spans="1:13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J12" s="11"/>
      <c r="K12" s="11"/>
      <c r="L12" s="2"/>
      <c r="M12" s="11"/>
    </row>
    <row r="13" spans="1:13" x14ac:dyDescent="0.2">
      <c r="L13" s="2"/>
    </row>
    <row r="14" spans="1:13" x14ac:dyDescent="0.2">
      <c r="L14" s="2"/>
    </row>
    <row r="15" spans="1:13" x14ac:dyDescent="0.2">
      <c r="B15" t="s">
        <v>340</v>
      </c>
      <c r="C15" s="19">
        <f>AVERAGE(AVERAGE(C26),C19)</f>
        <v>0.51750000000000007</v>
      </c>
      <c r="D15" s="21">
        <f>D$19</f>
        <v>4.5999999999999999E-2</v>
      </c>
      <c r="E15" s="21">
        <f>E$19</f>
        <v>0.55619815796210725</v>
      </c>
      <c r="F15" s="17">
        <f>C15+D15+E15</f>
        <v>1.1196981579621075</v>
      </c>
      <c r="G15" s="21">
        <f>G$19</f>
        <v>0.77200000000000002</v>
      </c>
      <c r="H15" s="21">
        <f>ROUND(F15/G15-1,2)</f>
        <v>0.45</v>
      </c>
      <c r="L15" s="2"/>
      <c r="M15" s="259">
        <f>'[1]1'!H15</f>
        <v>0.22</v>
      </c>
    </row>
    <row r="16" spans="1:13" x14ac:dyDescent="0.2">
      <c r="A16" s="9"/>
      <c r="B16" s="9"/>
      <c r="C16" s="9"/>
      <c r="D16" s="9"/>
      <c r="E16" s="9"/>
      <c r="F16" s="9"/>
      <c r="G16" s="9"/>
      <c r="H16" s="20"/>
      <c r="J16" s="19"/>
      <c r="L16" s="2"/>
      <c r="M16" s="260"/>
    </row>
    <row r="17" spans="1:13" x14ac:dyDescent="0.2">
      <c r="H17" s="19"/>
      <c r="L17" s="2"/>
      <c r="M17" s="165"/>
    </row>
    <row r="18" spans="1:13" x14ac:dyDescent="0.2">
      <c r="C18" s="14"/>
      <c r="D18" s="14"/>
      <c r="E18" s="14"/>
      <c r="F18" s="14"/>
      <c r="G18" s="14"/>
      <c r="H18" s="91"/>
      <c r="J18" s="15"/>
      <c r="K18" s="15"/>
      <c r="L18" s="2"/>
      <c r="M18" s="14"/>
    </row>
    <row r="19" spans="1:13" x14ac:dyDescent="0.2">
      <c r="B19" t="s">
        <v>285</v>
      </c>
      <c r="C19" s="21">
        <f>'5'!$E$14</f>
        <v>0.48399999999999999</v>
      </c>
      <c r="D19" s="21">
        <f>'2.1'!$H$26</f>
        <v>4.5999999999999999E-2</v>
      </c>
      <c r="E19" s="21">
        <f>'10.1'!$H$42</f>
        <v>0.55619815796210725</v>
      </c>
      <c r="F19" s="17">
        <f>C19+D19+E19</f>
        <v>1.0861981579621074</v>
      </c>
      <c r="G19" s="21">
        <f>'10.1'!$H$48</f>
        <v>0.77200000000000002</v>
      </c>
      <c r="H19" s="21">
        <f>ROUND(F19/G19-1,2)</f>
        <v>0.41</v>
      </c>
      <c r="J19" s="16"/>
      <c r="K19" s="16"/>
      <c r="L19" s="2"/>
      <c r="M19" s="259">
        <f>'[1]1'!H19</f>
        <v>0.13</v>
      </c>
    </row>
    <row r="20" spans="1:13" x14ac:dyDescent="0.2">
      <c r="C20" s="21"/>
      <c r="D20" s="21"/>
      <c r="E20" s="21"/>
      <c r="F20" s="17"/>
      <c r="G20" s="21"/>
      <c r="H20" s="21"/>
      <c r="J20" s="16"/>
      <c r="K20" s="16"/>
      <c r="L20" s="2"/>
      <c r="M20" s="17"/>
    </row>
    <row r="21" spans="1:13" x14ac:dyDescent="0.2">
      <c r="B21" t="s">
        <v>506</v>
      </c>
      <c r="C21" s="21">
        <f>'5'!E17</f>
        <v>0.72699999999999998</v>
      </c>
      <c r="D21" s="21">
        <f>D$19</f>
        <v>4.5999999999999999E-2</v>
      </c>
      <c r="E21" s="21">
        <f t="shared" ref="E21:G24" si="1">E$19</f>
        <v>0.55619815796210725</v>
      </c>
      <c r="F21" s="17">
        <f t="shared" ref="F21:F24" si="2">C21+D21+E21</f>
        <v>1.3291981579621073</v>
      </c>
      <c r="G21" s="21">
        <f t="shared" si="1"/>
        <v>0.77200000000000002</v>
      </c>
      <c r="H21" s="21">
        <f t="shared" ref="H21:H24" si="3">ROUND(F21/G21-1,2)</f>
        <v>0.72</v>
      </c>
      <c r="J21" s="16"/>
      <c r="K21" s="16"/>
      <c r="L21" s="2"/>
      <c r="M21" s="259">
        <f>'[1]1'!H21</f>
        <v>0.57999999999999996</v>
      </c>
    </row>
    <row r="22" spans="1:13" x14ac:dyDescent="0.2">
      <c r="B22" t="s">
        <v>489</v>
      </c>
      <c r="C22" s="21">
        <f>'5'!E18</f>
        <v>0.67300000000000004</v>
      </c>
      <c r="D22" s="21">
        <f t="shared" ref="D22:D24" si="4">D$19</f>
        <v>4.5999999999999999E-2</v>
      </c>
      <c r="E22" s="21">
        <f t="shared" si="1"/>
        <v>0.55619815796210725</v>
      </c>
      <c r="F22" s="17">
        <f t="shared" si="2"/>
        <v>1.2751981579621074</v>
      </c>
      <c r="G22" s="21">
        <f t="shared" si="1"/>
        <v>0.77200000000000002</v>
      </c>
      <c r="H22" s="21">
        <f t="shared" si="3"/>
        <v>0.65</v>
      </c>
      <c r="J22" s="16"/>
      <c r="K22" s="16"/>
      <c r="L22" s="2"/>
      <c r="M22" s="259">
        <f>'[1]1'!H22</f>
        <v>0.39</v>
      </c>
    </row>
    <row r="23" spans="1:13" x14ac:dyDescent="0.2">
      <c r="B23" t="s">
        <v>491</v>
      </c>
      <c r="C23" s="21">
        <f>'5'!E19</f>
        <v>0.32100000000000001</v>
      </c>
      <c r="D23" s="21">
        <f t="shared" si="4"/>
        <v>4.5999999999999999E-2</v>
      </c>
      <c r="E23" s="21">
        <f t="shared" si="1"/>
        <v>0.55619815796210725</v>
      </c>
      <c r="F23" s="17">
        <f t="shared" si="2"/>
        <v>0.92319815796210725</v>
      </c>
      <c r="G23" s="21">
        <f t="shared" si="1"/>
        <v>0.77200000000000002</v>
      </c>
      <c r="H23" s="21">
        <f t="shared" si="3"/>
        <v>0.2</v>
      </c>
      <c r="J23" s="16"/>
      <c r="K23" s="16"/>
      <c r="L23" s="2"/>
      <c r="M23" s="259">
        <f>'[1]1'!H23</f>
        <v>0.09</v>
      </c>
    </row>
    <row r="24" spans="1:13" x14ac:dyDescent="0.2">
      <c r="B24" t="s">
        <v>539</v>
      </c>
      <c r="C24" s="21">
        <f>'5'!E20</f>
        <v>0.48199999999999998</v>
      </c>
      <c r="D24" s="21">
        <f t="shared" si="4"/>
        <v>4.5999999999999999E-2</v>
      </c>
      <c r="E24" s="21">
        <f t="shared" si="1"/>
        <v>0.55619815796210725</v>
      </c>
      <c r="F24" s="17">
        <f t="shared" si="2"/>
        <v>1.0841981579621072</v>
      </c>
      <c r="G24" s="21">
        <f t="shared" si="1"/>
        <v>0.77200000000000002</v>
      </c>
      <c r="H24" s="21">
        <f t="shared" si="3"/>
        <v>0.4</v>
      </c>
      <c r="L24" s="2"/>
      <c r="M24" s="259">
        <f>'[1]1'!H24</f>
        <v>0.16</v>
      </c>
    </row>
    <row r="25" spans="1:13" x14ac:dyDescent="0.2">
      <c r="C25" s="21"/>
      <c r="D25" s="21"/>
      <c r="E25" s="21"/>
      <c r="F25" s="17"/>
      <c r="G25" s="21"/>
      <c r="H25" s="21"/>
      <c r="J25" s="16"/>
      <c r="K25" s="16"/>
      <c r="L25" s="2"/>
      <c r="M25" s="17"/>
    </row>
    <row r="26" spans="1:13" ht="12" thickBot="1" x14ac:dyDescent="0.25">
      <c r="A26" s="6"/>
      <c r="B26" s="6" t="s">
        <v>471</v>
      </c>
      <c r="C26" s="203">
        <f>'5'!E22</f>
        <v>0.55100000000000005</v>
      </c>
      <c r="D26" s="203">
        <f>D19</f>
        <v>4.5999999999999999E-2</v>
      </c>
      <c r="E26" s="203">
        <f>E19</f>
        <v>0.55619815796210725</v>
      </c>
      <c r="F26" s="203">
        <f>C26+D26+E26</f>
        <v>1.1531981579621073</v>
      </c>
      <c r="G26" s="204">
        <f>G19</f>
        <v>0.77200000000000002</v>
      </c>
      <c r="H26" s="244">
        <f>F26/G26-1</f>
        <v>0.49377999736024258</v>
      </c>
      <c r="L26" s="2"/>
      <c r="M26" s="261">
        <f>'[1]1'!H26</f>
        <v>0.30331858066624351</v>
      </c>
    </row>
    <row r="27" spans="1:13" ht="12" thickTop="1" x14ac:dyDescent="0.2">
      <c r="C27" s="19"/>
      <c r="E27" s="19"/>
      <c r="L27" s="2"/>
    </row>
    <row r="28" spans="1:13" x14ac:dyDescent="0.2">
      <c r="A28" t="s">
        <v>17</v>
      </c>
      <c r="C28" s="123"/>
      <c r="L28" s="2"/>
    </row>
    <row r="29" spans="1:13" x14ac:dyDescent="0.2">
      <c r="B29" s="12" t="str">
        <f>C12&amp;" "&amp;'5'!$H$1</f>
        <v>(2) Exhibit 5</v>
      </c>
      <c r="L29" s="2"/>
    </row>
    <row r="30" spans="1:13" x14ac:dyDescent="0.2">
      <c r="B30" s="12" t="str">
        <f>D12&amp;" "&amp;'2.1'!$J$1&amp;", "&amp;'2.1'!$J$2</f>
        <v>(3) Exhibit 2, Sheet 1</v>
      </c>
      <c r="L30" s="2"/>
    </row>
    <row r="31" spans="1:13" x14ac:dyDescent="0.2">
      <c r="B31" s="12" t="str">
        <f>E12&amp;" "&amp;'10.1'!$J$1&amp;", "&amp;'10.1'!J2</f>
        <v>(4) Exhibit 10, Sheet 1</v>
      </c>
      <c r="L31" s="2"/>
    </row>
    <row r="32" spans="1:13" x14ac:dyDescent="0.2">
      <c r="B32" t="str">
        <f>F12&amp;" = "&amp;C12&amp;" + "&amp;D12&amp;" + "&amp;E12</f>
        <v>(5) = (2) + (3) + (4)</v>
      </c>
      <c r="D32" s="19"/>
      <c r="L32" s="2"/>
    </row>
    <row r="33" spans="2:13" x14ac:dyDescent="0.2">
      <c r="B33" s="12" t="str">
        <f>G12&amp;" "&amp;'10.1'!$J$1&amp;", "&amp;'10.1'!J2</f>
        <v>(6) Exhibit 10, Sheet 1</v>
      </c>
      <c r="D33" s="19"/>
      <c r="L33" s="2"/>
    </row>
    <row r="34" spans="2:13" x14ac:dyDescent="0.2">
      <c r="B34" s="12" t="str">
        <f>H12&amp;" = "&amp;F12&amp;" / "&amp;G12&amp;" - 1"</f>
        <v>(7) = (5) / (6) - 1</v>
      </c>
      <c r="I34" s="16"/>
      <c r="J34" s="16"/>
      <c r="K34" s="16"/>
      <c r="L34" s="2"/>
      <c r="M34" s="91"/>
    </row>
    <row r="35" spans="2:13" x14ac:dyDescent="0.2">
      <c r="B35" s="12"/>
      <c r="L35" s="2"/>
    </row>
    <row r="36" spans="2:13" x14ac:dyDescent="0.2">
      <c r="C36" s="21"/>
      <c r="D36" s="21"/>
      <c r="E36" s="21"/>
      <c r="F36" s="17"/>
      <c r="G36" s="21"/>
      <c r="H36" s="16"/>
      <c r="I36" s="16"/>
      <c r="J36" s="16"/>
      <c r="K36" s="16"/>
      <c r="L36" s="2"/>
      <c r="M36" s="91"/>
    </row>
    <row r="37" spans="2:13" x14ac:dyDescent="0.2">
      <c r="L37" s="2"/>
    </row>
    <row r="38" spans="2:13" x14ac:dyDescent="0.2">
      <c r="L38" s="2"/>
    </row>
    <row r="39" spans="2:13" x14ac:dyDescent="0.2">
      <c r="L39" s="2"/>
    </row>
    <row r="40" spans="2:13" x14ac:dyDescent="0.2">
      <c r="L40" s="2"/>
    </row>
    <row r="41" spans="2:13" x14ac:dyDescent="0.2">
      <c r="L41" s="2"/>
    </row>
    <row r="42" spans="2:13" x14ac:dyDescent="0.2">
      <c r="L42" s="2"/>
    </row>
    <row r="43" spans="2:13" x14ac:dyDescent="0.2">
      <c r="L43" s="2"/>
    </row>
    <row r="44" spans="2:13" x14ac:dyDescent="0.2">
      <c r="L44" s="2"/>
    </row>
    <row r="45" spans="2:13" x14ac:dyDescent="0.2">
      <c r="L45" s="2"/>
    </row>
    <row r="46" spans="2:13" x14ac:dyDescent="0.2">
      <c r="L46" s="2"/>
    </row>
    <row r="47" spans="2:13" x14ac:dyDescent="0.2">
      <c r="L47" s="2"/>
    </row>
    <row r="48" spans="2:13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>
    <tabColor rgb="FF00FF00"/>
  </sheetPr>
  <dimension ref="A1:P66"/>
  <sheetViews>
    <sheetView showGridLines="0" zoomScaleNormal="100" workbookViewId="0"/>
  </sheetViews>
  <sheetFormatPr defaultColWidth="11.33203125" defaultRowHeight="11.25" x14ac:dyDescent="0.2"/>
  <cols>
    <col min="1" max="1" width="4.5" customWidth="1"/>
    <col min="2" max="2" width="3.5" customWidth="1"/>
    <col min="3" max="3" width="34.1640625" customWidth="1"/>
    <col min="4" max="8" width="12.33203125" customWidth="1"/>
    <col min="9" max="9" width="11.33203125" customWidth="1"/>
    <col min="10" max="10" width="6.1640625" customWidth="1"/>
    <col min="12" max="12" width="12.6640625" customWidth="1"/>
    <col min="13" max="13" width="22" customWidth="1"/>
    <col min="14" max="14" width="2.1640625" bestFit="1" customWidth="1"/>
    <col min="15" max="16" width="22.8320312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121</v>
      </c>
      <c r="K1" s="1"/>
      <c r="N1" t="s">
        <v>447</v>
      </c>
      <c r="O1" t="s">
        <v>455</v>
      </c>
    </row>
    <row r="2" spans="1:15" x14ac:dyDescent="0.2">
      <c r="A2" s="8" t="str">
        <f>'1'!$A$2</f>
        <v>Commercial Property - Wind &amp; Hail</v>
      </c>
      <c r="B2" s="12"/>
      <c r="J2" s="7" t="s">
        <v>20</v>
      </c>
      <c r="K2" s="2"/>
      <c r="N2" t="s">
        <v>447</v>
      </c>
      <c r="O2" t="s">
        <v>456</v>
      </c>
    </row>
    <row r="3" spans="1:15" x14ac:dyDescent="0.2">
      <c r="A3" s="8" t="str">
        <f>'1'!$A$3</f>
        <v>Rate Level Review</v>
      </c>
      <c r="B3" s="12"/>
      <c r="K3" s="2"/>
      <c r="N3" t="s">
        <v>447</v>
      </c>
      <c r="O3" t="s">
        <v>465</v>
      </c>
    </row>
    <row r="4" spans="1:15" x14ac:dyDescent="0.2">
      <c r="A4" t="s">
        <v>521</v>
      </c>
      <c r="B4" s="12"/>
      <c r="K4" s="2"/>
      <c r="N4" t="s">
        <v>447</v>
      </c>
      <c r="O4" t="s">
        <v>466</v>
      </c>
    </row>
    <row r="5" spans="1:15" x14ac:dyDescent="0.2">
      <c r="B5" s="12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5" ht="12" thickTop="1" x14ac:dyDescent="0.2">
      <c r="K8" s="2"/>
    </row>
    <row r="9" spans="1:15" x14ac:dyDescent="0.2">
      <c r="K9" s="2"/>
      <c r="L9" s="24"/>
    </row>
    <row r="10" spans="1:15" x14ac:dyDescent="0.2">
      <c r="G10" s="11" t="s">
        <v>32</v>
      </c>
      <c r="K10" s="2"/>
      <c r="L10" t="s">
        <v>213</v>
      </c>
    </row>
    <row r="11" spans="1:15" x14ac:dyDescent="0.2">
      <c r="A11" s="9" t="s">
        <v>140</v>
      </c>
      <c r="B11" s="9"/>
      <c r="C11" s="9"/>
      <c r="D11" s="250">
        <f>E11-1</f>
        <v>2021</v>
      </c>
      <c r="E11" s="250">
        <f>F11-1</f>
        <v>2022</v>
      </c>
      <c r="F11" s="250">
        <f>YEAR(L11)</f>
        <v>2023</v>
      </c>
      <c r="G11" s="250">
        <f>F11+1</f>
        <v>2024</v>
      </c>
      <c r="H11" s="144" t="s">
        <v>47</v>
      </c>
      <c r="K11" s="2"/>
      <c r="L11" s="64">
        <v>45291</v>
      </c>
    </row>
    <row r="12" spans="1:15" x14ac:dyDescent="0.2">
      <c r="A12" s="13"/>
      <c r="B12" s="13"/>
      <c r="C12" s="13"/>
      <c r="D12" s="11"/>
      <c r="E12" s="11"/>
      <c r="F12" s="11"/>
      <c r="G12" s="11"/>
      <c r="H12" s="11"/>
      <c r="K12" s="2"/>
    </row>
    <row r="13" spans="1:15" x14ac:dyDescent="0.2">
      <c r="K13" s="2"/>
    </row>
    <row r="14" spans="1:15" x14ac:dyDescent="0.2">
      <c r="A14" s="40" t="s">
        <v>141</v>
      </c>
      <c r="B14" t="s">
        <v>145</v>
      </c>
      <c r="D14" s="31">
        <v>395112773</v>
      </c>
      <c r="E14" s="31">
        <v>518299032</v>
      </c>
      <c r="F14" s="31">
        <v>653043231</v>
      </c>
      <c r="G14" s="31">
        <v>815861000</v>
      </c>
      <c r="K14" s="2"/>
      <c r="L14" t="s">
        <v>544</v>
      </c>
    </row>
    <row r="15" spans="1:15" x14ac:dyDescent="0.2">
      <c r="A15" s="40" t="s">
        <v>142</v>
      </c>
      <c r="B15" t="s">
        <v>144</v>
      </c>
      <c r="D15" s="31">
        <v>378504197</v>
      </c>
      <c r="E15" s="31">
        <v>443490204</v>
      </c>
      <c r="F15" s="31">
        <v>589353024</v>
      </c>
      <c r="G15" s="31">
        <v>743860000</v>
      </c>
      <c r="K15" s="2"/>
      <c r="L15" t="s">
        <v>544</v>
      </c>
    </row>
    <row r="16" spans="1:15" x14ac:dyDescent="0.2">
      <c r="K16" s="2"/>
    </row>
    <row r="17" spans="1:16" x14ac:dyDescent="0.2">
      <c r="A17" s="40" t="s">
        <v>143</v>
      </c>
      <c r="B17" t="s">
        <v>146</v>
      </c>
      <c r="K17" s="2"/>
    </row>
    <row r="18" spans="1:16" x14ac:dyDescent="0.2">
      <c r="C18" t="s">
        <v>147</v>
      </c>
      <c r="D18" s="31">
        <v>63161029</v>
      </c>
      <c r="E18" s="31">
        <v>82854389</v>
      </c>
      <c r="F18" s="31">
        <v>104392398</v>
      </c>
      <c r="G18" s="31">
        <v>130538000</v>
      </c>
      <c r="K18" s="2"/>
      <c r="L18" t="s">
        <v>544</v>
      </c>
    </row>
    <row r="19" spans="1:16" x14ac:dyDescent="0.2">
      <c r="C19" t="s">
        <v>148</v>
      </c>
      <c r="D19" s="19">
        <f>D18/D$14</f>
        <v>0.15985570023574003</v>
      </c>
      <c r="E19" s="19">
        <f>E18/E$14</f>
        <v>0.15985827463401475</v>
      </c>
      <c r="F19" s="19">
        <f>F18/F$14</f>
        <v>0.15985526385465285</v>
      </c>
      <c r="G19" s="19">
        <f>G18/G$14</f>
        <v>0.16000029416775652</v>
      </c>
      <c r="H19" s="44">
        <f>ROUND(AVERAGE(D19:F19),3)</f>
        <v>0.16</v>
      </c>
      <c r="K19" s="2"/>
    </row>
    <row r="20" spans="1:16" x14ac:dyDescent="0.2">
      <c r="K20" s="2"/>
    </row>
    <row r="21" spans="1:16" x14ac:dyDescent="0.2">
      <c r="A21" s="40" t="s">
        <v>92</v>
      </c>
      <c r="B21" t="s">
        <v>149</v>
      </c>
      <c r="K21" s="2"/>
    </row>
    <row r="22" spans="1:16" x14ac:dyDescent="0.2">
      <c r="C22" t="s">
        <v>147</v>
      </c>
      <c r="D22" s="65">
        <v>0</v>
      </c>
      <c r="E22" s="65">
        <v>0</v>
      </c>
      <c r="F22" s="65">
        <v>0</v>
      </c>
      <c r="G22" s="65">
        <v>0</v>
      </c>
      <c r="K22" s="2"/>
    </row>
    <row r="23" spans="1:16" x14ac:dyDescent="0.2">
      <c r="C23" t="s">
        <v>148</v>
      </c>
      <c r="D23" s="19">
        <f>D22/D$14</f>
        <v>0</v>
      </c>
      <c r="E23" s="19">
        <f>E22/E$14</f>
        <v>0</v>
      </c>
      <c r="F23" s="19">
        <f>F22/F$14</f>
        <v>0</v>
      </c>
      <c r="G23" s="19">
        <f>G22/G$14</f>
        <v>0</v>
      </c>
      <c r="H23" s="44">
        <f>ROUND(AVERAGE(D23:F23),3)</f>
        <v>0</v>
      </c>
      <c r="K23" s="2"/>
    </row>
    <row r="24" spans="1:16" x14ac:dyDescent="0.2">
      <c r="K24" s="2"/>
      <c r="L24" s="230" t="s">
        <v>438</v>
      </c>
      <c r="M24" s="206"/>
      <c r="N24" s="231"/>
    </row>
    <row r="25" spans="1:16" x14ac:dyDescent="0.2">
      <c r="A25" s="40" t="s">
        <v>73</v>
      </c>
      <c r="B25" t="s">
        <v>150</v>
      </c>
      <c r="K25" s="2"/>
      <c r="L25" s="232" t="s">
        <v>507</v>
      </c>
      <c r="M25" s="108">
        <v>25102745</v>
      </c>
      <c r="N25" s="233"/>
    </row>
    <row r="26" spans="1:16" x14ac:dyDescent="0.2">
      <c r="C26" t="s">
        <v>151</v>
      </c>
      <c r="D26" s="31">
        <v>29979903</v>
      </c>
      <c r="E26" s="31">
        <v>35578580</v>
      </c>
      <c r="F26" s="18">
        <f>SUM(M25:M27)</f>
        <v>36234634</v>
      </c>
      <c r="G26" s="31">
        <v>40243000</v>
      </c>
      <c r="H26" s="22"/>
      <c r="J26" s="18"/>
      <c r="K26" s="2"/>
      <c r="L26" s="232" t="s">
        <v>439</v>
      </c>
      <c r="M26" s="108">
        <v>9130739</v>
      </c>
      <c r="N26" s="233"/>
    </row>
    <row r="27" spans="1:16" x14ac:dyDescent="0.2">
      <c r="K27" s="2"/>
      <c r="L27" s="234" t="s">
        <v>440</v>
      </c>
      <c r="M27" s="109">
        <v>2001150</v>
      </c>
      <c r="N27" s="235"/>
      <c r="O27" s="11"/>
      <c r="P27" s="11"/>
    </row>
    <row r="28" spans="1:16" x14ac:dyDescent="0.2">
      <c r="B28" t="s">
        <v>152</v>
      </c>
      <c r="K28" s="2"/>
      <c r="O28" s="243"/>
      <c r="P28" s="135"/>
    </row>
    <row r="29" spans="1:16" x14ac:dyDescent="0.2">
      <c r="C29" t="s">
        <v>153</v>
      </c>
      <c r="D29" s="31">
        <v>0</v>
      </c>
      <c r="E29" s="31">
        <v>0</v>
      </c>
      <c r="F29" s="31">
        <v>0</v>
      </c>
      <c r="G29" s="31">
        <v>0</v>
      </c>
      <c r="K29" s="2"/>
      <c r="O29" s="243"/>
      <c r="P29" s="135"/>
    </row>
    <row r="30" spans="1:16" x14ac:dyDescent="0.2">
      <c r="K30" s="2"/>
      <c r="O30" s="135"/>
      <c r="P30" s="135"/>
    </row>
    <row r="31" spans="1:16" x14ac:dyDescent="0.2">
      <c r="C31" t="s">
        <v>154</v>
      </c>
      <c r="D31" s="26">
        <f>D26-SUM(D29)</f>
        <v>29979903</v>
      </c>
      <c r="E31" s="26">
        <f>E26-SUM(E29)</f>
        <v>35578580</v>
      </c>
      <c r="F31" s="26">
        <f>F26-SUM(F29)</f>
        <v>36234634</v>
      </c>
      <c r="G31" s="26">
        <f>G26-SUM(G29)</f>
        <v>40243000</v>
      </c>
      <c r="K31" s="2"/>
      <c r="O31" s="135"/>
      <c r="P31" s="135"/>
    </row>
    <row r="32" spans="1:16" x14ac:dyDescent="0.2">
      <c r="B32" s="12"/>
      <c r="C32" t="s">
        <v>148</v>
      </c>
      <c r="D32" s="19">
        <f>D31/D$14</f>
        <v>7.5876825677817311E-2</v>
      </c>
      <c r="E32" s="19">
        <f t="shared" ref="E32:F32" si="0">E31/E$14</f>
        <v>6.8644889925243008E-2</v>
      </c>
      <c r="F32" s="19">
        <f t="shared" si="0"/>
        <v>5.5485812087071464E-2</v>
      </c>
      <c r="G32" s="19">
        <f t="shared" ref="G32" si="1">G31/G$14</f>
        <v>4.9325804273031806E-2</v>
      </c>
      <c r="H32" s="267">
        <f>ROUND(AVERAGE(F32:G32),3)</f>
        <v>5.1999999999999998E-2</v>
      </c>
      <c r="I32" s="19"/>
      <c r="K32" s="2"/>
      <c r="L32" s="18"/>
    </row>
    <row r="33" spans="1:16" x14ac:dyDescent="0.2">
      <c r="B33" s="12"/>
      <c r="C33" s="12"/>
      <c r="D33" s="77"/>
      <c r="E33" s="77"/>
      <c r="F33" s="77"/>
      <c r="G33" s="77"/>
      <c r="H33" s="77"/>
      <c r="K33" s="2"/>
      <c r="L33" s="18"/>
      <c r="M33" s="130"/>
      <c r="N33" s="19"/>
    </row>
    <row r="34" spans="1:16" x14ac:dyDescent="0.2">
      <c r="A34" s="40" t="s">
        <v>77</v>
      </c>
      <c r="B34" t="s">
        <v>155</v>
      </c>
      <c r="D34" s="31"/>
      <c r="E34" s="31"/>
      <c r="F34" s="31"/>
      <c r="G34" s="31"/>
      <c r="K34" s="2"/>
      <c r="L34" s="18"/>
    </row>
    <row r="35" spans="1:16" x14ac:dyDescent="0.2">
      <c r="B35" s="22"/>
      <c r="C35" t="s">
        <v>147</v>
      </c>
      <c r="D35" s="31">
        <v>7364210</v>
      </c>
      <c r="E35" s="31">
        <v>9499183</v>
      </c>
      <c r="F35" s="31">
        <v>11379394</v>
      </c>
      <c r="G35" s="31">
        <v>14889000</v>
      </c>
      <c r="K35" s="2"/>
      <c r="L35" s="19"/>
    </row>
    <row r="36" spans="1:16" x14ac:dyDescent="0.2">
      <c r="B36" s="22"/>
      <c r="C36" t="s">
        <v>148</v>
      </c>
      <c r="D36" s="19">
        <f>D35/D$14</f>
        <v>1.8638248376748882E-2</v>
      </c>
      <c r="E36" s="19">
        <f>E35/E$14</f>
        <v>1.8327610922491556E-2</v>
      </c>
      <c r="F36" s="19">
        <f>F35/F$14</f>
        <v>1.7425177170238521E-2</v>
      </c>
      <c r="G36" s="19">
        <f>G35/G$14</f>
        <v>1.8249432194944973E-2</v>
      </c>
      <c r="H36" s="44">
        <f>ROUND(AVERAGE(D36:F36),3)</f>
        <v>1.7999999999999999E-2</v>
      </c>
      <c r="K36" s="2"/>
    </row>
    <row r="37" spans="1:16" x14ac:dyDescent="0.2">
      <c r="K37" s="2"/>
    </row>
    <row r="38" spans="1:16" x14ac:dyDescent="0.2">
      <c r="A38" s="40" t="s">
        <v>76</v>
      </c>
      <c r="B38" t="s">
        <v>156</v>
      </c>
      <c r="H38" s="41">
        <f>'10.2'!F26</f>
        <v>0.50419815796210721</v>
      </c>
      <c r="I38" s="19"/>
      <c r="K38" s="2"/>
      <c r="L38" s="11"/>
      <c r="M38" s="11"/>
      <c r="N38" s="11"/>
      <c r="O38" s="11"/>
      <c r="P38" s="11"/>
    </row>
    <row r="39" spans="1:16" x14ac:dyDescent="0.2">
      <c r="K39" s="2"/>
      <c r="L39" s="130"/>
      <c r="M39" s="130"/>
      <c r="N39" s="130"/>
      <c r="O39" s="130"/>
      <c r="P39" s="130"/>
    </row>
    <row r="40" spans="1:16" x14ac:dyDescent="0.2">
      <c r="A40" s="40" t="s">
        <v>75</v>
      </c>
      <c r="B40" t="s">
        <v>396</v>
      </c>
      <c r="H40" s="264">
        <v>0</v>
      </c>
      <c r="I40" s="19"/>
      <c r="K40" s="2"/>
      <c r="L40" s="130"/>
      <c r="M40" s="130"/>
      <c r="N40" s="130"/>
      <c r="O40" s="130"/>
      <c r="P40" s="130"/>
    </row>
    <row r="41" spans="1:16" x14ac:dyDescent="0.2">
      <c r="K41" s="2"/>
      <c r="L41" s="130"/>
      <c r="M41" s="130"/>
      <c r="N41" s="130"/>
      <c r="O41" s="130"/>
      <c r="P41" s="130"/>
    </row>
    <row r="42" spans="1:16" x14ac:dyDescent="0.2">
      <c r="A42" s="40" t="s">
        <v>74</v>
      </c>
      <c r="B42" t="s">
        <v>228</v>
      </c>
      <c r="C42" s="12"/>
      <c r="H42" s="19">
        <f>SUM(H32,H38,H40)</f>
        <v>0.55619815796210725</v>
      </c>
      <c r="K42" s="2"/>
      <c r="L42" s="130"/>
    </row>
    <row r="43" spans="1:16" x14ac:dyDescent="0.2">
      <c r="C43" s="12"/>
      <c r="K43" s="2"/>
    </row>
    <row r="44" spans="1:16" x14ac:dyDescent="0.2">
      <c r="A44" s="40" t="s">
        <v>69</v>
      </c>
      <c r="B44" t="s">
        <v>229</v>
      </c>
      <c r="H44" s="41">
        <f>SUM(H19,H23,H36)</f>
        <v>0.17799999999999999</v>
      </c>
      <c r="K44" s="2"/>
    </row>
    <row r="45" spans="1:16" x14ac:dyDescent="0.2">
      <c r="K45" s="2"/>
    </row>
    <row r="46" spans="1:16" x14ac:dyDescent="0.2">
      <c r="A46" s="40" t="s">
        <v>157</v>
      </c>
      <c r="B46" t="s">
        <v>397</v>
      </c>
      <c r="H46" s="44">
        <f>0.05</f>
        <v>0.05</v>
      </c>
      <c r="K46" s="2"/>
      <c r="M46" s="11"/>
    </row>
    <row r="47" spans="1:16" x14ac:dyDescent="0.2">
      <c r="K47" s="2"/>
      <c r="L47" s="135"/>
    </row>
    <row r="48" spans="1:16" x14ac:dyDescent="0.2">
      <c r="A48" s="40" t="s">
        <v>275</v>
      </c>
      <c r="B48" t="s">
        <v>415</v>
      </c>
      <c r="H48" s="19">
        <f>1-H44-H46</f>
        <v>0.77200000000000002</v>
      </c>
      <c r="K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K49" s="2"/>
      <c r="L49" s="77"/>
    </row>
    <row r="50" spans="1:12" ht="12" thickTop="1" x14ac:dyDescent="0.2">
      <c r="K50" s="2"/>
    </row>
    <row r="51" spans="1:12" x14ac:dyDescent="0.2">
      <c r="A51" t="s">
        <v>17</v>
      </c>
      <c r="K51" s="2"/>
    </row>
    <row r="52" spans="1:12" x14ac:dyDescent="0.2">
      <c r="B52" t="str">
        <f>A14&amp;" - "&amp;A34&amp;" From TWIA's Statutory Annual Statements and Insurance Expense Exhibits. 2024 figures are projected"</f>
        <v>(1) - (6) From TWIA's Statutory Annual Statements and Insurance Expense Exhibits. 2024 figures are projected</v>
      </c>
      <c r="K52" s="2"/>
    </row>
    <row r="53" spans="1:12" x14ac:dyDescent="0.2">
      <c r="B53" s="12" t="str">
        <f>A38&amp;" "&amp;'10.2'!H1&amp;", "&amp;'10.2'!H2</f>
        <v>(7) Exhibit 10, Sheet 2</v>
      </c>
      <c r="K53" s="2"/>
    </row>
    <row r="54" spans="1:12" x14ac:dyDescent="0.2">
      <c r="B54" t="s">
        <v>508</v>
      </c>
      <c r="K54" s="2"/>
    </row>
    <row r="55" spans="1:12" x14ac:dyDescent="0.2">
      <c r="B55" s="40" t="s">
        <v>405</v>
      </c>
      <c r="K55" s="2"/>
    </row>
    <row r="56" spans="1:12" x14ac:dyDescent="0.2">
      <c r="B56" t="str">
        <f>A44&amp;" = "&amp;A17&amp;" + "&amp;A21&amp;" + "&amp;A34</f>
        <v>(10) = (3) + (4) + (6)</v>
      </c>
      <c r="K56" s="2"/>
    </row>
    <row r="57" spans="1:12" x14ac:dyDescent="0.2">
      <c r="B57" t="str">
        <f>A46&amp;" CRTF contribution selected judgmentally "</f>
        <v xml:space="preserve">(11) CRTF contribution selected judgmentally </v>
      </c>
      <c r="K57" s="2"/>
    </row>
    <row r="58" spans="1:12" x14ac:dyDescent="0.2">
      <c r="B58" t="str">
        <f>A48&amp;" = 100% - "&amp;A44&amp;" - "&amp;A46</f>
        <v>(12) = 100% - (10) - (11)</v>
      </c>
      <c r="K58" s="2"/>
    </row>
    <row r="59" spans="1:12" x14ac:dyDescent="0.2">
      <c r="K59" s="2"/>
    </row>
    <row r="60" spans="1:12" x14ac:dyDescent="0.2">
      <c r="K60" s="2"/>
    </row>
    <row r="61" spans="1:12" x14ac:dyDescent="0.2">
      <c r="K61" s="2"/>
    </row>
    <row r="62" spans="1:12" x14ac:dyDescent="0.2">
      <c r="K62" s="2"/>
    </row>
    <row r="63" spans="1:12" x14ac:dyDescent="0.2">
      <c r="H63" s="19"/>
      <c r="K63" s="2"/>
    </row>
    <row r="64" spans="1:12" x14ac:dyDescent="0.2">
      <c r="B64" s="12"/>
      <c r="C64" s="12"/>
      <c r="K64" s="2"/>
    </row>
    <row r="65" spans="1:11" ht="12" thickBot="1" x14ac:dyDescent="0.25">
      <c r="D65" s="31"/>
      <c r="E65" s="31"/>
      <c r="F65" s="31"/>
      <c r="G65" s="31"/>
      <c r="K65" s="2"/>
    </row>
    <row r="66" spans="1:11" ht="12" thickBot="1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AE80-7581-4F63-A059-5E0F4E8074D1}">
  <sheetPr>
    <tabColor rgb="FF00FF00"/>
  </sheetPr>
  <dimension ref="A1:U63"/>
  <sheetViews>
    <sheetView showGridLines="0" zoomScaleNormal="100" workbookViewId="0"/>
  </sheetViews>
  <sheetFormatPr defaultColWidth="11.33203125" defaultRowHeight="11.25" x14ac:dyDescent="0.2"/>
  <cols>
    <col min="1" max="2" width="4.5" customWidth="1"/>
    <col min="3" max="3" width="54.5" customWidth="1"/>
    <col min="4" max="6" width="13.83203125" customWidth="1"/>
    <col min="7" max="7" width="11.33203125" customWidth="1"/>
    <col min="8" max="8" width="5" customWidth="1"/>
    <col min="10" max="10" width="23.5" customWidth="1"/>
    <col min="11" max="11" width="15.1640625" customWidth="1"/>
    <col min="15" max="15" width="13.5" customWidth="1"/>
    <col min="16" max="16" width="15.6640625" customWidth="1"/>
    <col min="17" max="19" width="11.5" bestFit="1" customWidth="1"/>
  </cols>
  <sheetData>
    <row r="1" spans="1:21" x14ac:dyDescent="0.2">
      <c r="A1" s="8" t="str">
        <f>'1'!$A$1</f>
        <v>Texas Windstorm Insurance Association</v>
      </c>
      <c r="C1" s="12"/>
      <c r="H1" s="105" t="s">
        <v>121</v>
      </c>
      <c r="I1" s="1"/>
      <c r="J1" s="245" t="s">
        <v>494</v>
      </c>
      <c r="K1" s="246">
        <f>'1'!H15</f>
        <v>0.45</v>
      </c>
      <c r="P1" t="s">
        <v>499</v>
      </c>
    </row>
    <row r="2" spans="1:21" ht="12.75" x14ac:dyDescent="0.2">
      <c r="A2" s="8" t="str">
        <f>'1'!$A$2</f>
        <v>Commercial Property - Wind &amp; Hail</v>
      </c>
      <c r="C2" s="12"/>
      <c r="D2" s="122"/>
      <c r="H2" s="105" t="s">
        <v>58</v>
      </c>
      <c r="I2" s="2"/>
      <c r="P2" t="s">
        <v>500</v>
      </c>
      <c r="U2" s="107"/>
    </row>
    <row r="3" spans="1:21" x14ac:dyDescent="0.2">
      <c r="A3" s="8" t="str">
        <f>'1'!$A$3</f>
        <v>Rate Level Review</v>
      </c>
      <c r="C3" s="12"/>
      <c r="H3" s="7"/>
      <c r="I3" s="2"/>
      <c r="P3" t="s">
        <v>501</v>
      </c>
      <c r="U3" s="22"/>
    </row>
    <row r="4" spans="1:21" x14ac:dyDescent="0.2">
      <c r="A4" t="s">
        <v>341</v>
      </c>
      <c r="C4" s="12"/>
      <c r="I4" s="2"/>
      <c r="J4" s="8"/>
      <c r="P4" s="18" t="s">
        <v>502</v>
      </c>
      <c r="Q4" s="18"/>
      <c r="R4" s="18"/>
      <c r="S4" s="18"/>
      <c r="U4" s="130"/>
    </row>
    <row r="5" spans="1:21" x14ac:dyDescent="0.2">
      <c r="A5" t="s">
        <v>504</v>
      </c>
      <c r="C5" s="12"/>
      <c r="I5" s="2"/>
      <c r="P5" t="s">
        <v>503</v>
      </c>
      <c r="U5" s="130"/>
    </row>
    <row r="6" spans="1:21" x14ac:dyDescent="0.2">
      <c r="I6" s="2"/>
      <c r="U6" s="140"/>
    </row>
    <row r="7" spans="1:21" ht="12" thickBot="1" x14ac:dyDescent="0.25">
      <c r="A7" s="6"/>
      <c r="B7" s="6"/>
      <c r="C7" s="6"/>
      <c r="D7" s="143" t="s">
        <v>445</v>
      </c>
      <c r="E7" s="143" t="s">
        <v>162</v>
      </c>
      <c r="F7" s="143" t="s">
        <v>161</v>
      </c>
      <c r="I7" s="2"/>
      <c r="U7" s="139"/>
    </row>
    <row r="8" spans="1:21" ht="12" thickTop="1" x14ac:dyDescent="0.2">
      <c r="D8" s="11"/>
      <c r="I8" s="2"/>
      <c r="J8" t="s">
        <v>342</v>
      </c>
      <c r="O8" s="49"/>
      <c r="P8" s="18"/>
      <c r="Q8" s="18"/>
      <c r="R8" s="18"/>
      <c r="S8" s="18"/>
      <c r="T8" s="18"/>
      <c r="U8" s="130"/>
    </row>
    <row r="9" spans="1:21" x14ac:dyDescent="0.2">
      <c r="I9" s="2"/>
      <c r="J9" t="s">
        <v>173</v>
      </c>
      <c r="K9" t="s">
        <v>343</v>
      </c>
    </row>
    <row r="10" spans="1:21" x14ac:dyDescent="0.2">
      <c r="A10" s="40" t="s">
        <v>141</v>
      </c>
      <c r="B10" t="str">
        <f>YEAR($J$10)&amp;" - "&amp;YEAR($K$10)&amp;" Reinsurance Premium"</f>
        <v>2024 - 2025 Reinsurance Premium</v>
      </c>
      <c r="D10" s="31">
        <f>[4]Sheet1!$F$26*1000000</f>
        <v>370310167.62198251</v>
      </c>
      <c r="E10" s="18">
        <f>$D$10*E20/($E$20+$F$20)</f>
        <v>288590979.33111674</v>
      </c>
      <c r="F10" s="18">
        <f>$D$10*F20/($E$20+$F$20)</f>
        <v>81719188.290865749</v>
      </c>
      <c r="G10" s="263"/>
      <c r="H10" s="229"/>
      <c r="I10" s="2"/>
      <c r="J10" s="133">
        <v>45444</v>
      </c>
      <c r="K10" s="133">
        <v>45808</v>
      </c>
      <c r="L10" s="85"/>
    </row>
    <row r="11" spans="1:21" x14ac:dyDescent="0.2">
      <c r="E11" s="18"/>
      <c r="F11" s="11"/>
      <c r="G11" s="128"/>
      <c r="I11" s="2"/>
    </row>
    <row r="12" spans="1:21" x14ac:dyDescent="0.2">
      <c r="A12" s="40" t="s">
        <v>344</v>
      </c>
      <c r="B12" t="s">
        <v>505</v>
      </c>
      <c r="E12" s="18"/>
      <c r="F12" s="11"/>
      <c r="G12" s="128"/>
      <c r="I12" s="2"/>
      <c r="J12" t="s">
        <v>345</v>
      </c>
    </row>
    <row r="13" spans="1:21" x14ac:dyDescent="0.2">
      <c r="C13" s="251" t="s">
        <v>509</v>
      </c>
      <c r="D13" s="25">
        <f>E13+F13</f>
        <v>74647712.481559396</v>
      </c>
      <c r="E13" s="109">
        <f>'[5]Ceded EL by LOB'!$G$42</f>
        <v>58850298.695193097</v>
      </c>
      <c r="F13" s="109">
        <f>'[5]Ceded EL by LOB'!$G$43</f>
        <v>15797413.786366301</v>
      </c>
      <c r="G13" s="263"/>
      <c r="H13" s="229"/>
      <c r="I13" s="2"/>
      <c r="J13" t="s">
        <v>230</v>
      </c>
    </row>
    <row r="14" spans="1:21" x14ac:dyDescent="0.2">
      <c r="C14" s="12" t="s">
        <v>7</v>
      </c>
      <c r="D14" s="26">
        <f>SUM(D13:D13)</f>
        <v>74647712.481559396</v>
      </c>
      <c r="E14" s="26">
        <f>SUM(E13:E13)</f>
        <v>58850298.695193097</v>
      </c>
      <c r="F14" s="26">
        <f>SUM(F13:F13)</f>
        <v>15797413.786366301</v>
      </c>
      <c r="G14" s="128"/>
      <c r="I14" s="2"/>
      <c r="J14" s="133">
        <v>45260</v>
      </c>
      <c r="L14" s="85"/>
    </row>
    <row r="15" spans="1:21" x14ac:dyDescent="0.2">
      <c r="F15" s="11"/>
      <c r="G15" s="128"/>
      <c r="I15" s="2"/>
    </row>
    <row r="16" spans="1:21" x14ac:dyDescent="0.2">
      <c r="A16" s="40" t="s">
        <v>346</v>
      </c>
      <c r="B16" t="s">
        <v>347</v>
      </c>
      <c r="E16" s="18"/>
      <c r="F16" s="11"/>
      <c r="G16" s="128"/>
      <c r="I16" s="2"/>
    </row>
    <row r="17" spans="1:13" x14ac:dyDescent="0.2">
      <c r="C17" s="95" t="str">
        <f>C13</f>
        <v>100% of $4050M XS $2450M</v>
      </c>
      <c r="D17" s="25">
        <f>E17+F17</f>
        <v>58200781.228802994</v>
      </c>
      <c r="E17" s="109">
        <f>'[5]Ceded EL by LOB'!$G$8</f>
        <v>44681497.768127397</v>
      </c>
      <c r="F17" s="109">
        <f>'[5]Ceded EL by LOB'!$G$9</f>
        <v>13519283.460675601</v>
      </c>
      <c r="G17" s="263"/>
      <c r="H17" s="229"/>
      <c r="I17" s="2"/>
      <c r="J17" t="s">
        <v>408</v>
      </c>
    </row>
    <row r="18" spans="1:13" x14ac:dyDescent="0.2">
      <c r="C18" s="12" t="s">
        <v>7</v>
      </c>
      <c r="D18" s="26">
        <f>SUM(D17:D17)</f>
        <v>58200781.228802994</v>
      </c>
      <c r="E18" s="26">
        <f>SUM(E17:E17)</f>
        <v>44681497.768127397</v>
      </c>
      <c r="F18" s="26">
        <f>SUM(F17:F17)</f>
        <v>13519283.460675601</v>
      </c>
      <c r="G18" s="128"/>
      <c r="I18" s="2"/>
      <c r="J18" s="7">
        <f>1+'5'!D14</f>
        <v>1.1579999999999999</v>
      </c>
      <c r="K18" s="92"/>
      <c r="L18" s="92"/>
      <c r="M18" s="92"/>
    </row>
    <row r="19" spans="1:13" x14ac:dyDescent="0.2">
      <c r="E19" s="136"/>
      <c r="F19" s="11"/>
      <c r="G19" s="128"/>
      <c r="I19" s="2"/>
    </row>
    <row r="20" spans="1:13" x14ac:dyDescent="0.2">
      <c r="A20" s="40" t="s">
        <v>348</v>
      </c>
      <c r="B20" t="s">
        <v>349</v>
      </c>
      <c r="D20" s="127">
        <f>SUM(E20:F20)</f>
        <v>66424246.855181202</v>
      </c>
      <c r="E20" s="127">
        <f>AVERAGE(E14,E18)</f>
        <v>51765898.231660247</v>
      </c>
      <c r="F20" s="127">
        <f>AVERAGE(F14,F18)</f>
        <v>14658348.623520952</v>
      </c>
      <c r="G20" s="263"/>
      <c r="H20" s="229"/>
      <c r="I20" s="2"/>
      <c r="J20" s="92"/>
    </row>
    <row r="21" spans="1:13" x14ac:dyDescent="0.2">
      <c r="I21" s="2"/>
    </row>
    <row r="22" spans="1:13" x14ac:dyDescent="0.2">
      <c r="A22" s="40" t="s">
        <v>143</v>
      </c>
      <c r="B22" t="s">
        <v>350</v>
      </c>
      <c r="D22" s="18">
        <f>SUM(E22:F22)</f>
        <v>293390889.76368266</v>
      </c>
      <c r="E22" s="18">
        <f>E10-E20*$J$18</f>
        <v>228646069.17885417</v>
      </c>
      <c r="F22" s="18">
        <f>F10-F20*$J$18</f>
        <v>64744820.584828489</v>
      </c>
      <c r="I22" s="2"/>
      <c r="K22" s="145"/>
      <c r="L22" s="18"/>
    </row>
    <row r="23" spans="1:13" x14ac:dyDescent="0.2">
      <c r="I23" s="2"/>
    </row>
    <row r="24" spans="1:13" x14ac:dyDescent="0.2">
      <c r="A24" s="40" t="s">
        <v>92</v>
      </c>
      <c r="B24" s="12" t="str">
        <f>"TWIA In-Force Premium as of "&amp;TEXT('7.1'!L11,"mm/dd/yy")&amp;" at Present Rates"</f>
        <v>TWIA In-Force Premium as of 11/30/23 at Present Rates</v>
      </c>
      <c r="D24" s="26">
        <f>SUM(E24:F24)</f>
        <v>648004892</v>
      </c>
      <c r="E24" s="226">
        <f>'[3]7.1'!$E$33</f>
        <v>519593434</v>
      </c>
      <c r="F24" s="18">
        <f>'7.1'!E33</f>
        <v>128411458</v>
      </c>
      <c r="I24" s="2"/>
    </row>
    <row r="25" spans="1:13" x14ac:dyDescent="0.2">
      <c r="C25" s="12"/>
      <c r="I25" s="2"/>
      <c r="J25" s="28"/>
      <c r="L25" s="159"/>
    </row>
    <row r="26" spans="1:13" x14ac:dyDescent="0.2">
      <c r="A26" s="40" t="s">
        <v>73</v>
      </c>
      <c r="B26" t="s">
        <v>351</v>
      </c>
      <c r="D26" s="41">
        <f>D22/D24</f>
        <v>0.45276030071032652</v>
      </c>
      <c r="E26" s="41">
        <f>E22/E24</f>
        <v>0.44004803413057403</v>
      </c>
      <c r="F26" s="41">
        <f>F22/F24</f>
        <v>0.50419815796210721</v>
      </c>
      <c r="I26" s="2"/>
    </row>
    <row r="27" spans="1:13" ht="12" thickBot="1" x14ac:dyDescent="0.25">
      <c r="A27" s="6"/>
      <c r="B27" s="6"/>
      <c r="C27" s="6"/>
      <c r="D27" s="6"/>
      <c r="E27" s="6"/>
      <c r="F27" s="6"/>
      <c r="I27" s="2"/>
      <c r="J27" s="92"/>
      <c r="L27" s="36"/>
    </row>
    <row r="28" spans="1:13" ht="12" thickTop="1" x14ac:dyDescent="0.2">
      <c r="I28" s="2"/>
    </row>
    <row r="29" spans="1:13" x14ac:dyDescent="0.2">
      <c r="A29" t="s">
        <v>17</v>
      </c>
      <c r="I29" s="2"/>
      <c r="J29" s="7"/>
    </row>
    <row r="30" spans="1:13" x14ac:dyDescent="0.2">
      <c r="B30" t="str">
        <f>A10&amp;" From TWIA reinsurance contract effective "&amp;TEXT($J$10,"m/d/yyyy")&amp;" through "&amp;TEXT($K$10,"m/d/yyyy")</f>
        <v>(1) From TWIA reinsurance contract effective 6/1/2024 through 5/31/2025</v>
      </c>
      <c r="C30" s="12"/>
      <c r="I30" s="2"/>
    </row>
    <row r="31" spans="1:13" x14ac:dyDescent="0.2">
      <c r="B31" t="str">
        <f>A12&amp;" Provided by Aon, based on Verisk model using TWIA exposures as of "&amp;TEXT($J$14,"mm/dd/yyyy")</f>
        <v>(2a) Provided by Aon, based on Verisk model using TWIA exposures as of 11/30/2023</v>
      </c>
      <c r="C31" s="12"/>
      <c r="I31" s="2"/>
      <c r="K31" s="18"/>
    </row>
    <row r="32" spans="1:13" x14ac:dyDescent="0.2">
      <c r="B32" t="str">
        <f>A16&amp;" Provided by Aon, based on RMS model using TWIA exposures as of "&amp;TEXT($J$14,"mm/dd/yyyy")</f>
        <v>(2b) Provided by Aon, based on RMS model using TWIA exposures as of 11/30/2023</v>
      </c>
      <c r="C32" s="12"/>
      <c r="I32" s="2"/>
      <c r="K32" s="18"/>
    </row>
    <row r="33" spans="1:9" x14ac:dyDescent="0.2">
      <c r="B33" t="str">
        <f>A20&amp;" Selected to be equal to the average of the RMS and Verisk catastrophe models"</f>
        <v>(2c) Selected to be equal to the average of the RMS and Verisk catastrophe models</v>
      </c>
      <c r="I33" s="2"/>
    </row>
    <row r="34" spans="1:9" x14ac:dyDescent="0.2">
      <c r="B34" t="str">
        <f>A22&amp;" = "&amp;A10&amp;" - "&amp;A20&amp;" * "&amp;J18&amp;". "&amp;J18&amp;" is the LAE loading."</f>
        <v>(3) = (1) - (2c) * 1.158. 1.158 is the LAE loading.</v>
      </c>
      <c r="I34" s="2"/>
    </row>
    <row r="35" spans="1:9" x14ac:dyDescent="0.2">
      <c r="B35" s="12" t="str">
        <f>A24&amp;" "&amp;'7.1'!J1&amp;", "&amp;'7.1'!J2</f>
        <v>(4) Exhibit 7, Sheet 1</v>
      </c>
      <c r="I35" s="2"/>
    </row>
    <row r="36" spans="1:9" x14ac:dyDescent="0.2">
      <c r="B36" s="12" t="str">
        <f>A26&amp;" = "&amp;A22&amp;" / "&amp;A24</f>
        <v>(5) = (3) / (4)</v>
      </c>
      <c r="I36" s="2"/>
    </row>
    <row r="37" spans="1:9" x14ac:dyDescent="0.2">
      <c r="C37" s="12"/>
      <c r="I37" s="2"/>
    </row>
    <row r="38" spans="1:9" x14ac:dyDescent="0.2">
      <c r="C38" s="12"/>
      <c r="I38" s="2"/>
    </row>
    <row r="39" spans="1:9" x14ac:dyDescent="0.2">
      <c r="C39" s="12"/>
      <c r="I39" s="2"/>
    </row>
    <row r="40" spans="1:9" x14ac:dyDescent="0.2">
      <c r="C40" s="12"/>
      <c r="I40" s="2"/>
    </row>
    <row r="41" spans="1:9" x14ac:dyDescent="0.2">
      <c r="A41" s="40"/>
      <c r="C41" s="24"/>
      <c r="D41" s="31"/>
      <c r="I41" s="2"/>
    </row>
    <row r="42" spans="1:9" x14ac:dyDescent="0.2">
      <c r="C42" s="12"/>
      <c r="D42" s="31"/>
      <c r="I42" s="2"/>
    </row>
    <row r="43" spans="1:9" x14ac:dyDescent="0.2">
      <c r="C43" s="12"/>
      <c r="D43" s="31"/>
      <c r="I43" s="2"/>
    </row>
    <row r="44" spans="1:9" x14ac:dyDescent="0.2">
      <c r="C44" s="24"/>
      <c r="D44" s="31"/>
      <c r="I44" s="2"/>
    </row>
    <row r="45" spans="1:9" x14ac:dyDescent="0.2">
      <c r="C45" s="12"/>
      <c r="I45" s="2"/>
    </row>
    <row r="46" spans="1:9" x14ac:dyDescent="0.2">
      <c r="A46" s="40"/>
      <c r="D46" s="41"/>
      <c r="I46" s="2"/>
    </row>
    <row r="47" spans="1:9" x14ac:dyDescent="0.2">
      <c r="I47" s="2"/>
    </row>
    <row r="48" spans="1:9" x14ac:dyDescent="0.2">
      <c r="A48" s="40"/>
      <c r="D48" s="18"/>
      <c r="I48" s="2"/>
    </row>
    <row r="49" spans="1:9" x14ac:dyDescent="0.2">
      <c r="I49" s="2"/>
    </row>
    <row r="50" spans="1:9" x14ac:dyDescent="0.2">
      <c r="I50" s="2"/>
    </row>
    <row r="51" spans="1:9" x14ac:dyDescent="0.2">
      <c r="A51" s="40"/>
      <c r="B51" s="40"/>
      <c r="D51" s="31"/>
      <c r="E51" s="18"/>
      <c r="F51" s="18"/>
      <c r="G51" s="18"/>
      <c r="I51" s="2"/>
    </row>
    <row r="52" spans="1:9" x14ac:dyDescent="0.2">
      <c r="A52" s="40"/>
      <c r="B52" s="40"/>
      <c r="D52" s="31"/>
      <c r="E52" s="18"/>
      <c r="F52" s="18"/>
      <c r="G52" s="18"/>
      <c r="I52" s="2"/>
    </row>
    <row r="53" spans="1:9" x14ac:dyDescent="0.2">
      <c r="A53" s="40"/>
      <c r="B53" s="40"/>
      <c r="D53" s="31"/>
      <c r="E53" s="18"/>
      <c r="F53" s="18"/>
      <c r="G53" s="18"/>
      <c r="I53" s="2"/>
    </row>
    <row r="54" spans="1:9" x14ac:dyDescent="0.2">
      <c r="A54" s="40"/>
      <c r="B54" s="40"/>
      <c r="D54" s="31"/>
      <c r="E54" s="18"/>
      <c r="F54" s="18"/>
      <c r="G54" s="18"/>
      <c r="I54" s="2"/>
    </row>
    <row r="55" spans="1:9" x14ac:dyDescent="0.2">
      <c r="A55" s="40"/>
      <c r="B55" s="40"/>
      <c r="D55" s="31"/>
      <c r="E55" s="18"/>
      <c r="F55" s="18"/>
      <c r="G55" s="18"/>
      <c r="I55" s="2"/>
    </row>
    <row r="56" spans="1:9" x14ac:dyDescent="0.2">
      <c r="A56" s="40"/>
      <c r="B56" s="40"/>
      <c r="D56" s="31"/>
      <c r="E56" s="18"/>
      <c r="F56" s="18"/>
      <c r="G56" s="18"/>
      <c r="I56" s="2"/>
    </row>
    <row r="57" spans="1:9" x14ac:dyDescent="0.2">
      <c r="A57" s="40"/>
      <c r="B57" s="40"/>
      <c r="D57" s="19"/>
      <c r="E57" s="19"/>
      <c r="F57" s="19"/>
      <c r="G57" s="19"/>
      <c r="I57" s="2"/>
    </row>
    <row r="58" spans="1:9" x14ac:dyDescent="0.2">
      <c r="C58" s="22"/>
      <c r="D58" s="41"/>
      <c r="E58" s="37"/>
      <c r="F58" s="37"/>
      <c r="G58" s="37"/>
      <c r="I58" s="2"/>
    </row>
    <row r="59" spans="1:9" x14ac:dyDescent="0.2">
      <c r="C59" s="22"/>
      <c r="D59" s="41"/>
      <c r="E59" s="37"/>
      <c r="F59" s="37"/>
      <c r="G59" s="37"/>
      <c r="I59" s="2"/>
    </row>
    <row r="60" spans="1:9" ht="12" thickBot="1" x14ac:dyDescent="0.25">
      <c r="C60" s="22"/>
      <c r="D60" s="41"/>
      <c r="E60" s="37"/>
      <c r="F60" s="37"/>
      <c r="G60" s="37"/>
      <c r="I60" s="2"/>
    </row>
    <row r="61" spans="1:9" ht="12" thickBot="1" x14ac:dyDescent="0.25">
      <c r="A61" s="4"/>
      <c r="B61" s="5"/>
      <c r="C61" s="5"/>
      <c r="D61" s="5"/>
      <c r="E61" s="5"/>
      <c r="F61" s="5"/>
      <c r="G61" s="5"/>
      <c r="H61" s="5"/>
      <c r="I61" s="2"/>
    </row>
    <row r="62" spans="1:9" ht="12" thickBot="1" x14ac:dyDescent="0.25">
      <c r="I62" s="2"/>
    </row>
    <row r="63" spans="1:9" ht="12" thickBot="1" x14ac:dyDescent="0.25">
      <c r="I63" s="3"/>
    </row>
  </sheetData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7">
    <tabColor rgb="FF00FF00"/>
  </sheetPr>
  <dimension ref="A1:Q38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0" customWidth="1"/>
    <col min="3" max="6" width="14.6640625" customWidth="1"/>
    <col min="7" max="7" width="15.6640625" customWidth="1"/>
    <col min="8" max="8" width="19.33203125" customWidth="1"/>
    <col min="9" max="9" width="12.33203125" customWidth="1"/>
    <col min="11" max="11" width="12" customWidth="1"/>
    <col min="13" max="13" width="18.6640625" customWidth="1"/>
    <col min="15" max="15" width="5.5" customWidth="1"/>
    <col min="16" max="16" width="11.1640625" customWidth="1"/>
    <col min="17" max="17" width="13.6640625" customWidth="1"/>
  </cols>
  <sheetData>
    <row r="1" spans="1:17" x14ac:dyDescent="0.2">
      <c r="A1" s="8" t="str">
        <f>'1'!$A$1</f>
        <v>Texas Windstorm Insurance Association</v>
      </c>
      <c r="B1" s="12"/>
      <c r="I1" s="7" t="s">
        <v>139</v>
      </c>
      <c r="J1" s="1"/>
      <c r="K1" s="237" t="s">
        <v>447</v>
      </c>
      <c r="L1" s="238" t="s">
        <v>486</v>
      </c>
      <c r="N1" t="s">
        <v>447</v>
      </c>
      <c r="O1" t="s">
        <v>452</v>
      </c>
    </row>
    <row r="2" spans="1:17" x14ac:dyDescent="0.2">
      <c r="A2" s="8" t="str">
        <f>'1'!$A$2</f>
        <v>Commercial Property - Wind &amp; Hail</v>
      </c>
      <c r="B2" s="12"/>
      <c r="I2" s="7" t="s">
        <v>20</v>
      </c>
      <c r="J2" s="2"/>
      <c r="K2" s="239" t="s">
        <v>447</v>
      </c>
      <c r="L2" s="116" t="s">
        <v>487</v>
      </c>
      <c r="N2" t="s">
        <v>447</v>
      </c>
      <c r="O2" t="s">
        <v>453</v>
      </c>
    </row>
    <row r="3" spans="1:17" ht="12" thickBot="1" x14ac:dyDescent="0.25">
      <c r="A3" s="8" t="str">
        <f>'1'!$A$3</f>
        <v>Rate Level Review</v>
      </c>
      <c r="B3" s="12"/>
      <c r="J3" s="2"/>
      <c r="K3" s="240" t="s">
        <v>447</v>
      </c>
      <c r="L3" s="241" t="s">
        <v>488</v>
      </c>
    </row>
    <row r="4" spans="1:17" x14ac:dyDescent="0.2">
      <c r="A4" t="s">
        <v>167</v>
      </c>
      <c r="B4" s="12"/>
      <c r="J4" s="2"/>
    </row>
    <row r="5" spans="1:17" x14ac:dyDescent="0.2">
      <c r="B5" s="12"/>
      <c r="J5" s="2"/>
    </row>
    <row r="6" spans="1:17" x14ac:dyDescent="0.2">
      <c r="J6" s="2"/>
    </row>
    <row r="7" spans="1:17" ht="12" thickBot="1" x14ac:dyDescent="0.25">
      <c r="A7" s="6"/>
      <c r="B7" s="6"/>
      <c r="C7" s="6"/>
      <c r="D7" s="6"/>
      <c r="E7" s="6"/>
      <c r="F7" s="6"/>
      <c r="G7" s="6"/>
      <c r="J7" s="2"/>
    </row>
    <row r="8" spans="1:17" ht="12" thickTop="1" x14ac:dyDescent="0.2">
      <c r="J8" s="2"/>
    </row>
    <row r="9" spans="1:17" x14ac:dyDescent="0.2">
      <c r="C9" s="173" t="s">
        <v>168</v>
      </c>
      <c r="D9" s="173"/>
      <c r="F9" s="11" t="s">
        <v>169</v>
      </c>
      <c r="J9" s="2"/>
      <c r="K9" s="24"/>
      <c r="L9" s="10"/>
      <c r="P9" s="107"/>
    </row>
    <row r="10" spans="1:17" x14ac:dyDescent="0.2">
      <c r="A10" t="s">
        <v>159</v>
      </c>
      <c r="C10" s="11" t="s">
        <v>161</v>
      </c>
      <c r="D10" s="11"/>
      <c r="E10" s="11"/>
      <c r="F10" s="11" t="s">
        <v>170</v>
      </c>
      <c r="G10" s="11"/>
      <c r="J10" s="2"/>
      <c r="K10" s="12"/>
    </row>
    <row r="11" spans="1:17" x14ac:dyDescent="0.2">
      <c r="A11" s="9" t="s">
        <v>41</v>
      </c>
      <c r="B11" s="9"/>
      <c r="C11" s="144" t="s">
        <v>171</v>
      </c>
      <c r="D11" s="144" t="s">
        <v>162</v>
      </c>
      <c r="E11" s="144" t="s">
        <v>7</v>
      </c>
      <c r="F11" s="144" t="s">
        <v>42</v>
      </c>
      <c r="G11" s="144" t="s">
        <v>165</v>
      </c>
      <c r="J11" s="2"/>
      <c r="K11" s="36"/>
      <c r="P11" s="18"/>
      <c r="Q11" s="18"/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  <c r="P12" s="18"/>
      <c r="Q12" s="18"/>
    </row>
    <row r="13" spans="1:17" x14ac:dyDescent="0.2">
      <c r="J13" s="2"/>
    </row>
    <row r="14" spans="1:17" x14ac:dyDescent="0.2">
      <c r="A14">
        <v>2014</v>
      </c>
      <c r="C14" s="226">
        <f>ROUND('[2]TWIA 3'!L11,0)</f>
        <v>1056281</v>
      </c>
      <c r="D14" s="226">
        <f>ROUND('[2]TWIA 3'!M11,0)</f>
        <v>6098077</v>
      </c>
      <c r="E14" s="26">
        <f t="shared" ref="E14:E15" si="0">SUM(C14:D14)</f>
        <v>7154358</v>
      </c>
      <c r="F14" s="108">
        <v>7871000</v>
      </c>
      <c r="G14" s="52">
        <f>E14-F14</f>
        <v>-716642</v>
      </c>
      <c r="H14" s="19"/>
      <c r="J14" s="2"/>
      <c r="L14" s="108"/>
      <c r="M14" s="108"/>
      <c r="P14" s="18"/>
      <c r="Q14" s="18"/>
    </row>
    <row r="15" spans="1:17" x14ac:dyDescent="0.2">
      <c r="A15">
        <v>2015</v>
      </c>
      <c r="B15" s="22"/>
      <c r="C15" s="226">
        <f>ROUND('[2]TWIA 3'!L12,0)</f>
        <v>18718279</v>
      </c>
      <c r="D15" s="226">
        <f>ROUND('[2]TWIA 3'!M12,0)</f>
        <v>120286469</v>
      </c>
      <c r="E15" s="26">
        <f t="shared" si="0"/>
        <v>139004748</v>
      </c>
      <c r="F15" s="108">
        <v>138697000</v>
      </c>
      <c r="G15" s="52">
        <f t="shared" ref="G15" si="1">E15-F15</f>
        <v>307748</v>
      </c>
      <c r="H15" s="19"/>
      <c r="J15" s="2"/>
      <c r="L15" s="108"/>
      <c r="M15" s="108"/>
      <c r="P15" s="18"/>
      <c r="Q15" s="18"/>
    </row>
    <row r="16" spans="1:17" x14ac:dyDescent="0.2">
      <c r="A16">
        <v>2016</v>
      </c>
      <c r="C16" s="226">
        <f>ROUND('[2]TWIA 3'!L13,0)</f>
        <v>2551122</v>
      </c>
      <c r="D16" s="226">
        <f>ROUND('[2]TWIA 3'!M13,0)</f>
        <v>25645895</v>
      </c>
      <c r="E16" s="26">
        <f t="shared" ref="E16:E21" si="2">SUM(C16:D16)</f>
        <v>28197017</v>
      </c>
      <c r="F16" s="108">
        <v>28422000</v>
      </c>
      <c r="G16" s="52">
        <f t="shared" ref="G16:G23" si="3">E16-F16</f>
        <v>-224983</v>
      </c>
      <c r="H16" s="19"/>
      <c r="J16" s="2"/>
      <c r="K16" s="22"/>
      <c r="L16" s="108"/>
      <c r="M16" s="108"/>
      <c r="O16" s="22"/>
      <c r="P16" s="18"/>
      <c r="Q16" s="18"/>
    </row>
    <row r="17" spans="1:17" x14ac:dyDescent="0.2">
      <c r="A17">
        <v>2017</v>
      </c>
      <c r="B17" s="22"/>
      <c r="C17" s="226">
        <f>ROUND('[2]TWIA 3'!L14,0)</f>
        <v>468681136</v>
      </c>
      <c r="D17" s="226">
        <f>ROUND('[2]TWIA 3'!M14,0)</f>
        <v>933998619</v>
      </c>
      <c r="E17" s="26">
        <f t="shared" si="2"/>
        <v>1402679755</v>
      </c>
      <c r="F17" s="108">
        <v>1402282000</v>
      </c>
      <c r="G17" s="94">
        <f t="shared" si="3"/>
        <v>397755</v>
      </c>
      <c r="H17" s="19"/>
      <c r="J17" s="2"/>
      <c r="K17" s="22"/>
      <c r="L17" s="108"/>
      <c r="M17" s="108"/>
      <c r="O17" s="11"/>
      <c r="P17" s="18"/>
      <c r="Q17" s="18"/>
    </row>
    <row r="18" spans="1:17" x14ac:dyDescent="0.2">
      <c r="A18">
        <v>2018</v>
      </c>
      <c r="B18" s="22"/>
      <c r="C18" s="226">
        <f>ROUND('[2]TWIA 3'!L15,0)</f>
        <v>251357</v>
      </c>
      <c r="D18" s="226">
        <f>ROUND('[2]TWIA 3'!M15,0)</f>
        <v>11862645</v>
      </c>
      <c r="E18" s="26">
        <f t="shared" si="2"/>
        <v>12114002</v>
      </c>
      <c r="F18" s="108">
        <v>12097000</v>
      </c>
      <c r="G18" s="94">
        <f t="shared" si="3"/>
        <v>17002</v>
      </c>
      <c r="H18" s="19"/>
      <c r="J18" s="2"/>
      <c r="K18" s="22"/>
      <c r="L18" s="108"/>
      <c r="M18" s="108"/>
      <c r="O18" s="11"/>
      <c r="P18" s="18"/>
      <c r="Q18" s="18"/>
    </row>
    <row r="19" spans="1:17" x14ac:dyDescent="0.2">
      <c r="A19">
        <v>2019</v>
      </c>
      <c r="B19" s="22"/>
      <c r="C19" s="226">
        <f>ROUND('[2]TWIA 3'!L16,0)</f>
        <v>941867</v>
      </c>
      <c r="D19" s="226">
        <f>ROUND('[2]TWIA 3'!M16,0)</f>
        <v>16664642</v>
      </c>
      <c r="E19" s="26">
        <f t="shared" si="2"/>
        <v>17606509</v>
      </c>
      <c r="F19" s="108">
        <v>17606000</v>
      </c>
      <c r="G19" s="94">
        <f t="shared" si="3"/>
        <v>509</v>
      </c>
      <c r="H19" s="19"/>
      <c r="J19" s="2"/>
      <c r="K19" s="22"/>
      <c r="L19" s="108"/>
      <c r="M19" s="108"/>
      <c r="O19" s="11"/>
      <c r="P19" s="18"/>
      <c r="Q19" s="18"/>
    </row>
    <row r="20" spans="1:17" x14ac:dyDescent="0.2">
      <c r="A20">
        <v>2020</v>
      </c>
      <c r="B20" s="22"/>
      <c r="C20" s="226">
        <f>ROUND('[2]TWIA 3'!L17,0)</f>
        <v>7132559</v>
      </c>
      <c r="D20" s="226">
        <f>ROUND('[2]TWIA 3'!M17,0)</f>
        <v>57024577</v>
      </c>
      <c r="E20" s="26">
        <f t="shared" si="2"/>
        <v>64157136</v>
      </c>
      <c r="F20" s="108">
        <v>64031000</v>
      </c>
      <c r="G20" s="94">
        <f t="shared" si="3"/>
        <v>126136</v>
      </c>
      <c r="H20" s="19"/>
      <c r="J20" s="2"/>
      <c r="K20" s="22"/>
      <c r="L20" s="108"/>
      <c r="M20" s="108"/>
      <c r="O20" s="11"/>
      <c r="P20" s="18"/>
      <c r="Q20" s="18"/>
    </row>
    <row r="21" spans="1:17" x14ac:dyDescent="0.2">
      <c r="A21">
        <v>2021</v>
      </c>
      <c r="B21" s="22"/>
      <c r="C21" s="226">
        <f>ROUND('[2]TWIA 3'!L18,0)</f>
        <v>8065506</v>
      </c>
      <c r="D21" s="226">
        <f>ROUND('[2]TWIA 3'!M18,0)</f>
        <v>57925111</v>
      </c>
      <c r="E21" s="26">
        <f t="shared" si="2"/>
        <v>65990617</v>
      </c>
      <c r="F21" s="108">
        <v>64894000</v>
      </c>
      <c r="G21" s="94">
        <f t="shared" si="3"/>
        <v>1096617</v>
      </c>
      <c r="H21" s="19"/>
      <c r="J21" s="2"/>
      <c r="K21" s="22"/>
      <c r="L21" s="108"/>
      <c r="M21" s="108"/>
      <c r="O21" s="11"/>
      <c r="P21" s="18"/>
      <c r="Q21" s="18"/>
    </row>
    <row r="22" spans="1:17" x14ac:dyDescent="0.2">
      <c r="A22">
        <v>2022</v>
      </c>
      <c r="B22" s="22"/>
      <c r="C22" s="226">
        <f>ROUND('[2]TWIA 3'!L19,0)</f>
        <v>1447225</v>
      </c>
      <c r="D22" s="226">
        <f>ROUND('[2]TWIA 3'!M19,0)</f>
        <v>25299995</v>
      </c>
      <c r="E22" s="26">
        <f t="shared" ref="E22" si="4">SUM(C22:D22)</f>
        <v>26747220</v>
      </c>
      <c r="F22" s="108">
        <v>27771000</v>
      </c>
      <c r="G22" s="94">
        <f t="shared" si="3"/>
        <v>-1023780</v>
      </c>
      <c r="H22" s="19"/>
      <c r="J22" s="2"/>
      <c r="K22" s="22"/>
      <c r="L22" s="108"/>
      <c r="M22" s="108"/>
      <c r="O22" s="11"/>
      <c r="P22" s="18"/>
      <c r="Q22" s="18"/>
    </row>
    <row r="23" spans="1:17" x14ac:dyDescent="0.2">
      <c r="A23" s="9">
        <v>2023</v>
      </c>
      <c r="B23" s="23"/>
      <c r="C23" s="228">
        <f>ROUND('[2]TWIA 3'!L20,0)</f>
        <v>4229429</v>
      </c>
      <c r="D23" s="228">
        <f>ROUND('[2]TWIA 3'!M20,0)</f>
        <v>53433453</v>
      </c>
      <c r="E23" s="27">
        <f t="shared" ref="E23" si="5">SUM(C23:D23)</f>
        <v>57662882</v>
      </c>
      <c r="F23" s="109">
        <v>57766000</v>
      </c>
      <c r="G23" s="53">
        <f t="shared" si="3"/>
        <v>-103118</v>
      </c>
      <c r="H23" s="19"/>
      <c r="J23" s="2"/>
      <c r="K23" s="22"/>
      <c r="L23" s="108"/>
      <c r="M23" s="108"/>
      <c r="O23" s="11"/>
      <c r="P23" s="18"/>
      <c r="Q23" s="18"/>
    </row>
    <row r="24" spans="1:17" x14ac:dyDescent="0.2">
      <c r="C24" s="18"/>
      <c r="D24" s="12"/>
      <c r="E24" s="18"/>
      <c r="F24" s="18"/>
      <c r="G24" s="54"/>
      <c r="H24" s="19"/>
      <c r="J24" s="2"/>
      <c r="K24" s="19"/>
    </row>
    <row r="25" spans="1:17" x14ac:dyDescent="0.2">
      <c r="A25" t="s">
        <v>7</v>
      </c>
      <c r="C25" s="46">
        <f>SUM(C14:C22)</f>
        <v>508845332</v>
      </c>
      <c r="D25" s="46">
        <f>SUM(D14:D22)</f>
        <v>1254806030</v>
      </c>
      <c r="E25" s="46">
        <f>SUM(E14:E22)</f>
        <v>1763651362</v>
      </c>
      <c r="F25" s="46">
        <f>SUM(F14:F23)</f>
        <v>1821437000</v>
      </c>
      <c r="G25" s="52">
        <f>SUM(G14:G23)</f>
        <v>-122756</v>
      </c>
      <c r="H25" s="19"/>
      <c r="J25" s="2"/>
      <c r="L25" s="46"/>
      <c r="M25" s="46"/>
    </row>
    <row r="26" spans="1:17" ht="12" thickBot="1" x14ac:dyDescent="0.25">
      <c r="A26" s="6"/>
      <c r="B26" s="6"/>
      <c r="C26" s="6"/>
      <c r="D26" s="6"/>
      <c r="E26" s="6"/>
      <c r="F26" s="6"/>
      <c r="G26" s="6"/>
      <c r="J26" s="2"/>
    </row>
    <row r="27" spans="1:17" ht="12" thickTop="1" x14ac:dyDescent="0.2">
      <c r="J27" s="2"/>
    </row>
    <row r="28" spans="1:17" x14ac:dyDescent="0.2">
      <c r="A28" t="s">
        <v>17</v>
      </c>
      <c r="J28" s="2"/>
    </row>
    <row r="29" spans="1:17" x14ac:dyDescent="0.2">
      <c r="B29" s="12" t="str">
        <f>C12&amp;", "&amp;D12&amp;" Provided by TWIA, as of "&amp;TEXT($K$30,"m/d/yyyy")</f>
        <v>(2), (3) Provided by TWIA, as of 12/31/2023</v>
      </c>
      <c r="J29" s="2"/>
      <c r="K29" t="s">
        <v>212</v>
      </c>
    </row>
    <row r="30" spans="1:17" x14ac:dyDescent="0.2">
      <c r="B30" s="12" t="str">
        <f>E12&amp;" = "&amp;C12&amp;" + "&amp;D12</f>
        <v>(4) = (2) + (3)</v>
      </c>
      <c r="J30" s="2"/>
      <c r="K30" s="63">
        <v>45291</v>
      </c>
    </row>
    <row r="31" spans="1:17" x14ac:dyDescent="0.2">
      <c r="B31" s="12" t="str">
        <f>F12&amp;" Based on TWIA "&amp;TEXT(YEAR(K30),"#")&amp;" Annual Statement"</f>
        <v>(5) Based on TWIA 2023 Annual Statement</v>
      </c>
      <c r="J31" s="2"/>
    </row>
    <row r="32" spans="1:17" x14ac:dyDescent="0.2">
      <c r="B32" s="12" t="str">
        <f>G12&amp;" = "&amp;E12&amp;" - "&amp;F12</f>
        <v>(6) = (4) - (5)</v>
      </c>
      <c r="J32" s="2"/>
    </row>
    <row r="33" spans="1:13" x14ac:dyDescent="0.2">
      <c r="B33" s="12"/>
      <c r="J33" s="2"/>
      <c r="L33" s="18"/>
      <c r="M33" s="18"/>
    </row>
    <row r="34" spans="1:13" x14ac:dyDescent="0.2">
      <c r="D34" s="41"/>
      <c r="E34" s="41"/>
      <c r="F34" s="41"/>
      <c r="G34" s="21"/>
      <c r="J34" s="2"/>
      <c r="L34" s="18"/>
      <c r="M34" s="18"/>
    </row>
    <row r="35" spans="1:13" x14ac:dyDescent="0.2">
      <c r="B35" s="22"/>
      <c r="C35" s="41"/>
      <c r="D35" s="41"/>
      <c r="E35" s="41"/>
      <c r="F35" s="41"/>
      <c r="G35" s="21"/>
      <c r="J35" s="2"/>
    </row>
    <row r="36" spans="1:13" x14ac:dyDescent="0.2">
      <c r="B36" s="22"/>
      <c r="C36" s="41"/>
      <c r="D36" s="41"/>
      <c r="E36" s="41"/>
      <c r="F36" s="41"/>
      <c r="G36" s="21"/>
      <c r="J36" s="2"/>
    </row>
    <row r="37" spans="1:13" ht="12" thickBot="1" x14ac:dyDescent="0.25">
      <c r="J37" s="2"/>
    </row>
    <row r="38" spans="1:13" ht="12" thickBot="1" x14ac:dyDescent="0.25">
      <c r="A38" s="4"/>
      <c r="B38" s="5"/>
      <c r="C38" s="5"/>
      <c r="D38" s="5"/>
      <c r="E38" s="5"/>
      <c r="F38" s="5"/>
      <c r="G38" s="5"/>
      <c r="H38" s="5"/>
      <c r="I38" s="5"/>
      <c r="J3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8">
    <tabColor rgb="FF00FF00"/>
  </sheetPr>
  <dimension ref="A1:P73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0" customWidth="1"/>
    <col min="3" max="8" width="14.6640625" customWidth="1"/>
    <col min="9" max="9" width="11.33203125" customWidth="1"/>
    <col min="10" max="10" width="5.6640625" customWidth="1"/>
    <col min="12" max="12" width="10" customWidth="1"/>
    <col min="14" max="14" width="25.832031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139</v>
      </c>
      <c r="K1" s="1"/>
      <c r="L1" s="237" t="s">
        <v>447</v>
      </c>
      <c r="M1" s="238" t="s">
        <v>486</v>
      </c>
      <c r="O1" t="s">
        <v>447</v>
      </c>
      <c r="P1" t="s">
        <v>452</v>
      </c>
    </row>
    <row r="2" spans="1:16" x14ac:dyDescent="0.2">
      <c r="A2" s="8" t="str">
        <f>'1'!$A$2</f>
        <v>Commercial Property - Wind &amp; Hail</v>
      </c>
      <c r="B2" s="12"/>
      <c r="J2" s="7" t="s">
        <v>58</v>
      </c>
      <c r="K2" s="2"/>
      <c r="L2" s="239" t="s">
        <v>447</v>
      </c>
      <c r="M2" s="116" t="s">
        <v>487</v>
      </c>
      <c r="O2" t="s">
        <v>447</v>
      </c>
      <c r="P2" t="s">
        <v>453</v>
      </c>
    </row>
    <row r="3" spans="1:16" ht="12" thickBot="1" x14ac:dyDescent="0.25">
      <c r="A3" s="8" t="str">
        <f>'1'!$A$3</f>
        <v>Rate Level Review</v>
      </c>
      <c r="B3" s="12"/>
      <c r="K3" s="2"/>
      <c r="L3" s="240" t="s">
        <v>447</v>
      </c>
      <c r="M3" s="241" t="s">
        <v>488</v>
      </c>
    </row>
    <row r="4" spans="1:16" x14ac:dyDescent="0.2">
      <c r="A4" t="s">
        <v>158</v>
      </c>
      <c r="B4" s="12"/>
      <c r="K4" s="2"/>
    </row>
    <row r="5" spans="1:16" x14ac:dyDescent="0.2">
      <c r="B5" s="12"/>
      <c r="D5" t="s">
        <v>282</v>
      </c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K7" s="2"/>
    </row>
    <row r="8" spans="1:16" ht="12" thickTop="1" x14ac:dyDescent="0.2">
      <c r="K8" s="2"/>
    </row>
    <row r="9" spans="1:16" x14ac:dyDescent="0.2">
      <c r="C9" s="173" t="s">
        <v>160</v>
      </c>
      <c r="D9" s="173"/>
      <c r="F9" s="11" t="s">
        <v>117</v>
      </c>
      <c r="K9" s="2"/>
      <c r="L9" s="24"/>
    </row>
    <row r="10" spans="1:16" x14ac:dyDescent="0.2">
      <c r="A10" t="s">
        <v>159</v>
      </c>
      <c r="F10" t="s">
        <v>164</v>
      </c>
      <c r="K10" s="2"/>
      <c r="L10" s="12"/>
    </row>
    <row r="11" spans="1:16" x14ac:dyDescent="0.2">
      <c r="A11" s="9" t="s">
        <v>41</v>
      </c>
      <c r="B11" s="9"/>
      <c r="C11" s="144" t="s">
        <v>161</v>
      </c>
      <c r="D11" s="144" t="s">
        <v>162</v>
      </c>
      <c r="E11" s="144" t="s">
        <v>7</v>
      </c>
      <c r="F11" s="144" t="s">
        <v>163</v>
      </c>
      <c r="G11" s="144" t="s">
        <v>165</v>
      </c>
      <c r="K11" s="2"/>
      <c r="L11" s="36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11"/>
      <c r="I12" s="11"/>
      <c r="K12" s="2"/>
    </row>
    <row r="13" spans="1:16" x14ac:dyDescent="0.2">
      <c r="K13" s="2"/>
    </row>
    <row r="14" spans="1:16" x14ac:dyDescent="0.2">
      <c r="A14" s="60">
        <v>1994</v>
      </c>
      <c r="B14" s="12"/>
      <c r="C14" s="31">
        <v>10672677</v>
      </c>
      <c r="D14" s="31">
        <v>15758330</v>
      </c>
      <c r="E14" s="26">
        <f>SUM(C14:D14)</f>
        <v>26431007</v>
      </c>
      <c r="F14" s="31">
        <v>26510501</v>
      </c>
      <c r="G14" s="52">
        <f>E14-F14</f>
        <v>-79494</v>
      </c>
      <c r="H14" s="52"/>
      <c r="I14" s="52"/>
      <c r="K14" s="2"/>
      <c r="L14" s="19">
        <f>G14/F14</f>
        <v>-2.9985853530267118E-3</v>
      </c>
    </row>
    <row r="15" spans="1:16" x14ac:dyDescent="0.2">
      <c r="A15" t="str">
        <f>TEXT(A14+1,"#")</f>
        <v>1995</v>
      </c>
      <c r="B15" s="12"/>
      <c r="C15" s="31">
        <v>12865905</v>
      </c>
      <c r="D15" s="31">
        <v>19259265</v>
      </c>
      <c r="E15" s="26">
        <f t="shared" ref="E15:E30" si="0">SUM(C15:D15)</f>
        <v>32125170</v>
      </c>
      <c r="F15" s="31">
        <v>32419287</v>
      </c>
      <c r="G15" s="52">
        <f t="shared" ref="G15:G43" si="1">E15-F15</f>
        <v>-294117</v>
      </c>
      <c r="H15" s="52"/>
      <c r="I15" s="52"/>
      <c r="K15" s="2"/>
      <c r="L15" s="19">
        <f t="shared" ref="L15:L35" si="2">G15/F15</f>
        <v>-9.0722846557359516E-3</v>
      </c>
    </row>
    <row r="16" spans="1:16" x14ac:dyDescent="0.2">
      <c r="A16" t="str">
        <f t="shared" ref="A16:A42" si="3">TEXT(A15+1,"#")</f>
        <v>1996</v>
      </c>
      <c r="C16" s="31">
        <v>15640660</v>
      </c>
      <c r="D16" s="31">
        <v>24504127</v>
      </c>
      <c r="E16" s="26">
        <f t="shared" si="0"/>
        <v>40144787</v>
      </c>
      <c r="F16" s="31">
        <v>40358575</v>
      </c>
      <c r="G16" s="52">
        <f t="shared" si="1"/>
        <v>-213788</v>
      </c>
      <c r="H16" s="52"/>
      <c r="I16" s="52"/>
      <c r="K16" s="2"/>
      <c r="L16" s="19">
        <f t="shared" si="2"/>
        <v>-5.2972137891389871E-3</v>
      </c>
    </row>
    <row r="17" spans="1:12" x14ac:dyDescent="0.2">
      <c r="A17" t="str">
        <f t="shared" si="3"/>
        <v>1997</v>
      </c>
      <c r="C17" s="31">
        <v>16536186</v>
      </c>
      <c r="D17" s="31">
        <v>25783455</v>
      </c>
      <c r="E17" s="26">
        <f t="shared" si="0"/>
        <v>42319641</v>
      </c>
      <c r="F17" s="31">
        <v>42462844</v>
      </c>
      <c r="G17" s="52">
        <f t="shared" si="1"/>
        <v>-143203</v>
      </c>
      <c r="H17" s="52"/>
      <c r="I17" s="52"/>
      <c r="K17" s="2"/>
      <c r="L17" s="19">
        <f t="shared" si="2"/>
        <v>-3.3724307302638512E-3</v>
      </c>
    </row>
    <row r="18" spans="1:12" x14ac:dyDescent="0.2">
      <c r="A18" t="str">
        <f t="shared" si="3"/>
        <v>1998</v>
      </c>
      <c r="C18" s="31">
        <v>16558977</v>
      </c>
      <c r="D18" s="31">
        <v>27833800</v>
      </c>
      <c r="E18" s="26">
        <f t="shared" si="0"/>
        <v>44392777</v>
      </c>
      <c r="F18" s="31">
        <v>44410914</v>
      </c>
      <c r="G18" s="52">
        <f t="shared" si="1"/>
        <v>-18137</v>
      </c>
      <c r="H18" s="52"/>
      <c r="I18" s="52"/>
      <c r="K18" s="2"/>
      <c r="L18" s="19">
        <f t="shared" si="2"/>
        <v>-4.0839060416545357E-4</v>
      </c>
    </row>
    <row r="19" spans="1:12" x14ac:dyDescent="0.2">
      <c r="A19" t="str">
        <f t="shared" si="3"/>
        <v>1999</v>
      </c>
      <c r="C19" s="31">
        <v>17394142.049999997</v>
      </c>
      <c r="D19" s="31">
        <v>27168992</v>
      </c>
      <c r="E19" s="26">
        <f t="shared" si="0"/>
        <v>44563134.049999997</v>
      </c>
      <c r="F19" s="31">
        <v>44581218</v>
      </c>
      <c r="G19" s="52">
        <f t="shared" si="1"/>
        <v>-18083.95000000298</v>
      </c>
      <c r="H19" s="52"/>
      <c r="I19" s="52"/>
      <c r="K19" s="2"/>
      <c r="L19" s="19">
        <f t="shared" si="2"/>
        <v>-4.0564055472874203E-4</v>
      </c>
    </row>
    <row r="20" spans="1:12" x14ac:dyDescent="0.2">
      <c r="A20" t="str">
        <f t="shared" si="3"/>
        <v>2000</v>
      </c>
      <c r="C20" s="31">
        <v>17332561</v>
      </c>
      <c r="D20" s="31">
        <v>29762296</v>
      </c>
      <c r="E20" s="26">
        <f t="shared" si="0"/>
        <v>47094857</v>
      </c>
      <c r="F20" s="31">
        <v>48012426</v>
      </c>
      <c r="G20" s="52">
        <f t="shared" si="1"/>
        <v>-917569</v>
      </c>
      <c r="H20" s="52"/>
      <c r="I20" s="52"/>
      <c r="K20" s="2"/>
      <c r="L20" s="19">
        <f t="shared" si="2"/>
        <v>-1.911107345419288E-2</v>
      </c>
    </row>
    <row r="21" spans="1:12" x14ac:dyDescent="0.2">
      <c r="A21" t="str">
        <f t="shared" si="3"/>
        <v>2001</v>
      </c>
      <c r="C21" s="31">
        <v>17544251</v>
      </c>
      <c r="D21" s="31">
        <v>36220622.519999996</v>
      </c>
      <c r="E21" s="26">
        <f t="shared" si="0"/>
        <v>53764873.519999996</v>
      </c>
      <c r="F21" s="31">
        <v>54630727</v>
      </c>
      <c r="G21" s="52">
        <f t="shared" si="1"/>
        <v>-865853.48000000417</v>
      </c>
      <c r="H21" s="52"/>
      <c r="I21" s="52"/>
      <c r="K21" s="2"/>
      <c r="L21" s="19">
        <f t="shared" si="2"/>
        <v>-1.584920295862078E-2</v>
      </c>
    </row>
    <row r="22" spans="1:12" x14ac:dyDescent="0.2">
      <c r="A22" t="str">
        <f t="shared" si="3"/>
        <v>2002</v>
      </c>
      <c r="C22" s="108">
        <v>24013525</v>
      </c>
      <c r="D22" s="108">
        <v>48856422.25</v>
      </c>
      <c r="E22" s="26">
        <f>SUM(C22:D22)</f>
        <v>72869947.25</v>
      </c>
      <c r="F22" s="31">
        <v>72967831</v>
      </c>
      <c r="G22" s="52">
        <f t="shared" si="1"/>
        <v>-97883.75</v>
      </c>
      <c r="H22" s="52"/>
      <c r="I22" s="52"/>
      <c r="K22" s="2"/>
      <c r="L22" s="19">
        <f t="shared" si="2"/>
        <v>-1.3414644324565438E-3</v>
      </c>
    </row>
    <row r="23" spans="1:12" x14ac:dyDescent="0.2">
      <c r="A23" t="str">
        <f t="shared" si="3"/>
        <v>2003</v>
      </c>
      <c r="C23" s="226">
        <f>'[2]TWIA 5'!C297</f>
        <v>29220514</v>
      </c>
      <c r="D23" s="226">
        <f>'[2]TWIA 5'!D297</f>
        <v>58573191</v>
      </c>
      <c r="E23" s="26">
        <f>SUM(C23:D23)</f>
        <v>87793705</v>
      </c>
      <c r="F23" s="31">
        <v>87987279</v>
      </c>
      <c r="G23" s="52">
        <f t="shared" si="1"/>
        <v>-193574</v>
      </c>
      <c r="H23" s="52"/>
      <c r="I23" s="52"/>
      <c r="K23" s="2"/>
      <c r="L23" s="19">
        <f t="shared" si="2"/>
        <v>-2.2000225737177303E-3</v>
      </c>
    </row>
    <row r="24" spans="1:12" x14ac:dyDescent="0.2">
      <c r="A24" t="str">
        <f t="shared" si="3"/>
        <v>2004</v>
      </c>
      <c r="C24" s="226">
        <f>'[2]TWIA 5'!C298</f>
        <v>31009323</v>
      </c>
      <c r="D24" s="226">
        <f>'[2]TWIA 5'!D298</f>
        <v>71292702</v>
      </c>
      <c r="E24" s="26">
        <f>SUM(C24:D24)</f>
        <v>102302025</v>
      </c>
      <c r="F24" s="31">
        <v>102384351</v>
      </c>
      <c r="G24" s="52">
        <f t="shared" si="1"/>
        <v>-82326</v>
      </c>
      <c r="H24" s="52"/>
      <c r="I24" s="52"/>
      <c r="K24" s="2"/>
      <c r="L24" s="19">
        <f t="shared" si="2"/>
        <v>-8.0408772625808805E-4</v>
      </c>
    </row>
    <row r="25" spans="1:12" x14ac:dyDescent="0.2">
      <c r="A25" t="str">
        <f t="shared" si="3"/>
        <v>2005</v>
      </c>
      <c r="C25" s="226">
        <f>'[2]TWIA 5'!C299</f>
        <v>35740174</v>
      </c>
      <c r="D25" s="226">
        <f>'[2]TWIA 5'!D299</f>
        <v>78094458</v>
      </c>
      <c r="E25" s="26">
        <f t="shared" si="0"/>
        <v>113834632</v>
      </c>
      <c r="F25" s="31">
        <v>113927701</v>
      </c>
      <c r="G25" s="52">
        <f t="shared" si="1"/>
        <v>-93069</v>
      </c>
      <c r="H25" s="52"/>
      <c r="I25" s="52"/>
      <c r="K25" s="2"/>
      <c r="L25" s="19">
        <f t="shared" si="2"/>
        <v>-8.169128243885129E-4</v>
      </c>
    </row>
    <row r="26" spans="1:12" x14ac:dyDescent="0.2">
      <c r="A26" t="str">
        <f t="shared" si="3"/>
        <v>2006</v>
      </c>
      <c r="C26" s="226">
        <f>'[2]TWIA 5'!C300</f>
        <v>76847840</v>
      </c>
      <c r="D26" s="226">
        <f>'[2]TWIA 5'!D300</f>
        <v>119658576</v>
      </c>
      <c r="E26" s="26">
        <f>SUM(C26:D26)</f>
        <v>196506416</v>
      </c>
      <c r="F26" s="31">
        <v>196833235</v>
      </c>
      <c r="G26" s="52">
        <f t="shared" si="1"/>
        <v>-326819</v>
      </c>
      <c r="H26" s="52"/>
      <c r="I26" s="52"/>
      <c r="K26" s="2"/>
      <c r="L26" s="19">
        <f t="shared" si="2"/>
        <v>-1.6603852494727325E-3</v>
      </c>
    </row>
    <row r="27" spans="1:12" x14ac:dyDescent="0.2">
      <c r="A27" t="str">
        <f t="shared" si="3"/>
        <v>2007</v>
      </c>
      <c r="C27" s="226">
        <f>'[2]TWIA 5'!C301</f>
        <v>110951718</v>
      </c>
      <c r="D27" s="226">
        <f>'[2]TWIA 5'!D301</f>
        <v>203561196</v>
      </c>
      <c r="E27" s="26">
        <f t="shared" si="0"/>
        <v>314512914</v>
      </c>
      <c r="F27" s="31">
        <v>315139307</v>
      </c>
      <c r="G27" s="52">
        <f t="shared" si="1"/>
        <v>-626393</v>
      </c>
      <c r="H27" s="52"/>
      <c r="I27" s="52"/>
      <c r="K27" s="2"/>
      <c r="L27" s="19">
        <f t="shared" si="2"/>
        <v>-1.9876701702590213E-3</v>
      </c>
    </row>
    <row r="28" spans="1:12" x14ac:dyDescent="0.2">
      <c r="A28" t="str">
        <f t="shared" si="3"/>
        <v>2008</v>
      </c>
      <c r="B28" s="22"/>
      <c r="C28" s="226">
        <f>'[2]TWIA 5'!C302</f>
        <v>98036118.420000017</v>
      </c>
      <c r="D28" s="226">
        <f>'[2]TWIA 5'!D302</f>
        <v>232925989.76999998</v>
      </c>
      <c r="E28" s="26">
        <f t="shared" si="0"/>
        <v>330962108.19</v>
      </c>
      <c r="F28" s="31">
        <v>331057645</v>
      </c>
      <c r="G28" s="52">
        <f t="shared" si="1"/>
        <v>-95536.810000002384</v>
      </c>
      <c r="H28" s="52"/>
      <c r="I28" s="94"/>
      <c r="K28" s="2"/>
      <c r="L28" s="19">
        <f t="shared" si="2"/>
        <v>-2.8858058843499109E-4</v>
      </c>
    </row>
    <row r="29" spans="1:12" x14ac:dyDescent="0.2">
      <c r="A29" t="str">
        <f t="shared" si="3"/>
        <v>2009</v>
      </c>
      <c r="C29" s="226">
        <f>'[2]TWIA 5'!C303</f>
        <v>111269572.63</v>
      </c>
      <c r="D29" s="226">
        <f>'[2]TWIA 5'!D303</f>
        <v>269535059.02999997</v>
      </c>
      <c r="E29" s="26">
        <f t="shared" si="0"/>
        <v>380804631.65999997</v>
      </c>
      <c r="F29" s="31">
        <v>382342402</v>
      </c>
      <c r="G29" s="52">
        <f t="shared" si="1"/>
        <v>-1537770.3400000334</v>
      </c>
      <c r="H29" s="52"/>
      <c r="K29" s="2"/>
      <c r="L29" s="19">
        <f t="shared" si="2"/>
        <v>-4.021971750860197E-3</v>
      </c>
    </row>
    <row r="30" spans="1:12" x14ac:dyDescent="0.2">
      <c r="A30" t="str">
        <f t="shared" si="3"/>
        <v>2010</v>
      </c>
      <c r="C30" s="226">
        <f>'[2]TWIA 5'!C304</f>
        <v>102174679.52999991</v>
      </c>
      <c r="D30" s="226">
        <f>'[2]TWIA 5'!D304</f>
        <v>278116922.00999999</v>
      </c>
      <c r="E30" s="26">
        <f t="shared" si="0"/>
        <v>380291601.5399999</v>
      </c>
      <c r="F30" s="31">
        <v>385549582</v>
      </c>
      <c r="G30" s="52">
        <f t="shared" si="1"/>
        <v>-5257980.4600000978</v>
      </c>
      <c r="H30" s="52"/>
      <c r="K30" s="2"/>
      <c r="L30" s="19">
        <f t="shared" si="2"/>
        <v>-1.3637624589617887E-2</v>
      </c>
    </row>
    <row r="31" spans="1:12" x14ac:dyDescent="0.2">
      <c r="A31" t="str">
        <f t="shared" si="3"/>
        <v>2011</v>
      </c>
      <c r="C31" s="226">
        <f>'[2]TWIA 5'!C305</f>
        <v>100017021</v>
      </c>
      <c r="D31" s="226">
        <f>'[2]TWIA 5'!D305</f>
        <v>307494236.20000005</v>
      </c>
      <c r="E31" s="26">
        <f t="shared" ref="E31:E43" si="4">SUM(C31:D31)</f>
        <v>407511257.20000005</v>
      </c>
      <c r="F31" s="31">
        <v>403748164</v>
      </c>
      <c r="G31" s="52">
        <f t="shared" si="1"/>
        <v>3763093.2000000477</v>
      </c>
      <c r="H31" s="52"/>
      <c r="K31" s="2"/>
      <c r="L31" s="19">
        <f t="shared" si="2"/>
        <v>9.3203970582019721E-3</v>
      </c>
    </row>
    <row r="32" spans="1:12" x14ac:dyDescent="0.2">
      <c r="A32" t="str">
        <f t="shared" si="3"/>
        <v>2012</v>
      </c>
      <c r="C32" s="226">
        <f>'[2]TWIA 5'!C306</f>
        <v>110524396.51999998</v>
      </c>
      <c r="D32" s="226">
        <f>'[2]TWIA 5'!D306</f>
        <v>335795725.19999981</v>
      </c>
      <c r="E32" s="26">
        <f t="shared" si="4"/>
        <v>446320121.71999979</v>
      </c>
      <c r="F32" s="31">
        <v>443479701</v>
      </c>
      <c r="G32" s="52">
        <f t="shared" si="1"/>
        <v>2840420.7199997902</v>
      </c>
      <c r="H32" s="52"/>
      <c r="I32" s="94"/>
      <c r="K32" s="2"/>
      <c r="L32" s="19">
        <f t="shared" si="2"/>
        <v>6.4048494521732127E-3</v>
      </c>
    </row>
    <row r="33" spans="1:12" x14ac:dyDescent="0.2">
      <c r="A33" t="str">
        <f t="shared" si="3"/>
        <v>2013</v>
      </c>
      <c r="B33" s="22"/>
      <c r="C33" s="226">
        <f>'[2]TWIA 5'!C307</f>
        <v>112904624</v>
      </c>
      <c r="D33" s="226">
        <f>'[2]TWIA 5'!D307</f>
        <v>360838080.7099998</v>
      </c>
      <c r="E33" s="26">
        <f t="shared" si="4"/>
        <v>473742704.7099998</v>
      </c>
      <c r="F33" s="31">
        <v>472739474</v>
      </c>
      <c r="G33" s="52">
        <f t="shared" si="1"/>
        <v>1003230.7099997997</v>
      </c>
      <c r="H33" s="52"/>
      <c r="K33" s="2"/>
      <c r="L33" s="19">
        <f t="shared" si="2"/>
        <v>2.1221640357449814E-3</v>
      </c>
    </row>
    <row r="34" spans="1:12" x14ac:dyDescent="0.2">
      <c r="A34" t="str">
        <f t="shared" si="3"/>
        <v>2014</v>
      </c>
      <c r="B34" s="22"/>
      <c r="C34" s="226">
        <f>'[2]TWIA 5'!C308</f>
        <v>104642688</v>
      </c>
      <c r="D34" s="226">
        <f>'[2]TWIA 5'!D308</f>
        <v>389333918.13999987</v>
      </c>
      <c r="E34" s="26">
        <f t="shared" si="4"/>
        <v>493976606.13999987</v>
      </c>
      <c r="F34" s="31">
        <v>494036010</v>
      </c>
      <c r="G34" s="52">
        <f t="shared" si="1"/>
        <v>-59403.860000133514</v>
      </c>
      <c r="H34" s="52"/>
      <c r="K34" s="2"/>
      <c r="L34" s="19">
        <f t="shared" si="2"/>
        <v>-1.2024196373890541E-4</v>
      </c>
    </row>
    <row r="35" spans="1:12" x14ac:dyDescent="0.2">
      <c r="A35" t="str">
        <f t="shared" si="3"/>
        <v>2015</v>
      </c>
      <c r="B35" s="22"/>
      <c r="C35" s="226">
        <f>'[2]TWIA 5'!C309</f>
        <v>98715934</v>
      </c>
      <c r="D35" s="226">
        <f>'[2]TWIA 5'!D309</f>
        <v>407969846.0800004</v>
      </c>
      <c r="E35" s="26">
        <f t="shared" si="4"/>
        <v>506685780.0800004</v>
      </c>
      <c r="F35" s="31">
        <v>503824316</v>
      </c>
      <c r="G35" s="52">
        <f t="shared" si="1"/>
        <v>2861464.0800004005</v>
      </c>
      <c r="H35" s="52"/>
      <c r="K35" s="2"/>
      <c r="L35" s="19">
        <f t="shared" si="2"/>
        <v>5.6794878475067501E-3</v>
      </c>
    </row>
    <row r="36" spans="1:12" x14ac:dyDescent="0.2">
      <c r="A36" t="str">
        <f t="shared" si="3"/>
        <v>2016</v>
      </c>
      <c r="B36" s="22"/>
      <c r="C36" s="226">
        <f>'[2]TWIA 5'!C310</f>
        <v>88278690</v>
      </c>
      <c r="D36" s="226">
        <f>'[2]TWIA 5'!D310</f>
        <v>399074847</v>
      </c>
      <c r="E36" s="26">
        <f t="shared" si="4"/>
        <v>487353537</v>
      </c>
      <c r="F36" s="31">
        <v>487353537</v>
      </c>
      <c r="G36" s="94">
        <f t="shared" si="1"/>
        <v>0</v>
      </c>
      <c r="H36" s="52"/>
      <c r="K36" s="2"/>
      <c r="L36" s="19">
        <f>G36/F36</f>
        <v>0</v>
      </c>
    </row>
    <row r="37" spans="1:12" x14ac:dyDescent="0.2">
      <c r="A37" t="str">
        <f t="shared" si="3"/>
        <v>2017</v>
      </c>
      <c r="B37" s="22"/>
      <c r="C37" s="226">
        <f>'[2]TWIA 5'!C311</f>
        <v>70749081</v>
      </c>
      <c r="D37" s="226">
        <f>'[2]TWIA 5'!D311</f>
        <v>352368052</v>
      </c>
      <c r="E37" s="26">
        <f t="shared" si="4"/>
        <v>423117133</v>
      </c>
      <c r="F37" s="31">
        <v>423074138</v>
      </c>
      <c r="G37" s="94">
        <f t="shared" si="1"/>
        <v>42995</v>
      </c>
      <c r="H37" s="52"/>
      <c r="K37" s="2"/>
      <c r="L37" s="19">
        <f t="shared" ref="L37:L40" si="5">G37/F37</f>
        <v>1.0162521444409348E-4</v>
      </c>
    </row>
    <row r="38" spans="1:12" x14ac:dyDescent="0.2">
      <c r="A38" t="str">
        <f t="shared" si="3"/>
        <v>2018</v>
      </c>
      <c r="C38" s="226">
        <f>'[2]TWIA 5'!C312</f>
        <v>65696833</v>
      </c>
      <c r="D38" s="226">
        <f>'[2]TWIA 5'!D312</f>
        <v>331676957</v>
      </c>
      <c r="E38" s="26">
        <f t="shared" si="4"/>
        <v>397373790</v>
      </c>
      <c r="F38" s="108">
        <v>395551679</v>
      </c>
      <c r="G38" s="94">
        <f t="shared" si="1"/>
        <v>1822111</v>
      </c>
      <c r="K38" s="2"/>
      <c r="L38" s="19">
        <f t="shared" si="5"/>
        <v>4.6065055383066643E-3</v>
      </c>
    </row>
    <row r="39" spans="1:12" x14ac:dyDescent="0.2">
      <c r="A39" t="str">
        <f t="shared" si="3"/>
        <v>2019</v>
      </c>
      <c r="C39" s="226">
        <f>'[2]TWIA 5'!C313</f>
        <v>59123729</v>
      </c>
      <c r="D39" s="226">
        <f>'[2]TWIA 5'!D313</f>
        <v>314907158.99999952</v>
      </c>
      <c r="E39" s="26">
        <f t="shared" si="4"/>
        <v>374030887.99999952</v>
      </c>
      <c r="F39" s="108">
        <v>372016601</v>
      </c>
      <c r="G39" s="94">
        <f t="shared" si="1"/>
        <v>2014286.9999995232</v>
      </c>
      <c r="H39" s="181"/>
      <c r="K39" s="2"/>
      <c r="L39" s="19">
        <f t="shared" si="5"/>
        <v>5.4145083702851291E-3</v>
      </c>
    </row>
    <row r="40" spans="1:12" x14ac:dyDescent="0.2">
      <c r="A40" t="str">
        <f t="shared" si="3"/>
        <v>2020</v>
      </c>
      <c r="C40" s="226">
        <f>'[2]TWIA 5'!C314</f>
        <v>60327052</v>
      </c>
      <c r="D40" s="226">
        <f>'[2]TWIA 5'!D314</f>
        <v>310312753</v>
      </c>
      <c r="E40" s="26">
        <f t="shared" si="4"/>
        <v>370639805</v>
      </c>
      <c r="F40" s="108">
        <v>369600488</v>
      </c>
      <c r="G40" s="94">
        <f t="shared" si="1"/>
        <v>1039317</v>
      </c>
      <c r="H40" s="181"/>
      <c r="K40" s="2"/>
      <c r="L40" s="19">
        <f t="shared" si="5"/>
        <v>2.8120011573144893E-3</v>
      </c>
    </row>
    <row r="41" spans="1:12" x14ac:dyDescent="0.2">
      <c r="A41" t="str">
        <f t="shared" si="3"/>
        <v>2021</v>
      </c>
      <c r="C41" s="226">
        <f>'[2]TWIA 5'!C315</f>
        <v>63366551</v>
      </c>
      <c r="D41" s="226">
        <f>'[2]TWIA 5'!D315</f>
        <v>331736850</v>
      </c>
      <c r="E41" s="26">
        <f t="shared" si="4"/>
        <v>395103401</v>
      </c>
      <c r="F41" s="108">
        <v>395112773</v>
      </c>
      <c r="G41" s="94">
        <f t="shared" si="1"/>
        <v>-9372</v>
      </c>
      <c r="H41" s="181"/>
      <c r="K41" s="2"/>
      <c r="L41" s="19">
        <f>G41/F41</f>
        <v>-2.3719810242631666E-5</v>
      </c>
    </row>
    <row r="42" spans="1:12" x14ac:dyDescent="0.2">
      <c r="A42" t="str">
        <f t="shared" si="3"/>
        <v>2022</v>
      </c>
      <c r="C42" s="226">
        <f>'[2]TWIA 5'!C316</f>
        <v>88784127</v>
      </c>
      <c r="D42" s="226">
        <f>'[2]TWIA 5'!D316</f>
        <v>429663068</v>
      </c>
      <c r="E42" s="26">
        <f t="shared" si="4"/>
        <v>518447195</v>
      </c>
      <c r="F42" s="108">
        <v>518299032</v>
      </c>
      <c r="G42" s="94">
        <f t="shared" si="1"/>
        <v>148163</v>
      </c>
      <c r="H42" s="181"/>
      <c r="K42" s="2"/>
      <c r="L42" s="19">
        <f>G42/F42</f>
        <v>2.8586393346765888E-4</v>
      </c>
    </row>
    <row r="43" spans="1:12" x14ac:dyDescent="0.2">
      <c r="A43" s="23">
        <v>2023</v>
      </c>
      <c r="B43" s="9"/>
      <c r="C43" s="228">
        <f>'[2]TWIA 5'!C317</f>
        <v>130162738</v>
      </c>
      <c r="D43" s="228">
        <f>'[2]TWIA 5'!D317</f>
        <v>522931821</v>
      </c>
      <c r="E43" s="27">
        <f t="shared" si="4"/>
        <v>653094559</v>
      </c>
      <c r="F43" s="109">
        <v>653043231</v>
      </c>
      <c r="G43" s="53">
        <f t="shared" si="1"/>
        <v>51328</v>
      </c>
      <c r="H43" s="181"/>
      <c r="K43" s="2"/>
      <c r="L43" s="19">
        <f>G43/F43</f>
        <v>7.8598165578413294E-5</v>
      </c>
    </row>
    <row r="44" spans="1:12" x14ac:dyDescent="0.2">
      <c r="C44" s="18"/>
      <c r="D44" s="12"/>
      <c r="E44" s="18"/>
      <c r="F44" s="18"/>
      <c r="G44" s="18"/>
      <c r="H44" s="54"/>
      <c r="I44" s="54"/>
      <c r="K44" s="2"/>
    </row>
    <row r="45" spans="1:12" x14ac:dyDescent="0.2">
      <c r="A45" t="s">
        <v>7</v>
      </c>
      <c r="C45" s="46">
        <f>SUM(C14:C44)</f>
        <v>1897102288.1499999</v>
      </c>
      <c r="D45" s="46">
        <f t="shared" ref="D45:G45" si="6">SUM(D14:D44)</f>
        <v>6361008716.9099998</v>
      </c>
      <c r="E45" s="46">
        <f t="shared" si="6"/>
        <v>8258111005.0599995</v>
      </c>
      <c r="F45" s="46">
        <f t="shared" si="6"/>
        <v>8253454969</v>
      </c>
      <c r="G45" s="46">
        <f t="shared" si="6"/>
        <v>4656036.0599992871</v>
      </c>
      <c r="H45" s="52"/>
      <c r="I45" s="52"/>
      <c r="K45" s="2"/>
    </row>
    <row r="46" spans="1:12" ht="12" thickBot="1" x14ac:dyDescent="0.25">
      <c r="A46" s="6"/>
      <c r="B46" s="6"/>
      <c r="C46" s="6"/>
      <c r="D46" s="6"/>
      <c r="E46" s="6"/>
      <c r="F46" s="6"/>
      <c r="G46" s="6"/>
      <c r="K46" s="2"/>
    </row>
    <row r="47" spans="1:12" ht="12" thickTop="1" x14ac:dyDescent="0.2">
      <c r="K47" s="2"/>
      <c r="L47" t="s">
        <v>212</v>
      </c>
    </row>
    <row r="48" spans="1:12" x14ac:dyDescent="0.2">
      <c r="A48" t="s">
        <v>17</v>
      </c>
      <c r="K48" s="2"/>
      <c r="L48" s="64">
        <v>45291</v>
      </c>
    </row>
    <row r="49" spans="1:11" x14ac:dyDescent="0.2">
      <c r="B49" s="12" t="str">
        <f>C12&amp;", "&amp;D12&amp;" Provided by TWIA, as of "&amp;TEXT($L$48,"m/d/yyyy")</f>
        <v>(2), (3) Provided by TWIA, as of 12/31/2023</v>
      </c>
      <c r="K49" s="2"/>
    </row>
    <row r="50" spans="1:11" x14ac:dyDescent="0.2">
      <c r="B50" s="12" t="str">
        <f>E12&amp;" = "&amp;C12&amp;" + "&amp;D12</f>
        <v>(4) = (2) + (3)</v>
      </c>
      <c r="K50" s="2"/>
    </row>
    <row r="51" spans="1:11" x14ac:dyDescent="0.2">
      <c r="B51" s="12" t="str">
        <f>F12&amp;" Based on TWIA Annual Statements"</f>
        <v>(5) Based on TWIA Annual Statements</v>
      </c>
      <c r="K51" s="2"/>
    </row>
    <row r="52" spans="1:11" x14ac:dyDescent="0.2">
      <c r="B52" s="12" t="str">
        <f>G12&amp;" = "&amp;E12&amp;" - "&amp;F12</f>
        <v>(6) = (4) - (5)</v>
      </c>
      <c r="K52" s="2"/>
    </row>
    <row r="53" spans="1:11" x14ac:dyDescent="0.2">
      <c r="B53" s="12"/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C60" s="12"/>
      <c r="K60" s="2"/>
    </row>
    <row r="61" spans="1:11" x14ac:dyDescent="0.2">
      <c r="K61" s="2"/>
    </row>
    <row r="62" spans="1:11" x14ac:dyDescent="0.2">
      <c r="K62" s="2"/>
    </row>
    <row r="63" spans="1:11" x14ac:dyDescent="0.2">
      <c r="K63" s="2"/>
    </row>
    <row r="64" spans="1:11" x14ac:dyDescent="0.2">
      <c r="A64" s="40"/>
      <c r="C64" s="31"/>
      <c r="E64" s="31"/>
      <c r="F64" s="31"/>
      <c r="G64" s="18"/>
      <c r="H64" s="18"/>
      <c r="I64" s="18"/>
      <c r="K64" s="2"/>
    </row>
    <row r="65" spans="1:11" x14ac:dyDescent="0.2">
      <c r="A65" s="40"/>
      <c r="C65" s="19"/>
      <c r="E65" s="19"/>
      <c r="F65" s="19"/>
      <c r="G65" s="19"/>
      <c r="H65" s="19"/>
      <c r="I65" s="19"/>
      <c r="K65" s="2"/>
    </row>
    <row r="66" spans="1:11" x14ac:dyDescent="0.2">
      <c r="B66" s="22"/>
      <c r="C66" s="41"/>
      <c r="E66" s="41"/>
      <c r="F66" s="41"/>
      <c r="G66" s="21"/>
      <c r="K66" s="2"/>
    </row>
    <row r="67" spans="1:11" x14ac:dyDescent="0.2">
      <c r="B67" s="22"/>
      <c r="C67" s="41"/>
      <c r="E67" s="41"/>
      <c r="F67" s="41"/>
      <c r="G67" s="21"/>
      <c r="K67" s="2"/>
    </row>
    <row r="68" spans="1:11" x14ac:dyDescent="0.2">
      <c r="B68" s="22"/>
      <c r="C68" s="41"/>
      <c r="E68" s="41"/>
      <c r="F68" s="41"/>
      <c r="G68" s="21"/>
      <c r="K68" s="2"/>
    </row>
    <row r="69" spans="1:11" x14ac:dyDescent="0.2">
      <c r="B69" s="22"/>
      <c r="C69" s="41"/>
      <c r="E69" s="41"/>
      <c r="F69" s="41"/>
      <c r="G69" s="21"/>
      <c r="K69" s="2"/>
    </row>
    <row r="70" spans="1:11" x14ac:dyDescent="0.2">
      <c r="B70" s="22"/>
      <c r="C70" s="41"/>
      <c r="E70" s="41"/>
      <c r="F70" s="41"/>
      <c r="G70" s="21"/>
      <c r="K70" s="2"/>
    </row>
    <row r="71" spans="1:11" ht="12" thickBot="1" x14ac:dyDescent="0.25">
      <c r="B71" s="22"/>
      <c r="C71" s="41"/>
      <c r="E71" s="41"/>
      <c r="F71" s="41"/>
      <c r="G71" s="21"/>
      <c r="K71" s="2"/>
    </row>
    <row r="72" spans="1:11" ht="12" hidden="1" thickBot="1" x14ac:dyDescent="0.25">
      <c r="B72" s="22"/>
      <c r="C72" s="41"/>
      <c r="E72" s="41"/>
      <c r="F72" s="41"/>
      <c r="G72" s="21"/>
      <c r="K72" s="2"/>
    </row>
    <row r="73" spans="1:11" ht="12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FF00"/>
  </sheetPr>
  <dimension ref="A1:O69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19</v>
      </c>
      <c r="K1" s="1"/>
      <c r="N1" t="s">
        <v>447</v>
      </c>
      <c r="O1" t="s">
        <v>464</v>
      </c>
    </row>
    <row r="2" spans="1:15" x14ac:dyDescent="0.2">
      <c r="A2" s="8" t="str">
        <f>'1'!$A$2</f>
        <v>Commercial Property - Wind &amp; Hail</v>
      </c>
      <c r="B2" s="12"/>
      <c r="J2" s="7" t="s">
        <v>20</v>
      </c>
      <c r="K2" s="2"/>
    </row>
    <row r="3" spans="1:15" x14ac:dyDescent="0.2">
      <c r="A3" s="8" t="str">
        <f>'1'!$A$3</f>
        <v>Rate Level Review</v>
      </c>
      <c r="B3" s="12"/>
      <c r="J3" s="7"/>
      <c r="K3" s="2"/>
    </row>
    <row r="4" spans="1:15" x14ac:dyDescent="0.2">
      <c r="A4" t="s">
        <v>18</v>
      </c>
      <c r="B4" s="12"/>
      <c r="K4" s="2"/>
    </row>
    <row r="5" spans="1:15" x14ac:dyDescent="0.2">
      <c r="A5" t="s">
        <v>546</v>
      </c>
      <c r="B5" s="12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6"/>
      <c r="E7" s="6"/>
      <c r="F7" s="6"/>
      <c r="G7" s="6"/>
      <c r="H7" s="6"/>
      <c r="K7" s="2"/>
      <c r="L7" t="s">
        <v>213</v>
      </c>
    </row>
    <row r="8" spans="1:15" ht="12" thickTop="1" x14ac:dyDescent="0.2">
      <c r="A8" t="s">
        <v>40</v>
      </c>
      <c r="K8" s="2"/>
      <c r="L8" s="64">
        <v>45291</v>
      </c>
    </row>
    <row r="9" spans="1:15" x14ac:dyDescent="0.2">
      <c r="A9" t="s">
        <v>41</v>
      </c>
      <c r="C9" s="134" t="s">
        <v>27</v>
      </c>
      <c r="D9" s="11"/>
      <c r="E9" s="11" t="s">
        <v>30</v>
      </c>
      <c r="F9" s="11" t="s">
        <v>32</v>
      </c>
      <c r="G9" s="11" t="s">
        <v>36</v>
      </c>
      <c r="H9" s="11" t="s">
        <v>11</v>
      </c>
      <c r="K9" s="2"/>
      <c r="L9" s="24"/>
    </row>
    <row r="10" spans="1:15" x14ac:dyDescent="0.2">
      <c r="A10" t="s">
        <v>26</v>
      </c>
      <c r="C10" s="11" t="s">
        <v>6</v>
      </c>
      <c r="D10" s="11" t="s">
        <v>28</v>
      </c>
      <c r="E10" s="11" t="s">
        <v>31</v>
      </c>
      <c r="F10" s="11" t="s">
        <v>6</v>
      </c>
      <c r="G10" s="11" t="s">
        <v>34</v>
      </c>
      <c r="H10" s="11" t="s">
        <v>6</v>
      </c>
      <c r="K10" s="2"/>
    </row>
    <row r="11" spans="1:15" x14ac:dyDescent="0.2">
      <c r="A11" s="9" t="str">
        <f>TEXT($L$8,"m/d")</f>
        <v>12/31</v>
      </c>
      <c r="B11" s="9"/>
      <c r="C11" s="144" t="s">
        <v>33</v>
      </c>
      <c r="D11" s="144" t="s">
        <v>29</v>
      </c>
      <c r="E11" s="144" t="s">
        <v>29</v>
      </c>
      <c r="F11" s="144" t="s">
        <v>9</v>
      </c>
      <c r="G11" s="144" t="s">
        <v>89</v>
      </c>
      <c r="H11" s="144" t="s">
        <v>23</v>
      </c>
      <c r="K11" s="2"/>
    </row>
    <row r="12" spans="1:15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5" x14ac:dyDescent="0.2">
      <c r="K13" s="2"/>
    </row>
    <row r="14" spans="1:15" x14ac:dyDescent="0.2">
      <c r="A14" t="str">
        <f t="shared" ref="A14:A22" si="1">TEXT(A15-1,"#")</f>
        <v>2014</v>
      </c>
      <c r="B14" s="22"/>
      <c r="C14" s="18">
        <f>'2.2'!G14</f>
        <v>1056281</v>
      </c>
      <c r="D14" s="29">
        <f>'4'!$E$64</f>
        <v>0.28999999999999998</v>
      </c>
      <c r="E14" s="28">
        <f>'2.4'!G36</f>
        <v>0.95699999999999996</v>
      </c>
      <c r="F14" s="18">
        <f>ROUND(C14*(1+D14)*E14,0)</f>
        <v>1304011</v>
      </c>
      <c r="G14" s="227">
        <f>'9.1'!F34</f>
        <v>135603583</v>
      </c>
      <c r="H14" s="19">
        <f>ROUND(F14/G14,3)</f>
        <v>0.01</v>
      </c>
      <c r="I14" s="19"/>
      <c r="K14" s="2"/>
    </row>
    <row r="15" spans="1:15" x14ac:dyDescent="0.2">
      <c r="A15" t="str">
        <f t="shared" si="1"/>
        <v>2015</v>
      </c>
      <c r="B15" s="22"/>
      <c r="C15" s="18">
        <f>'2.2'!G15</f>
        <v>18737038</v>
      </c>
      <c r="D15" s="29">
        <f t="shared" ref="D15:D23" si="2">D$14</f>
        <v>0.28999999999999998</v>
      </c>
      <c r="E15" s="28">
        <f>'2.4'!G37</f>
        <v>0.94</v>
      </c>
      <c r="F15" s="18">
        <f t="shared" ref="F15:F23" si="3">ROUND(C15*(1+D15)*E15,0)</f>
        <v>22720532</v>
      </c>
      <c r="G15" s="227">
        <f>'9.1'!F35</f>
        <v>120726959</v>
      </c>
      <c r="H15" s="19">
        <f t="shared" ref="H15:H22" si="4">ROUND(F15/G15,3)</f>
        <v>0.188</v>
      </c>
      <c r="I15" s="19"/>
      <c r="K15" s="2"/>
    </row>
    <row r="16" spans="1:15" x14ac:dyDescent="0.2">
      <c r="A16" t="str">
        <f t="shared" si="1"/>
        <v>2016</v>
      </c>
      <c r="B16" s="22"/>
      <c r="C16" s="18">
        <f>'2.2'!G16</f>
        <v>2551122</v>
      </c>
      <c r="D16" s="29">
        <f t="shared" si="2"/>
        <v>0.28999999999999998</v>
      </c>
      <c r="E16" s="28">
        <f>'2.4'!G38</f>
        <v>0.93700000000000006</v>
      </c>
      <c r="F16" s="18">
        <f t="shared" si="3"/>
        <v>3083618</v>
      </c>
      <c r="G16" s="227">
        <f>'9.1'!F36</f>
        <v>105842224</v>
      </c>
      <c r="H16" s="19">
        <f t="shared" si="4"/>
        <v>2.9000000000000001E-2</v>
      </c>
      <c r="I16" s="19"/>
      <c r="K16" s="2"/>
    </row>
    <row r="17" spans="1:11" x14ac:dyDescent="0.2">
      <c r="A17" t="str">
        <f t="shared" si="1"/>
        <v>2017</v>
      </c>
      <c r="B17" s="22"/>
      <c r="C17" s="18">
        <f>'2.2'!G17</f>
        <v>2011705</v>
      </c>
      <c r="D17" s="29">
        <f t="shared" si="2"/>
        <v>0.28999999999999998</v>
      </c>
      <c r="E17" s="28">
        <f>'2.4'!G39</f>
        <v>0.89</v>
      </c>
      <c r="F17" s="18">
        <f t="shared" si="3"/>
        <v>2309639</v>
      </c>
      <c r="G17" s="227">
        <f>'9.1'!F37</f>
        <v>87703816</v>
      </c>
      <c r="H17" s="19">
        <f t="shared" si="4"/>
        <v>2.5999999999999999E-2</v>
      </c>
      <c r="I17" s="19"/>
      <c r="K17" s="2"/>
    </row>
    <row r="18" spans="1:11" x14ac:dyDescent="0.2">
      <c r="A18" t="str">
        <f t="shared" si="1"/>
        <v>2018</v>
      </c>
      <c r="B18" s="22"/>
      <c r="C18" s="18">
        <f>'2.2'!G18</f>
        <v>251565</v>
      </c>
      <c r="D18" s="29">
        <f t="shared" si="2"/>
        <v>0.28999999999999998</v>
      </c>
      <c r="E18" s="28">
        <f>'2.4'!G40</f>
        <v>0.872</v>
      </c>
      <c r="F18" s="18">
        <f t="shared" si="3"/>
        <v>282980</v>
      </c>
      <c r="G18" s="227">
        <f>'9.1'!F38</f>
        <v>73508956</v>
      </c>
      <c r="H18" s="19">
        <f t="shared" si="4"/>
        <v>4.0000000000000001E-3</v>
      </c>
      <c r="I18" s="19"/>
      <c r="K18" s="2"/>
    </row>
    <row r="19" spans="1:11" x14ac:dyDescent="0.2">
      <c r="A19" t="str">
        <f t="shared" si="1"/>
        <v>2019</v>
      </c>
      <c r="B19" s="22"/>
      <c r="C19" s="18">
        <f>'2.2'!G19</f>
        <v>953957</v>
      </c>
      <c r="D19" s="29">
        <f t="shared" si="2"/>
        <v>0.28999999999999998</v>
      </c>
      <c r="E19" s="28">
        <f>'2.4'!G41</f>
        <v>0.876</v>
      </c>
      <c r="F19" s="18">
        <f t="shared" si="3"/>
        <v>1078010</v>
      </c>
      <c r="G19" s="227">
        <f>'9.1'!F39</f>
        <v>65530795</v>
      </c>
      <c r="H19" s="19">
        <f t="shared" si="4"/>
        <v>1.6E-2</v>
      </c>
      <c r="I19" s="19"/>
      <c r="K19" s="2"/>
    </row>
    <row r="20" spans="1:11" x14ac:dyDescent="0.2">
      <c r="A20" t="str">
        <f t="shared" si="1"/>
        <v>2020</v>
      </c>
      <c r="B20" s="22"/>
      <c r="C20" s="18">
        <f>'2.2'!G20</f>
        <v>857896</v>
      </c>
      <c r="D20" s="29">
        <f t="shared" si="2"/>
        <v>0.28999999999999998</v>
      </c>
      <c r="E20" s="28">
        <f>'2.4'!G42</f>
        <v>0.93799999999999994</v>
      </c>
      <c r="F20" s="18">
        <f t="shared" si="3"/>
        <v>1038071</v>
      </c>
      <c r="G20" s="227">
        <f>'9.1'!F40</f>
        <v>62711660</v>
      </c>
      <c r="H20" s="19">
        <f t="shared" si="4"/>
        <v>1.7000000000000001E-2</v>
      </c>
      <c r="I20" s="19"/>
      <c r="K20" s="2"/>
    </row>
    <row r="21" spans="1:11" x14ac:dyDescent="0.2">
      <c r="A21" t="str">
        <f t="shared" si="1"/>
        <v>2021</v>
      </c>
      <c r="B21" s="22"/>
      <c r="C21" s="18">
        <f>'2.2'!G21</f>
        <v>832836</v>
      </c>
      <c r="D21" s="29">
        <f t="shared" si="2"/>
        <v>0.28999999999999998</v>
      </c>
      <c r="E21" s="28">
        <f>'2.4'!G43</f>
        <v>0.85099999999999998</v>
      </c>
      <c r="F21" s="18">
        <f t="shared" si="3"/>
        <v>914279</v>
      </c>
      <c r="G21" s="227">
        <f>'9.1'!F41</f>
        <v>64939142</v>
      </c>
      <c r="H21" s="19">
        <f t="shared" si="4"/>
        <v>1.4E-2</v>
      </c>
      <c r="I21" s="19"/>
      <c r="K21" s="2"/>
    </row>
    <row r="22" spans="1:11" x14ac:dyDescent="0.2">
      <c r="A22" t="str">
        <f t="shared" si="1"/>
        <v>2022</v>
      </c>
      <c r="B22" s="22"/>
      <c r="C22" s="18">
        <f>'2.2'!G22</f>
        <v>1575058</v>
      </c>
      <c r="D22" s="29">
        <f t="shared" si="2"/>
        <v>0.28999999999999998</v>
      </c>
      <c r="E22" s="28">
        <f>'2.4'!G44</f>
        <v>0.86</v>
      </c>
      <c r="F22" s="18">
        <f t="shared" si="3"/>
        <v>1747369</v>
      </c>
      <c r="G22" s="227">
        <f>'9.1'!F42</f>
        <v>77659503</v>
      </c>
      <c r="H22" s="19">
        <f t="shared" si="4"/>
        <v>2.3E-2</v>
      </c>
      <c r="I22" s="19"/>
      <c r="K22" s="2"/>
    </row>
    <row r="23" spans="1:11" x14ac:dyDescent="0.2">
      <c r="A23" t="str">
        <f>TEXT(YEAR($L$8),"#")</f>
        <v>2023</v>
      </c>
      <c r="B23" s="22"/>
      <c r="C23" s="18">
        <f>'2.2'!G23</f>
        <v>5616151</v>
      </c>
      <c r="D23" s="29">
        <f t="shared" si="2"/>
        <v>0.28999999999999998</v>
      </c>
      <c r="E23" s="28">
        <f>'2.4'!G45</f>
        <v>0.98599999999999999</v>
      </c>
      <c r="F23" s="18">
        <f t="shared" si="3"/>
        <v>7143407</v>
      </c>
      <c r="G23" s="227">
        <f>'9.1'!F43</f>
        <v>109473433</v>
      </c>
      <c r="H23" s="19">
        <f>ROUND(F23/G23,3)</f>
        <v>6.5000000000000002E-2</v>
      </c>
      <c r="I23" s="19"/>
      <c r="K23" s="2"/>
    </row>
    <row r="24" spans="1:11" x14ac:dyDescent="0.2">
      <c r="A24" s="9"/>
      <c r="B24" s="23"/>
      <c r="C24" s="25"/>
      <c r="D24" s="30"/>
      <c r="E24" s="47"/>
      <c r="F24" s="25"/>
      <c r="G24" s="25"/>
      <c r="H24" s="20"/>
      <c r="K24" s="2"/>
    </row>
    <row r="25" spans="1:11" x14ac:dyDescent="0.2">
      <c r="I25" s="19"/>
      <c r="K25" s="2"/>
    </row>
    <row r="26" spans="1:11" x14ac:dyDescent="0.2">
      <c r="A26" t="s">
        <v>7</v>
      </c>
      <c r="C26" s="18">
        <f>SUM(C14:C24)</f>
        <v>34443609</v>
      </c>
      <c r="F26" s="18">
        <f>SUM(F14:F24)</f>
        <v>41621916</v>
      </c>
      <c r="G26" s="18">
        <f>SUM(G14:G24)</f>
        <v>903700071</v>
      </c>
      <c r="H26" s="19">
        <f>ROUND(F26/G26,3)</f>
        <v>4.5999999999999999E-2</v>
      </c>
      <c r="I26" s="19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K27" s="2"/>
    </row>
    <row r="28" spans="1:11" ht="12" thickTop="1" x14ac:dyDescent="0.2">
      <c r="K28" s="2"/>
    </row>
    <row r="29" spans="1:11" x14ac:dyDescent="0.2">
      <c r="A29" t="s">
        <v>17</v>
      </c>
      <c r="K29" s="2"/>
    </row>
    <row r="30" spans="1:11" x14ac:dyDescent="0.2">
      <c r="B30" s="12" t="str">
        <f>C12&amp;" "&amp;'2.2'!$M$1&amp;", "&amp;'2.2'!$M$2</f>
        <v>(2) Exhibit 2, Sheet 2</v>
      </c>
      <c r="K30" s="2"/>
    </row>
    <row r="31" spans="1:11" x14ac:dyDescent="0.2">
      <c r="B31" s="12" t="str">
        <f>D12&amp;" "&amp;'4'!$J$1</f>
        <v>(3) Exhibit 4</v>
      </c>
      <c r="K31" s="2"/>
    </row>
    <row r="32" spans="1:11" x14ac:dyDescent="0.2">
      <c r="B32" s="12" t="str">
        <f>E12&amp;" = "&amp;'2.4'!$K$1&amp;", "&amp;'2.4'!$K$2</f>
        <v>(4) = Exhibit 2, Sheet 4</v>
      </c>
      <c r="K32" s="2"/>
    </row>
    <row r="33" spans="2:11" x14ac:dyDescent="0.2">
      <c r="B33" s="12" t="str">
        <f>F12&amp;" = "&amp;C12&amp;" * [1 + "&amp;D12&amp;"] * "&amp;E12</f>
        <v>(5) = (2) * [1 + (3)] * (4)</v>
      </c>
      <c r="K33" s="2"/>
    </row>
    <row r="34" spans="2:11" x14ac:dyDescent="0.2">
      <c r="B34" s="12" t="str">
        <f>G12&amp;" "&amp;'9.1'!$J$1&amp;", "&amp;'9.1'!$J$2</f>
        <v>(6) Exhibit 9, Sheet 1</v>
      </c>
      <c r="K34" s="2"/>
    </row>
    <row r="35" spans="2:11" x14ac:dyDescent="0.2">
      <c r="B35" s="12" t="str">
        <f>H12&amp;" = "&amp;F12&amp;" / "&amp;G12</f>
        <v>(7) = (5) / (6)</v>
      </c>
      <c r="K35" s="2"/>
    </row>
    <row r="36" spans="2:11" x14ac:dyDescent="0.2">
      <c r="B36" s="22"/>
      <c r="K36" s="2"/>
    </row>
    <row r="37" spans="2:11" x14ac:dyDescent="0.2">
      <c r="B37" s="22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FF00"/>
  </sheetPr>
  <dimension ref="A1:O60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4" width="15.33203125" customWidth="1"/>
    <col min="5" max="6" width="12.83203125" customWidth="1"/>
    <col min="7" max="7" width="12" customWidth="1"/>
    <col min="8" max="8" width="7.5" customWidth="1"/>
    <col min="9" max="9" width="5.6640625" customWidth="1"/>
    <col min="10" max="10" width="5.5" customWidth="1"/>
    <col min="11" max="11" width="5.1640625" customWidth="1"/>
    <col min="12" max="12" width="10" customWidth="1"/>
    <col min="13" max="13" width="2.33203125" customWidth="1"/>
  </cols>
  <sheetData>
    <row r="1" spans="1:15" x14ac:dyDescent="0.2">
      <c r="A1" s="8" t="str">
        <f>'1'!$A$1</f>
        <v>Texas Windstorm Insurance Association</v>
      </c>
      <c r="B1" s="12"/>
      <c r="M1" s="7" t="s">
        <v>19</v>
      </c>
      <c r="N1" s="1"/>
    </row>
    <row r="2" spans="1:15" x14ac:dyDescent="0.2">
      <c r="A2" s="8" t="str">
        <f>'1'!$A$2</f>
        <v>Commercial Property - Wind &amp; Hail</v>
      </c>
      <c r="B2" s="12"/>
      <c r="M2" s="7" t="s">
        <v>58</v>
      </c>
      <c r="N2" s="2"/>
    </row>
    <row r="3" spans="1:15" x14ac:dyDescent="0.2">
      <c r="A3" s="8" t="str">
        <f>'1'!$A$3</f>
        <v>Rate Level Review</v>
      </c>
      <c r="B3" s="12"/>
      <c r="N3" s="2"/>
    </row>
    <row r="4" spans="1:15" x14ac:dyDescent="0.2">
      <c r="A4" t="s">
        <v>39</v>
      </c>
      <c r="B4" s="12"/>
      <c r="N4" s="2"/>
    </row>
    <row r="5" spans="1:15" x14ac:dyDescent="0.2">
      <c r="A5" t="s">
        <v>546</v>
      </c>
      <c r="B5" s="12"/>
      <c r="N5" s="2"/>
    </row>
    <row r="6" spans="1:15" x14ac:dyDescent="0.2">
      <c r="N6" s="2"/>
    </row>
    <row r="7" spans="1:15" ht="12" thickBot="1" x14ac:dyDescent="0.25">
      <c r="A7" s="6"/>
      <c r="B7" s="6"/>
      <c r="C7" s="6"/>
      <c r="D7" s="6"/>
      <c r="E7" s="6"/>
      <c r="F7" s="6"/>
      <c r="G7" s="6"/>
      <c r="N7" s="2"/>
    </row>
    <row r="8" spans="1:15" ht="12" thickTop="1" x14ac:dyDescent="0.2">
      <c r="A8" t="s">
        <v>40</v>
      </c>
      <c r="E8" s="11" t="s">
        <v>169</v>
      </c>
      <c r="N8" s="2"/>
    </row>
    <row r="9" spans="1:15" x14ac:dyDescent="0.2">
      <c r="A9" t="s">
        <v>41</v>
      </c>
      <c r="C9" s="134" t="s">
        <v>169</v>
      </c>
      <c r="D9" s="134" t="s">
        <v>169</v>
      </c>
      <c r="E9" s="11" t="s">
        <v>517</v>
      </c>
      <c r="F9" s="134" t="s">
        <v>203</v>
      </c>
      <c r="G9" s="11" t="s">
        <v>27</v>
      </c>
      <c r="N9" s="2"/>
      <c r="O9" s="24"/>
    </row>
    <row r="10" spans="1:15" x14ac:dyDescent="0.2">
      <c r="A10" t="s">
        <v>26</v>
      </c>
      <c r="C10" s="11" t="s">
        <v>170</v>
      </c>
      <c r="D10" s="11" t="s">
        <v>170</v>
      </c>
      <c r="E10" s="11" t="s">
        <v>43</v>
      </c>
      <c r="F10" s="11" t="s">
        <v>6</v>
      </c>
      <c r="G10" s="11" t="s">
        <v>6</v>
      </c>
      <c r="N10" s="2"/>
    </row>
    <row r="11" spans="1:15" x14ac:dyDescent="0.2">
      <c r="A11" s="9" t="str">
        <f>TEXT(O29,"m/d")</f>
        <v>12/31</v>
      </c>
      <c r="B11" s="9"/>
      <c r="C11" s="144" t="s">
        <v>42</v>
      </c>
      <c r="D11" s="144" t="s">
        <v>516</v>
      </c>
      <c r="E11" s="144" t="s">
        <v>29</v>
      </c>
      <c r="F11" s="144" t="s">
        <v>42</v>
      </c>
      <c r="G11" s="144" t="s">
        <v>33</v>
      </c>
      <c r="N11" s="2"/>
    </row>
    <row r="12" spans="1:15" x14ac:dyDescent="0.2">
      <c r="A12" s="13" t="str">
        <f>TEXT(COLUMN(),"(#)")</f>
        <v>(1)</v>
      </c>
      <c r="B12" s="13"/>
      <c r="C12" s="11" t="str">
        <f t="shared" ref="C12:D12" si="0">TEXT(COLUMN()-1,"(#)")</f>
        <v>(2)</v>
      </c>
      <c r="D12" s="11" t="str">
        <f t="shared" si="0"/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N12" s="2"/>
    </row>
    <row r="13" spans="1:15" x14ac:dyDescent="0.2">
      <c r="E13" s="11"/>
      <c r="N13" s="2"/>
    </row>
    <row r="14" spans="1:15" x14ac:dyDescent="0.2">
      <c r="A14" t="str">
        <f t="shared" ref="A14:A22" si="1">TEXT(A15-1,"#")</f>
        <v>2014</v>
      </c>
      <c r="B14" s="22"/>
      <c r="C14" s="18">
        <f>'11.1'!F14</f>
        <v>7871000</v>
      </c>
      <c r="D14" s="18">
        <f>'4'!Q28*1000</f>
        <v>7871000</v>
      </c>
      <c r="E14" s="129">
        <f>D14/C14</f>
        <v>1</v>
      </c>
      <c r="F14" s="18">
        <f>'2.3'!C14</f>
        <v>1056280.8</v>
      </c>
      <c r="G14" s="26">
        <f t="shared" ref="G14:G23" si="2">ROUND(F14*E14,0)</f>
        <v>1056281</v>
      </c>
      <c r="N14" s="2"/>
      <c r="O14" s="28"/>
    </row>
    <row r="15" spans="1:15" x14ac:dyDescent="0.2">
      <c r="A15" t="str">
        <f t="shared" si="1"/>
        <v>2015</v>
      </c>
      <c r="B15" s="22"/>
      <c r="C15" s="18">
        <f>'11.1'!F15</f>
        <v>138697000</v>
      </c>
      <c r="D15" s="18">
        <f>'4'!Q29*1000</f>
        <v>138836000</v>
      </c>
      <c r="E15" s="129">
        <f t="shared" ref="E15:E23" si="3">D15/C15</f>
        <v>1.0010021846182686</v>
      </c>
      <c r="F15" s="18">
        <f>'2.3'!C15</f>
        <v>18718278.780000001</v>
      </c>
      <c r="G15" s="26">
        <f t="shared" si="2"/>
        <v>18737038</v>
      </c>
      <c r="N15" s="2"/>
      <c r="O15" s="28"/>
    </row>
    <row r="16" spans="1:15" x14ac:dyDescent="0.2">
      <c r="A16" t="str">
        <f t="shared" si="1"/>
        <v>2016</v>
      </c>
      <c r="B16" s="22"/>
      <c r="C16" s="18">
        <f>'11.1'!F16</f>
        <v>28422000</v>
      </c>
      <c r="D16" s="18">
        <f>'4'!Q30*1000</f>
        <v>28422000</v>
      </c>
      <c r="E16" s="129">
        <f t="shared" si="3"/>
        <v>1</v>
      </c>
      <c r="F16" s="18">
        <f>'2.3'!C16</f>
        <v>2551121.67</v>
      </c>
      <c r="G16" s="26">
        <f t="shared" si="2"/>
        <v>2551122</v>
      </c>
      <c r="N16" s="2"/>
      <c r="O16" s="28"/>
    </row>
    <row r="17" spans="1:15" x14ac:dyDescent="0.2">
      <c r="A17" t="str">
        <f t="shared" si="1"/>
        <v>2017</v>
      </c>
      <c r="B17" s="22"/>
      <c r="C17" s="18">
        <f>'11.1'!F17</f>
        <v>1402282000</v>
      </c>
      <c r="D17" s="18">
        <f>'4'!Q31*1000</f>
        <v>1410332000</v>
      </c>
      <c r="E17" s="129">
        <f t="shared" si="3"/>
        <v>1.0057406427523137</v>
      </c>
      <c r="F17" s="18">
        <f>'2.3'!C17</f>
        <v>2000222</v>
      </c>
      <c r="G17" s="26">
        <f t="shared" si="2"/>
        <v>2011705</v>
      </c>
      <c r="N17" s="2"/>
      <c r="O17" s="28"/>
    </row>
    <row r="18" spans="1:15" x14ac:dyDescent="0.2">
      <c r="A18" t="str">
        <f t="shared" si="1"/>
        <v>2018</v>
      </c>
      <c r="B18" s="22"/>
      <c r="C18" s="18">
        <f>'11.1'!F18</f>
        <v>12097000</v>
      </c>
      <c r="D18" s="18">
        <f>'4'!Q32*1000</f>
        <v>12107000</v>
      </c>
      <c r="E18" s="129">
        <f t="shared" si="3"/>
        <v>1.0008266512358437</v>
      </c>
      <c r="F18" s="18">
        <f>'2.3'!C18</f>
        <v>251357.35</v>
      </c>
      <c r="G18" s="26">
        <f t="shared" si="2"/>
        <v>251565</v>
      </c>
      <c r="N18" s="2"/>
      <c r="O18" s="28"/>
    </row>
    <row r="19" spans="1:15" x14ac:dyDescent="0.2">
      <c r="A19" t="str">
        <f t="shared" si="1"/>
        <v>2019</v>
      </c>
      <c r="B19" s="22"/>
      <c r="C19" s="18">
        <f>'11.1'!F19</f>
        <v>17606000</v>
      </c>
      <c r="D19" s="18">
        <f>'4'!Q33*1000</f>
        <v>17832000</v>
      </c>
      <c r="E19" s="129">
        <f t="shared" si="3"/>
        <v>1.0128365330001137</v>
      </c>
      <c r="F19" s="18">
        <f>'2.3'!C19</f>
        <v>941867.1</v>
      </c>
      <c r="G19" s="26">
        <f t="shared" si="2"/>
        <v>953957</v>
      </c>
      <c r="N19" s="2"/>
      <c r="O19" s="28"/>
    </row>
    <row r="20" spans="1:15" x14ac:dyDescent="0.2">
      <c r="A20" t="str">
        <f t="shared" si="1"/>
        <v>2020</v>
      </c>
      <c r="B20" s="22"/>
      <c r="C20" s="18">
        <f>'11.1'!F20</f>
        <v>64031000</v>
      </c>
      <c r="D20" s="18">
        <f>'4'!Q34*1000</f>
        <v>65043000</v>
      </c>
      <c r="E20" s="129">
        <f t="shared" si="3"/>
        <v>1.0158048445284316</v>
      </c>
      <c r="F20" s="18">
        <f>'2.3'!C20</f>
        <v>844548.33</v>
      </c>
      <c r="G20" s="26">
        <f t="shared" si="2"/>
        <v>857896</v>
      </c>
      <c r="N20" s="2"/>
      <c r="O20" s="28"/>
    </row>
    <row r="21" spans="1:15" x14ac:dyDescent="0.2">
      <c r="A21" t="str">
        <f t="shared" si="1"/>
        <v>2021</v>
      </c>
      <c r="B21" s="22"/>
      <c r="C21" s="18">
        <f>'11.1'!F21</f>
        <v>64894000</v>
      </c>
      <c r="D21" s="18">
        <f>'4'!Q35*1000</f>
        <v>67732000</v>
      </c>
      <c r="E21" s="129">
        <f t="shared" si="3"/>
        <v>1.0437328566585509</v>
      </c>
      <c r="F21" s="18">
        <f>'2.3'!C21</f>
        <v>797940.1</v>
      </c>
      <c r="G21" s="26">
        <f t="shared" si="2"/>
        <v>832836</v>
      </c>
      <c r="N21" s="2"/>
      <c r="O21" s="28"/>
    </row>
    <row r="22" spans="1:15" x14ac:dyDescent="0.2">
      <c r="A22" t="str">
        <f t="shared" si="1"/>
        <v>2022</v>
      </c>
      <c r="B22" s="22"/>
      <c r="C22" s="18">
        <f>'11.1'!F22</f>
        <v>27771000</v>
      </c>
      <c r="D22" s="18">
        <f>'4'!Q36*1000</f>
        <v>30224000</v>
      </c>
      <c r="E22" s="129">
        <f t="shared" si="3"/>
        <v>1.0883295524107883</v>
      </c>
      <c r="F22" s="18">
        <f>'2.3'!C22</f>
        <v>1447224.99</v>
      </c>
      <c r="G22" s="26">
        <f t="shared" si="2"/>
        <v>1575058</v>
      </c>
      <c r="N22" s="2"/>
      <c r="O22" s="28"/>
    </row>
    <row r="23" spans="1:15" x14ac:dyDescent="0.2">
      <c r="A23" s="22">
        <f>YEAR(O29)</f>
        <v>2023</v>
      </c>
      <c r="B23" s="22"/>
      <c r="C23" s="18">
        <f>'11.1'!F23</f>
        <v>57766000</v>
      </c>
      <c r="D23" s="18">
        <f>'4'!Q37*1000</f>
        <v>76706000</v>
      </c>
      <c r="E23" s="129">
        <f t="shared" si="3"/>
        <v>1.3278745282692241</v>
      </c>
      <c r="F23" s="18">
        <f>'2.3'!C23</f>
        <v>4229429.1500000004</v>
      </c>
      <c r="G23" s="26">
        <f t="shared" si="2"/>
        <v>5616151</v>
      </c>
      <c r="N23" s="2"/>
      <c r="O23" s="28"/>
    </row>
    <row r="24" spans="1:15" x14ac:dyDescent="0.2">
      <c r="A24" s="9"/>
      <c r="B24" s="23"/>
      <c r="C24" s="25"/>
      <c r="D24" s="25"/>
      <c r="E24" s="106"/>
      <c r="F24" s="25"/>
      <c r="G24" s="27"/>
      <c r="N24" s="2"/>
    </row>
    <row r="25" spans="1:15" x14ac:dyDescent="0.2">
      <c r="N25" s="2"/>
    </row>
    <row r="26" spans="1:15" x14ac:dyDescent="0.2">
      <c r="A26" t="s">
        <v>7</v>
      </c>
      <c r="C26" s="18"/>
      <c r="D26" s="18"/>
      <c r="F26" s="18">
        <f>SUM(F14:F24)</f>
        <v>32838270.270000003</v>
      </c>
      <c r="G26" s="18">
        <f>SUM(G14:G24)</f>
        <v>34443609</v>
      </c>
      <c r="N26" s="2"/>
    </row>
    <row r="27" spans="1:15" ht="12" thickBot="1" x14ac:dyDescent="0.25">
      <c r="A27" s="6"/>
      <c r="B27" s="6"/>
      <c r="C27" s="6"/>
      <c r="D27" s="6"/>
      <c r="E27" s="6"/>
      <c r="F27" s="6"/>
      <c r="G27" s="6"/>
      <c r="N27" s="2"/>
    </row>
    <row r="28" spans="1:15" ht="12" thickTop="1" x14ac:dyDescent="0.2">
      <c r="N28" s="2"/>
    </row>
    <row r="29" spans="1:15" x14ac:dyDescent="0.2">
      <c r="A29" t="s">
        <v>17</v>
      </c>
      <c r="N29" s="2"/>
      <c r="O29" s="36">
        <f>'2.1'!L8</f>
        <v>45291</v>
      </c>
    </row>
    <row r="30" spans="1:15" x14ac:dyDescent="0.2">
      <c r="N30" s="2"/>
      <c r="O30" s="36"/>
    </row>
    <row r="31" spans="1:15" x14ac:dyDescent="0.2">
      <c r="B31" s="12" t="str">
        <f>C12&amp;" Based on TWIA "&amp;TEXT(YEAR(O29),"#")&amp;" Annual Statement"</f>
        <v>(2) Based on TWIA 2023 Annual Statement</v>
      </c>
      <c r="N31" s="2"/>
      <c r="O31" s="36"/>
    </row>
    <row r="32" spans="1:15" x14ac:dyDescent="0.2">
      <c r="B32" s="12" t="str">
        <f>D12&amp;" Based on TWIA "&amp;TEXT(YEAR(O29),"#")&amp;" Annual Statement"</f>
        <v>(3) Based on TWIA 2023 Annual Statement</v>
      </c>
      <c r="N32" s="2"/>
      <c r="O32" s="36"/>
    </row>
    <row r="33" spans="2:15" x14ac:dyDescent="0.2">
      <c r="B33" s="12" t="str">
        <f>E12&amp;" = "&amp;D12&amp;" / "&amp;C12</f>
        <v>(4) = (3) / (2)</v>
      </c>
      <c r="N33" s="2"/>
      <c r="O33" s="36"/>
    </row>
    <row r="34" spans="2:15" x14ac:dyDescent="0.2">
      <c r="B34" s="12" t="str">
        <f>F12&amp;" "&amp;'2.3'!$K$1&amp;", "&amp;'2.3'!$K$2&amp;", as of "&amp;TEXT(O29,"m/d/yy")</f>
        <v>(5) Exhibit 2, Sheet 3, as of 12/31/23</v>
      </c>
      <c r="N34" s="2"/>
    </row>
    <row r="35" spans="2:15" x14ac:dyDescent="0.2">
      <c r="B35" s="12" t="str">
        <f>G12&amp;" = "&amp;E12&amp;" * "&amp;F12</f>
        <v>(6) = (4) * (5)</v>
      </c>
      <c r="N35" s="2"/>
    </row>
    <row r="36" spans="2:15" x14ac:dyDescent="0.2">
      <c r="B36" s="12"/>
      <c r="N36" s="2"/>
    </row>
    <row r="37" spans="2:15" x14ac:dyDescent="0.2">
      <c r="B37" s="12"/>
      <c r="N37" s="2"/>
    </row>
    <row r="38" spans="2:15" x14ac:dyDescent="0.2">
      <c r="N38" s="2"/>
    </row>
    <row r="39" spans="2:15" x14ac:dyDescent="0.2">
      <c r="N39" s="2"/>
    </row>
    <row r="40" spans="2:15" x14ac:dyDescent="0.2">
      <c r="N40" s="2"/>
    </row>
    <row r="41" spans="2:15" x14ac:dyDescent="0.2">
      <c r="N41" s="2"/>
    </row>
    <row r="42" spans="2:15" x14ac:dyDescent="0.2">
      <c r="N42" s="2"/>
    </row>
    <row r="43" spans="2:15" x14ac:dyDescent="0.2">
      <c r="N43" s="2"/>
    </row>
    <row r="44" spans="2:15" x14ac:dyDescent="0.2">
      <c r="N44" s="2"/>
    </row>
    <row r="45" spans="2:15" x14ac:dyDescent="0.2">
      <c r="N45" s="2"/>
    </row>
    <row r="46" spans="2:15" x14ac:dyDescent="0.2">
      <c r="N46" s="2"/>
    </row>
    <row r="47" spans="2:15" x14ac:dyDescent="0.2">
      <c r="N47" s="2"/>
    </row>
    <row r="48" spans="2:15" x14ac:dyDescent="0.2">
      <c r="N48" s="2"/>
    </row>
    <row r="49" spans="1:14" x14ac:dyDescent="0.2">
      <c r="N49" s="2"/>
    </row>
    <row r="50" spans="1:14" x14ac:dyDescent="0.2">
      <c r="N50" s="2"/>
    </row>
    <row r="51" spans="1:14" x14ac:dyDescent="0.2">
      <c r="N51" s="2"/>
    </row>
    <row r="52" spans="1:14" x14ac:dyDescent="0.2">
      <c r="N52" s="2"/>
    </row>
    <row r="53" spans="1:14" x14ac:dyDescent="0.2">
      <c r="N53" s="2"/>
    </row>
    <row r="54" spans="1:14" x14ac:dyDescent="0.2">
      <c r="N54" s="2"/>
    </row>
    <row r="55" spans="1:14" x14ac:dyDescent="0.2">
      <c r="N55" s="2"/>
    </row>
    <row r="56" spans="1:14" x14ac:dyDescent="0.2">
      <c r="N56" s="2"/>
    </row>
    <row r="57" spans="1:14" x14ac:dyDescent="0.2">
      <c r="N57" s="2"/>
    </row>
    <row r="58" spans="1:14" x14ac:dyDescent="0.2">
      <c r="N58" s="2"/>
    </row>
    <row r="59" spans="1:14" ht="12" thickBot="1" x14ac:dyDescent="0.25">
      <c r="N59" s="2"/>
    </row>
    <row r="60" spans="1:14" ht="12" thickBot="1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FF00"/>
  </sheetPr>
  <dimension ref="A1:P69"/>
  <sheetViews>
    <sheetView showGridLines="0" zoomScaleNormal="100" workbookViewId="0"/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  <col min="12" max="12" width="11.33203125" customWidth="1"/>
    <col min="13" max="13" width="12.6640625" customWidth="1"/>
  </cols>
  <sheetData>
    <row r="1" spans="1:16" x14ac:dyDescent="0.2">
      <c r="A1" s="8" t="str">
        <f>'1'!$A$1</f>
        <v>Texas Windstorm Insurance Association</v>
      </c>
      <c r="B1" s="12"/>
      <c r="K1" s="7" t="s">
        <v>19</v>
      </c>
      <c r="L1" s="1"/>
      <c r="O1" t="s">
        <v>447</v>
      </c>
      <c r="P1" t="s">
        <v>451</v>
      </c>
    </row>
    <row r="2" spans="1:16" x14ac:dyDescent="0.2">
      <c r="A2" s="8" t="str">
        <f>'1'!$A$2</f>
        <v>Commercial Property - Wind &amp; Hail</v>
      </c>
      <c r="B2" s="12"/>
      <c r="K2" s="7" t="s">
        <v>60</v>
      </c>
      <c r="L2" s="2"/>
    </row>
    <row r="3" spans="1:16" x14ac:dyDescent="0.2">
      <c r="A3" s="8" t="str">
        <f>'1'!$A$3</f>
        <v>Rate Level Review</v>
      </c>
      <c r="B3" s="12"/>
      <c r="L3" s="2"/>
    </row>
    <row r="4" spans="1:16" x14ac:dyDescent="0.2">
      <c r="A4" t="str">
        <f>"Summary of TWIA Historical Paid Loss as of "&amp;TEXT(M26,"m/d/yy")</f>
        <v>Summary of TWIA Historical Paid Loss as of 12/31/23</v>
      </c>
      <c r="B4" s="12"/>
      <c r="L4" s="2"/>
    </row>
    <row r="5" spans="1:16" x14ac:dyDescent="0.2">
      <c r="A5" t="s">
        <v>546</v>
      </c>
      <c r="B5" s="12"/>
      <c r="L5" s="2"/>
    </row>
    <row r="6" spans="1:16" x14ac:dyDescent="0.2">
      <c r="L6" s="2"/>
    </row>
    <row r="7" spans="1:16" ht="12" thickBot="1" x14ac:dyDescent="0.25">
      <c r="A7" s="6"/>
      <c r="B7" s="6"/>
      <c r="C7" s="6"/>
      <c r="D7" s="6"/>
      <c r="E7" s="6"/>
      <c r="L7" s="2"/>
    </row>
    <row r="8" spans="1:16" ht="12" thickTop="1" x14ac:dyDescent="0.2">
      <c r="A8" t="s">
        <v>40</v>
      </c>
      <c r="L8" s="2"/>
    </row>
    <row r="9" spans="1:16" x14ac:dyDescent="0.2">
      <c r="A9" t="s">
        <v>41</v>
      </c>
      <c r="C9" s="10" t="s">
        <v>44</v>
      </c>
      <c r="L9" s="2"/>
      <c r="M9" s="10"/>
    </row>
    <row r="10" spans="1:16" x14ac:dyDescent="0.2">
      <c r="A10" t="s">
        <v>26</v>
      </c>
      <c r="L10" s="2"/>
    </row>
    <row r="11" spans="1:16" x14ac:dyDescent="0.2">
      <c r="A11" s="9" t="str">
        <f>TEXT($M$26,"m/d")</f>
        <v>12/31</v>
      </c>
      <c r="B11" s="9"/>
      <c r="C11" s="144" t="s">
        <v>6</v>
      </c>
      <c r="D11" s="144" t="s">
        <v>4</v>
      </c>
      <c r="E11" s="144" t="s">
        <v>7</v>
      </c>
      <c r="L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6" x14ac:dyDescent="0.2">
      <c r="L13" s="2"/>
    </row>
    <row r="14" spans="1:16" x14ac:dyDescent="0.2">
      <c r="A14" t="str">
        <f>TEXT(A15-1,"#")</f>
        <v>2014</v>
      </c>
      <c r="B14" s="22"/>
      <c r="C14" s="226">
        <f>'[2]TWIA 3'!H11</f>
        <v>1056280.8</v>
      </c>
      <c r="D14" s="226">
        <f>'[2]TWIA 3'!J11</f>
        <v>0</v>
      </c>
      <c r="E14" s="26">
        <f>C14+D14</f>
        <v>1056280.8</v>
      </c>
      <c r="L14" s="2"/>
    </row>
    <row r="15" spans="1:16" x14ac:dyDescent="0.2">
      <c r="A15" t="str">
        <f t="shared" ref="A15:A22" si="0">TEXT(A16-1,"#")</f>
        <v>2015</v>
      </c>
      <c r="B15" s="22"/>
      <c r="C15" s="226">
        <f>'[2]TWIA 3'!H12</f>
        <v>18718278.780000001</v>
      </c>
      <c r="D15" s="226">
        <f>'[2]TWIA 3'!J12</f>
        <v>0</v>
      </c>
      <c r="E15" s="26">
        <f t="shared" ref="E15:E23" si="1">C15+D15</f>
        <v>18718278.780000001</v>
      </c>
      <c r="L15" s="2"/>
    </row>
    <row r="16" spans="1:16" x14ac:dyDescent="0.2">
      <c r="A16" t="str">
        <f t="shared" si="0"/>
        <v>2016</v>
      </c>
      <c r="B16" s="22"/>
      <c r="C16" s="226">
        <f>'[2]TWIA 3'!H13</f>
        <v>2551121.67</v>
      </c>
      <c r="D16" s="226">
        <f>'[2]TWIA 3'!J13</f>
        <v>0</v>
      </c>
      <c r="E16" s="26">
        <f t="shared" si="1"/>
        <v>2551121.67</v>
      </c>
      <c r="L16" s="2"/>
    </row>
    <row r="17" spans="1:14" x14ac:dyDescent="0.2">
      <c r="A17" t="str">
        <f t="shared" si="0"/>
        <v>2017</v>
      </c>
      <c r="B17" s="22"/>
      <c r="C17" s="226">
        <f>'[2]TWIA 3'!H14</f>
        <v>2000222</v>
      </c>
      <c r="D17" s="226">
        <f>'[2]TWIA 3'!J14</f>
        <v>466680914.27999997</v>
      </c>
      <c r="E17" s="26">
        <f t="shared" si="1"/>
        <v>468681136.27999997</v>
      </c>
      <c r="L17" s="2"/>
    </row>
    <row r="18" spans="1:14" x14ac:dyDescent="0.2">
      <c r="A18" t="str">
        <f t="shared" si="0"/>
        <v>2018</v>
      </c>
      <c r="B18" s="22"/>
      <c r="C18" s="226">
        <f>'[2]TWIA 3'!H15</f>
        <v>251357.35</v>
      </c>
      <c r="D18" s="226">
        <f>'[2]TWIA 3'!J15</f>
        <v>0</v>
      </c>
      <c r="E18" s="26">
        <f t="shared" si="1"/>
        <v>251357.35</v>
      </c>
      <c r="L18" s="2"/>
    </row>
    <row r="19" spans="1:14" x14ac:dyDescent="0.2">
      <c r="A19" t="str">
        <f t="shared" si="0"/>
        <v>2019</v>
      </c>
      <c r="B19" s="22"/>
      <c r="C19" s="226">
        <f>'[2]TWIA 3'!H16</f>
        <v>941867.1</v>
      </c>
      <c r="D19" s="226">
        <f>'[2]TWIA 3'!J16</f>
        <v>0</v>
      </c>
      <c r="E19" s="26">
        <f t="shared" si="1"/>
        <v>941867.1</v>
      </c>
      <c r="L19" s="2"/>
    </row>
    <row r="20" spans="1:14" x14ac:dyDescent="0.2">
      <c r="A20" t="str">
        <f t="shared" si="0"/>
        <v>2020</v>
      </c>
      <c r="B20" s="22"/>
      <c r="C20" s="226">
        <f>'[2]TWIA 3'!H17</f>
        <v>844548.33</v>
      </c>
      <c r="D20" s="226">
        <f>'[2]TWIA 3'!J17</f>
        <v>6288010.3499999996</v>
      </c>
      <c r="E20" s="26">
        <f t="shared" si="1"/>
        <v>7132558.6799999997</v>
      </c>
      <c r="L20" s="2"/>
    </row>
    <row r="21" spans="1:14" x14ac:dyDescent="0.2">
      <c r="A21" t="str">
        <f t="shared" si="0"/>
        <v>2021</v>
      </c>
      <c r="B21" s="22"/>
      <c r="C21" s="226">
        <f>'[2]TWIA 3'!H18</f>
        <v>797940.1</v>
      </c>
      <c r="D21" s="226">
        <f>'[2]TWIA 3'!J18</f>
        <v>7267565.6500000004</v>
      </c>
      <c r="E21" s="26">
        <f t="shared" si="1"/>
        <v>8065505.75</v>
      </c>
      <c r="L21" s="2"/>
    </row>
    <row r="22" spans="1:14" x14ac:dyDescent="0.2">
      <c r="A22" t="str">
        <f t="shared" si="0"/>
        <v>2022</v>
      </c>
      <c r="B22" s="22"/>
      <c r="C22" s="226">
        <f>'[2]TWIA 3'!H19</f>
        <v>1447224.99</v>
      </c>
      <c r="D22" s="226">
        <f>'[2]TWIA 3'!J19</f>
        <v>0</v>
      </c>
      <c r="E22" s="26">
        <f t="shared" si="1"/>
        <v>1447224.99</v>
      </c>
      <c r="L22" s="2"/>
    </row>
    <row r="23" spans="1:14" x14ac:dyDescent="0.2">
      <c r="A23" t="str">
        <f>TEXT(YEAR($M$26),"#")</f>
        <v>2023</v>
      </c>
      <c r="B23" s="22"/>
      <c r="C23" s="226">
        <f>'[2]TWIA 3'!H20</f>
        <v>4229429.1500000004</v>
      </c>
      <c r="D23" s="226">
        <f>'[2]TWIA 3'!J20</f>
        <v>0</v>
      </c>
      <c r="E23" s="26">
        <f t="shared" si="1"/>
        <v>4229429.1500000004</v>
      </c>
      <c r="L23" s="2"/>
    </row>
    <row r="24" spans="1:14" x14ac:dyDescent="0.2">
      <c r="A24" s="23"/>
      <c r="B24" s="23"/>
      <c r="C24" s="48"/>
      <c r="D24" s="48"/>
      <c r="E24" s="27"/>
      <c r="L24" s="2"/>
    </row>
    <row r="25" spans="1:14" x14ac:dyDescent="0.2">
      <c r="L25" s="2"/>
      <c r="M25" t="s">
        <v>212</v>
      </c>
    </row>
    <row r="26" spans="1:14" x14ac:dyDescent="0.2">
      <c r="A26" t="s">
        <v>7</v>
      </c>
      <c r="C26" s="18">
        <f>SUM(C14:C24)</f>
        <v>32838270.270000003</v>
      </c>
      <c r="D26" s="18">
        <f>SUM(D14:D24)</f>
        <v>480236490.27999997</v>
      </c>
      <c r="E26" s="18">
        <f>SUM(E14:E24)</f>
        <v>513074760.55000001</v>
      </c>
      <c r="L26" s="2"/>
      <c r="M26" s="64">
        <v>45291</v>
      </c>
      <c r="N26" s="63"/>
    </row>
    <row r="27" spans="1:14" ht="12" thickBot="1" x14ac:dyDescent="0.25">
      <c r="A27" s="6"/>
      <c r="B27" s="6"/>
      <c r="C27" s="6"/>
      <c r="D27" s="6"/>
      <c r="E27" s="6"/>
      <c r="L27" s="2"/>
    </row>
    <row r="28" spans="1:14" ht="12" thickTop="1" x14ac:dyDescent="0.2">
      <c r="L28" s="2"/>
    </row>
    <row r="29" spans="1:14" x14ac:dyDescent="0.2">
      <c r="A29" t="s">
        <v>17</v>
      </c>
      <c r="L29" s="2"/>
    </row>
    <row r="30" spans="1:14" x14ac:dyDescent="0.2">
      <c r="B30" s="12" t="str">
        <f>C12&amp;", "&amp;D12&amp;" Provided by TWIA"</f>
        <v>(2), (3) Provided by TWIA</v>
      </c>
      <c r="L30" s="2"/>
    </row>
    <row r="31" spans="1:14" x14ac:dyDescent="0.2">
      <c r="B31" s="12" t="str">
        <f>E12&amp;" = "&amp;C12&amp;" + "&amp;D12</f>
        <v>(4) = (2) + (3)</v>
      </c>
      <c r="L31" s="2"/>
    </row>
    <row r="32" spans="1:14" x14ac:dyDescent="0.2">
      <c r="L32" s="2"/>
    </row>
    <row r="33" spans="12:12" x14ac:dyDescent="0.2">
      <c r="L33" s="2"/>
    </row>
    <row r="34" spans="12:12" x14ac:dyDescent="0.2">
      <c r="L34" s="2"/>
    </row>
    <row r="35" spans="12:12" x14ac:dyDescent="0.2">
      <c r="L35" s="2"/>
    </row>
    <row r="36" spans="12:12" x14ac:dyDescent="0.2">
      <c r="L36" s="2"/>
    </row>
    <row r="37" spans="12:12" x14ac:dyDescent="0.2">
      <c r="L37" s="2"/>
    </row>
    <row r="38" spans="12:12" x14ac:dyDescent="0.2">
      <c r="L38" s="2"/>
    </row>
    <row r="39" spans="12:12" x14ac:dyDescent="0.2">
      <c r="L39" s="2"/>
    </row>
    <row r="40" spans="12:12" x14ac:dyDescent="0.2">
      <c r="L40" s="2"/>
    </row>
    <row r="41" spans="12:12" x14ac:dyDescent="0.2">
      <c r="L41" s="2"/>
    </row>
    <row r="42" spans="12:12" x14ac:dyDescent="0.2">
      <c r="L42" s="2"/>
    </row>
    <row r="43" spans="12:12" x14ac:dyDescent="0.2">
      <c r="L43" s="2"/>
    </row>
    <row r="44" spans="12:12" x14ac:dyDescent="0.2">
      <c r="L44" s="2"/>
    </row>
    <row r="45" spans="12:12" x14ac:dyDescent="0.2">
      <c r="L45" s="2"/>
    </row>
    <row r="46" spans="12:12" x14ac:dyDescent="0.2">
      <c r="L46" s="2"/>
    </row>
    <row r="47" spans="12:12" x14ac:dyDescent="0.2">
      <c r="L47" s="2"/>
    </row>
    <row r="48" spans="12:12" x14ac:dyDescent="0.2">
      <c r="L48" s="2"/>
    </row>
    <row r="49" spans="3:12" x14ac:dyDescent="0.2">
      <c r="L49" s="2"/>
    </row>
    <row r="50" spans="3:12" x14ac:dyDescent="0.2">
      <c r="L50" s="2"/>
    </row>
    <row r="51" spans="3:12" x14ac:dyDescent="0.2">
      <c r="L51" s="2"/>
    </row>
    <row r="52" spans="3:12" x14ac:dyDescent="0.2">
      <c r="L52" s="2"/>
    </row>
    <row r="53" spans="3:12" x14ac:dyDescent="0.2">
      <c r="L53" s="2"/>
    </row>
    <row r="54" spans="3:12" x14ac:dyDescent="0.2">
      <c r="L54" s="2"/>
    </row>
    <row r="55" spans="3:12" x14ac:dyDescent="0.2">
      <c r="L55" s="2"/>
    </row>
    <row r="56" spans="3:12" x14ac:dyDescent="0.2">
      <c r="L56" s="2"/>
    </row>
    <row r="57" spans="3:12" x14ac:dyDescent="0.2">
      <c r="L57" s="2"/>
    </row>
    <row r="58" spans="3:12" x14ac:dyDescent="0.2">
      <c r="L58" s="2"/>
    </row>
    <row r="59" spans="3:12" x14ac:dyDescent="0.2">
      <c r="L59" s="2"/>
    </row>
    <row r="60" spans="3:12" x14ac:dyDescent="0.2">
      <c r="L60" s="2"/>
    </row>
    <row r="61" spans="3:12" x14ac:dyDescent="0.2">
      <c r="L61" s="2"/>
    </row>
    <row r="62" spans="3:12" x14ac:dyDescent="0.2">
      <c r="L62" s="2"/>
    </row>
    <row r="63" spans="3:12" x14ac:dyDescent="0.2">
      <c r="L63" s="2"/>
    </row>
    <row r="64" spans="3:12" x14ac:dyDescent="0.2">
      <c r="C64" s="12"/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P66"/>
  <sheetViews>
    <sheetView showGridLines="0" zoomScaleNormal="100" workbookViewId="0"/>
  </sheetViews>
  <sheetFormatPr defaultColWidth="11.33203125" defaultRowHeight="11.25" x14ac:dyDescent="0.2"/>
  <cols>
    <col min="1" max="1" width="8.33203125" style="81" bestFit="1" customWidth="1"/>
    <col min="2" max="2" width="10.6640625" style="81" customWidth="1"/>
    <col min="3" max="3" width="15" style="81" bestFit="1" customWidth="1"/>
    <col min="4" max="10" width="11.33203125" style="81" customWidth="1"/>
    <col min="11" max="11" width="8" style="81" customWidth="1"/>
    <col min="12" max="12" width="11.33203125" style="81" customWidth="1"/>
    <col min="13" max="13" width="11.33203125" customWidth="1"/>
    <col min="14" max="16384" width="11.33203125" style="81"/>
  </cols>
  <sheetData>
    <row r="1" spans="1:16" x14ac:dyDescent="0.2">
      <c r="A1" s="8" t="str">
        <f>'1'!$A$1</f>
        <v>Texas Windstorm Insurance Association</v>
      </c>
      <c r="B1"/>
      <c r="C1"/>
      <c r="D1"/>
      <c r="E1"/>
      <c r="F1"/>
      <c r="G1"/>
      <c r="H1"/>
      <c r="I1"/>
      <c r="J1"/>
      <c r="K1" s="7" t="s">
        <v>19</v>
      </c>
      <c r="L1" s="80"/>
      <c r="M1" s="81"/>
      <c r="O1" s="81" t="s">
        <v>447</v>
      </c>
      <c r="P1" s="81" t="s">
        <v>449</v>
      </c>
    </row>
    <row r="2" spans="1:16" x14ac:dyDescent="0.2">
      <c r="A2" s="8" t="str">
        <f>'1'!$A$2</f>
        <v>Commercial Property - Wind &amp; Hail</v>
      </c>
      <c r="B2"/>
      <c r="C2"/>
      <c r="D2"/>
      <c r="E2"/>
      <c r="F2"/>
      <c r="G2"/>
      <c r="H2"/>
      <c r="I2"/>
      <c r="J2"/>
      <c r="K2" s="7" t="s">
        <v>61</v>
      </c>
      <c r="L2" s="82"/>
      <c r="M2" s="81"/>
      <c r="O2" s="81" t="s">
        <v>447</v>
      </c>
      <c r="P2" s="81" t="s">
        <v>468</v>
      </c>
    </row>
    <row r="3" spans="1:16" x14ac:dyDescent="0.2">
      <c r="A3" s="8" t="str">
        <f>'1'!$A$3</f>
        <v>Rate Level Review</v>
      </c>
      <c r="B3"/>
      <c r="C3"/>
      <c r="D3"/>
      <c r="E3"/>
      <c r="F3"/>
      <c r="G3"/>
      <c r="H3"/>
      <c r="I3"/>
      <c r="J3"/>
      <c r="K3"/>
      <c r="L3" s="82"/>
      <c r="M3" s="81"/>
      <c r="O3" s="81" t="s">
        <v>447</v>
      </c>
      <c r="P3" s="81" t="s">
        <v>469</v>
      </c>
    </row>
    <row r="4" spans="1:16" x14ac:dyDescent="0.2">
      <c r="A4" t="s">
        <v>269</v>
      </c>
      <c r="B4"/>
      <c r="C4"/>
      <c r="D4"/>
      <c r="E4"/>
      <c r="F4"/>
      <c r="G4"/>
      <c r="H4"/>
      <c r="I4"/>
      <c r="J4"/>
      <c r="K4"/>
      <c r="L4" s="82"/>
      <c r="M4" s="81"/>
      <c r="O4" s="81" t="s">
        <v>447</v>
      </c>
      <c r="P4" s="81" t="s">
        <v>541</v>
      </c>
    </row>
    <row r="5" spans="1:16" x14ac:dyDescent="0.2">
      <c r="A5"/>
      <c r="B5"/>
      <c r="C5"/>
      <c r="D5"/>
      <c r="E5"/>
      <c r="F5"/>
      <c r="G5"/>
      <c r="H5"/>
      <c r="I5"/>
      <c r="J5"/>
      <c r="K5"/>
      <c r="L5" s="82"/>
      <c r="M5" s="81"/>
    </row>
    <row r="6" spans="1:16" x14ac:dyDescent="0.2">
      <c r="A6"/>
      <c r="B6"/>
      <c r="C6"/>
      <c r="D6"/>
      <c r="E6"/>
      <c r="F6"/>
      <c r="G6"/>
      <c r="H6"/>
      <c r="I6"/>
      <c r="J6"/>
      <c r="K6"/>
      <c r="L6" s="82"/>
      <c r="M6" s="81"/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I7" s="6"/>
      <c r="J7"/>
      <c r="K7"/>
      <c r="L7" s="82"/>
      <c r="M7" t="s">
        <v>212</v>
      </c>
    </row>
    <row r="8" spans="1:16" ht="12" thickTop="1" x14ac:dyDescent="0.2">
      <c r="A8"/>
      <c r="B8"/>
      <c r="C8" s="11"/>
      <c r="D8"/>
      <c r="E8"/>
      <c r="F8"/>
      <c r="G8"/>
      <c r="H8"/>
      <c r="I8"/>
      <c r="J8"/>
      <c r="K8"/>
      <c r="L8" s="82"/>
      <c r="M8" s="64">
        <v>45291</v>
      </c>
    </row>
    <row r="9" spans="1:16" x14ac:dyDescent="0.2">
      <c r="A9"/>
      <c r="B9"/>
      <c r="C9" s="11" t="s">
        <v>46</v>
      </c>
      <c r="D9"/>
      <c r="E9"/>
      <c r="F9"/>
      <c r="G9"/>
      <c r="H9"/>
      <c r="I9"/>
      <c r="J9"/>
      <c r="K9"/>
      <c r="L9" s="82"/>
    </row>
    <row r="10" spans="1:16" x14ac:dyDescent="0.2">
      <c r="A10" t="s">
        <v>235</v>
      </c>
      <c r="B10"/>
      <c r="C10" s="253" t="s">
        <v>163</v>
      </c>
      <c r="D10"/>
      <c r="E10"/>
      <c r="F10"/>
      <c r="G10"/>
      <c r="H10"/>
      <c r="I10"/>
      <c r="J10"/>
      <c r="K10"/>
      <c r="L10" s="82"/>
    </row>
    <row r="11" spans="1:16" x14ac:dyDescent="0.2">
      <c r="A11" s="9" t="s">
        <v>237</v>
      </c>
      <c r="B11" s="9"/>
      <c r="C11" s="254" t="s">
        <v>540</v>
      </c>
      <c r="D11"/>
      <c r="E11"/>
      <c r="F11"/>
      <c r="G11"/>
      <c r="H11"/>
      <c r="I11"/>
      <c r="J11"/>
      <c r="K11"/>
      <c r="L11" s="82"/>
    </row>
    <row r="12" spans="1:16" x14ac:dyDescent="0.2">
      <c r="A12" s="83" t="s">
        <v>141</v>
      </c>
      <c r="B12" s="13"/>
      <c r="C12" s="43" t="s">
        <v>142</v>
      </c>
      <c r="J12"/>
      <c r="K12"/>
      <c r="L12" s="82"/>
    </row>
    <row r="13" spans="1:16" x14ac:dyDescent="0.2">
      <c r="A13"/>
      <c r="B13"/>
      <c r="C13"/>
      <c r="D13" s="84" t="s">
        <v>143</v>
      </c>
      <c r="E13" t="s">
        <v>270</v>
      </c>
      <c r="F13"/>
      <c r="G13"/>
      <c r="H13"/>
      <c r="I13" s="85">
        <v>45108</v>
      </c>
      <c r="J13"/>
      <c r="K13"/>
      <c r="L13" s="82"/>
    </row>
    <row r="14" spans="1:16" x14ac:dyDescent="0.2">
      <c r="A14" t="str">
        <f>A36&amp;" / 4"</f>
        <v>2014 / 4</v>
      </c>
      <c r="C14" s="93">
        <f>ROUND('3.1'!H16,2)</f>
        <v>4610.68</v>
      </c>
      <c r="D14" s="84" t="s">
        <v>92</v>
      </c>
      <c r="E14" t="s">
        <v>271</v>
      </c>
      <c r="I14" s="49">
        <f>'3.2a'!O32</f>
        <v>45108</v>
      </c>
      <c r="J14"/>
      <c r="K14"/>
      <c r="L14" s="82"/>
    </row>
    <row r="15" spans="1:16" x14ac:dyDescent="0.2">
      <c r="A15" t="str">
        <f t="shared" ref="A15:A23" si="0">A37&amp;" / 4"</f>
        <v>2015 / 4</v>
      </c>
      <c r="C15" s="93">
        <f>ROUND('3.1'!$H$20,2)</f>
        <v>4595.3500000000004</v>
      </c>
      <c r="D15" s="84" t="s">
        <v>73</v>
      </c>
      <c r="E15" t="s">
        <v>272</v>
      </c>
      <c r="F15"/>
      <c r="G15"/>
      <c r="H15"/>
      <c r="I15" s="85">
        <v>46023</v>
      </c>
      <c r="J15"/>
      <c r="K15"/>
      <c r="L15" s="82"/>
    </row>
    <row r="16" spans="1:16" x14ac:dyDescent="0.2">
      <c r="A16" t="str">
        <f t="shared" si="0"/>
        <v>2016 / 4</v>
      </c>
      <c r="B16" s="22"/>
      <c r="C16" s="93">
        <f>ROUND('3.1'!$H$24,2)</f>
        <v>4581.38</v>
      </c>
      <c r="D16" s="84" t="s">
        <v>77</v>
      </c>
      <c r="E16" t="s">
        <v>273</v>
      </c>
      <c r="F16"/>
      <c r="G16"/>
      <c r="H16"/>
      <c r="I16" s="29">
        <f>YEAR(I15)-YEAR(I13+1)+(MONTH(I15)-MONTH(I13+1))/12</f>
        <v>2.5</v>
      </c>
      <c r="J16"/>
      <c r="K16"/>
      <c r="L16" s="82"/>
      <c r="M16" s="49"/>
    </row>
    <row r="17" spans="1:12" x14ac:dyDescent="0.2">
      <c r="A17" t="str">
        <f t="shared" si="0"/>
        <v>2017 / 4</v>
      </c>
      <c r="B17" s="22"/>
      <c r="C17" s="93">
        <f>ROUND('3.1'!$H$28,2)</f>
        <v>4426</v>
      </c>
      <c r="D17" s="84" t="s">
        <v>76</v>
      </c>
      <c r="E17" s="81" t="s">
        <v>274</v>
      </c>
      <c r="I17" s="29">
        <f>YEAR(I15)-YEAR(I14+1)+(MONTH(I15)-MONTH(I14+1))/12</f>
        <v>2.5</v>
      </c>
      <c r="J17"/>
      <c r="K17"/>
      <c r="L17" s="82"/>
    </row>
    <row r="18" spans="1:12" x14ac:dyDescent="0.2">
      <c r="A18" t="str">
        <f t="shared" si="0"/>
        <v>2018 / 4</v>
      </c>
      <c r="B18" s="22"/>
      <c r="C18" s="93">
        <f>ROUND('3.1'!$H$32,2)</f>
        <v>4497.78</v>
      </c>
      <c r="D18" s="84" t="s">
        <v>75</v>
      </c>
      <c r="E18" t="s">
        <v>232</v>
      </c>
      <c r="F18"/>
      <c r="G18"/>
      <c r="H18"/>
      <c r="I18" s="41">
        <f>'3.1'!$L$58</f>
        <v>0.1</v>
      </c>
      <c r="J18"/>
      <c r="K18"/>
      <c r="L18" s="82"/>
    </row>
    <row r="19" spans="1:12" x14ac:dyDescent="0.2">
      <c r="A19" t="str">
        <f t="shared" si="0"/>
        <v>2019 / 4</v>
      </c>
      <c r="B19" s="22"/>
      <c r="C19" s="93">
        <f>ROUND('3.1'!$H$36,2)</f>
        <v>4601.7700000000004</v>
      </c>
      <c r="D19" s="84" t="s">
        <v>74</v>
      </c>
      <c r="E19" t="s">
        <v>289</v>
      </c>
      <c r="F19"/>
      <c r="G19"/>
      <c r="H19"/>
      <c r="I19" s="41">
        <f>'3.2a'!$H$28</f>
        <v>9.4E-2</v>
      </c>
      <c r="J19"/>
      <c r="K19"/>
      <c r="L19" s="82"/>
    </row>
    <row r="20" spans="1:12" x14ac:dyDescent="0.2">
      <c r="A20" t="str">
        <f t="shared" si="0"/>
        <v>2020 / 4</v>
      </c>
      <c r="B20" s="22"/>
      <c r="C20" s="93">
        <f>ROUND('3.1'!$H$40,2)</f>
        <v>4930.8500000000004</v>
      </c>
      <c r="D20"/>
      <c r="E20"/>
      <c r="F20"/>
      <c r="G20"/>
      <c r="H20"/>
      <c r="I20"/>
      <c r="J20"/>
      <c r="K20"/>
      <c r="L20" s="82"/>
    </row>
    <row r="21" spans="1:12" x14ac:dyDescent="0.2">
      <c r="A21" t="str">
        <f t="shared" si="0"/>
        <v>2021 / 4</v>
      </c>
      <c r="C21" s="93">
        <f>ROUND('3.1'!$H$44,2)</f>
        <v>5052.8999999999996</v>
      </c>
      <c r="J21"/>
      <c r="K21"/>
      <c r="L21" s="82"/>
    </row>
    <row r="22" spans="1:12" x14ac:dyDescent="0.2">
      <c r="A22" t="str">
        <f t="shared" si="0"/>
        <v>2022 / 4</v>
      </c>
      <c r="B22"/>
      <c r="C22" s="93">
        <f>ROUND('3.1'!$H$48,2)</f>
        <v>5864.06</v>
      </c>
      <c r="I22" s="117"/>
      <c r="J22"/>
      <c r="K22"/>
      <c r="L22" s="82"/>
    </row>
    <row r="23" spans="1:12" x14ac:dyDescent="0.2">
      <c r="A23" t="str">
        <f t="shared" si="0"/>
        <v>2023 / 4</v>
      </c>
      <c r="B23"/>
      <c r="C23" s="93">
        <f>ROUND('3.1'!$H$52,2)</f>
        <v>6826.29</v>
      </c>
      <c r="J23"/>
      <c r="K23"/>
      <c r="L23" s="82"/>
    </row>
    <row r="24" spans="1:12" x14ac:dyDescent="0.2">
      <c r="A24" s="9"/>
      <c r="B24" s="23"/>
      <c r="C24" s="86"/>
      <c r="K24"/>
      <c r="L24" s="82"/>
    </row>
    <row r="25" spans="1:12" x14ac:dyDescent="0.2">
      <c r="K25"/>
      <c r="L25" s="82"/>
    </row>
    <row r="26" spans="1:12" x14ac:dyDescent="0.2">
      <c r="K26"/>
      <c r="L26" s="82"/>
    </row>
    <row r="27" spans="1:12" x14ac:dyDescent="0.2">
      <c r="K27"/>
      <c r="L27" s="82"/>
    </row>
    <row r="28" spans="1:12" x14ac:dyDescent="0.2">
      <c r="K28"/>
      <c r="L28" s="82"/>
    </row>
    <row r="29" spans="1:12" x14ac:dyDescent="0.2">
      <c r="K29"/>
      <c r="L29" s="82"/>
    </row>
    <row r="30" spans="1:12" x14ac:dyDescent="0.2">
      <c r="A30" t="s">
        <v>40</v>
      </c>
      <c r="B30" s="22"/>
      <c r="C30" s="87"/>
      <c r="D30" s="29"/>
      <c r="E30" s="29"/>
      <c r="F30" s="29"/>
      <c r="G30" s="29"/>
      <c r="H30"/>
      <c r="I30"/>
      <c r="J30"/>
      <c r="K30"/>
      <c r="L30" s="82"/>
    </row>
    <row r="31" spans="1:12" x14ac:dyDescent="0.2">
      <c r="A31" t="s">
        <v>41</v>
      </c>
      <c r="B31"/>
      <c r="C31" s="11" t="s">
        <v>193</v>
      </c>
      <c r="D31" s="11" t="s">
        <v>193</v>
      </c>
      <c r="E31" s="11" t="s">
        <v>233</v>
      </c>
      <c r="F31" s="11" t="s">
        <v>233</v>
      </c>
      <c r="G31" s="11" t="s">
        <v>30</v>
      </c>
      <c r="H31"/>
      <c r="I31"/>
      <c r="J31"/>
      <c r="K31"/>
      <c r="L31" s="82"/>
    </row>
    <row r="32" spans="1:12" x14ac:dyDescent="0.2">
      <c r="A32" t="s">
        <v>26</v>
      </c>
      <c r="B32"/>
      <c r="C32" s="11" t="s">
        <v>80</v>
      </c>
      <c r="D32" s="11" t="s">
        <v>33</v>
      </c>
      <c r="E32" s="11" t="s">
        <v>80</v>
      </c>
      <c r="F32" s="11" t="s">
        <v>33</v>
      </c>
      <c r="G32" s="11" t="s">
        <v>31</v>
      </c>
      <c r="H32"/>
      <c r="I32"/>
      <c r="J32"/>
      <c r="K32"/>
      <c r="L32" s="82"/>
    </row>
    <row r="33" spans="1:12" x14ac:dyDescent="0.2">
      <c r="A33" s="9" t="str">
        <f>TEXT(M8,"m/d")</f>
        <v>12/31</v>
      </c>
      <c r="B33" s="9"/>
      <c r="C33" s="144" t="s">
        <v>31</v>
      </c>
      <c r="D33" s="144" t="s">
        <v>31</v>
      </c>
      <c r="E33" s="144" t="s">
        <v>31</v>
      </c>
      <c r="F33" s="144" t="s">
        <v>31</v>
      </c>
      <c r="G33" s="144" t="s">
        <v>29</v>
      </c>
      <c r="H33"/>
      <c r="I33"/>
      <c r="J33"/>
      <c r="K33"/>
      <c r="L33" s="82"/>
    </row>
    <row r="34" spans="1:12" x14ac:dyDescent="0.2">
      <c r="A34" s="83" t="s">
        <v>69</v>
      </c>
      <c r="B34" s="13"/>
      <c r="C34" s="83" t="s">
        <v>157</v>
      </c>
      <c r="D34" s="83" t="s">
        <v>275</v>
      </c>
      <c r="E34" s="43" t="s">
        <v>276</v>
      </c>
      <c r="F34" s="43" t="s">
        <v>277</v>
      </c>
      <c r="G34" s="43" t="s">
        <v>239</v>
      </c>
      <c r="H34"/>
      <c r="I34"/>
      <c r="J34"/>
      <c r="K34"/>
      <c r="L34" s="82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 s="82"/>
    </row>
    <row r="36" spans="1:12" x14ac:dyDescent="0.2">
      <c r="A36" t="str">
        <f t="shared" ref="A36:A44" si="1">TEXT(A37-1,"#")</f>
        <v>2014</v>
      </c>
      <c r="B36" s="22"/>
      <c r="C36" s="28">
        <f>C$23/C14</f>
        <v>1.4805386624098831</v>
      </c>
      <c r="D36" s="28">
        <f>'3.2a'!H14</f>
        <v>1.4359999999999999</v>
      </c>
      <c r="E36" s="29">
        <f>(1+I$18)^I$16</f>
        <v>1.2690587062858836</v>
      </c>
      <c r="F36" s="29">
        <f t="shared" ref="F36:F45" si="2">(1+I$19)^I$17</f>
        <v>1.2518240904856499</v>
      </c>
      <c r="G36" s="29">
        <f>ROUND(PRODUCT(D36,F36)/PRODUCT(C36,E36),3)</f>
        <v>0.95699999999999996</v>
      </c>
      <c r="H36"/>
      <c r="I36"/>
      <c r="J36"/>
      <c r="K36"/>
      <c r="L36" s="82"/>
    </row>
    <row r="37" spans="1:12" x14ac:dyDescent="0.2">
      <c r="A37" t="str">
        <f t="shared" si="1"/>
        <v>2015</v>
      </c>
      <c r="B37"/>
      <c r="C37" s="28">
        <f t="shared" ref="C37:C45" si="3">C$23/C15</f>
        <v>1.4854777111645467</v>
      </c>
      <c r="D37" s="28">
        <f>'3.2a'!H15</f>
        <v>1.415</v>
      </c>
      <c r="E37" s="29">
        <f t="shared" ref="E37:E45" si="4">(1+I$18)^I$16</f>
        <v>1.2690587062858836</v>
      </c>
      <c r="F37" s="29">
        <f>(1+I$19)^I$17</f>
        <v>1.2518240904856499</v>
      </c>
      <c r="G37" s="29">
        <f t="shared" ref="G37:G44" si="5">ROUND(PRODUCT(D37,F37)/PRODUCT(C37,E37),3)</f>
        <v>0.94</v>
      </c>
      <c r="H37"/>
      <c r="I37"/>
      <c r="J37"/>
      <c r="K37"/>
      <c r="L37" s="82"/>
    </row>
    <row r="38" spans="1:12" x14ac:dyDescent="0.2">
      <c r="A38" t="str">
        <f t="shared" si="1"/>
        <v>2016</v>
      </c>
      <c r="B38"/>
      <c r="C38" s="28">
        <f t="shared" si="3"/>
        <v>1.4900073776896916</v>
      </c>
      <c r="D38" s="28">
        <f>'3.2a'!H16</f>
        <v>1.4159999999999999</v>
      </c>
      <c r="E38" s="29">
        <f t="shared" si="4"/>
        <v>1.2690587062858836</v>
      </c>
      <c r="F38" s="29">
        <f t="shared" si="2"/>
        <v>1.2518240904856499</v>
      </c>
      <c r="G38" s="29">
        <f t="shared" si="5"/>
        <v>0.93700000000000006</v>
      </c>
      <c r="H38"/>
      <c r="I38"/>
      <c r="J38"/>
      <c r="K38"/>
      <c r="L38" s="82"/>
    </row>
    <row r="39" spans="1:12" x14ac:dyDescent="0.2">
      <c r="A39" t="str">
        <f t="shared" si="1"/>
        <v>2017</v>
      </c>
      <c r="B39"/>
      <c r="C39" s="28">
        <f t="shared" si="3"/>
        <v>1.542315860822413</v>
      </c>
      <c r="D39" s="28">
        <f>'3.2a'!H17</f>
        <v>1.3919999999999999</v>
      </c>
      <c r="E39" s="29">
        <f t="shared" si="4"/>
        <v>1.2690587062858836</v>
      </c>
      <c r="F39" s="29">
        <f t="shared" si="2"/>
        <v>1.2518240904856499</v>
      </c>
      <c r="G39" s="29">
        <f t="shared" si="5"/>
        <v>0.89</v>
      </c>
      <c r="H39"/>
      <c r="I39"/>
      <c r="J39"/>
      <c r="K39"/>
      <c r="L39" s="82"/>
    </row>
    <row r="40" spans="1:12" x14ac:dyDescent="0.2">
      <c r="A40" t="str">
        <f t="shared" si="1"/>
        <v>2018</v>
      </c>
      <c r="B40"/>
      <c r="C40" s="28">
        <f t="shared" si="3"/>
        <v>1.5177020663527341</v>
      </c>
      <c r="D40" s="28">
        <f>'3.2a'!H18</f>
        <v>1.3420000000000001</v>
      </c>
      <c r="E40" s="29">
        <f t="shared" si="4"/>
        <v>1.2690587062858836</v>
      </c>
      <c r="F40" s="29">
        <f t="shared" si="2"/>
        <v>1.2518240904856499</v>
      </c>
      <c r="G40" s="29">
        <f t="shared" si="5"/>
        <v>0.872</v>
      </c>
      <c r="H40"/>
      <c r="I40"/>
      <c r="J40"/>
      <c r="K40"/>
      <c r="L40" s="82"/>
    </row>
    <row r="41" spans="1:12" x14ac:dyDescent="0.2">
      <c r="A41" t="str">
        <f t="shared" si="1"/>
        <v>2019</v>
      </c>
      <c r="B41"/>
      <c r="C41" s="28">
        <f t="shared" si="3"/>
        <v>1.4834052983960517</v>
      </c>
      <c r="D41" s="28">
        <f>'3.2a'!H19</f>
        <v>1.3180000000000001</v>
      </c>
      <c r="E41" s="29">
        <f t="shared" si="4"/>
        <v>1.2690587062858836</v>
      </c>
      <c r="F41" s="29">
        <f t="shared" si="2"/>
        <v>1.2518240904856499</v>
      </c>
      <c r="G41" s="29">
        <f t="shared" si="5"/>
        <v>0.876</v>
      </c>
      <c r="H41"/>
      <c r="I41"/>
      <c r="J41"/>
      <c r="K41"/>
      <c r="L41" s="82"/>
    </row>
    <row r="42" spans="1:12" x14ac:dyDescent="0.2">
      <c r="A42" t="str">
        <f t="shared" si="1"/>
        <v>2020</v>
      </c>
      <c r="B42"/>
      <c r="C42" s="28">
        <f t="shared" si="3"/>
        <v>1.3844043116298406</v>
      </c>
      <c r="D42" s="28">
        <f>'3.2a'!H20</f>
        <v>1.3169999999999999</v>
      </c>
      <c r="E42" s="29">
        <f t="shared" si="4"/>
        <v>1.2690587062858836</v>
      </c>
      <c r="F42" s="29">
        <f t="shared" si="2"/>
        <v>1.2518240904856499</v>
      </c>
      <c r="G42" s="29">
        <f t="shared" si="5"/>
        <v>0.93799999999999994</v>
      </c>
      <c r="H42"/>
      <c r="I42"/>
      <c r="J42"/>
      <c r="K42"/>
      <c r="L42" s="82"/>
    </row>
    <row r="43" spans="1:12" x14ac:dyDescent="0.2">
      <c r="A43" t="str">
        <f t="shared" si="1"/>
        <v>2021</v>
      </c>
      <c r="B43"/>
      <c r="C43" s="28">
        <f t="shared" si="3"/>
        <v>1.3509647924953987</v>
      </c>
      <c r="D43" s="28">
        <f>'3.2a'!H21</f>
        <v>1.165</v>
      </c>
      <c r="E43" s="29">
        <f t="shared" si="4"/>
        <v>1.2690587062858836</v>
      </c>
      <c r="F43" s="29">
        <f t="shared" si="2"/>
        <v>1.2518240904856499</v>
      </c>
      <c r="G43" s="29">
        <f t="shared" si="5"/>
        <v>0.85099999999999998</v>
      </c>
      <c r="H43"/>
      <c r="I43"/>
      <c r="J43"/>
      <c r="K43"/>
      <c r="L43" s="82"/>
    </row>
    <row r="44" spans="1:12" x14ac:dyDescent="0.2">
      <c r="A44" t="str">
        <f t="shared" si="1"/>
        <v>2022</v>
      </c>
      <c r="B44"/>
      <c r="C44" s="28">
        <f t="shared" si="3"/>
        <v>1.1640893851700016</v>
      </c>
      <c r="D44" s="28">
        <f>'3.2a'!H22</f>
        <v>1.0149999999999999</v>
      </c>
      <c r="E44" s="29">
        <f t="shared" si="4"/>
        <v>1.2690587062858836</v>
      </c>
      <c r="F44" s="29">
        <f t="shared" si="2"/>
        <v>1.2518240904856499</v>
      </c>
      <c r="G44" s="29">
        <f t="shared" si="5"/>
        <v>0.86</v>
      </c>
      <c r="H44"/>
      <c r="I44"/>
      <c r="J44"/>
      <c r="K44"/>
      <c r="L44" s="82"/>
    </row>
    <row r="45" spans="1:12" x14ac:dyDescent="0.2">
      <c r="A45" t="str">
        <f>TEXT(YEAR($M$8),"#")</f>
        <v>2023</v>
      </c>
      <c r="B45"/>
      <c r="C45" s="28">
        <f t="shared" si="3"/>
        <v>1</v>
      </c>
      <c r="D45" s="28">
        <f>'3.2a'!H23</f>
        <v>1</v>
      </c>
      <c r="E45" s="29">
        <f t="shared" si="4"/>
        <v>1.2690587062858836</v>
      </c>
      <c r="F45" s="29">
        <f t="shared" si="2"/>
        <v>1.2518240904856499</v>
      </c>
      <c r="G45" s="29">
        <f>ROUND(PRODUCT(D45,F45)/PRODUCT(C45,E45),3)</f>
        <v>0.98599999999999999</v>
      </c>
      <c r="H45"/>
      <c r="I45"/>
      <c r="J45"/>
      <c r="K45"/>
      <c r="L45" s="82"/>
    </row>
    <row r="46" spans="1:12" ht="12" thickBot="1" x14ac:dyDescent="0.25">
      <c r="A46" s="6"/>
      <c r="B46" s="6"/>
      <c r="C46" s="113"/>
      <c r="D46" s="113"/>
      <c r="E46" s="113"/>
      <c r="F46" s="113"/>
      <c r="G46" s="113"/>
      <c r="H46" s="6"/>
      <c r="I46" s="6"/>
      <c r="J46"/>
      <c r="K46"/>
      <c r="L46" s="82"/>
    </row>
    <row r="47" spans="1:12" ht="12" thickTop="1" x14ac:dyDescent="0.2">
      <c r="A47"/>
      <c r="B47"/>
      <c r="C47"/>
      <c r="D47"/>
      <c r="E47"/>
      <c r="F47"/>
      <c r="G47"/>
      <c r="H47"/>
      <c r="I47"/>
      <c r="J47"/>
      <c r="K47"/>
      <c r="L47" s="82"/>
    </row>
    <row r="48" spans="1:12" x14ac:dyDescent="0.2">
      <c r="A48" t="s">
        <v>17</v>
      </c>
      <c r="B48"/>
      <c r="C48"/>
      <c r="D48"/>
      <c r="E48"/>
      <c r="F48"/>
      <c r="G48"/>
      <c r="H48"/>
      <c r="I48"/>
      <c r="J48"/>
      <c r="K48"/>
      <c r="L48" s="82"/>
    </row>
    <row r="49" spans="1:12" x14ac:dyDescent="0.2">
      <c r="A49"/>
      <c r="B49" t="str">
        <f>C12&amp;" Average written premium per exposure at present rates from "&amp;'3.1'!$L$1&amp;", "&amp;'3.1'!$L$2&amp;", Column "&amp;'3.1'!$H$12</f>
        <v>(2) Average written premium per exposure at present rates from Exhibit 3, Sheet 1, Column (7)</v>
      </c>
      <c r="C49"/>
      <c r="D49"/>
      <c r="E49"/>
      <c r="F49"/>
      <c r="G49"/>
      <c r="H49"/>
      <c r="I49"/>
      <c r="J49"/>
      <c r="K49"/>
      <c r="L49" s="82"/>
    </row>
    <row r="50" spans="1:12" x14ac:dyDescent="0.2">
      <c r="A50"/>
      <c r="B50" t="str">
        <f>D13&amp;" Latest Year / Quarter Ending Date - 6 Months"</f>
        <v>(3) Latest Year / Quarter Ending Date - 6 Months</v>
      </c>
      <c r="C50"/>
      <c r="D50"/>
      <c r="E50"/>
      <c r="F50"/>
      <c r="G50"/>
      <c r="H50"/>
      <c r="I50"/>
      <c r="J50"/>
      <c r="K50"/>
      <c r="L50" s="82"/>
    </row>
    <row r="51" spans="1:12" x14ac:dyDescent="0.2">
      <c r="A51"/>
      <c r="B51" t="str">
        <f>D14&amp;" Latest Accident Year Ending Date - 6 Months"</f>
        <v>(4) Latest Accident Year Ending Date - 6 Months</v>
      </c>
      <c r="C51"/>
      <c r="D51"/>
      <c r="E51"/>
      <c r="F51"/>
      <c r="G51"/>
      <c r="H51"/>
      <c r="I51"/>
      <c r="J51"/>
      <c r="K51"/>
      <c r="L51" s="82"/>
    </row>
    <row r="52" spans="1:12" x14ac:dyDescent="0.2">
      <c r="A52"/>
      <c r="B52" t="str">
        <f>D15&amp;" Rate Effective Date + 12 Months"</f>
        <v>(5) Rate Effective Date + 12 Months</v>
      </c>
      <c r="C52"/>
      <c r="D52"/>
      <c r="E52"/>
      <c r="F52"/>
      <c r="G52"/>
      <c r="H52"/>
      <c r="I52"/>
      <c r="J52"/>
      <c r="K52"/>
      <c r="L52" s="82"/>
    </row>
    <row r="53" spans="1:12" x14ac:dyDescent="0.2">
      <c r="A53"/>
      <c r="B53" t="str">
        <f>D16&amp;" = "&amp;D15&amp;" - "&amp;D13</f>
        <v>(6) = (5) - (3)</v>
      </c>
      <c r="C53"/>
      <c r="D53"/>
      <c r="E53"/>
      <c r="F53"/>
      <c r="G53"/>
      <c r="H53"/>
      <c r="I53"/>
      <c r="J53"/>
      <c r="K53"/>
      <c r="L53" s="82"/>
    </row>
    <row r="54" spans="1:12" x14ac:dyDescent="0.2">
      <c r="A54"/>
      <c r="B54" t="str">
        <f>D17&amp;" = "&amp;D15&amp;" - "&amp;D14</f>
        <v>(7) = (5) - (4)</v>
      </c>
      <c r="C54"/>
      <c r="D54"/>
      <c r="E54"/>
      <c r="F54"/>
      <c r="G54"/>
      <c r="H54"/>
      <c r="I54"/>
      <c r="J54"/>
      <c r="K54"/>
      <c r="L54" s="82"/>
    </row>
    <row r="55" spans="1:12" x14ac:dyDescent="0.2">
      <c r="A55"/>
      <c r="B55" t="str">
        <f>D18&amp;" "&amp;'3.1'!$L$1&amp;", "&amp;'3.1'!$L$2</f>
        <v>(8) Exhibit 3, Sheet 1</v>
      </c>
      <c r="C55"/>
      <c r="D55"/>
      <c r="E55"/>
      <c r="F55"/>
      <c r="G55"/>
      <c r="H55"/>
      <c r="I55"/>
      <c r="J55"/>
      <c r="K55"/>
      <c r="L55" s="82"/>
    </row>
    <row r="56" spans="1:12" x14ac:dyDescent="0.2">
      <c r="A56"/>
      <c r="B56" t="str">
        <f>D19&amp;" "&amp;'3.2a'!$L$1&amp;", "&amp;'3.2a'!$L$2</f>
        <v>(9) Exhibit 3, Sheet 2a</v>
      </c>
      <c r="C56"/>
      <c r="D56"/>
      <c r="E56"/>
      <c r="F56"/>
      <c r="G56"/>
      <c r="H56"/>
      <c r="I56"/>
      <c r="J56"/>
      <c r="K56"/>
      <c r="L56" s="82"/>
    </row>
    <row r="57" spans="1:12" x14ac:dyDescent="0.2">
      <c r="A57"/>
      <c r="B57" s="111" t="str">
        <f>C34&amp;" = "&amp;C12&amp;" Indexed to "&amp;A23</f>
        <v>(11) = (2) Indexed to 2023 / 4</v>
      </c>
      <c r="C57" s="112"/>
      <c r="D57" s="112"/>
      <c r="E57"/>
      <c r="F57"/>
      <c r="G57"/>
      <c r="H57"/>
      <c r="I57"/>
      <c r="J57"/>
      <c r="K57"/>
      <c r="L57" s="82"/>
    </row>
    <row r="58" spans="1:12" x14ac:dyDescent="0.2">
      <c r="A58"/>
      <c r="B58" t="str">
        <f>D34&amp;" "&amp;'3.2a'!$L$1&amp;", "&amp;'3.2a'!$L$2</f>
        <v>(12) Exhibit 3, Sheet 2a</v>
      </c>
      <c r="C58"/>
      <c r="D58"/>
      <c r="E58"/>
      <c r="F58"/>
      <c r="G58"/>
      <c r="H58"/>
      <c r="I58"/>
      <c r="J58"/>
      <c r="K58"/>
      <c r="L58" s="82"/>
    </row>
    <row r="59" spans="1:12" x14ac:dyDescent="0.2">
      <c r="A59"/>
      <c r="B59" t="str">
        <f>E34&amp;" = [1 + "&amp;D18&amp;"] ^ "&amp;D16</f>
        <v>(13) = [1 + (8)] ^ (6)</v>
      </c>
      <c r="C59"/>
      <c r="D59"/>
      <c r="E59"/>
      <c r="F59"/>
      <c r="G59"/>
      <c r="H59"/>
      <c r="I59"/>
      <c r="J59"/>
      <c r="K59"/>
      <c r="L59" s="82"/>
    </row>
    <row r="60" spans="1:12" x14ac:dyDescent="0.2">
      <c r="A60"/>
      <c r="B60" t="str">
        <f>F34&amp;" = [1 + "&amp;D19&amp;"] ^ "&amp;D17</f>
        <v>(14) = [1 + (9)] ^ (7)</v>
      </c>
      <c r="C60"/>
      <c r="D60"/>
      <c r="E60"/>
      <c r="F60"/>
      <c r="G60"/>
      <c r="H60"/>
      <c r="I60"/>
      <c r="J60"/>
      <c r="K60"/>
      <c r="L60" s="82"/>
    </row>
    <row r="61" spans="1:12" x14ac:dyDescent="0.2">
      <c r="A61"/>
      <c r="B61" t="str">
        <f>G34&amp;" = ["&amp;D34&amp;" * "&amp;F34&amp;"] / ["&amp;C34&amp;" * "&amp;E34&amp;"]"</f>
        <v>(15) = [(12) * (14)] / [(11) * (13)]</v>
      </c>
      <c r="C61"/>
      <c r="D61"/>
      <c r="E61"/>
      <c r="F61"/>
      <c r="G61"/>
      <c r="H61"/>
      <c r="I61"/>
      <c r="J61"/>
      <c r="K61"/>
      <c r="L61" s="82"/>
    </row>
    <row r="62" spans="1:12" ht="12" thickBot="1" x14ac:dyDescent="0.25">
      <c r="A62"/>
      <c r="C62"/>
      <c r="D62"/>
      <c r="E62"/>
      <c r="F62"/>
      <c r="G62"/>
      <c r="H62"/>
      <c r="I62"/>
      <c r="J62"/>
      <c r="K62"/>
      <c r="L62" s="82"/>
    </row>
    <row r="63" spans="1:12" ht="12" thickBot="1" x14ac:dyDescent="0.25">
      <c r="A63" s="88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90"/>
    </row>
    <row r="66" spans="2:2" x14ac:dyDescent="0.2">
      <c r="B66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D13:D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0">
    <tabColor rgb="FF00FF00"/>
  </sheetPr>
  <dimension ref="A1:AD76"/>
  <sheetViews>
    <sheetView showGridLines="0" zoomScaleNormal="100" workbookViewId="0"/>
  </sheetViews>
  <sheetFormatPr defaultColWidth="11.33203125" defaultRowHeight="11.25" x14ac:dyDescent="0.2"/>
  <cols>
    <col min="1" max="1" width="5.33203125" customWidth="1"/>
    <col min="2" max="2" width="2.6640625" customWidth="1"/>
    <col min="3" max="3" width="12.6640625" style="11" customWidth="1"/>
    <col min="4" max="4" width="10.1640625" customWidth="1"/>
    <col min="5" max="5" width="9.83203125" customWidth="1"/>
    <col min="6" max="6" width="14.6640625" customWidth="1"/>
    <col min="7" max="7" width="12.5" style="11" customWidth="1"/>
    <col min="8" max="8" width="10.5" customWidth="1"/>
    <col min="9" max="9" width="11.83203125" customWidth="1"/>
    <col min="10" max="10" width="8.5" customWidth="1"/>
    <col min="11" max="11" width="9.83203125" customWidth="1"/>
    <col min="12" max="12" width="11.33203125" customWidth="1"/>
    <col min="17" max="17" width="11.6640625" customWidth="1"/>
    <col min="20" max="22" width="11.5" bestFit="1" customWidth="1"/>
    <col min="23" max="23" width="12.6640625" bestFit="1" customWidth="1"/>
    <col min="30" max="30" width="13.83203125" bestFit="1" customWidth="1"/>
  </cols>
  <sheetData>
    <row r="1" spans="1:18" x14ac:dyDescent="0.2">
      <c r="A1" s="8" t="str">
        <f>'1'!$A$1</f>
        <v>Texas Windstorm Insurance Association</v>
      </c>
      <c r="L1" s="7" t="s">
        <v>45</v>
      </c>
      <c r="M1" s="1"/>
      <c r="Q1" t="s">
        <v>447</v>
      </c>
      <c r="R1" t="s">
        <v>446</v>
      </c>
    </row>
    <row r="2" spans="1:18" x14ac:dyDescent="0.2">
      <c r="A2" s="8" t="str">
        <f>'1'!$A$2</f>
        <v>Commercial Property - Wind &amp; Hail</v>
      </c>
      <c r="L2" s="7" t="s">
        <v>20</v>
      </c>
      <c r="M2" s="2"/>
      <c r="Q2" t="s">
        <v>447</v>
      </c>
      <c r="R2" t="s">
        <v>493</v>
      </c>
    </row>
    <row r="3" spans="1:18" x14ac:dyDescent="0.2">
      <c r="A3" s="8" t="str">
        <f>'1'!$A$3</f>
        <v>Rate Level Review</v>
      </c>
      <c r="M3" s="2"/>
    </row>
    <row r="4" spans="1:18" x14ac:dyDescent="0.2">
      <c r="A4" t="s">
        <v>234</v>
      </c>
      <c r="M4" s="2"/>
    </row>
    <row r="5" spans="1:18" x14ac:dyDescent="0.2">
      <c r="A5" s="12" t="s">
        <v>548</v>
      </c>
      <c r="M5" s="2"/>
    </row>
    <row r="6" spans="1:18" hidden="1" x14ac:dyDescent="0.2">
      <c r="M6" s="2"/>
    </row>
    <row r="7" spans="1:18" ht="12" thickBot="1" x14ac:dyDescent="0.25">
      <c r="A7" s="6"/>
      <c r="B7" s="6"/>
      <c r="C7" s="143"/>
      <c r="D7" s="6"/>
      <c r="E7" s="6"/>
      <c r="F7" s="6"/>
      <c r="G7" s="143"/>
      <c r="H7" s="6"/>
      <c r="I7" s="6"/>
      <c r="J7" s="6"/>
      <c r="K7" s="6"/>
      <c r="L7" s="6"/>
      <c r="M7" s="2"/>
    </row>
    <row r="8" spans="1:18" ht="12" thickTop="1" x14ac:dyDescent="0.2">
      <c r="D8" s="11"/>
      <c r="E8" s="11"/>
      <c r="F8" s="11"/>
      <c r="H8" s="11"/>
      <c r="M8" s="2"/>
    </row>
    <row r="9" spans="1:18" x14ac:dyDescent="0.2">
      <c r="D9" s="134"/>
      <c r="E9" s="11"/>
      <c r="F9" s="11"/>
      <c r="G9" s="11" t="s">
        <v>407</v>
      </c>
      <c r="H9" s="11" t="s">
        <v>550</v>
      </c>
      <c r="M9" s="2"/>
    </row>
    <row r="10" spans="1:18" x14ac:dyDescent="0.2">
      <c r="A10" t="s">
        <v>235</v>
      </c>
      <c r="C10" s="11" t="s">
        <v>406</v>
      </c>
      <c r="D10" s="11" t="s">
        <v>204</v>
      </c>
      <c r="E10" s="11" t="s">
        <v>551</v>
      </c>
      <c r="F10" s="11" t="s">
        <v>163</v>
      </c>
      <c r="G10" s="11" t="s">
        <v>46</v>
      </c>
      <c r="H10" s="11" t="s">
        <v>46</v>
      </c>
      <c r="I10" s="173" t="s">
        <v>294</v>
      </c>
      <c r="J10" s="173"/>
      <c r="K10" s="173"/>
      <c r="L10" s="268"/>
      <c r="M10" s="2"/>
      <c r="N10" t="s">
        <v>236</v>
      </c>
    </row>
    <row r="11" spans="1:18" x14ac:dyDescent="0.2">
      <c r="A11" s="9" t="s">
        <v>237</v>
      </c>
      <c r="B11" s="9"/>
      <c r="C11" s="144" t="s">
        <v>204</v>
      </c>
      <c r="D11" s="144" t="s">
        <v>80</v>
      </c>
      <c r="E11" s="144" t="s">
        <v>326</v>
      </c>
      <c r="F11" s="144" t="s">
        <v>293</v>
      </c>
      <c r="G11" s="144" t="s">
        <v>549</v>
      </c>
      <c r="H11" s="144" t="s">
        <v>549</v>
      </c>
      <c r="I11" s="144" t="s">
        <v>295</v>
      </c>
      <c r="J11" s="144" t="s">
        <v>286</v>
      </c>
      <c r="K11" s="144" t="s">
        <v>287</v>
      </c>
      <c r="L11" s="144" t="s">
        <v>288</v>
      </c>
      <c r="M11" s="2"/>
      <c r="N11" t="s">
        <v>26</v>
      </c>
      <c r="O11" s="49" t="s">
        <v>238</v>
      </c>
    </row>
    <row r="12" spans="1:18" x14ac:dyDescent="0.2">
      <c r="A12" s="13" t="str">
        <f>TEXT(COLUMN(),"(#)")</f>
        <v>(1)</v>
      </c>
      <c r="B12" s="13"/>
      <c r="C12" s="11" t="str">
        <f t="shared" ref="C12:L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43" t="s">
        <v>76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2"/>
    </row>
    <row r="13" spans="1:18" x14ac:dyDescent="0.2">
      <c r="B13" s="13"/>
      <c r="C13" s="222"/>
      <c r="D13" s="222"/>
      <c r="E13" s="223"/>
      <c r="F13" s="127"/>
      <c r="G13" s="135"/>
      <c r="H13" s="11"/>
      <c r="I13" s="11"/>
      <c r="J13" s="11"/>
      <c r="K13" s="11"/>
      <c r="L13" s="11"/>
      <c r="M13" s="2"/>
      <c r="N13" s="49"/>
      <c r="R13" s="34"/>
    </row>
    <row r="14" spans="1:18" x14ac:dyDescent="0.2">
      <c r="A14" t="str">
        <f>YEAR(N14)&amp;" / "&amp;MONTH(N14)/3</f>
        <v>2014 / 2</v>
      </c>
      <c r="B14" s="13"/>
      <c r="C14" s="222">
        <f>'[2]TWIA 4 Premium Trend'!C34</f>
        <v>8964</v>
      </c>
      <c r="D14" s="222">
        <f>'[2]TWIA 4 Premium Trend'!B34</f>
        <v>35219745</v>
      </c>
      <c r="E14" s="223">
        <f>'[2]TWIA 5'!I364</f>
        <v>1.2564279844858697</v>
      </c>
      <c r="F14" s="127">
        <f t="shared" ref="F14:F18" si="1">D14*E14</f>
        <v>44251073.224456288</v>
      </c>
      <c r="G14" s="135">
        <f>F14/C14</f>
        <v>4936.5320419964619</v>
      </c>
      <c r="H14" s="11"/>
      <c r="I14" s="11"/>
      <c r="J14" s="11"/>
      <c r="K14" s="11"/>
      <c r="L14" s="11"/>
      <c r="M14" s="2"/>
      <c r="N14" s="49">
        <f t="shared" ref="N14:N21" si="2">DATE(YEAR(N15+1),MONTH(N15+1)-3,1)-1</f>
        <v>41820</v>
      </c>
      <c r="O14">
        <f t="shared" ref="O14:O21" si="3">YEAR(N14)+MONTH(N14)/12</f>
        <v>2014.5</v>
      </c>
      <c r="R14" s="34"/>
    </row>
    <row r="15" spans="1:18" x14ac:dyDescent="0.2">
      <c r="A15" t="str">
        <f>YEAR(N15)&amp;" / "&amp;MONTH(N15)/3</f>
        <v>2014 / 3</v>
      </c>
      <c r="B15" s="13"/>
      <c r="C15" s="222">
        <f>'[2]TWIA 4 Premium Trend'!C35</f>
        <v>8292</v>
      </c>
      <c r="D15" s="222">
        <f>'[2]TWIA 4 Premium Trend'!B35</f>
        <v>29887118</v>
      </c>
      <c r="E15" s="223">
        <f>'[2]TWIA 5'!I365</f>
        <v>1.236730945346824</v>
      </c>
      <c r="F15" s="127">
        <f t="shared" si="1"/>
        <v>36962323.697832078</v>
      </c>
      <c r="G15" s="135">
        <f t="shared" ref="G15:G52" si="4">F15/C15</f>
        <v>4457.5884826136125</v>
      </c>
      <c r="H15" s="11"/>
      <c r="I15" s="11"/>
      <c r="J15" s="11"/>
      <c r="K15" s="11"/>
      <c r="L15" s="11"/>
      <c r="M15" s="2"/>
      <c r="N15" s="49">
        <f t="shared" si="2"/>
        <v>41912</v>
      </c>
      <c r="O15">
        <f t="shared" si="3"/>
        <v>2014.75</v>
      </c>
      <c r="R15" s="34"/>
    </row>
    <row r="16" spans="1:18" x14ac:dyDescent="0.2">
      <c r="A16" t="str">
        <f>YEAR(N16)&amp;" / "&amp;MONTH(N16)/3</f>
        <v>2014 / 4</v>
      </c>
      <c r="B16" s="13"/>
      <c r="C16" s="222">
        <f>'[2]TWIA 4 Premium Trend'!C36</f>
        <v>6088</v>
      </c>
      <c r="D16" s="222">
        <f>'[2]TWIA 4 Premium Trend'!B36</f>
        <v>21627063</v>
      </c>
      <c r="E16" s="223">
        <f>'[2]TWIA 5'!I366</f>
        <v>1.2215449926689024</v>
      </c>
      <c r="F16" s="127">
        <f t="shared" si="1"/>
        <v>26418430.513784889</v>
      </c>
      <c r="G16" s="135">
        <f t="shared" si="4"/>
        <v>4339.4268255231418</v>
      </c>
      <c r="H16" s="160">
        <f>IFERROR(SUM(F13:F16)/SUM(C13:C16),0)</f>
        <v>4610.6848627515956</v>
      </c>
      <c r="I16" s="11"/>
      <c r="J16" s="11"/>
      <c r="K16" s="11"/>
      <c r="L16" s="11"/>
      <c r="M16" s="2"/>
      <c r="N16" s="49">
        <f t="shared" si="2"/>
        <v>42004</v>
      </c>
      <c r="O16">
        <f t="shared" si="3"/>
        <v>2015</v>
      </c>
      <c r="R16" s="34"/>
    </row>
    <row r="17" spans="1:23" x14ac:dyDescent="0.2">
      <c r="A17" t="str">
        <f>YEAR(N17)&amp;" / "&amp;MONTH(N17)/3</f>
        <v>2015 / 1</v>
      </c>
      <c r="C17" s="222">
        <f>'[2]TWIA 4 Premium Trend'!C37</f>
        <v>6464</v>
      </c>
      <c r="D17" s="222">
        <f>'[2]TWIA 4 Premium Trend'!B37</f>
        <v>24808373</v>
      </c>
      <c r="E17" s="223">
        <f>'[2]TWIA 5'!I367</f>
        <v>1.2088294424821795</v>
      </c>
      <c r="F17" s="127">
        <f t="shared" si="1"/>
        <v>29989091.702479955</v>
      </c>
      <c r="G17" s="135">
        <f t="shared" si="4"/>
        <v>4639.401562883656</v>
      </c>
      <c r="H17" s="160">
        <f>IFERROR(SUM(F14:F17)/SUM(C14:C17),0)</f>
        <v>4616.9122094254299</v>
      </c>
      <c r="I17" s="152">
        <f>GROWTH($H$17:$H$52,$O$17:$O$52,$O17,1)</f>
        <v>4175.6780984574343</v>
      </c>
      <c r="M17" s="2"/>
      <c r="N17" s="49">
        <f t="shared" si="2"/>
        <v>42094</v>
      </c>
      <c r="O17">
        <f t="shared" si="3"/>
        <v>2015.25</v>
      </c>
      <c r="Q17" s="18"/>
      <c r="R17" s="18"/>
      <c r="S17" s="18"/>
    </row>
    <row r="18" spans="1:23" x14ac:dyDescent="0.2">
      <c r="A18" t="str">
        <f t="shared" ref="A18:A21" si="5">YEAR(N18)&amp;" / "&amp;MONTH(N18)/3</f>
        <v>2015 / 2</v>
      </c>
      <c r="C18" s="222">
        <f>'[2]TWIA 4 Premium Trend'!C38</f>
        <v>7870</v>
      </c>
      <c r="D18" s="222">
        <f>'[2]TWIA 4 Premium Trend'!B38</f>
        <v>33339199</v>
      </c>
      <c r="E18" s="223">
        <f>'[2]TWIA 5'!I368</f>
        <v>1.1951789688713677</v>
      </c>
      <c r="F18" s="127">
        <f t="shared" si="1"/>
        <v>39846309.483817331</v>
      </c>
      <c r="G18" s="135">
        <f t="shared" si="4"/>
        <v>5063.063466812876</v>
      </c>
      <c r="H18" s="160">
        <f t="shared" ref="H18:H51" si="6">IFERROR(SUM(F15:F18)/SUM(C15:C18),0)</f>
        <v>4639.414759278201</v>
      </c>
      <c r="I18" s="152">
        <f t="shared" ref="I18:I20" si="7">GROWTH($H$17:$H$52,$O$17:$O$52,$O18,1)</f>
        <v>4214.0613713681942</v>
      </c>
      <c r="M18" s="2"/>
      <c r="N18" s="49">
        <f t="shared" si="2"/>
        <v>42185</v>
      </c>
      <c r="O18">
        <f t="shared" si="3"/>
        <v>2015.5</v>
      </c>
      <c r="Q18" s="18"/>
      <c r="R18" s="18"/>
      <c r="S18" s="18"/>
    </row>
    <row r="19" spans="1:23" x14ac:dyDescent="0.2">
      <c r="A19" t="str">
        <f t="shared" si="5"/>
        <v>2015 / 3</v>
      </c>
      <c r="C19" s="222">
        <f>'[2]TWIA 4 Premium Trend'!C39</f>
        <v>7657</v>
      </c>
      <c r="D19" s="222">
        <f>'[2]TWIA 4 Premium Trend'!B39</f>
        <v>28055666</v>
      </c>
      <c r="E19" s="223">
        <f>'[2]TWIA 5'!I369</f>
        <v>1.1766787394611087</v>
      </c>
      <c r="F19" s="127">
        <f t="shared" ref="F19:F51" si="8">D19*E19</f>
        <v>33012505.703621887</v>
      </c>
      <c r="G19" s="135">
        <f t="shared" si="4"/>
        <v>4311.415136949443</v>
      </c>
      <c r="H19" s="160">
        <f t="shared" si="6"/>
        <v>4603.6659925105623</v>
      </c>
      <c r="I19" s="152">
        <f t="shared" si="7"/>
        <v>4252.7974673665112</v>
      </c>
      <c r="J19" s="18"/>
      <c r="K19" s="18"/>
      <c r="L19" s="18"/>
      <c r="M19" s="2"/>
      <c r="N19" s="49">
        <f t="shared" si="2"/>
        <v>42277</v>
      </c>
      <c r="O19">
        <f t="shared" si="3"/>
        <v>2015.75</v>
      </c>
      <c r="Q19" s="18"/>
      <c r="R19" s="18"/>
      <c r="S19" s="18"/>
    </row>
    <row r="20" spans="1:23" x14ac:dyDescent="0.2">
      <c r="A20" t="str">
        <f t="shared" si="5"/>
        <v>2015 / 4</v>
      </c>
      <c r="C20" s="222">
        <f>'[2]TWIA 4 Premium Trend'!C40</f>
        <v>4802</v>
      </c>
      <c r="D20" s="222">
        <f>'[2]TWIA 4 Premium Trend'!B40</f>
        <v>17430504</v>
      </c>
      <c r="E20" s="223">
        <f>'[2]TWIA 5'!I370</f>
        <v>1.1632081489641464</v>
      </c>
      <c r="F20" s="127">
        <f t="shared" si="8"/>
        <v>20275304.293352149</v>
      </c>
      <c r="G20" s="135">
        <f t="shared" si="4"/>
        <v>4222.2624517601307</v>
      </c>
      <c r="H20" s="160">
        <f t="shared" si="6"/>
        <v>4595.3499489893375</v>
      </c>
      <c r="I20" s="152">
        <f t="shared" si="7"/>
        <v>4291.8896296393696</v>
      </c>
      <c r="J20" s="18"/>
      <c r="K20" s="18"/>
      <c r="L20" s="18"/>
      <c r="M20" s="2"/>
      <c r="N20" s="49">
        <f t="shared" si="2"/>
        <v>42369</v>
      </c>
      <c r="O20">
        <f t="shared" si="3"/>
        <v>2016</v>
      </c>
      <c r="Q20" s="18"/>
      <c r="R20" s="18"/>
      <c r="S20" s="18"/>
    </row>
    <row r="21" spans="1:23" x14ac:dyDescent="0.2">
      <c r="A21" t="str">
        <f t="shared" si="5"/>
        <v>2016 / 1</v>
      </c>
      <c r="C21" s="222">
        <f>'[2]TWIA 4 Premium Trend'!C41</f>
        <v>5512</v>
      </c>
      <c r="D21" s="222">
        <f>'[2]TWIA 4 Premium Trend'!B41</f>
        <v>22487925</v>
      </c>
      <c r="E21" s="223">
        <f>'[2]TWIA 5'!I371</f>
        <v>1.1513095053377946</v>
      </c>
      <c r="F21" s="127">
        <f>D21*E21</f>
        <v>25890561.807823427</v>
      </c>
      <c r="G21" s="135">
        <f t="shared" si="4"/>
        <v>4697.1265979360351</v>
      </c>
      <c r="H21" s="160">
        <f>IFERROR(SUM(F18:F21)/SUM(C18:C21),0)</f>
        <v>4606.040063798413</v>
      </c>
      <c r="I21" s="152">
        <f t="shared" ref="I21:I52" si="9">GROWTH($H$17:$H$52,$O$17:$O$52,$O21,1)</f>
        <v>4331.3411311854697</v>
      </c>
      <c r="M21" s="2"/>
      <c r="N21" s="49">
        <f t="shared" si="2"/>
        <v>42460</v>
      </c>
      <c r="O21">
        <f t="shared" si="3"/>
        <v>2016.25</v>
      </c>
      <c r="Q21" s="18"/>
      <c r="R21" s="18"/>
      <c r="S21" s="18"/>
      <c r="T21" s="18"/>
      <c r="U21" s="18"/>
      <c r="V21" s="18"/>
      <c r="W21" s="18"/>
    </row>
    <row r="22" spans="1:23" x14ac:dyDescent="0.2">
      <c r="A22" t="str">
        <f t="shared" ref="A22:A52" si="10">YEAR(N22)&amp;" / "&amp;MONTH(N22)/3</f>
        <v>2016 / 2</v>
      </c>
      <c r="B22" s="22"/>
      <c r="C22" s="222">
        <f>'[2]TWIA 4 Premium Trend'!C42</f>
        <v>6522</v>
      </c>
      <c r="D22" s="222">
        <f>'[2]TWIA 4 Premium Trend'!B42</f>
        <v>28623450</v>
      </c>
      <c r="E22" s="223">
        <f>'[2]TWIA 5'!I372</f>
        <v>1.1378553171391943</v>
      </c>
      <c r="F22" s="127">
        <f t="shared" si="8"/>
        <v>32569344.777367871</v>
      </c>
      <c r="G22" s="135">
        <f t="shared" si="4"/>
        <v>4993.7664485384657</v>
      </c>
      <c r="H22" s="160">
        <f>IFERROR(SUM(F19:F22)/SUM(C19:C22),0)</f>
        <v>4562.4348418799391</v>
      </c>
      <c r="I22" s="152">
        <f t="shared" si="9"/>
        <v>4371.1552750892606</v>
      </c>
      <c r="J22" s="29"/>
      <c r="K22" s="29"/>
      <c r="L22" s="29"/>
      <c r="M22" s="2"/>
      <c r="N22" s="49">
        <f t="shared" ref="N22:N47" si="11">DATE(YEAR(N23+1),MONTH(N23+1)-3,1)-1</f>
        <v>42551</v>
      </c>
      <c r="O22">
        <f t="shared" ref="O22:O47" si="12">YEAR(N22)+MONTH(N22)/12</f>
        <v>2016.5</v>
      </c>
      <c r="Q22" s="18"/>
      <c r="R22" s="18"/>
      <c r="S22" s="18"/>
      <c r="T22" s="18"/>
      <c r="U22" s="18"/>
      <c r="V22" s="18"/>
      <c r="W22" s="18"/>
    </row>
    <row r="23" spans="1:23" x14ac:dyDescent="0.2">
      <c r="A23" t="str">
        <f t="shared" si="10"/>
        <v>2016 / 3</v>
      </c>
      <c r="C23" s="222">
        <f>'[2]TWIA 4 Premium Trend'!C43</f>
        <v>6507</v>
      </c>
      <c r="D23" s="222">
        <f>'[2]TWIA 4 Premium Trend'!B43</f>
        <v>25417054</v>
      </c>
      <c r="E23" s="223">
        <f>'[2]TWIA 5'!I373</f>
        <v>1.119959045602978</v>
      </c>
      <c r="F23" s="127">
        <f t="shared" si="8"/>
        <v>28466059.539879356</v>
      </c>
      <c r="G23" s="135">
        <f t="shared" si="4"/>
        <v>4374.6825787427933</v>
      </c>
      <c r="H23" s="160">
        <f>IFERROR(SUM(F20:F23)/SUM(C20:C23),0)</f>
        <v>4592.4375795066098</v>
      </c>
      <c r="I23" s="152">
        <f t="shared" si="9"/>
        <v>4411.335394797492</v>
      </c>
      <c r="M23" s="2"/>
      <c r="N23" s="49">
        <f t="shared" si="11"/>
        <v>42643</v>
      </c>
      <c r="O23">
        <f t="shared" si="12"/>
        <v>2016.75</v>
      </c>
      <c r="Q23" s="18"/>
      <c r="R23" s="18"/>
      <c r="S23" s="18"/>
      <c r="T23" s="18"/>
      <c r="U23" s="18"/>
      <c r="V23" s="18"/>
      <c r="W23" s="18"/>
    </row>
    <row r="24" spans="1:23" x14ac:dyDescent="0.2">
      <c r="A24" t="str">
        <f t="shared" si="10"/>
        <v>2016 / 4</v>
      </c>
      <c r="C24" s="222">
        <f>'[2]TWIA 4 Premium Trend'!C44</f>
        <v>4047</v>
      </c>
      <c r="D24" s="222">
        <f>'[2]TWIA 4 Premium Trend'!B44</f>
        <v>14955154</v>
      </c>
      <c r="E24" s="223">
        <f>'[2]TWIA 5'!I374</f>
        <v>1.1071889513986732</v>
      </c>
      <c r="F24" s="127">
        <f t="shared" si="8"/>
        <v>16558181.275265673</v>
      </c>
      <c r="G24" s="135">
        <f t="shared" si="4"/>
        <v>4091.4705399717504</v>
      </c>
      <c r="H24" s="160">
        <f t="shared" si="6"/>
        <v>4581.3771648811899</v>
      </c>
      <c r="I24" s="152">
        <f t="shared" si="9"/>
        <v>4451.8848543983067</v>
      </c>
      <c r="J24" s="18"/>
      <c r="K24" s="18"/>
      <c r="L24" s="18"/>
      <c r="M24" s="2"/>
      <c r="N24" s="49">
        <f t="shared" si="11"/>
        <v>42735</v>
      </c>
      <c r="O24">
        <f t="shared" si="12"/>
        <v>2017</v>
      </c>
      <c r="Q24" s="18"/>
      <c r="R24" s="18"/>
      <c r="S24" s="18"/>
      <c r="T24" s="18"/>
      <c r="U24" s="18"/>
      <c r="V24" s="18"/>
      <c r="W24" s="18"/>
    </row>
    <row r="25" spans="1:23" x14ac:dyDescent="0.2">
      <c r="A25" t="str">
        <f t="shared" si="10"/>
        <v>2017 / 1</v>
      </c>
      <c r="C25" s="222">
        <f>'[2]TWIA 4 Premium Trend'!C45</f>
        <v>4263</v>
      </c>
      <c r="D25" s="222">
        <f>'[2]TWIA 4 Premium Trend'!B45</f>
        <v>17482209</v>
      </c>
      <c r="E25" s="223">
        <f>'[2]TWIA 5'!I375</f>
        <v>1.1025</v>
      </c>
      <c r="F25" s="127">
        <f>D25*E25</f>
        <v>19274135.422499999</v>
      </c>
      <c r="G25" s="135">
        <f t="shared" si="4"/>
        <v>4521.2609482758617</v>
      </c>
      <c r="H25" s="160">
        <f t="shared" si="6"/>
        <v>4539.4686262248888</v>
      </c>
      <c r="I25" s="152">
        <f t="shared" si="9"/>
        <v>4492.8070489029014</v>
      </c>
      <c r="J25" s="18"/>
      <c r="K25" s="18"/>
      <c r="L25" s="18"/>
      <c r="M25" s="2"/>
      <c r="N25" s="49">
        <f t="shared" si="11"/>
        <v>42825</v>
      </c>
      <c r="O25">
        <f t="shared" si="12"/>
        <v>2017.25</v>
      </c>
      <c r="Q25" s="18"/>
      <c r="R25" s="18"/>
      <c r="S25" s="18"/>
      <c r="T25" s="18"/>
      <c r="U25" s="18"/>
      <c r="V25" s="18"/>
      <c r="W25" s="18"/>
    </row>
    <row r="26" spans="1:23" x14ac:dyDescent="0.2">
      <c r="A26" t="str">
        <f t="shared" si="10"/>
        <v>2017 / 2</v>
      </c>
      <c r="B26" s="22"/>
      <c r="C26" s="222">
        <f>'[2]TWIA 4 Premium Trend'!C46</f>
        <v>5717</v>
      </c>
      <c r="D26" s="222">
        <f>'[2]TWIA 4 Premium Trend'!B46</f>
        <v>25224489</v>
      </c>
      <c r="E26" s="223">
        <f>'[2]TWIA 5'!I376</f>
        <v>1.1025000000000003</v>
      </c>
      <c r="F26" s="127">
        <f t="shared" si="8"/>
        <v>27809999.122500006</v>
      </c>
      <c r="G26" s="135">
        <f t="shared" si="4"/>
        <v>4864.4392377995464</v>
      </c>
      <c r="H26" s="160">
        <f t="shared" si="6"/>
        <v>4485.6518632582565</v>
      </c>
      <c r="I26" s="152">
        <f t="shared" si="9"/>
        <v>4534.1054045297715</v>
      </c>
      <c r="J26" s="18"/>
      <c r="K26" s="18"/>
      <c r="L26" s="18"/>
      <c r="M26" s="2"/>
      <c r="N26" s="49">
        <f t="shared" si="11"/>
        <v>42916</v>
      </c>
      <c r="O26">
        <f t="shared" si="12"/>
        <v>2017.5</v>
      </c>
      <c r="Q26" s="18"/>
      <c r="R26" s="18"/>
      <c r="S26" s="18"/>
      <c r="T26" s="18"/>
      <c r="U26" s="18"/>
      <c r="V26" s="18"/>
      <c r="W26" s="18"/>
    </row>
    <row r="27" spans="1:23" x14ac:dyDescent="0.2">
      <c r="A27" t="str">
        <f t="shared" si="10"/>
        <v>2017 / 3</v>
      </c>
      <c r="B27" s="22"/>
      <c r="C27" s="222">
        <f>'[2]TWIA 4 Premium Trend'!C47</f>
        <v>5172</v>
      </c>
      <c r="D27" s="222">
        <f>'[2]TWIA 4 Premium Trend'!B47</f>
        <v>19050031</v>
      </c>
      <c r="E27" s="223">
        <f>'[2]TWIA 5'!I377</f>
        <v>1.1024999999999998</v>
      </c>
      <c r="F27" s="127">
        <f t="shared" si="8"/>
        <v>21002659.177499995</v>
      </c>
      <c r="G27" s="135">
        <f>F27/C27</f>
        <v>4060.8389747679803</v>
      </c>
      <c r="H27" s="160">
        <f>IFERROR(SUM(F24:F27)/SUM(C24:C27),0)</f>
        <v>4408.8220739499802</v>
      </c>
      <c r="I27" s="152">
        <f t="shared" si="9"/>
        <v>4575.7833789915749</v>
      </c>
      <c r="J27" s="18"/>
      <c r="K27" s="18"/>
      <c r="L27" s="18"/>
      <c r="M27" s="2"/>
      <c r="N27" s="49">
        <f t="shared" si="11"/>
        <v>43008</v>
      </c>
      <c r="O27">
        <f t="shared" si="12"/>
        <v>2017.75</v>
      </c>
      <c r="Q27" s="18"/>
      <c r="R27" s="18"/>
      <c r="S27" s="18"/>
      <c r="T27" s="18"/>
      <c r="U27" s="18"/>
      <c r="V27" s="18"/>
      <c r="W27" s="18"/>
    </row>
    <row r="28" spans="1:23" x14ac:dyDescent="0.2">
      <c r="A28" t="str">
        <f t="shared" si="10"/>
        <v>2017 / 4</v>
      </c>
      <c r="B28" s="22"/>
      <c r="C28" s="222">
        <f>'[2]TWIA 4 Premium Trend'!C48</f>
        <v>3489</v>
      </c>
      <c r="D28" s="222">
        <f>'[2]TWIA 4 Premium Trend'!B48</f>
        <v>13077837</v>
      </c>
      <c r="E28" s="223">
        <f>'[2]TWIA 5'!I378</f>
        <v>1.1024999999999998</v>
      </c>
      <c r="F28" s="127">
        <f t="shared" si="8"/>
        <v>14418315.292499997</v>
      </c>
      <c r="G28" s="135">
        <f t="shared" si="4"/>
        <v>4132.5065326741178</v>
      </c>
      <c r="H28" s="160">
        <f t="shared" si="6"/>
        <v>4426.0023075478775</v>
      </c>
      <c r="I28" s="152">
        <f t="shared" si="9"/>
        <v>4617.8444617846271</v>
      </c>
      <c r="J28" s="18"/>
      <c r="K28" s="18"/>
      <c r="L28" s="18"/>
      <c r="M28" s="2"/>
      <c r="N28" s="49">
        <f t="shared" si="11"/>
        <v>43100</v>
      </c>
      <c r="O28">
        <f t="shared" si="12"/>
        <v>2018</v>
      </c>
      <c r="Q28" s="18"/>
      <c r="R28" s="18"/>
      <c r="S28" s="18"/>
      <c r="T28" s="18"/>
      <c r="U28" s="18"/>
      <c r="V28" s="18"/>
      <c r="W28" s="18"/>
    </row>
    <row r="29" spans="1:23" x14ac:dyDescent="0.2">
      <c r="A29" t="str">
        <f t="shared" si="10"/>
        <v>2018 / 1</v>
      </c>
      <c r="B29" s="22"/>
      <c r="C29" s="222">
        <f>'[2]TWIA 4 Premium Trend'!C49</f>
        <v>3663</v>
      </c>
      <c r="D29" s="222">
        <f>'[2]TWIA 4 Premium Trend'!B49</f>
        <v>15807970</v>
      </c>
      <c r="E29" s="223">
        <f>'[2]TWIA 5'!I379</f>
        <v>1.0963494619655838</v>
      </c>
      <c r="F29" s="127">
        <f t="shared" si="8"/>
        <v>17331059.40426809</v>
      </c>
      <c r="G29" s="135">
        <f t="shared" si="4"/>
        <v>4731.3839487491368</v>
      </c>
      <c r="H29" s="160">
        <f t="shared" si="6"/>
        <v>4465.4970897826115</v>
      </c>
      <c r="I29" s="152">
        <f t="shared" si="9"/>
        <v>4660.2921744810637</v>
      </c>
      <c r="J29" s="93"/>
      <c r="K29" s="93"/>
      <c r="L29" s="93"/>
      <c r="M29" s="2"/>
      <c r="N29" s="49">
        <f t="shared" si="11"/>
        <v>43190</v>
      </c>
      <c r="O29">
        <f t="shared" si="12"/>
        <v>2018.25</v>
      </c>
      <c r="Q29" s="18"/>
      <c r="R29" s="18"/>
      <c r="S29" s="18"/>
      <c r="T29" s="18"/>
      <c r="U29" s="18"/>
      <c r="V29" s="18"/>
      <c r="W29" s="18"/>
    </row>
    <row r="30" spans="1:23" x14ac:dyDescent="0.2">
      <c r="A30" t="str">
        <f t="shared" si="10"/>
        <v>2018 / 2</v>
      </c>
      <c r="B30" s="22"/>
      <c r="C30" s="222">
        <f>'[2]TWIA 4 Premium Trend'!C50</f>
        <v>5108</v>
      </c>
      <c r="D30" s="222">
        <f>'[2]TWIA 4 Premium Trend'!B50</f>
        <v>22862777</v>
      </c>
      <c r="E30" s="223">
        <f>'[2]TWIA 5'!I380</f>
        <v>1.0835713915824325</v>
      </c>
      <c r="F30" s="127">
        <f t="shared" si="8"/>
        <v>24773451.089328833</v>
      </c>
      <c r="G30" s="135">
        <f t="shared" si="4"/>
        <v>4849.9316932906877</v>
      </c>
      <c r="H30" s="160">
        <f t="shared" si="6"/>
        <v>4447.3086830883958</v>
      </c>
      <c r="I30" s="152">
        <f t="shared" si="9"/>
        <v>4703.1300710236792</v>
      </c>
      <c r="J30" s="93"/>
      <c r="K30" s="93"/>
      <c r="L30" s="93"/>
      <c r="M30" s="2"/>
      <c r="N30" s="49">
        <f t="shared" si="11"/>
        <v>43281</v>
      </c>
      <c r="O30">
        <f t="shared" si="12"/>
        <v>2018.5</v>
      </c>
      <c r="Q30" s="18"/>
      <c r="R30" s="18"/>
      <c r="S30" s="18"/>
      <c r="T30" s="18"/>
      <c r="U30" s="18"/>
      <c r="V30" s="18"/>
      <c r="W30" s="18"/>
    </row>
    <row r="31" spans="1:23" x14ac:dyDescent="0.2">
      <c r="A31" t="str">
        <f t="shared" si="10"/>
        <v>2018 / 3</v>
      </c>
      <c r="B31" s="22"/>
      <c r="C31" s="222">
        <f>'[2]TWIA 4 Premium Trend'!C51</f>
        <v>4612</v>
      </c>
      <c r="D31" s="222">
        <f>'[2]TWIA 4 Premium Trend'!B51</f>
        <v>17927115</v>
      </c>
      <c r="E31" s="223">
        <f>'[2]TWIA 5'!I381</f>
        <v>1.0664454028906998</v>
      </c>
      <c r="F31" s="127">
        <f t="shared" si="8"/>
        <v>19118289.378842909</v>
      </c>
      <c r="G31" s="135">
        <f t="shared" si="4"/>
        <v>4145.3359451090437</v>
      </c>
      <c r="H31" s="160">
        <f t="shared" si="6"/>
        <v>4483.2334735028344</v>
      </c>
      <c r="I31" s="152">
        <f t="shared" si="9"/>
        <v>4746.3617380234873</v>
      </c>
      <c r="J31" s="93"/>
      <c r="K31" s="93"/>
      <c r="L31" s="93"/>
      <c r="M31" s="2"/>
      <c r="N31" s="49">
        <f t="shared" si="11"/>
        <v>43373</v>
      </c>
      <c r="O31">
        <f t="shared" si="12"/>
        <v>2018.75</v>
      </c>
      <c r="Q31" s="18"/>
      <c r="R31" s="18"/>
      <c r="S31" s="18"/>
      <c r="T31" s="18"/>
      <c r="U31" s="18"/>
      <c r="V31" s="18"/>
      <c r="W31" s="18"/>
    </row>
    <row r="32" spans="1:23" x14ac:dyDescent="0.2">
      <c r="A32" t="str">
        <f t="shared" si="10"/>
        <v>2018 / 4</v>
      </c>
      <c r="B32" s="22"/>
      <c r="C32" s="222">
        <f>'[2]TWIA 4 Premium Trend'!C52</f>
        <v>3109</v>
      </c>
      <c r="D32" s="222">
        <f>'[2]TWIA 4 Premium Trend'!B52</f>
        <v>12284401</v>
      </c>
      <c r="E32" s="223">
        <f>'[2]TWIA 5'!I382</f>
        <v>1.0545559318545092</v>
      </c>
      <c r="F32" s="127">
        <f t="shared" si="8"/>
        <v>12954587.943829466</v>
      </c>
      <c r="G32" s="135">
        <f t="shared" si="4"/>
        <v>4166.8021691313816</v>
      </c>
      <c r="H32" s="160">
        <f t="shared" si="6"/>
        <v>4497.7800034119145</v>
      </c>
      <c r="I32" s="152">
        <f t="shared" si="9"/>
        <v>4789.990795059939</v>
      </c>
      <c r="J32" s="93"/>
      <c r="K32" s="93"/>
      <c r="L32" s="93"/>
      <c r="M32" s="2"/>
      <c r="N32" s="49">
        <f t="shared" si="11"/>
        <v>43465</v>
      </c>
      <c r="O32">
        <f t="shared" si="12"/>
        <v>2019</v>
      </c>
      <c r="Q32" s="18"/>
      <c r="R32" s="18"/>
      <c r="S32" s="18"/>
      <c r="T32" s="18"/>
      <c r="U32" s="18"/>
      <c r="V32" s="18"/>
      <c r="W32" s="18"/>
    </row>
    <row r="33" spans="1:30" x14ac:dyDescent="0.2">
      <c r="A33" t="str">
        <f t="shared" si="10"/>
        <v>2019 / 1</v>
      </c>
      <c r="B33" s="22"/>
      <c r="C33" s="222">
        <f>'[2]TWIA 4 Premium Trend'!C53</f>
        <v>2933</v>
      </c>
      <c r="D33" s="222">
        <f>'[2]TWIA 4 Premium Trend'!B53</f>
        <v>14759154</v>
      </c>
      <c r="E33" s="223">
        <f>'[2]TWIA 5'!I383</f>
        <v>1.05</v>
      </c>
      <c r="F33" s="127">
        <f t="shared" si="8"/>
        <v>15497111.700000001</v>
      </c>
      <c r="G33" s="135">
        <f t="shared" si="4"/>
        <v>5283.7066825775664</v>
      </c>
      <c r="H33" s="160">
        <f t="shared" si="6"/>
        <v>4589.7373500825533</v>
      </c>
      <c r="I33" s="152">
        <f t="shared" si="9"/>
        <v>4834.0208949842445</v>
      </c>
      <c r="J33" s="26">
        <f>GROWTH($H$33:$H$52,$O$33:$O$52,$O33,1)</f>
        <v>4261.8516780727805</v>
      </c>
      <c r="K33" s="26"/>
      <c r="L33" s="26"/>
      <c r="M33" s="2"/>
      <c r="N33" s="49">
        <f t="shared" si="11"/>
        <v>43555</v>
      </c>
      <c r="O33">
        <f t="shared" si="12"/>
        <v>2019.25</v>
      </c>
      <c r="Q33" s="18"/>
      <c r="R33" s="18"/>
      <c r="S33" s="18"/>
      <c r="T33" s="18"/>
      <c r="U33" s="18"/>
      <c r="V33" s="18"/>
      <c r="W33" s="18"/>
    </row>
    <row r="34" spans="1:30" x14ac:dyDescent="0.2">
      <c r="A34" t="str">
        <f t="shared" si="10"/>
        <v>2019 / 2</v>
      </c>
      <c r="B34" s="22"/>
      <c r="C34" s="222">
        <f>'[2]TWIA 4 Premium Trend'!C54</f>
        <v>4431</v>
      </c>
      <c r="D34" s="222">
        <f>'[2]TWIA 4 Premium Trend'!B54</f>
        <v>20959587</v>
      </c>
      <c r="E34" s="223">
        <f>'[2]TWIA 5'!I384</f>
        <v>1.0499999999999998</v>
      </c>
      <c r="F34" s="127">
        <f t="shared" si="8"/>
        <v>22007566.349999998</v>
      </c>
      <c r="G34" s="135">
        <f t="shared" si="4"/>
        <v>4966.7267772511841</v>
      </c>
      <c r="H34" s="160">
        <f t="shared" si="6"/>
        <v>4612.3669454870651</v>
      </c>
      <c r="I34" s="152">
        <f t="shared" si="9"/>
        <v>4878.4557242248038</v>
      </c>
      <c r="J34" s="26">
        <f t="shared" ref="J34:J52" si="13">GROWTH($H$33:$H$52,$O$33:$O$52,$O34,1)</f>
        <v>4353.4242447499309</v>
      </c>
      <c r="K34" s="26"/>
      <c r="L34" s="26"/>
      <c r="M34" s="2"/>
      <c r="N34" s="49">
        <f t="shared" si="11"/>
        <v>43646</v>
      </c>
      <c r="O34">
        <f t="shared" si="12"/>
        <v>2019.5</v>
      </c>
      <c r="Q34" s="18"/>
      <c r="R34" s="18"/>
      <c r="S34" s="18"/>
      <c r="T34" s="18"/>
      <c r="U34" s="18"/>
      <c r="V34" s="18"/>
      <c r="W34" s="18"/>
    </row>
    <row r="35" spans="1:30" x14ac:dyDescent="0.2">
      <c r="A35" t="str">
        <f t="shared" si="10"/>
        <v>2019 / 3</v>
      </c>
      <c r="B35" s="22"/>
      <c r="C35" s="222">
        <f>'[2]TWIA 4 Premium Trend'!C55</f>
        <v>3993</v>
      </c>
      <c r="D35" s="222">
        <f>'[2]TWIA 4 Premium Trend'!B55</f>
        <v>14943999</v>
      </c>
      <c r="E35" s="223">
        <f>'[2]TWIA 5'!I385</f>
        <v>1.0500000000000003</v>
      </c>
      <c r="F35" s="127">
        <f t="shared" si="8"/>
        <v>15691198.950000005</v>
      </c>
      <c r="G35" s="135">
        <f t="shared" si="4"/>
        <v>3929.6766716754332</v>
      </c>
      <c r="H35" s="160">
        <f t="shared" si="6"/>
        <v>4572.8235133298394</v>
      </c>
      <c r="I35" s="152">
        <f t="shared" si="9"/>
        <v>4923.2990030961209</v>
      </c>
      <c r="J35" s="26">
        <f t="shared" si="13"/>
        <v>4446.964391624907</v>
      </c>
      <c r="K35" s="26"/>
      <c r="L35" s="26"/>
      <c r="M35" s="2"/>
      <c r="N35" s="49">
        <f t="shared" si="11"/>
        <v>43738</v>
      </c>
      <c r="O35">
        <f t="shared" si="12"/>
        <v>2019.75</v>
      </c>
      <c r="Q35" s="18"/>
      <c r="R35" s="18"/>
      <c r="S35" s="18"/>
      <c r="T35" s="18"/>
      <c r="U35" s="18"/>
      <c r="V35" s="18"/>
      <c r="W35" s="18"/>
    </row>
    <row r="36" spans="1:30" x14ac:dyDescent="0.2">
      <c r="A36" t="str">
        <f t="shared" si="10"/>
        <v>2019 / 4</v>
      </c>
      <c r="C36" s="222">
        <f>'[2]TWIA 4 Premium Trend'!C56</f>
        <v>2966</v>
      </c>
      <c r="D36" s="222">
        <f>'[2]TWIA 4 Premium Trend'!B56</f>
        <v>12109737</v>
      </c>
      <c r="E36" s="223">
        <f>'[2]TWIA 5'!I386</f>
        <v>1.05</v>
      </c>
      <c r="F36" s="127">
        <f t="shared" si="8"/>
        <v>12715223.85</v>
      </c>
      <c r="G36" s="135">
        <f t="shared" si="4"/>
        <v>4286.9938806473365</v>
      </c>
      <c r="H36" s="160">
        <f t="shared" si="6"/>
        <v>4601.7664490679326</v>
      </c>
      <c r="I36" s="152">
        <f t="shared" si="9"/>
        <v>4968.5544861102271</v>
      </c>
      <c r="J36" s="26">
        <f t="shared" si="13"/>
        <v>4542.5143952437884</v>
      </c>
      <c r="K36" s="26"/>
      <c r="L36" s="26"/>
      <c r="M36" s="2"/>
      <c r="N36" s="49">
        <f t="shared" si="11"/>
        <v>43830</v>
      </c>
      <c r="O36">
        <f t="shared" si="12"/>
        <v>2020</v>
      </c>
      <c r="Q36" s="18"/>
      <c r="R36" s="18"/>
      <c r="S36" s="18"/>
      <c r="T36" s="18"/>
      <c r="U36" s="18"/>
      <c r="V36" s="18"/>
      <c r="W36" s="18"/>
    </row>
    <row r="37" spans="1:30" x14ac:dyDescent="0.2">
      <c r="A37" t="str">
        <f t="shared" si="10"/>
        <v>2020 / 1</v>
      </c>
      <c r="C37" s="222">
        <f>'[2]TWIA 4 Premium Trend'!C57</f>
        <v>2719</v>
      </c>
      <c r="D37" s="222">
        <f>'[2]TWIA 4 Premium Trend'!B57</f>
        <v>14566185</v>
      </c>
      <c r="E37" s="223">
        <f>'[2]TWIA 5'!I387</f>
        <v>1.0500000000000003</v>
      </c>
      <c r="F37" s="127">
        <f t="shared" si="8"/>
        <v>15294494.250000004</v>
      </c>
      <c r="G37" s="135">
        <f t="shared" si="4"/>
        <v>5625.0438580360442</v>
      </c>
      <c r="H37" s="160">
        <f t="shared" si="6"/>
        <v>4657.2034446098241</v>
      </c>
      <c r="I37" s="152">
        <f t="shared" si="9"/>
        <v>5014.2259622910178</v>
      </c>
      <c r="J37" s="26">
        <f t="shared" si="13"/>
        <v>4640.1174405304137</v>
      </c>
      <c r="K37" s="26">
        <f>GROWTH($H$37:$H$52,$O$37:$O$52,$O37,1)</f>
        <v>4408.2531232240926</v>
      </c>
      <c r="L37" s="26"/>
      <c r="M37" s="2"/>
      <c r="N37" s="49">
        <f t="shared" si="11"/>
        <v>43921</v>
      </c>
      <c r="O37">
        <f>YEAR(N37)+MONTH(N37)/12</f>
        <v>2020.25</v>
      </c>
      <c r="Q37" s="18"/>
      <c r="R37" s="18"/>
      <c r="S37" s="18"/>
      <c r="T37" s="18"/>
      <c r="U37" s="18"/>
      <c r="V37" s="18"/>
      <c r="W37" s="18"/>
    </row>
    <row r="38" spans="1:30" x14ac:dyDescent="0.2">
      <c r="A38" t="str">
        <f t="shared" si="10"/>
        <v>2020 / 2</v>
      </c>
      <c r="C38" s="222">
        <f>'[2]TWIA 4 Premium Trend'!C58</f>
        <v>3982</v>
      </c>
      <c r="D38" s="222">
        <f>'[2]TWIA 4 Premium Trend'!B58</f>
        <v>18776705</v>
      </c>
      <c r="E38" s="223">
        <f>'[2]TWIA 5'!I388</f>
        <v>1.05</v>
      </c>
      <c r="F38" s="127">
        <f t="shared" si="8"/>
        <v>19715540.25</v>
      </c>
      <c r="G38" s="135">
        <f t="shared" si="4"/>
        <v>4951.1653063787044</v>
      </c>
      <c r="H38" s="160">
        <f t="shared" si="6"/>
        <v>4642.493213762812</v>
      </c>
      <c r="I38" s="152">
        <f t="shared" si="9"/>
        <v>5060.3172554915</v>
      </c>
      <c r="J38" s="26">
        <f t="shared" si="13"/>
        <v>4739.8176403048292</v>
      </c>
      <c r="K38" s="26">
        <f t="shared" ref="K38:K52" si="14">GROWTH($H$37:$H$52,$O$37:$O$52,$O38,1)</f>
        <v>4527.3310143957442</v>
      </c>
      <c r="L38" s="26"/>
      <c r="M38" s="2"/>
      <c r="N38" s="49">
        <f t="shared" si="11"/>
        <v>44012</v>
      </c>
      <c r="O38">
        <f t="shared" si="12"/>
        <v>2020.5</v>
      </c>
      <c r="Q38" s="18"/>
      <c r="R38" s="18"/>
      <c r="S38" s="18"/>
      <c r="T38" s="18"/>
      <c r="U38" s="18"/>
      <c r="V38" s="18"/>
      <c r="W38" s="18"/>
    </row>
    <row r="39" spans="1:30" x14ac:dyDescent="0.2">
      <c r="A39" t="str">
        <f t="shared" si="10"/>
        <v>2020 / 3</v>
      </c>
      <c r="C39" s="222">
        <f>'[2]TWIA 4 Premium Trend'!C59</f>
        <v>3970</v>
      </c>
      <c r="D39" s="222">
        <f>'[2]TWIA 4 Premium Trend'!B59</f>
        <v>15951658</v>
      </c>
      <c r="E39" s="223">
        <f>'[2]TWIA 5'!I389</f>
        <v>1.05</v>
      </c>
      <c r="F39" s="127">
        <f t="shared" si="8"/>
        <v>16749240.9</v>
      </c>
      <c r="G39" s="135">
        <f t="shared" si="4"/>
        <v>4218.9523677581865</v>
      </c>
      <c r="H39" s="160">
        <f t="shared" si="6"/>
        <v>4727.9093092322355</v>
      </c>
      <c r="I39" s="152">
        <f t="shared" si="9"/>
        <v>5106.8322247139395</v>
      </c>
      <c r="J39" s="26">
        <f t="shared" si="13"/>
        <v>4841.6600552197997</v>
      </c>
      <c r="K39" s="26">
        <f t="shared" si="14"/>
        <v>4649.6254958513355</v>
      </c>
      <c r="L39" s="26"/>
      <c r="M39" s="2"/>
      <c r="N39" s="49">
        <f t="shared" si="11"/>
        <v>44104</v>
      </c>
      <c r="O39">
        <f t="shared" si="12"/>
        <v>2020.75</v>
      </c>
      <c r="Q39" s="18"/>
      <c r="R39" s="18"/>
      <c r="S39" s="18"/>
      <c r="T39" s="18"/>
      <c r="U39" s="18"/>
      <c r="V39" s="18"/>
      <c r="W39" s="18"/>
    </row>
    <row r="40" spans="1:30" x14ac:dyDescent="0.2">
      <c r="A40" t="str">
        <f t="shared" si="10"/>
        <v>2020 / 4</v>
      </c>
      <c r="C40" s="222">
        <f>'[2]TWIA 4 Premium Trend'!C60</f>
        <v>2710</v>
      </c>
      <c r="D40" s="222">
        <f>'[2]TWIA 4 Premium Trend'!B60</f>
        <v>13543203</v>
      </c>
      <c r="E40" s="223">
        <f>'[2]TWIA 5'!I390</f>
        <v>1.05</v>
      </c>
      <c r="F40" s="127">
        <f t="shared" si="8"/>
        <v>14220363.15</v>
      </c>
      <c r="G40" s="135">
        <f t="shared" si="4"/>
        <v>5247.3664760147603</v>
      </c>
      <c r="H40" s="160">
        <f t="shared" si="6"/>
        <v>4930.8451199461924</v>
      </c>
      <c r="I40" s="152">
        <f t="shared" si="9"/>
        <v>5153.7747644329547</v>
      </c>
      <c r="J40" s="26">
        <f t="shared" si="13"/>
        <v>4945.6907141270103</v>
      </c>
      <c r="K40" s="26">
        <f t="shared" si="14"/>
        <v>4775.2234557023767</v>
      </c>
      <c r="L40" s="26"/>
      <c r="M40" s="2"/>
      <c r="N40" s="49">
        <f t="shared" si="11"/>
        <v>44196</v>
      </c>
      <c r="O40">
        <f t="shared" si="12"/>
        <v>2021</v>
      </c>
      <c r="Q40" s="18"/>
      <c r="R40" s="18"/>
      <c r="S40" s="18"/>
      <c r="T40" s="18"/>
      <c r="U40" s="18"/>
      <c r="V40" s="18"/>
      <c r="W40" s="18"/>
    </row>
    <row r="41" spans="1:30" x14ac:dyDescent="0.2">
      <c r="A41" t="str">
        <f t="shared" si="10"/>
        <v>2021 / 1</v>
      </c>
      <c r="C41" s="222">
        <f>'[2]TWIA 4 Premium Trend'!C61</f>
        <v>2521</v>
      </c>
      <c r="D41" s="222">
        <f>'[2]TWIA 4 Premium Trend'!B61</f>
        <v>12672604</v>
      </c>
      <c r="E41" s="223">
        <f>'[2]TWIA 5'!I391</f>
        <v>1.05</v>
      </c>
      <c r="F41" s="127">
        <f t="shared" si="8"/>
        <v>13306234.200000001</v>
      </c>
      <c r="G41" s="135">
        <f t="shared" si="4"/>
        <v>5278.1571598572</v>
      </c>
      <c r="H41" s="160">
        <f t="shared" si="6"/>
        <v>4854.0831753015245</v>
      </c>
      <c r="I41" s="152">
        <f t="shared" si="9"/>
        <v>5201.1488049215868</v>
      </c>
      <c r="J41" s="26">
        <f t="shared" si="13"/>
        <v>5051.9566348800645</v>
      </c>
      <c r="K41" s="26">
        <f t="shared" si="14"/>
        <v>4904.2141291240414</v>
      </c>
      <c r="L41" s="26">
        <f>GROWTH($H$41:$H$52,$O$41:$O$52,$O41,1)</f>
        <v>4656.3927588799243</v>
      </c>
      <c r="M41" s="2"/>
      <c r="N41" s="49">
        <f t="shared" si="11"/>
        <v>44286</v>
      </c>
      <c r="O41">
        <f t="shared" si="12"/>
        <v>2021.25</v>
      </c>
      <c r="Q41" s="18"/>
      <c r="R41" s="18"/>
      <c r="S41" s="18"/>
      <c r="T41" s="18"/>
      <c r="U41" s="18"/>
      <c r="V41" s="18"/>
      <c r="W41" s="18"/>
    </row>
    <row r="42" spans="1:30" x14ac:dyDescent="0.2">
      <c r="A42" t="str">
        <f t="shared" si="10"/>
        <v>2021 / 2</v>
      </c>
      <c r="C42" s="222">
        <f>'[2]TWIA 4 Premium Trend'!C62</f>
        <v>4228</v>
      </c>
      <c r="D42" s="222">
        <f>'[2]TWIA 4 Premium Trend'!B62</f>
        <v>20348072</v>
      </c>
      <c r="E42" s="223">
        <f>'[2]TWIA 5'!I392</f>
        <v>1.05</v>
      </c>
      <c r="F42" s="127">
        <f t="shared" si="8"/>
        <v>21365475.600000001</v>
      </c>
      <c r="G42" s="135">
        <f t="shared" si="4"/>
        <v>5053.3291390728482</v>
      </c>
      <c r="H42" s="160">
        <f t="shared" si="6"/>
        <v>4888.0269454166355</v>
      </c>
      <c r="I42" s="152">
        <f t="shared" si="9"/>
        <v>5248.958312580362</v>
      </c>
      <c r="J42" s="26">
        <f t="shared" si="13"/>
        <v>5160.5058455853114</v>
      </c>
      <c r="K42" s="26">
        <f t="shared" si="14"/>
        <v>5036.689161756145</v>
      </c>
      <c r="L42" s="26">
        <f t="shared" ref="L42:L52" si="15">GROWTH($H$41:$H$52,$O$41:$O$52,$O42,1)</f>
        <v>4818.0595999914085</v>
      </c>
      <c r="M42" s="2"/>
      <c r="N42" s="49">
        <f t="shared" si="11"/>
        <v>44377</v>
      </c>
      <c r="O42">
        <f t="shared" si="12"/>
        <v>2021.5</v>
      </c>
      <c r="Q42" s="18"/>
      <c r="R42" s="18"/>
      <c r="S42" s="18"/>
      <c r="T42" s="18"/>
      <c r="U42" s="18"/>
      <c r="V42" s="18"/>
      <c r="W42" s="18"/>
    </row>
    <row r="43" spans="1:30" x14ac:dyDescent="0.2">
      <c r="A43" t="str">
        <f>YEAR(N43)&amp;" / "&amp;MONTH(N43)/3</f>
        <v>2021 / 3</v>
      </c>
      <c r="B43" s="13"/>
      <c r="C43" s="222">
        <f>'[2]TWIA 4 Premium Trend'!C63</f>
        <v>3892</v>
      </c>
      <c r="D43" s="222">
        <f>'[2]TWIA 4 Premium Trend'!B63</f>
        <v>16793147</v>
      </c>
      <c r="E43" s="223">
        <f>'[2]TWIA 5'!I393</f>
        <v>1.0499999999999998</v>
      </c>
      <c r="F43" s="127">
        <f t="shared" si="8"/>
        <v>17632804.349999998</v>
      </c>
      <c r="G43" s="135">
        <f t="shared" si="4"/>
        <v>4530.5252697841725</v>
      </c>
      <c r="H43" s="160">
        <f>IFERROR(SUM(F40:F43)/SUM(C40:C43),0)</f>
        <v>4982.7636356827197</v>
      </c>
      <c r="I43" s="152">
        <f t="shared" si="9"/>
        <v>5297.2072902693753</v>
      </c>
      <c r="J43" s="26">
        <f t="shared" si="13"/>
        <v>5271.387406307852</v>
      </c>
      <c r="K43" s="26">
        <f t="shared" si="14"/>
        <v>5172.7426748153921</v>
      </c>
      <c r="L43" s="26">
        <f t="shared" si="15"/>
        <v>4985.3394056590123</v>
      </c>
      <c r="M43" s="2"/>
      <c r="N43" s="49">
        <f t="shared" si="11"/>
        <v>44469</v>
      </c>
      <c r="O43">
        <f t="shared" si="12"/>
        <v>2021.75</v>
      </c>
      <c r="Q43" s="18"/>
      <c r="R43" s="18"/>
      <c r="S43" s="18"/>
      <c r="T43" s="18"/>
      <c r="U43" s="18"/>
      <c r="V43" s="18"/>
      <c r="W43" s="18"/>
    </row>
    <row r="44" spans="1:30" x14ac:dyDescent="0.2">
      <c r="A44" t="str">
        <f t="shared" si="10"/>
        <v>2021 / 4</v>
      </c>
      <c r="C44" s="222">
        <f>'[2]TWIA 4 Premium Trend'!C64</f>
        <v>3112</v>
      </c>
      <c r="D44" s="222">
        <f>'[2]TWIA 4 Premium Trend'!B64</f>
        <v>16369478</v>
      </c>
      <c r="E44" s="223">
        <f>'[2]TWIA 5'!I394</f>
        <v>1.05</v>
      </c>
      <c r="F44" s="127">
        <f t="shared" si="8"/>
        <v>17187951.900000002</v>
      </c>
      <c r="G44" s="135">
        <f t="shared" si="4"/>
        <v>5523.1207904884322</v>
      </c>
      <c r="H44" s="160">
        <f t="shared" si="6"/>
        <v>5052.8950810732213</v>
      </c>
      <c r="I44" s="152">
        <f t="shared" si="9"/>
        <v>5345.8997776434353</v>
      </c>
      <c r="J44" s="26">
        <f t="shared" si="13"/>
        <v>5384.6514312453655</v>
      </c>
      <c r="K44" s="26">
        <f t="shared" si="14"/>
        <v>5312.4713319664279</v>
      </c>
      <c r="L44" s="26">
        <f t="shared" si="15"/>
        <v>5158.4270542563363</v>
      </c>
      <c r="M44" s="2"/>
      <c r="N44" s="49">
        <f t="shared" si="11"/>
        <v>44561</v>
      </c>
      <c r="O44">
        <f t="shared" si="12"/>
        <v>2022</v>
      </c>
      <c r="Q44" s="18"/>
      <c r="R44" s="18"/>
      <c r="S44" s="18"/>
      <c r="T44" s="18"/>
      <c r="U44" s="18"/>
      <c r="V44" s="18"/>
      <c r="W44" s="18"/>
    </row>
    <row r="45" spans="1:30" x14ac:dyDescent="0.2">
      <c r="A45" t="str">
        <f t="shared" si="10"/>
        <v>2022 / 1</v>
      </c>
      <c r="B45" s="22"/>
      <c r="C45" s="222">
        <f>'[2]TWIA 4 Premium Trend'!C65</f>
        <v>2725</v>
      </c>
      <c r="D45" s="222">
        <f>'[2]TWIA 4 Premium Trend'!B65</f>
        <v>15396927</v>
      </c>
      <c r="E45" s="223">
        <f>'[2]TWIA 5'!I395</f>
        <v>1.044300410003699</v>
      </c>
      <c r="F45" s="127">
        <f t="shared" si="8"/>
        <v>16079017.178897023</v>
      </c>
      <c r="G45" s="135">
        <f t="shared" si="4"/>
        <v>5900.5567628979898</v>
      </c>
      <c r="H45" s="160">
        <f t="shared" si="6"/>
        <v>5177.7064576124549</v>
      </c>
      <c r="I45" s="152">
        <f t="shared" si="9"/>
        <v>5395.0398514902827</v>
      </c>
      <c r="J45" s="26">
        <f t="shared" si="13"/>
        <v>5500.3491113775017</v>
      </c>
      <c r="K45" s="26">
        <f t="shared" si="14"/>
        <v>5455.9744080007185</v>
      </c>
      <c r="L45" s="26">
        <f t="shared" si="15"/>
        <v>5337.5241902046018</v>
      </c>
      <c r="M45" s="2"/>
      <c r="N45" s="49">
        <f t="shared" si="11"/>
        <v>44651</v>
      </c>
      <c r="O45">
        <f t="shared" si="12"/>
        <v>2022.25</v>
      </c>
      <c r="Q45" s="18"/>
      <c r="R45" s="18"/>
      <c r="S45" s="18"/>
      <c r="T45" s="18"/>
      <c r="U45" s="18"/>
      <c r="V45" s="18"/>
    </row>
    <row r="46" spans="1:30" x14ac:dyDescent="0.2">
      <c r="A46" t="str">
        <f t="shared" si="10"/>
        <v>2022 / 2</v>
      </c>
      <c r="B46" s="22"/>
      <c r="C46" s="222">
        <f>'[2]TWIA 4 Premium Trend'!C66</f>
        <v>4642</v>
      </c>
      <c r="D46" s="222">
        <f>'[2]TWIA 4 Premium Trend'!B66</f>
        <v>25560832</v>
      </c>
      <c r="E46" s="223">
        <f>'[2]TWIA 5'!I396</f>
        <v>1.0317032711155398</v>
      </c>
      <c r="F46" s="127">
        <f t="shared" si="8"/>
        <v>26371193.986834764</v>
      </c>
      <c r="G46" s="135">
        <f t="shared" si="4"/>
        <v>5680.9982737687988</v>
      </c>
      <c r="H46" s="160">
        <f t="shared" si="6"/>
        <v>5376.8678182264139</v>
      </c>
      <c r="I46" s="152">
        <f t="shared" si="9"/>
        <v>5444.6316260719195</v>
      </c>
      <c r="J46" s="26">
        <f t="shared" si="13"/>
        <v>5618.5327376028499</v>
      </c>
      <c r="K46" s="26">
        <f t="shared" si="14"/>
        <v>5603.3538593683752</v>
      </c>
      <c r="L46" s="26">
        <f t="shared" si="15"/>
        <v>5522.8394588835436</v>
      </c>
      <c r="M46" s="2"/>
      <c r="N46" s="49">
        <f t="shared" si="11"/>
        <v>44742</v>
      </c>
      <c r="O46">
        <f t="shared" si="12"/>
        <v>2022.5</v>
      </c>
      <c r="Q46" s="18"/>
      <c r="R46" s="18"/>
      <c r="S46" s="18"/>
      <c r="T46" s="18"/>
      <c r="U46" s="18"/>
      <c r="V46" s="18"/>
      <c r="W46" s="49"/>
      <c r="Y46" s="18"/>
      <c r="Z46" s="18"/>
      <c r="AC46" s="18"/>
      <c r="AD46" s="18"/>
    </row>
    <row r="47" spans="1:30" x14ac:dyDescent="0.2">
      <c r="A47" t="str">
        <f t="shared" si="10"/>
        <v>2022 / 3</v>
      </c>
      <c r="B47" s="22"/>
      <c r="C47" s="222">
        <f>'[2]TWIA 4 Premium Trend'!C67</f>
        <v>5337</v>
      </c>
      <c r="D47" s="222">
        <f>'[2]TWIA 4 Premium Trend'!B67</f>
        <v>29199819</v>
      </c>
      <c r="E47" s="223">
        <f>'[2]TWIA 5'!I397</f>
        <v>1.015232887108092</v>
      </c>
      <c r="F47" s="127">
        <f t="shared" si="8"/>
        <v>29644616.546403721</v>
      </c>
      <c r="G47" s="135">
        <f t="shared" si="4"/>
        <v>5554.5468514902977</v>
      </c>
      <c r="H47" s="160">
        <f t="shared" si="6"/>
        <v>5645.092287059656</v>
      </c>
      <c r="I47" s="152">
        <f t="shared" si="9"/>
        <v>5494.6792534690785</v>
      </c>
      <c r="J47" s="26">
        <f t="shared" si="13"/>
        <v>5739.2557243714909</v>
      </c>
      <c r="K47" s="26">
        <f t="shared" si="14"/>
        <v>5754.7143966176791</v>
      </c>
      <c r="L47" s="26">
        <f t="shared" si="15"/>
        <v>5714.5887497011709</v>
      </c>
      <c r="M47" s="2"/>
      <c r="N47" s="49">
        <f t="shared" si="11"/>
        <v>44834</v>
      </c>
      <c r="O47">
        <f t="shared" si="12"/>
        <v>2022.75</v>
      </c>
      <c r="Q47" s="18"/>
      <c r="R47" s="18"/>
      <c r="S47" s="18"/>
      <c r="T47" s="18"/>
      <c r="U47" s="18"/>
      <c r="V47" s="18"/>
      <c r="W47" s="49"/>
      <c r="Y47" s="18"/>
      <c r="Z47" s="18"/>
      <c r="AC47" s="18"/>
      <c r="AD47" s="18"/>
    </row>
    <row r="48" spans="1:30" x14ac:dyDescent="0.2">
      <c r="A48" t="str">
        <f t="shared" si="10"/>
        <v>2022 / 4</v>
      </c>
      <c r="C48" s="222">
        <f>'[2]TWIA 4 Premium Trend'!C68</f>
        <v>3496</v>
      </c>
      <c r="D48" s="222">
        <f>'[2]TWIA 4 Premium Trend'!B68</f>
        <v>22787093</v>
      </c>
      <c r="E48" s="223">
        <f>'[2]TWIA 5'!I398</f>
        <v>1.0050875291673478</v>
      </c>
      <c r="F48" s="127">
        <f t="shared" si="8"/>
        <v>22903023.000276566</v>
      </c>
      <c r="G48" s="135">
        <f t="shared" si="4"/>
        <v>6551.2079520241896</v>
      </c>
      <c r="H48" s="160">
        <f t="shared" si="6"/>
        <v>5864.064858790869</v>
      </c>
      <c r="I48" s="152">
        <f t="shared" si="9"/>
        <v>5545.1869239288553</v>
      </c>
      <c r="J48" s="26">
        <f t="shared" si="13"/>
        <v>5862.5726338268878</v>
      </c>
      <c r="K48" s="26">
        <f t="shared" si="14"/>
        <v>5910.1635587888522</v>
      </c>
      <c r="L48" s="26">
        <f t="shared" si="15"/>
        <v>5912.995447600958</v>
      </c>
      <c r="M48" s="2"/>
      <c r="N48" s="49">
        <f>DATE(YEAR(N49+1),MONTH(N49+1)-3,1)-1</f>
        <v>44926</v>
      </c>
      <c r="O48">
        <f>YEAR(N48)+MONTH(N48)/12</f>
        <v>2023</v>
      </c>
      <c r="Q48" s="18"/>
      <c r="R48" s="18"/>
      <c r="S48" s="18"/>
      <c r="T48" s="18"/>
      <c r="U48" s="18"/>
      <c r="V48" s="18"/>
      <c r="W48" s="49"/>
      <c r="Y48" s="18"/>
      <c r="Z48" s="18"/>
      <c r="AC48" s="18"/>
      <c r="AD48" s="18"/>
    </row>
    <row r="49" spans="1:30" x14ac:dyDescent="0.2">
      <c r="A49" t="str">
        <f t="shared" si="10"/>
        <v>2023 / 1</v>
      </c>
      <c r="B49" s="22"/>
      <c r="C49" s="222">
        <f>'[2]TWIA 4 Premium Trend'!C69</f>
        <v>3273</v>
      </c>
      <c r="D49" s="222">
        <f>'[2]TWIA 4 Premium Trend'!B69</f>
        <v>22499113</v>
      </c>
      <c r="E49" s="223">
        <f>'[2]TWIA 5'!I399</f>
        <v>1</v>
      </c>
      <c r="F49" s="127">
        <f>D49*E49</f>
        <v>22499113</v>
      </c>
      <c r="G49" s="135">
        <f t="shared" si="4"/>
        <v>6874.1561258783986</v>
      </c>
      <c r="H49" s="160">
        <f t="shared" si="6"/>
        <v>6055.5258259801203</v>
      </c>
      <c r="I49" s="152">
        <f t="shared" si="9"/>
        <v>5596.1588662155391</v>
      </c>
      <c r="J49" s="26">
        <f t="shared" si="13"/>
        <v>5988.5392004655459</v>
      </c>
      <c r="K49" s="26">
        <f t="shared" si="14"/>
        <v>6069.8117898199698</v>
      </c>
      <c r="L49" s="26">
        <f t="shared" si="15"/>
        <v>6118.2906933031654</v>
      </c>
      <c r="M49" s="2"/>
      <c r="N49" s="49">
        <f>DATE(YEAR(N50+1),MONTH(N50+1)-3,1)-1</f>
        <v>45016</v>
      </c>
      <c r="O49">
        <f>YEAR(N49)+MONTH(N49)/12</f>
        <v>2023.25</v>
      </c>
      <c r="Q49" s="18"/>
      <c r="R49" s="18"/>
      <c r="S49" s="18"/>
      <c r="T49" s="18"/>
      <c r="U49" s="18"/>
      <c r="V49" s="18"/>
      <c r="W49" s="49"/>
      <c r="Y49" s="18"/>
      <c r="Z49" s="18"/>
      <c r="AC49" s="18"/>
      <c r="AD49" s="18"/>
    </row>
    <row r="50" spans="1:30" x14ac:dyDescent="0.2">
      <c r="A50" t="str">
        <f t="shared" si="10"/>
        <v>2023 / 2</v>
      </c>
      <c r="B50" s="22"/>
      <c r="C50" s="222">
        <f>'[2]TWIA 4 Premium Trend'!C70</f>
        <v>6379</v>
      </c>
      <c r="D50" s="222">
        <f>'[2]TWIA 4 Premium Trend'!B70</f>
        <v>44485048</v>
      </c>
      <c r="E50" s="223">
        <f>'[2]TWIA 5'!I400</f>
        <v>1</v>
      </c>
      <c r="F50" s="127">
        <f t="shared" si="8"/>
        <v>44485048</v>
      </c>
      <c r="G50" s="135">
        <f t="shared" si="4"/>
        <v>6973.6711083241889</v>
      </c>
      <c r="H50" s="160">
        <f t="shared" si="6"/>
        <v>6466.4214523494884</v>
      </c>
      <c r="I50" s="152">
        <f t="shared" si="9"/>
        <v>5647.599347964664</v>
      </c>
      <c r="J50" s="26">
        <f t="shared" si="13"/>
        <v>6117.2123563275409</v>
      </c>
      <c r="K50" s="26">
        <f t="shared" si="14"/>
        <v>6233.7725170141439</v>
      </c>
      <c r="L50" s="26">
        <f t="shared" si="15"/>
        <v>6330.7136525781989</v>
      </c>
      <c r="M50" s="2"/>
      <c r="N50" s="49">
        <f>DATE(YEAR(N51+1),MONTH(N51+1)-3,1)-1</f>
        <v>45107</v>
      </c>
      <c r="O50">
        <f>YEAR(N50)+MONTH(N50)/12</f>
        <v>2023.5</v>
      </c>
      <c r="Q50" s="18"/>
      <c r="R50" s="18"/>
      <c r="S50" s="18"/>
      <c r="T50" s="18"/>
      <c r="U50" s="18"/>
      <c r="V50" s="18"/>
      <c r="W50" s="49"/>
      <c r="Y50" s="18"/>
      <c r="Z50" s="18"/>
      <c r="AC50" s="18"/>
      <c r="AD50" s="18"/>
    </row>
    <row r="51" spans="1:30" x14ac:dyDescent="0.2">
      <c r="A51" t="str">
        <f t="shared" si="10"/>
        <v>2023 / 3</v>
      </c>
      <c r="B51" s="22"/>
      <c r="C51" s="222">
        <f>'[2]TWIA 4 Premium Trend'!C71</f>
        <v>6029</v>
      </c>
      <c r="D51" s="222">
        <f>'[2]TWIA 4 Premium Trend'!B71</f>
        <v>38901087</v>
      </c>
      <c r="E51" s="223">
        <f>'[2]TWIA 5'!I401</f>
        <v>1</v>
      </c>
      <c r="F51" s="127">
        <f t="shared" si="8"/>
        <v>38901087</v>
      </c>
      <c r="G51" s="135">
        <f t="shared" si="4"/>
        <v>6452.3282468070993</v>
      </c>
      <c r="H51" s="160">
        <f t="shared" si="6"/>
        <v>6715.7673776021575</v>
      </c>
      <c r="I51" s="152">
        <f t="shared" si="9"/>
        <v>5699.5126760403218</v>
      </c>
      <c r="J51" s="26">
        <f t="shared" si="13"/>
        <v>6248.6502567266007</v>
      </c>
      <c r="K51" s="26">
        <f t="shared" si="14"/>
        <v>6402.1622316288403</v>
      </c>
      <c r="L51" s="26">
        <f t="shared" si="15"/>
        <v>6550.5117948723337</v>
      </c>
      <c r="M51" s="2"/>
      <c r="N51" s="49">
        <f>DATE(YEAR(N52+1),MONTH(N52+1)-3,1)-1</f>
        <v>45199</v>
      </c>
      <c r="O51">
        <f>YEAR(N51)+MONTH(N51)/12</f>
        <v>2023.75</v>
      </c>
      <c r="Q51" s="18"/>
      <c r="R51" s="18"/>
      <c r="S51" s="18"/>
      <c r="T51" s="18"/>
      <c r="U51" s="18"/>
      <c r="V51" s="18"/>
      <c r="W51" s="49"/>
      <c r="Y51" s="18"/>
      <c r="Z51" s="18"/>
      <c r="AC51" s="18"/>
      <c r="AD51" s="18"/>
    </row>
    <row r="52" spans="1:30" x14ac:dyDescent="0.2">
      <c r="A52" t="str">
        <f t="shared" si="10"/>
        <v>2023 / 4</v>
      </c>
      <c r="B52" s="22"/>
      <c r="C52" s="222">
        <f>'[2]TWIA 4 Premium Trend'!C72</f>
        <v>4278</v>
      </c>
      <c r="D52" s="222">
        <f>'[2]TWIA 4 Premium Trend'!B72</f>
        <v>30360734</v>
      </c>
      <c r="E52" s="223">
        <f>'[2]TWIA 5'!I402</f>
        <v>1</v>
      </c>
      <c r="F52" s="127">
        <f>D52*E52</f>
        <v>30360734</v>
      </c>
      <c r="G52" s="135">
        <f t="shared" si="4"/>
        <v>7096.945769050958</v>
      </c>
      <c r="H52" s="160">
        <f>IFERROR(SUM(F49:F52)/SUM(C49:C52),0)</f>
        <v>6826.2930006513352</v>
      </c>
      <c r="I52" s="152">
        <f t="shared" si="9"/>
        <v>5751.9031968957506</v>
      </c>
      <c r="J52" s="26">
        <f t="shared" si="13"/>
        <v>6382.9123065345557</v>
      </c>
      <c r="K52" s="26">
        <f t="shared" si="14"/>
        <v>6575.1005716404034</v>
      </c>
      <c r="L52" s="26">
        <f t="shared" si="15"/>
        <v>6777.941181605438</v>
      </c>
      <c r="M52" s="2"/>
      <c r="N52" s="64">
        <v>45291</v>
      </c>
      <c r="O52">
        <f>YEAR(N52)+MONTH(N52)/12</f>
        <v>2024</v>
      </c>
      <c r="Q52" s="18"/>
      <c r="R52" s="18"/>
      <c r="S52" s="18"/>
      <c r="T52" s="18"/>
      <c r="U52" s="18"/>
      <c r="V52" s="18"/>
      <c r="W52" s="49"/>
      <c r="Y52" s="18"/>
      <c r="Z52" s="18"/>
      <c r="AC52" s="18"/>
      <c r="AD52" s="18"/>
    </row>
    <row r="53" spans="1:30" x14ac:dyDescent="0.2">
      <c r="A53" s="9"/>
      <c r="B53" s="23"/>
      <c r="C53" s="146"/>
      <c r="D53" s="58"/>
      <c r="E53" s="33"/>
      <c r="F53" s="58"/>
      <c r="G53" s="153"/>
      <c r="H53" s="96"/>
      <c r="I53" s="98"/>
      <c r="J53" s="98"/>
      <c r="K53" s="98"/>
      <c r="L53" s="98"/>
      <c r="M53" s="2"/>
    </row>
    <row r="54" spans="1:30" x14ac:dyDescent="0.2">
      <c r="B54" s="22"/>
      <c r="C54" s="145"/>
      <c r="D54" s="29"/>
      <c r="E54" s="29"/>
      <c r="F54" s="29"/>
      <c r="G54" s="129"/>
      <c r="H54" s="29"/>
      <c r="I54" s="29"/>
      <c r="J54" s="29"/>
      <c r="K54" s="29"/>
      <c r="L54" s="29"/>
      <c r="M54" s="2"/>
    </row>
    <row r="55" spans="1:30" x14ac:dyDescent="0.2">
      <c r="A55" s="70" t="s">
        <v>277</v>
      </c>
      <c r="B55" t="s">
        <v>296</v>
      </c>
      <c r="H55" s="41"/>
      <c r="I55" s="205">
        <f>LOGEST($I$17:$I$52,$O$17:$O$52,1,1)-1</f>
        <v>3.7278504007655755E-2</v>
      </c>
      <c r="J55" s="41">
        <f>LOGEST($J$33:$J$52,$O$33:$O$52,1,1)-1</f>
        <v>8.8756200597924995E-2</v>
      </c>
      <c r="K55" s="41">
        <f>LOGEST($K$37:$K$52,$O$37:$O$52,1,1)-1</f>
        <v>0.11250737923533372</v>
      </c>
      <c r="L55" s="41">
        <f>LOGEST($L$41:$L$52,$O$41:$O$52,1,1)-1</f>
        <v>0.14627877556629509</v>
      </c>
      <c r="M55" s="2"/>
      <c r="Q55" s="205"/>
      <c r="R55" s="41"/>
      <c r="S55" s="41"/>
      <c r="T55" s="41"/>
    </row>
    <row r="56" spans="1:30" x14ac:dyDescent="0.2">
      <c r="A56" s="70" t="s">
        <v>239</v>
      </c>
      <c r="B56" t="s">
        <v>297</v>
      </c>
      <c r="I56" s="205">
        <f>INDEX(LOGEST($H$16:$H$52,$O$16:$O$52,1,1),3,1)</f>
        <v>0.60758056910310343</v>
      </c>
      <c r="J56" s="41">
        <f>INDEX(LOGEST($H$33:$H$52,$O$33:$O$52,1,1),3,1)</f>
        <v>0.8791209355776437</v>
      </c>
      <c r="K56" s="41">
        <f>INDEX(LOGEST($H$37:$H$52,$O$37:$O$52,1,1),3,1)</f>
        <v>0.9242965885259854</v>
      </c>
      <c r="L56" s="41">
        <f>INDEX(LOGEST($H$41:$H$52,$O$41:$O$52,1,1),3,1)</f>
        <v>0.96830707886137402</v>
      </c>
      <c r="M56" s="2"/>
    </row>
    <row r="57" spans="1:30" x14ac:dyDescent="0.2">
      <c r="M57" s="2"/>
      <c r="N57" t="s">
        <v>495</v>
      </c>
    </row>
    <row r="58" spans="1:30" x14ac:dyDescent="0.2">
      <c r="A58" s="70" t="s">
        <v>298</v>
      </c>
      <c r="B58" s="12" t="s">
        <v>232</v>
      </c>
      <c r="L58" s="44">
        <v>0.1</v>
      </c>
      <c r="M58" s="2"/>
      <c r="N58" s="19">
        <f>AVERAGE(J55:L55)</f>
        <v>0.11584745179985127</v>
      </c>
    </row>
    <row r="59" spans="1:30" ht="12" thickBot="1" x14ac:dyDescent="0.25">
      <c r="A59" s="6"/>
      <c r="B59" s="6"/>
      <c r="C59" s="143"/>
      <c r="D59" s="6"/>
      <c r="E59" s="6"/>
      <c r="F59" s="6"/>
      <c r="G59" s="143"/>
      <c r="H59" s="6"/>
      <c r="I59" s="6"/>
      <c r="J59" s="6"/>
      <c r="K59" s="6"/>
      <c r="L59" s="6"/>
      <c r="M59" s="2"/>
    </row>
    <row r="60" spans="1:30" ht="12" thickTop="1" x14ac:dyDescent="0.2">
      <c r="M60" s="2"/>
    </row>
    <row r="61" spans="1:30" x14ac:dyDescent="0.2">
      <c r="A61" s="22" t="s">
        <v>17</v>
      </c>
      <c r="B61" s="22"/>
      <c r="C61" s="124" t="str">
        <f>C12&amp;" Provided by TWIA. Exposures written on inception"</f>
        <v>(2) Provided by TWIA. Exposures written on inception</v>
      </c>
      <c r="D61" s="22"/>
      <c r="E61" s="97"/>
      <c r="I61" s="19"/>
      <c r="J61" s="19"/>
      <c r="K61" s="19"/>
      <c r="L61" s="19"/>
      <c r="M61" s="2"/>
    </row>
    <row r="62" spans="1:30" x14ac:dyDescent="0.2">
      <c r="A62" s="22"/>
      <c r="B62" s="22"/>
      <c r="C62" s="124" t="str">
        <f>D12&amp;" Provided by TWIA. Premium written on inception"</f>
        <v>(3) Provided by TWIA. Premium written on inception</v>
      </c>
      <c r="D62" s="22"/>
      <c r="E62" s="97"/>
      <c r="I62" s="19"/>
      <c r="J62" s="19"/>
      <c r="K62" s="19"/>
      <c r="L62" s="19"/>
      <c r="M62" s="2"/>
    </row>
    <row r="63" spans="1:30" x14ac:dyDescent="0.2">
      <c r="A63" s="22"/>
      <c r="B63" s="22"/>
      <c r="C63" s="124" t="str">
        <f>E12&amp;" Factors to bring written premium to current rate level"</f>
        <v>(4) Factors to bring written premium to current rate level</v>
      </c>
      <c r="D63" s="148"/>
      <c r="M63" s="2"/>
    </row>
    <row r="64" spans="1:30" x14ac:dyDescent="0.2">
      <c r="A64" s="149"/>
      <c r="B64" s="22"/>
      <c r="C64" s="124" t="str">
        <f>F12&amp;" = "&amp;D12&amp;" * "&amp;E12</f>
        <v>(5) = (3) * (4)</v>
      </c>
      <c r="D64" s="22"/>
      <c r="M64" s="2"/>
    </row>
    <row r="65" spans="1:13" x14ac:dyDescent="0.2">
      <c r="A65" s="22"/>
      <c r="B65" s="22"/>
      <c r="C65" s="149" t="s">
        <v>553</v>
      </c>
      <c r="D65" s="22"/>
      <c r="M65" s="2"/>
    </row>
    <row r="66" spans="1:13" x14ac:dyDescent="0.2">
      <c r="A66" s="22"/>
      <c r="B66" s="22"/>
      <c r="C66" s="40" t="s">
        <v>552</v>
      </c>
      <c r="D66" s="22"/>
      <c r="M66" s="2"/>
    </row>
    <row r="67" spans="1:13" x14ac:dyDescent="0.2">
      <c r="A67" s="22"/>
      <c r="B67" s="22"/>
      <c r="C67" s="124" t="str">
        <f>I12&amp;" - "&amp;L12&amp;" = "&amp;H12&amp;" Fitted to an exponential distribution"</f>
        <v>(8) - (11) = (7) Fitted to an exponential distribution</v>
      </c>
      <c r="D67" s="150"/>
      <c r="E67" s="29"/>
      <c r="M67" s="2"/>
    </row>
    <row r="68" spans="1:13" x14ac:dyDescent="0.2">
      <c r="A68" s="22"/>
      <c r="B68" s="22"/>
      <c r="C68" s="22" t="str">
        <f>A55&amp;" Fitted average annual change"</f>
        <v>(14) Fitted average annual change</v>
      </c>
      <c r="D68" s="22"/>
      <c r="F68" s="29"/>
      <c r="G68" s="129"/>
      <c r="H68" s="29"/>
      <c r="I68" s="29"/>
      <c r="J68" s="29"/>
      <c r="K68" s="29"/>
      <c r="L68" s="29"/>
      <c r="M68" s="2"/>
    </row>
    <row r="69" spans="1:13" x14ac:dyDescent="0.2">
      <c r="A69" s="22"/>
      <c r="B69" s="22"/>
      <c r="C69" s="22" t="str">
        <f>A56&amp;" Evaluates the predictability of the fitted curve"</f>
        <v>(15) Evaluates the predictability of the fitted curve</v>
      </c>
      <c r="D69" s="22"/>
      <c r="F69" s="29"/>
      <c r="G69" s="129"/>
      <c r="H69" s="29"/>
      <c r="I69" s="29"/>
      <c r="J69" s="29"/>
      <c r="K69" s="29"/>
      <c r="L69" s="29"/>
      <c r="M69" s="2"/>
    </row>
    <row r="70" spans="1:13" x14ac:dyDescent="0.2">
      <c r="A70" s="22"/>
      <c r="B70" s="22"/>
      <c r="C70" s="22" t="str">
        <f>A58&amp;" Selected based on judgment, with weight given to 3-year, 4-year, and 5-year exponential fitted trends"</f>
        <v>(16) Selected based on judgment, with weight given to 3-year, 4-year, and 5-year exponential fitted trends</v>
      </c>
      <c r="D70" s="151"/>
      <c r="G70" s="135"/>
      <c r="H70" s="18"/>
      <c r="I70" s="18"/>
      <c r="J70" s="18"/>
      <c r="K70" s="18"/>
      <c r="L70" s="18"/>
      <c r="M70" s="2"/>
    </row>
    <row r="71" spans="1:13" ht="12" thickBot="1" x14ac:dyDescent="0.25">
      <c r="A71" s="22"/>
      <c r="B71" s="22"/>
      <c r="G71" s="135"/>
      <c r="H71" s="18"/>
      <c r="I71" s="18"/>
      <c r="J71" s="18"/>
      <c r="K71" s="18"/>
      <c r="L71" s="18"/>
      <c r="M71" s="2"/>
    </row>
    <row r="72" spans="1:13" ht="12" hidden="1" thickBot="1" x14ac:dyDescent="0.25">
      <c r="A72" s="22"/>
      <c r="B72" s="22"/>
      <c r="F72" s="18"/>
      <c r="G72" s="135"/>
      <c r="H72" s="18"/>
      <c r="I72" s="18"/>
      <c r="J72" s="18"/>
      <c r="K72" s="18"/>
      <c r="L72" s="18"/>
      <c r="M72" s="2"/>
    </row>
    <row r="73" spans="1:13" ht="12" thickBot="1" x14ac:dyDescent="0.25">
      <c r="A73" s="4"/>
      <c r="B73" s="5"/>
      <c r="C73" s="147"/>
      <c r="D73" s="5"/>
      <c r="E73" s="5"/>
      <c r="F73" s="5"/>
      <c r="G73" s="147"/>
      <c r="H73" s="5"/>
      <c r="I73" s="5"/>
      <c r="J73" s="5"/>
      <c r="K73" s="5"/>
      <c r="L73" s="5"/>
      <c r="M73" s="3"/>
    </row>
    <row r="76" spans="1:13" x14ac:dyDescent="0.2">
      <c r="A76" t="s">
        <v>366</v>
      </c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tabColor rgb="FF00FF00"/>
  </sheetPr>
  <dimension ref="A1:S69"/>
  <sheetViews>
    <sheetView showGridLines="0" zoomScaleNormal="100" workbookViewId="0"/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9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45</v>
      </c>
      <c r="M1" s="1"/>
      <c r="P1" s="248" t="s">
        <v>496</v>
      </c>
      <c r="R1" s="12">
        <f>'1'!H15</f>
        <v>0.45</v>
      </c>
    </row>
    <row r="2" spans="1:19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526</v>
      </c>
      <c r="M2" s="2"/>
    </row>
    <row r="3" spans="1:19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9" x14ac:dyDescent="0.2">
      <c r="A4" s="71" t="s">
        <v>240</v>
      </c>
      <c r="C4"/>
      <c r="D4"/>
      <c r="E4"/>
      <c r="F4"/>
      <c r="G4"/>
      <c r="H4"/>
      <c r="I4"/>
      <c r="J4"/>
      <c r="K4"/>
      <c r="L4"/>
      <c r="M4" s="2"/>
    </row>
    <row r="5" spans="1:19" x14ac:dyDescent="0.2">
      <c r="A5" s="71" t="s">
        <v>241</v>
      </c>
      <c r="C5"/>
      <c r="D5"/>
      <c r="E5"/>
      <c r="F5"/>
      <c r="G5"/>
      <c r="H5"/>
      <c r="I5"/>
      <c r="J5"/>
      <c r="K5"/>
      <c r="L5"/>
      <c r="M5" s="2"/>
    </row>
    <row r="6" spans="1:19" x14ac:dyDescent="0.2">
      <c r="A6"/>
      <c r="B6"/>
      <c r="C6"/>
      <c r="D6"/>
      <c r="E6"/>
      <c r="F6"/>
      <c r="G6"/>
      <c r="H6"/>
      <c r="I6"/>
      <c r="J6"/>
      <c r="K6"/>
      <c r="L6"/>
      <c r="M6" s="2"/>
    </row>
    <row r="7" spans="1:19" ht="12" thickBot="1" x14ac:dyDescent="0.25">
      <c r="A7" s="6"/>
      <c r="B7" s="6"/>
      <c r="C7" s="6"/>
      <c r="D7" s="6"/>
      <c r="E7" s="6"/>
      <c r="F7" s="6"/>
      <c r="G7" s="6"/>
      <c r="H7" s="6"/>
      <c r="I7"/>
      <c r="J7"/>
      <c r="K7"/>
      <c r="L7"/>
      <c r="M7" s="2"/>
    </row>
    <row r="8" spans="1:19" ht="12" thickTop="1" x14ac:dyDescent="0.2">
      <c r="A8" t="s">
        <v>40</v>
      </c>
      <c r="B8"/>
      <c r="C8"/>
      <c r="D8"/>
      <c r="E8"/>
      <c r="F8"/>
      <c r="G8"/>
      <c r="H8"/>
      <c r="I8"/>
      <c r="J8"/>
      <c r="K8"/>
      <c r="L8"/>
      <c r="M8" s="2"/>
      <c r="N8" t="s">
        <v>214</v>
      </c>
    </row>
    <row r="9" spans="1:19" x14ac:dyDescent="0.2">
      <c r="A9" t="s">
        <v>41</v>
      </c>
      <c r="B9"/>
      <c r="C9" s="10" t="s">
        <v>161</v>
      </c>
      <c r="D9"/>
      <c r="E9" s="10" t="s">
        <v>162</v>
      </c>
      <c r="F9"/>
      <c r="G9"/>
      <c r="H9"/>
      <c r="I9"/>
      <c r="J9"/>
      <c r="K9"/>
      <c r="L9"/>
      <c r="M9" s="2"/>
      <c r="N9" s="61">
        <v>45291</v>
      </c>
      <c r="O9" t="s">
        <v>245</v>
      </c>
    </row>
    <row r="10" spans="1:19" x14ac:dyDescent="0.2">
      <c r="A10" t="s">
        <v>26</v>
      </c>
      <c r="B10"/>
      <c r="C10" s="11" t="s">
        <v>242</v>
      </c>
      <c r="D10" s="11" t="s">
        <v>243</v>
      </c>
      <c r="E10" s="11" t="s">
        <v>242</v>
      </c>
      <c r="F10" s="11" t="s">
        <v>243</v>
      </c>
      <c r="G10" s="11" t="s">
        <v>244</v>
      </c>
      <c r="H10" s="11" t="s">
        <v>86</v>
      </c>
      <c r="I10"/>
      <c r="J10"/>
      <c r="K10"/>
      <c r="L10"/>
      <c r="M10" s="2"/>
      <c r="O10" s="10" t="s">
        <v>161</v>
      </c>
      <c r="Q10" s="10" t="s">
        <v>162</v>
      </c>
      <c r="S10"/>
    </row>
    <row r="11" spans="1:19" x14ac:dyDescent="0.2">
      <c r="A11" s="9" t="str">
        <f>TEXT($N$9,"m/d/xx")</f>
        <v>12/31/xx</v>
      </c>
      <c r="B11" s="9"/>
      <c r="C11" s="144" t="s">
        <v>246</v>
      </c>
      <c r="D11" s="144" t="s">
        <v>246</v>
      </c>
      <c r="E11" s="144" t="s">
        <v>246</v>
      </c>
      <c r="F11" s="144" t="s">
        <v>246</v>
      </c>
      <c r="G11" s="144" t="s">
        <v>247</v>
      </c>
      <c r="H11" s="144" t="s">
        <v>46</v>
      </c>
      <c r="I11"/>
      <c r="J11"/>
      <c r="K11"/>
      <c r="L11"/>
      <c r="M11" s="2"/>
      <c r="N11" s="9"/>
      <c r="O11" s="144" t="s">
        <v>242</v>
      </c>
      <c r="P11" s="144" t="s">
        <v>243</v>
      </c>
      <c r="Q11" s="144" t="s">
        <v>242</v>
      </c>
      <c r="R11" s="144" t="s">
        <v>243</v>
      </c>
      <c r="S11" s="144" t="s">
        <v>248</v>
      </c>
    </row>
    <row r="12" spans="1:19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J12"/>
      <c r="K12"/>
      <c r="L12"/>
      <c r="M12" s="2"/>
    </row>
    <row r="13" spans="1:19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9" x14ac:dyDescent="0.2">
      <c r="A14" t="str">
        <f t="shared" ref="A14:A22" si="1">TEXT(A15-1,"#")</f>
        <v>2014</v>
      </c>
      <c r="B14" s="22"/>
      <c r="C14" s="29">
        <f>ROUND('3.2b'!$C$53/'3.2b'!$C$17,3)</f>
        <v>1.5069999999999999</v>
      </c>
      <c r="D14" s="29">
        <f>ROUND('3.2c'!$C$53/'3.2c'!$C$17,3)</f>
        <v>1.51</v>
      </c>
      <c r="E14" s="225">
        <f>'[3]3.3a'!C14</f>
        <v>1.4650000000000001</v>
      </c>
      <c r="F14" s="225">
        <f>'[3]3.3a'!D14</f>
        <v>1.4830000000000001</v>
      </c>
      <c r="G14" s="29">
        <f>ROUND('3.2d'!$C$55/'3.2d'!$C$19,3)</f>
        <v>1.214</v>
      </c>
      <c r="H14" s="29">
        <f>ROUND(SUMPRODUCT(C14:G14,$O14:$S14)/SUMIF(C14:G14,"&gt;0",$O14:$S14),3)</f>
        <v>1.4359999999999999</v>
      </c>
      <c r="I14" s="29"/>
      <c r="J14"/>
      <c r="K14" s="29"/>
      <c r="M14" s="2"/>
      <c r="N14" s="134"/>
      <c r="O14" s="79">
        <v>0</v>
      </c>
      <c r="P14" s="79">
        <v>0.75</v>
      </c>
      <c r="Q14" s="79">
        <v>0</v>
      </c>
      <c r="R14" s="79">
        <v>0</v>
      </c>
      <c r="S14" s="79">
        <v>0.25</v>
      </c>
    </row>
    <row r="15" spans="1:19" x14ac:dyDescent="0.2">
      <c r="A15" t="str">
        <f t="shared" si="1"/>
        <v>2015</v>
      </c>
      <c r="B15" s="22"/>
      <c r="C15" s="29">
        <f>ROUND('3.2b'!$C$53/'3.2b'!$C$21,3)</f>
        <v>1.4810000000000001</v>
      </c>
      <c r="D15" s="29">
        <f>ROUND('3.2c'!$C$53/'3.2c'!$C$21,3)</f>
        <v>1.486</v>
      </c>
      <c r="E15" s="225">
        <f>'[3]3.3a'!C15</f>
        <v>1.4279999999999999</v>
      </c>
      <c r="F15" s="225">
        <f>'[3]3.3a'!D15</f>
        <v>1.448</v>
      </c>
      <c r="G15" s="29">
        <f>ROUND('3.2d'!$C$55/'3.2d'!$C$23,3)</f>
        <v>1.202</v>
      </c>
      <c r="H15" s="29">
        <f t="shared" ref="H15:H23" si="2">ROUND(SUMPRODUCT(C15:G15,$O15:$S15)/SUMIF(C15:G15,"&gt;0",$O15:$S15),3)</f>
        <v>1.415</v>
      </c>
      <c r="I15" s="29"/>
      <c r="J15"/>
      <c r="K15" s="29"/>
      <c r="L15"/>
      <c r="M15" s="2"/>
      <c r="N15" s="134"/>
      <c r="O15" s="79">
        <v>0</v>
      </c>
      <c r="P15" s="79">
        <v>0.75</v>
      </c>
      <c r="Q15" s="79">
        <v>0</v>
      </c>
      <c r="R15" s="79">
        <v>0</v>
      </c>
      <c r="S15" s="79">
        <v>0.25</v>
      </c>
    </row>
    <row r="16" spans="1:19" x14ac:dyDescent="0.2">
      <c r="A16" t="str">
        <f t="shared" si="1"/>
        <v>2016</v>
      </c>
      <c r="B16" s="22"/>
      <c r="C16" s="29">
        <f>ROUND('3.2b'!$C$53/'3.2b'!$C$25,3)</f>
        <v>1.49</v>
      </c>
      <c r="D16" s="29">
        <f>ROUND('3.2c'!$C$53/'3.2c'!$C$25,3)</f>
        <v>1.494</v>
      </c>
      <c r="E16" s="225">
        <f>'[3]3.3a'!C16</f>
        <v>1.4370000000000001</v>
      </c>
      <c r="F16" s="225">
        <f>'[3]3.3a'!D16</f>
        <v>1.458</v>
      </c>
      <c r="G16" s="29">
        <f>ROUND('3.2d'!$C$55/'3.2d'!$C$27,3)</f>
        <v>1.1830000000000001</v>
      </c>
      <c r="H16" s="29">
        <f t="shared" si="2"/>
        <v>1.4159999999999999</v>
      </c>
      <c r="I16" s="29"/>
      <c r="J16"/>
      <c r="K16" s="29"/>
      <c r="L16"/>
      <c r="M16" s="2"/>
      <c r="N16" s="134"/>
      <c r="O16" s="79">
        <v>0</v>
      </c>
      <c r="P16" s="79">
        <v>0.75</v>
      </c>
      <c r="Q16" s="79">
        <v>0</v>
      </c>
      <c r="R16" s="79">
        <v>0</v>
      </c>
      <c r="S16" s="79">
        <v>0.25</v>
      </c>
    </row>
    <row r="17" spans="1:19" x14ac:dyDescent="0.2">
      <c r="A17" t="str">
        <f t="shared" si="1"/>
        <v>2017</v>
      </c>
      <c r="B17" s="22"/>
      <c r="C17" s="29">
        <f>ROUND('3.2b'!$C$53/'3.2b'!$C$29,3)</f>
        <v>1.454</v>
      </c>
      <c r="D17" s="29">
        <f>ROUND('3.2c'!$C$53/'3.2c'!$C$29,3)</f>
        <v>1.462</v>
      </c>
      <c r="E17" s="225">
        <f>'[3]3.3a'!C17</f>
        <v>1.4219999999999999</v>
      </c>
      <c r="F17" s="225">
        <f>'[3]3.3a'!D17</f>
        <v>1.4410000000000001</v>
      </c>
      <c r="G17" s="29">
        <f>ROUND('3.2d'!$C$55/'3.2d'!$C$31,3)</f>
        <v>1.18</v>
      </c>
      <c r="H17" s="29">
        <f t="shared" si="2"/>
        <v>1.3919999999999999</v>
      </c>
      <c r="I17" s="29"/>
      <c r="J17"/>
      <c r="K17" s="29"/>
      <c r="L17"/>
      <c r="M17" s="2"/>
      <c r="N17" s="134"/>
      <c r="O17" s="79">
        <v>0</v>
      </c>
      <c r="P17" s="79">
        <v>0.75</v>
      </c>
      <c r="Q17" s="79">
        <v>0</v>
      </c>
      <c r="R17" s="79">
        <v>0</v>
      </c>
      <c r="S17" s="79">
        <v>0.25</v>
      </c>
    </row>
    <row r="18" spans="1:19" x14ac:dyDescent="0.2">
      <c r="A18" t="str">
        <f t="shared" si="1"/>
        <v>2018</v>
      </c>
      <c r="B18" s="22"/>
      <c r="C18" s="29">
        <f>ROUND('3.2b'!$C$53/'3.2b'!$C$33,3)</f>
        <v>1.395</v>
      </c>
      <c r="D18" s="29">
        <f>ROUND('3.2c'!$C$53/'3.2c'!$C$33,3)</f>
        <v>1.4</v>
      </c>
      <c r="E18" s="225">
        <f>'[3]3.3a'!C18</f>
        <v>1.37</v>
      </c>
      <c r="F18" s="225">
        <f>'[3]3.3a'!D18</f>
        <v>1.3859999999999999</v>
      </c>
      <c r="G18" s="29">
        <f>ROUND('3.2d'!$C$55/'3.2d'!$C$35,3)</f>
        <v>1.1679999999999999</v>
      </c>
      <c r="H18" s="29">
        <f t="shared" si="2"/>
        <v>1.3420000000000001</v>
      </c>
      <c r="I18" s="29"/>
      <c r="J18"/>
      <c r="K18" s="29"/>
      <c r="L18"/>
      <c r="M18" s="2"/>
      <c r="N18" s="134"/>
      <c r="O18" s="79">
        <v>0</v>
      </c>
      <c r="P18" s="79">
        <v>0.75</v>
      </c>
      <c r="Q18" s="79">
        <v>0</v>
      </c>
      <c r="R18" s="79">
        <v>0</v>
      </c>
      <c r="S18" s="79">
        <v>0.25</v>
      </c>
    </row>
    <row r="19" spans="1:19" x14ac:dyDescent="0.2">
      <c r="A19" t="str">
        <f t="shared" si="1"/>
        <v>2019</v>
      </c>
      <c r="B19" s="22"/>
      <c r="C19" s="29">
        <f>ROUND('3.2b'!$C$53/'3.2b'!$C$37,3)</f>
        <v>1.377</v>
      </c>
      <c r="D19" s="29">
        <f>ROUND('3.2c'!$C$53/'3.2c'!$C$37,3)</f>
        <v>1.3759999999999999</v>
      </c>
      <c r="E19" s="225">
        <f>'[3]3.3a'!C19</f>
        <v>1.3380000000000001</v>
      </c>
      <c r="F19" s="225">
        <f>'[3]3.3a'!D19</f>
        <v>1.3440000000000001</v>
      </c>
      <c r="G19" s="29">
        <f>ROUND('3.2d'!$C$55/'3.2d'!$C$39,3)</f>
        <v>1.1439999999999999</v>
      </c>
      <c r="H19" s="29">
        <f t="shared" si="2"/>
        <v>1.3180000000000001</v>
      </c>
      <c r="I19" s="29"/>
      <c r="J19"/>
      <c r="K19" s="29"/>
      <c r="L19"/>
      <c r="M19" s="2"/>
      <c r="N19" s="134"/>
      <c r="O19" s="79">
        <v>0</v>
      </c>
      <c r="P19" s="79">
        <v>0.75</v>
      </c>
      <c r="Q19" s="79">
        <v>0</v>
      </c>
      <c r="R19" s="79">
        <v>0</v>
      </c>
      <c r="S19" s="79">
        <v>0.25</v>
      </c>
    </row>
    <row r="20" spans="1:19" x14ac:dyDescent="0.2">
      <c r="A20" t="str">
        <f t="shared" si="1"/>
        <v>2020</v>
      </c>
      <c r="B20" s="22"/>
      <c r="C20" s="29">
        <f>ROUND('3.2b'!$C$53/'3.2b'!$C$41,3)</f>
        <v>1.357</v>
      </c>
      <c r="D20" s="29">
        <f>ROUND('3.2c'!$C$53/'3.2c'!$C$41,3)</f>
        <v>1.363</v>
      </c>
      <c r="E20" s="225">
        <f>'[3]3.3a'!C20</f>
        <v>1.329</v>
      </c>
      <c r="F20" s="225">
        <f>'[3]3.3a'!D20</f>
        <v>1.3440000000000001</v>
      </c>
      <c r="G20" s="29">
        <f>ROUND('3.2d'!$C$55/'3.2d'!$C$43,3)</f>
        <v>1.177</v>
      </c>
      <c r="H20" s="29">
        <f>ROUND(SUMPRODUCT(C20:G20,$O20:$S20)/SUMIF(C20:G20,"&gt;0",$O20:$S20),3)</f>
        <v>1.3169999999999999</v>
      </c>
      <c r="I20" s="29"/>
      <c r="J20"/>
      <c r="K20" s="29"/>
      <c r="L20"/>
      <c r="M20" s="2"/>
      <c r="N20" s="134"/>
      <c r="O20" s="79">
        <v>0</v>
      </c>
      <c r="P20" s="79">
        <v>0.75</v>
      </c>
      <c r="Q20" s="79">
        <v>0</v>
      </c>
      <c r="R20" s="79">
        <v>0</v>
      </c>
      <c r="S20" s="79">
        <v>0.25</v>
      </c>
    </row>
    <row r="21" spans="1:19" x14ac:dyDescent="0.2">
      <c r="A21" t="str">
        <f t="shared" si="1"/>
        <v>2021</v>
      </c>
      <c r="B21" s="22"/>
      <c r="C21" s="29">
        <f>ROUND('3.2b'!$C$53/'3.2b'!$C$45,3)</f>
        <v>1.1819999999999999</v>
      </c>
      <c r="D21" s="29">
        <f>ROUND('3.2c'!$C$53/'3.2c'!$C$45,3)</f>
        <v>1.1830000000000001</v>
      </c>
      <c r="E21" s="225">
        <f>'[3]3.3a'!C21</f>
        <v>1.19</v>
      </c>
      <c r="F21" s="225">
        <f>'[3]3.3a'!D21</f>
        <v>1.206</v>
      </c>
      <c r="G21" s="29">
        <f>ROUND('3.2d'!$C$55/'3.2d'!$C$47,3)</f>
        <v>1.109</v>
      </c>
      <c r="H21" s="29">
        <f t="shared" si="2"/>
        <v>1.165</v>
      </c>
      <c r="I21" s="29"/>
      <c r="J21"/>
      <c r="K21" s="29"/>
      <c r="L21"/>
      <c r="M21" s="2"/>
      <c r="N21" s="134"/>
      <c r="O21" s="79">
        <v>0</v>
      </c>
      <c r="P21" s="79">
        <v>0.75</v>
      </c>
      <c r="Q21" s="79">
        <v>0</v>
      </c>
      <c r="R21" s="79">
        <v>0</v>
      </c>
      <c r="S21" s="79">
        <v>0.25</v>
      </c>
    </row>
    <row r="22" spans="1:19" x14ac:dyDescent="0.2">
      <c r="A22" t="str">
        <f t="shared" si="1"/>
        <v>2022</v>
      </c>
      <c r="B22" s="22"/>
      <c r="C22" s="29">
        <f>ROUND('3.2b'!$C$53/'3.2b'!$C$49,3)</f>
        <v>1.0109999999999999</v>
      </c>
      <c r="D22" s="29">
        <f>ROUND('3.2c'!$C$53/'3.2c'!$C$49,3)</f>
        <v>1.01</v>
      </c>
      <c r="E22" s="225">
        <f>'[3]3.3a'!C22</f>
        <v>1.028</v>
      </c>
      <c r="F22" s="225">
        <f>'[3]3.3a'!D22</f>
        <v>1.024</v>
      </c>
      <c r="G22" s="29">
        <f>ROUND('3.2d'!$C$55/'3.2d'!$C$51,3)</f>
        <v>1.028</v>
      </c>
      <c r="H22" s="29">
        <f>ROUND(SUMPRODUCT(C22:G22,$O22:$S22)/SUMIF(C22:G22,"&gt;0",$O22:$S22),3)</f>
        <v>1.0149999999999999</v>
      </c>
      <c r="I22" s="29"/>
      <c r="J22"/>
      <c r="K22" s="29"/>
      <c r="L22"/>
      <c r="M22" s="2"/>
      <c r="N22" s="134"/>
      <c r="O22" s="79">
        <v>0</v>
      </c>
      <c r="P22" s="79">
        <v>0.75</v>
      </c>
      <c r="Q22" s="79">
        <v>0</v>
      </c>
      <c r="R22" s="79">
        <v>0</v>
      </c>
      <c r="S22" s="79">
        <v>0.25</v>
      </c>
    </row>
    <row r="23" spans="1:19" x14ac:dyDescent="0.2">
      <c r="A23" t="str">
        <f>TEXT(YEAR($N$9),"#")</f>
        <v>2023</v>
      </c>
      <c r="B23" s="22"/>
      <c r="C23" s="29">
        <f>ROUND('3.2b'!$C$53/'3.2b'!$C$53,3)</f>
        <v>1</v>
      </c>
      <c r="D23" s="29">
        <f>ROUND('3.2c'!$C$53/'3.2c'!$C$53,3)</f>
        <v>1</v>
      </c>
      <c r="E23" s="225">
        <f>'[3]3.3a'!C23</f>
        <v>1</v>
      </c>
      <c r="F23" s="225">
        <f>'[3]3.3a'!D23</f>
        <v>1</v>
      </c>
      <c r="G23" s="29">
        <f>ROUND('3.2d'!$C$55/'3.2d'!$C$55,3)</f>
        <v>1</v>
      </c>
      <c r="H23" s="29">
        <f t="shared" si="2"/>
        <v>1</v>
      </c>
      <c r="I23" s="29"/>
      <c r="J23"/>
      <c r="K23" s="29"/>
      <c r="L23"/>
      <c r="M23" s="2"/>
      <c r="N23" s="134"/>
      <c r="O23" s="79">
        <v>0</v>
      </c>
      <c r="P23" s="79">
        <v>0.75</v>
      </c>
      <c r="Q23" s="79">
        <v>0</v>
      </c>
      <c r="R23" s="79">
        <v>0</v>
      </c>
      <c r="S23" s="79">
        <v>0.25</v>
      </c>
    </row>
    <row r="24" spans="1:19" x14ac:dyDescent="0.2">
      <c r="A24" s="9"/>
      <c r="B24" s="23"/>
      <c r="C24" s="30"/>
      <c r="D24" s="30"/>
      <c r="E24" s="102"/>
      <c r="F24" s="102"/>
      <c r="G24" s="30"/>
      <c r="H24" s="30"/>
      <c r="I24"/>
      <c r="J24"/>
      <c r="K24"/>
      <c r="L24"/>
      <c r="M24" s="2"/>
      <c r="S24"/>
    </row>
    <row r="25" spans="1:19" x14ac:dyDescent="0.2">
      <c r="A25"/>
      <c r="B25"/>
      <c r="C25" s="18"/>
      <c r="D25"/>
      <c r="E25" s="18"/>
      <c r="F25"/>
      <c r="G25"/>
      <c r="H25"/>
      <c r="I25"/>
      <c r="J25"/>
      <c r="K25"/>
      <c r="L25"/>
      <c r="M25" s="2"/>
      <c r="S25"/>
    </row>
    <row r="26" spans="1:19" x14ac:dyDescent="0.2">
      <c r="A26" s="12" t="s">
        <v>249</v>
      </c>
      <c r="J26"/>
      <c r="K26"/>
      <c r="L26"/>
      <c r="M26" s="2"/>
    </row>
    <row r="27" spans="1:19" x14ac:dyDescent="0.2">
      <c r="B27"/>
      <c r="C27" s="72"/>
      <c r="D27" s="72"/>
      <c r="E27" s="72"/>
      <c r="F27" s="72"/>
      <c r="G27" s="72"/>
      <c r="H27" s="72"/>
      <c r="I27" s="72"/>
      <c r="J27"/>
      <c r="K27"/>
      <c r="L27"/>
      <c r="M27" s="2"/>
    </row>
    <row r="28" spans="1:19" x14ac:dyDescent="0.2">
      <c r="A28" s="70" t="s">
        <v>75</v>
      </c>
      <c r="B28" t="s">
        <v>250</v>
      </c>
      <c r="C28" s="41">
        <f>'3.2b'!$E$56</f>
        <v>9.3593331214882447E-2</v>
      </c>
      <c r="D28" s="41">
        <f>'3.2c'!$E$56</f>
        <v>9.4333274300753001E-2</v>
      </c>
      <c r="E28" s="236">
        <f>'[3]3.3a'!$C$28</f>
        <v>8.5999999999999993E-2</v>
      </c>
      <c r="F28" s="236">
        <f>'[3]3.3a'!$D$28</f>
        <v>8.7999999999999995E-2</v>
      </c>
      <c r="G28" s="41">
        <f>'3.2d'!$G$58</f>
        <v>3.7922620471971147E-2</v>
      </c>
      <c r="H28" s="41">
        <f>ROUND(SUMPRODUCT(C28:G28,$O28:$S28)/SUMIF(C28:G28,"&gt;0",$O28:$S28),3)</f>
        <v>9.4E-2</v>
      </c>
      <c r="I28" s="41"/>
      <c r="J28"/>
      <c r="K28"/>
      <c r="L28"/>
      <c r="M28" s="2"/>
      <c r="O28" s="79">
        <v>0.25</v>
      </c>
      <c r="P28" s="79">
        <v>0.75</v>
      </c>
      <c r="Q28" s="79">
        <v>0</v>
      </c>
      <c r="R28" s="79">
        <v>0</v>
      </c>
      <c r="S28" s="79">
        <v>0</v>
      </c>
    </row>
    <row r="29" spans="1:19" x14ac:dyDescent="0.2">
      <c r="A29" s="70"/>
      <c r="B29"/>
      <c r="C29"/>
      <c r="D29"/>
      <c r="E29"/>
      <c r="F29"/>
      <c r="G29"/>
      <c r="H29" s="19"/>
      <c r="I29" s="19"/>
      <c r="J29"/>
      <c r="K29"/>
      <c r="L29"/>
      <c r="M29" s="2"/>
    </row>
    <row r="30" spans="1:19" x14ac:dyDescent="0.2">
      <c r="A30" s="70" t="s">
        <v>74</v>
      </c>
      <c r="B30" t="s">
        <v>252</v>
      </c>
      <c r="C30" s="29">
        <f>ROUND((1+C28)^$N$32,3)</f>
        <v>1.2509999999999999</v>
      </c>
      <c r="D30" s="29">
        <f t="shared" ref="D30:H30" si="3">ROUND((1+D28)^$N$32,3)</f>
        <v>1.2529999999999999</v>
      </c>
      <c r="E30" s="29">
        <f t="shared" si="3"/>
        <v>1.2290000000000001</v>
      </c>
      <c r="F30" s="29">
        <f t="shared" si="3"/>
        <v>1.2350000000000001</v>
      </c>
      <c r="G30" s="29">
        <f t="shared" si="3"/>
        <v>1.0980000000000001</v>
      </c>
      <c r="H30" s="29">
        <f t="shared" si="3"/>
        <v>1.252</v>
      </c>
      <c r="I30" s="29"/>
      <c r="J30"/>
      <c r="K30"/>
      <c r="L30"/>
      <c r="M30" s="2"/>
      <c r="O30" s="12" t="s">
        <v>251</v>
      </c>
    </row>
    <row r="31" spans="1:19" ht="12" thickBot="1" x14ac:dyDescent="0.25">
      <c r="A31" s="6"/>
      <c r="B31" s="6"/>
      <c r="C31" s="6"/>
      <c r="D31" s="6"/>
      <c r="E31" s="6"/>
      <c r="F31" s="6"/>
      <c r="G31" s="6"/>
      <c r="H31" s="6"/>
      <c r="I31"/>
      <c r="J31"/>
      <c r="K31"/>
      <c r="L31"/>
      <c r="M31" s="2"/>
      <c r="N31" s="12" t="s">
        <v>231</v>
      </c>
      <c r="O31" s="12" t="s">
        <v>193</v>
      </c>
      <c r="P31" s="12" t="s">
        <v>233</v>
      </c>
    </row>
    <row r="32" spans="1:19" ht="12" thickTop="1" x14ac:dyDescent="0.2">
      <c r="A32"/>
      <c r="B32"/>
      <c r="C32"/>
      <c r="D32"/>
      <c r="E32"/>
      <c r="F32"/>
      <c r="G32"/>
      <c r="H32"/>
      <c r="I32"/>
      <c r="J32"/>
      <c r="K32"/>
      <c r="L32"/>
      <c r="M32" s="2"/>
      <c r="N32" s="101">
        <f>YEAR(P32)-YEAR(O32)+(MONTH(P32)-MONTH(O32))/12</f>
        <v>2.5</v>
      </c>
      <c r="O32" s="36">
        <f>DATE(YEAR(N9+1),MONTH(N9+1)-6,1)</f>
        <v>45108</v>
      </c>
      <c r="P32" s="36">
        <f>'2.4'!I15</f>
        <v>46023</v>
      </c>
      <c r="Q32" s="36"/>
      <c r="R32" s="36"/>
    </row>
    <row r="33" spans="1:19" x14ac:dyDescent="0.2">
      <c r="A33" t="s">
        <v>17</v>
      </c>
      <c r="B33"/>
      <c r="C33"/>
      <c r="D33"/>
      <c r="E33"/>
      <c r="F33"/>
      <c r="G33"/>
      <c r="H33"/>
      <c r="I33"/>
      <c r="J33"/>
      <c r="K33"/>
      <c r="L33"/>
      <c r="M33" s="2"/>
    </row>
    <row r="34" spans="1:19" x14ac:dyDescent="0.2">
      <c r="A34"/>
      <c r="B34" s="12" t="str">
        <f>C12&amp;" = "&amp;'3.2b'!$L$1&amp;", "&amp;'3.2b'!$L$2&amp;" trended forward to "&amp;TEXT($N$9,"m/d/yyyy")</f>
        <v>(2) = Exhibit 3, Sheet 2b trended forward to 12/31/2023</v>
      </c>
      <c r="F34"/>
      <c r="G34"/>
      <c r="K34"/>
      <c r="L34"/>
      <c r="M34" s="2"/>
    </row>
    <row r="35" spans="1:19" x14ac:dyDescent="0.2">
      <c r="A35"/>
      <c r="B35" s="12" t="str">
        <f>D12&amp;" = "&amp;'3.2c'!$L$1&amp;", "&amp;'3.2c'!$L$2&amp;" trended forward to "&amp;TEXT($N$9,"m/d/yyyy")</f>
        <v>(3) = Exhibit 3, Sheet 2c trended forward to 12/31/2023</v>
      </c>
      <c r="C35"/>
      <c r="E35"/>
      <c r="F35"/>
      <c r="H35"/>
      <c r="I35"/>
      <c r="J35"/>
      <c r="K35"/>
      <c r="L35"/>
      <c r="M35" s="2"/>
    </row>
    <row r="36" spans="1:19" x14ac:dyDescent="0.2">
      <c r="A36"/>
      <c r="B36" t="str">
        <f>E12&amp;" = Residential Exhibit 3, Sheet 3b trended forward to "&amp;TEXT($N$9,"m/d/yyyy")</f>
        <v>(4) = Residential Exhibit 3, Sheet 3b trended forward to 12/31/2023</v>
      </c>
      <c r="D36"/>
      <c r="E36"/>
      <c r="F36"/>
      <c r="H36"/>
      <c r="I36"/>
      <c r="J36"/>
      <c r="K36"/>
      <c r="L36"/>
      <c r="M36" s="2"/>
    </row>
    <row r="37" spans="1:19" x14ac:dyDescent="0.2">
      <c r="A37"/>
      <c r="B37" t="str">
        <f>F12&amp;" = Residential Exhibit 3, Sheet 3c trended forward to "&amp;TEXT($N$9,"m/d/yyyy")</f>
        <v>(5) = Residential Exhibit 3, Sheet 3c trended forward to 12/31/2023</v>
      </c>
      <c r="C37"/>
      <c r="D37"/>
      <c r="E37"/>
      <c r="F37"/>
      <c r="H37"/>
      <c r="I37"/>
      <c r="J37"/>
      <c r="K37"/>
      <c r="L37"/>
      <c r="M37" s="2"/>
    </row>
    <row r="38" spans="1:19" x14ac:dyDescent="0.2">
      <c r="B38" s="12" t="str">
        <f>G12&amp;" = "&amp;'3.2d'!$L$1&amp;", "&amp;'3.2d'!$L$2</f>
        <v>(6) = Exhibit 3, Sheet 2d</v>
      </c>
      <c r="L38"/>
      <c r="M38" s="2"/>
    </row>
    <row r="39" spans="1:19" x14ac:dyDescent="0.2">
      <c r="A39" s="40"/>
      <c r="B39" s="12" t="str">
        <f>H12&amp;" = 25% "&amp;G11&amp;" and 75% "&amp;D10&amp;" "&amp;D11&amp;" (most appropriate available by year)"</f>
        <v>(7) = 25% CPI and 75% Coastal Boeckh (most appropriate available by year)</v>
      </c>
      <c r="C39" s="59"/>
      <c r="D39" s="28"/>
      <c r="E39" s="28"/>
      <c r="F39" s="29"/>
      <c r="G39" s="29"/>
      <c r="H39" s="18"/>
      <c r="I39" s="18"/>
      <c r="J39" s="18"/>
      <c r="K39" s="19"/>
      <c r="L39" s="19"/>
      <c r="M39" s="2"/>
    </row>
    <row r="40" spans="1:19" x14ac:dyDescent="0.2">
      <c r="A40" s="40"/>
      <c r="B40" s="12" t="str">
        <f>A28&amp;" = "&amp;C12&amp;" - "&amp;H12&amp;" fitted to an exponential curve using 5 years' data"</f>
        <v>(8) = (2) - (7) fitted to an exponential curve using 5 years' data</v>
      </c>
      <c r="C40" s="59"/>
      <c r="D40" s="28"/>
      <c r="E40" s="28"/>
      <c r="F40" s="19"/>
      <c r="G40" s="29"/>
      <c r="H40" s="18"/>
      <c r="I40" s="18"/>
      <c r="J40" s="18"/>
      <c r="K40" s="19"/>
      <c r="L40" s="19"/>
      <c r="M40" s="2"/>
    </row>
    <row r="41" spans="1:19" x14ac:dyDescent="0.2">
      <c r="A41" s="40"/>
      <c r="B41" t="str">
        <f>A30&amp;" = [1 + "&amp;A28&amp;"] ^ "&amp;$N$32&amp;" (trended from "&amp;TEXT($O$32,"m/d/yyyy")&amp;" to "&amp;TEXT($P$32,"m/d/yyyy")&amp;")"</f>
        <v>(9) = [1 + (8)] ^ 2.5 (trended from 7/1/2023 to 1/1/2026)</v>
      </c>
      <c r="C41" s="59"/>
      <c r="D41" s="28"/>
      <c r="E41" s="28"/>
      <c r="F41" s="19"/>
      <c r="G41" s="29"/>
      <c r="H41" s="18"/>
      <c r="I41" s="18"/>
      <c r="J41" s="18"/>
      <c r="K41" s="19"/>
      <c r="L41" s="19"/>
      <c r="M41" s="2"/>
    </row>
    <row r="42" spans="1:19" x14ac:dyDescent="0.2">
      <c r="A42" s="40"/>
      <c r="B42"/>
      <c r="C42" s="59"/>
      <c r="D42" s="28"/>
      <c r="E42" s="28"/>
      <c r="F42" s="19"/>
      <c r="G42" s="29"/>
      <c r="H42" s="18"/>
      <c r="I42" s="18"/>
      <c r="J42" s="18"/>
      <c r="K42" s="19"/>
      <c r="L42" s="19"/>
      <c r="M42" s="2"/>
    </row>
    <row r="43" spans="1:19" x14ac:dyDescent="0.2">
      <c r="A43"/>
      <c r="B43"/>
      <c r="C43" s="19"/>
      <c r="D43" s="19"/>
      <c r="E43" s="19"/>
      <c r="F43" s="19"/>
      <c r="G43"/>
      <c r="H43"/>
      <c r="I43"/>
      <c r="J43"/>
      <c r="K43"/>
      <c r="L43"/>
      <c r="M43" s="2"/>
      <c r="S43"/>
    </row>
    <row r="44" spans="1:19" x14ac:dyDescent="0.2">
      <c r="A44" s="40"/>
      <c r="B44"/>
      <c r="C44" s="59"/>
      <c r="D44" s="28"/>
      <c r="E44" s="28"/>
      <c r="F44" s="19"/>
      <c r="G44" s="29"/>
      <c r="H44" s="18"/>
      <c r="I44" s="18"/>
      <c r="J44" s="18"/>
      <c r="K44" s="19"/>
      <c r="L44" s="19"/>
      <c r="M44" s="2"/>
    </row>
    <row r="45" spans="1:19" x14ac:dyDescent="0.2">
      <c r="A45"/>
      <c r="B45" s="22"/>
      <c r="C45" s="59"/>
      <c r="D45" s="28"/>
      <c r="E45" s="28"/>
      <c r="F45" s="19"/>
      <c r="G45" s="29"/>
      <c r="H45" s="18"/>
      <c r="I45" s="18"/>
      <c r="J45" s="18"/>
      <c r="K45" s="19"/>
      <c r="L45" s="19"/>
      <c r="M45" s="2"/>
    </row>
    <row r="46" spans="1:19" x14ac:dyDescent="0.2">
      <c r="A46"/>
      <c r="C46"/>
      <c r="D46"/>
      <c r="E46"/>
      <c r="F46"/>
      <c r="G46"/>
      <c r="H46"/>
      <c r="I46"/>
      <c r="J46"/>
      <c r="L46"/>
      <c r="M46" s="2"/>
    </row>
    <row r="47" spans="1:19" x14ac:dyDescent="0.2">
      <c r="A47"/>
      <c r="C47"/>
      <c r="D47"/>
      <c r="E47"/>
      <c r="F47"/>
      <c r="H47"/>
      <c r="I47"/>
      <c r="J47"/>
      <c r="K47"/>
      <c r="L47"/>
      <c r="M47" s="2"/>
    </row>
    <row r="48" spans="1:19" x14ac:dyDescent="0.2">
      <c r="A48"/>
      <c r="C48" s="59"/>
      <c r="D48" s="28"/>
      <c r="E48" s="28"/>
      <c r="F48" s="29"/>
      <c r="G48" s="29"/>
      <c r="H48" s="18"/>
      <c r="I48" s="18"/>
      <c r="J48" s="18"/>
      <c r="K48" s="19"/>
      <c r="L48" s="19"/>
      <c r="M48" s="2"/>
    </row>
    <row r="49" spans="1:13" x14ac:dyDescent="0.2">
      <c r="A49"/>
      <c r="C49" s="59"/>
      <c r="D49" s="28"/>
      <c r="E49" s="28"/>
      <c r="F49" s="29"/>
      <c r="G49" s="29"/>
      <c r="H49" s="18"/>
      <c r="I49" s="18"/>
      <c r="J49" s="18"/>
      <c r="K49" s="19"/>
      <c r="L49" s="19"/>
      <c r="M49" s="2"/>
    </row>
    <row r="50" spans="1:13" x14ac:dyDescent="0.2">
      <c r="A50"/>
      <c r="C50" s="59"/>
      <c r="D50" s="28"/>
      <c r="E50" s="28"/>
      <c r="F50" s="29"/>
      <c r="G50" s="29"/>
      <c r="H50" s="18"/>
      <c r="I50" s="18"/>
      <c r="J50" s="18"/>
      <c r="K50" s="19"/>
      <c r="L50" s="19"/>
      <c r="M50" s="2"/>
    </row>
    <row r="51" spans="1:13" x14ac:dyDescent="0.2">
      <c r="A51"/>
      <c r="C51" s="18"/>
      <c r="D51"/>
      <c r="E51"/>
      <c r="F51"/>
      <c r="G51" s="18"/>
      <c r="H51" s="18"/>
      <c r="I51" s="18"/>
      <c r="J51" s="18"/>
      <c r="K51" s="18"/>
      <c r="L51"/>
      <c r="M51" s="2"/>
    </row>
    <row r="52" spans="1:13" x14ac:dyDescent="0.2">
      <c r="A52"/>
      <c r="C52" s="18"/>
      <c r="D52" s="18"/>
      <c r="E52"/>
      <c r="F52" s="18"/>
      <c r="G52" s="18"/>
      <c r="H52" s="18"/>
      <c r="I52" s="18"/>
      <c r="J52" s="18"/>
      <c r="K52" s="19"/>
      <c r="L52"/>
      <c r="M52" s="2"/>
    </row>
    <row r="53" spans="1:13" x14ac:dyDescent="0.2">
      <c r="A53" s="40"/>
      <c r="B53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2"/>
    </row>
    <row r="54" spans="1:13" x14ac:dyDescent="0.2">
      <c r="F54"/>
      <c r="M54" s="2"/>
    </row>
    <row r="55" spans="1:13" x14ac:dyDescent="0.2">
      <c r="F55"/>
      <c r="M55" s="2"/>
    </row>
    <row r="56" spans="1:13" x14ac:dyDescent="0.2">
      <c r="F56"/>
      <c r="M56" s="2"/>
    </row>
    <row r="57" spans="1:13" x14ac:dyDescent="0.2">
      <c r="F57"/>
      <c r="M57" s="2"/>
    </row>
    <row r="58" spans="1:13" x14ac:dyDescent="0.2">
      <c r="F58"/>
      <c r="M58" s="2"/>
    </row>
    <row r="59" spans="1:13" x14ac:dyDescent="0.2">
      <c r="F59"/>
      <c r="M59" s="2"/>
    </row>
    <row r="60" spans="1:13" x14ac:dyDescent="0.2">
      <c r="F60"/>
      <c r="M60" s="2"/>
    </row>
    <row r="61" spans="1:13" x14ac:dyDescent="0.2">
      <c r="F61"/>
      <c r="M61" s="2"/>
    </row>
    <row r="62" spans="1:13" x14ac:dyDescent="0.2">
      <c r="F62"/>
      <c r="M62" s="2"/>
    </row>
    <row r="63" spans="1:13" x14ac:dyDescent="0.2">
      <c r="F63"/>
      <c r="M63" s="2"/>
    </row>
    <row r="64" spans="1:13" x14ac:dyDescent="0.2">
      <c r="F64"/>
      <c r="M64" s="2"/>
    </row>
    <row r="65" spans="1:13" x14ac:dyDescent="0.2">
      <c r="M65" s="2"/>
    </row>
    <row r="66" spans="1:13" x14ac:dyDescent="0.2">
      <c r="M66" s="2"/>
    </row>
    <row r="67" spans="1:13" x14ac:dyDescent="0.2">
      <c r="M67" s="2"/>
    </row>
    <row r="68" spans="1:13" ht="12" thickBot="1" x14ac:dyDescent="0.25"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32</vt:i4>
      </vt:variant>
    </vt:vector>
  </HeadingPairs>
  <TitlesOfParts>
    <vt:vector size="65" baseType="lpstr">
      <vt:lpstr>Cover Page</vt:lpstr>
      <vt:lpstr>Table of Contents</vt:lpstr>
      <vt:lpstr>1</vt:lpstr>
      <vt:lpstr>2.1</vt:lpstr>
      <vt:lpstr>2.2</vt:lpstr>
      <vt:lpstr>2.3</vt:lpstr>
      <vt:lpstr>2.4</vt:lpstr>
      <vt:lpstr>3.1</vt:lpstr>
      <vt:lpstr>3.2a</vt:lpstr>
      <vt:lpstr>3.2b</vt:lpstr>
      <vt:lpstr>3.2c</vt:lpstr>
      <vt:lpstr>3.2d</vt:lpstr>
      <vt:lpstr>4</vt:lpstr>
      <vt:lpstr>5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8</vt:lpstr>
      <vt:lpstr>9.1</vt:lpstr>
      <vt:lpstr>9.2</vt:lpstr>
      <vt:lpstr>9.3</vt:lpstr>
      <vt:lpstr>10.1</vt:lpstr>
      <vt:lpstr>10.2</vt:lpstr>
      <vt:lpstr>11.1</vt:lpstr>
      <vt:lpstr>11.2</vt:lpstr>
      <vt:lpstr>'1'!Print_Area</vt:lpstr>
      <vt:lpstr>'10.1'!Print_Area</vt:lpstr>
      <vt:lpstr>'10.2'!Print_Area</vt:lpstr>
      <vt:lpstr>'11.1'!Print_Area</vt:lpstr>
      <vt:lpstr>'11.2'!Print_Area</vt:lpstr>
      <vt:lpstr>'2.1'!Print_Area</vt:lpstr>
      <vt:lpstr>'2.2'!Print_Area</vt:lpstr>
      <vt:lpstr>'2.3'!Print_Area</vt:lpstr>
      <vt:lpstr>'2.4'!Print_Area</vt:lpstr>
      <vt:lpstr>'3.1'!Print_Area</vt:lpstr>
      <vt:lpstr>'3.2a'!Print_Area</vt:lpstr>
      <vt:lpstr>'3.2b'!Print_Area</vt:lpstr>
      <vt:lpstr>'3.2c'!Print_Area</vt:lpstr>
      <vt:lpstr>'3.2d'!Print_Area</vt:lpstr>
      <vt:lpstr>'4'!Print_Area</vt:lpstr>
      <vt:lpstr>'5'!Print_Area</vt:lpstr>
      <vt:lpstr>'6.1'!Print_Area</vt:lpstr>
      <vt:lpstr>'6.2'!Print_Area</vt:lpstr>
      <vt:lpstr>'6.3'!Print_Area</vt:lpstr>
      <vt:lpstr>'6.4'!Print_Area</vt:lpstr>
      <vt:lpstr>'6.5'!Print_Area</vt:lpstr>
      <vt:lpstr>'6.6'!Print_Area</vt:lpstr>
      <vt:lpstr>'6.7'!Print_Area</vt:lpstr>
      <vt:lpstr>'7.1'!Print_Area</vt:lpstr>
      <vt:lpstr>'7.2'!Print_Area</vt:lpstr>
      <vt:lpstr>'7.3'!Print_Area</vt:lpstr>
      <vt:lpstr>'7.4'!Print_Area</vt:lpstr>
      <vt:lpstr>'8'!Print_Area</vt:lpstr>
      <vt:lpstr>'9.1'!Print_Area</vt:lpstr>
      <vt:lpstr>'9.2'!Print_Area</vt:lpstr>
      <vt:lpstr>'9.3'!Print_Area</vt:lpstr>
      <vt:lpstr>'Cover Page'!Print_Area</vt:lpstr>
    </vt:vector>
  </TitlesOfParts>
  <Company>Republic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xiuyu li</dc:creator>
  <cp:lastModifiedBy>Jim Murphy</cp:lastModifiedBy>
  <cp:lastPrinted>2024-06-26T19:01:04Z</cp:lastPrinted>
  <dcterms:created xsi:type="dcterms:W3CDTF">2001-12-17T21:49:07Z</dcterms:created>
  <dcterms:modified xsi:type="dcterms:W3CDTF">2024-07-01T20:26:49Z</dcterms:modified>
</cp:coreProperties>
</file>